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mc:AlternateContent xmlns:mc="http://schemas.openxmlformats.org/markup-compatibility/2006">
    <mc:Choice Requires="x15">
      <x15ac:absPath xmlns:x15ac="http://schemas.microsoft.com/office/spreadsheetml/2010/11/ac" url="https://appriver3651005261-my.sharepoint.com/personal/robert_aycock_sreb_org/Documents/2023 Summary Files/"/>
    </mc:Choice>
  </mc:AlternateContent>
  <xr:revisionPtr revIDLastSave="78" documentId="8_{749D94D2-E11C-4C5B-A345-5FAE9482C5B1}" xr6:coauthVersionLast="47" xr6:coauthVersionMax="47" xr10:uidLastSave="{F71A18B6-D6A6-459E-B8E1-37559E82A6E5}"/>
  <bookViews>
    <workbookView xWindow="-120" yWindow="-16320" windowWidth="29040" windowHeight="15840" firstSheet="1" activeTab="3" xr2:uid="{00000000-000D-0000-FFFF-FFFF00000000}"/>
  </bookViews>
  <sheets>
    <sheet name="NEW...Tabs 132-139" sheetId="15" r:id="rId1"/>
    <sheet name="OLD...Tables" sheetId="14" r:id="rId2"/>
    <sheet name="Summary Medians" sheetId="13" r:id="rId3"/>
    <sheet name="Pivot Table SREB" sheetId="29" r:id="rId4"/>
    <sheet name="Sheet4" sheetId="37" state="hidden" r:id="rId5"/>
    <sheet name="Pivot Table Cats" sheetId="25" r:id="rId6"/>
    <sheet name="Pivot Table Totals" sheetId="27" r:id="rId7"/>
    <sheet name="07TuitionAndFees" sheetId="19" r:id="rId8"/>
    <sheet name="check" sheetId="38" state="hidden" r:id="rId9"/>
    <sheet name="Sheet2" sheetId="39" state="hidden" r:id="rId10"/>
    <sheet name="Sheet3" sheetId="36" state="hidden" r:id="rId11"/>
    <sheet name="FR2" sheetId="33" state="hidden" r:id="rId12"/>
    <sheet name="FR1" sheetId="31" state="hidden" r:id="rId13"/>
    <sheet name="Sheet1" sheetId="34" state="hidden" r:id="rId14"/>
  </sheets>
  <definedNames>
    <definedName name="_xlnm._FilterDatabase" localSheetId="8" hidden="1">check!$A$1:$AO$674</definedName>
    <definedName name="_xlnm._FilterDatabase" localSheetId="10" hidden="1">Sheet3!$A$1:$AR$657</definedName>
    <definedName name="_xlcn.WorksheetConnection_07TuitionAndFeesA5AO6611" hidden="1">'07TuitionAndFees'!$A$5:$AO$675</definedName>
    <definedName name="APPHEAD" localSheetId="0">#REF!</definedName>
    <definedName name="APPHEAD" localSheetId="1">#REF!</definedName>
    <definedName name="APPHEAD" localSheetId="2">#REF!</definedName>
    <definedName name="APPHEAD">#REF!</definedName>
    <definedName name="CHHEAD" localSheetId="1">#REF!</definedName>
    <definedName name="CHHEAD" localSheetId="2">#REF!</definedName>
    <definedName name="CHHEAD">#REF!</definedName>
    <definedName name="ExternalData_1" localSheetId="4" hidden="1">Sheet4!$A$3:$AO$8</definedName>
    <definedName name="PAGE_17" localSheetId="1">#REF!</definedName>
    <definedName name="PAGE_17" localSheetId="2">#REF!</definedName>
    <definedName name="PAGE_17">#REF!</definedName>
    <definedName name="PAGE1" localSheetId="1">#REF!</definedName>
    <definedName name="PAGE1" localSheetId="2">#REF!</definedName>
    <definedName name="PAGE1">#REF!</definedName>
    <definedName name="PAGE10" localSheetId="1">#REF!</definedName>
    <definedName name="PAGE10" localSheetId="2">#REF!</definedName>
    <definedName name="PAGE10">#REF!</definedName>
    <definedName name="PAGE11" localSheetId="1">#REF!</definedName>
    <definedName name="PAGE11" localSheetId="2">#REF!</definedName>
    <definedName name="PAGE11">#REF!</definedName>
    <definedName name="PAGE12" localSheetId="1">#REF!</definedName>
    <definedName name="PAGE12" localSheetId="2">#REF!</definedName>
    <definedName name="PAGE12">#REF!</definedName>
    <definedName name="PAGE13" localSheetId="1">#REF!</definedName>
    <definedName name="PAGE13" localSheetId="2">#REF!</definedName>
    <definedName name="PAGE13">#REF!</definedName>
    <definedName name="PAGE14" localSheetId="1">#REF!</definedName>
    <definedName name="PAGE14" localSheetId="2">#REF!</definedName>
    <definedName name="PAGE14">#REF!</definedName>
    <definedName name="PAGE15" localSheetId="1">#REF!</definedName>
    <definedName name="PAGE15" localSheetId="2">#REF!</definedName>
    <definedName name="PAGE15">#REF!</definedName>
    <definedName name="PAGE16" localSheetId="1">#REF!</definedName>
    <definedName name="PAGE16" localSheetId="2">#REF!</definedName>
    <definedName name="PAGE16">#REF!</definedName>
    <definedName name="PAGE17" localSheetId="1">#REF!</definedName>
    <definedName name="PAGE17" localSheetId="2">#REF!</definedName>
    <definedName name="PAGE17">#REF!</definedName>
    <definedName name="PAGE18" localSheetId="1">#REF!</definedName>
    <definedName name="PAGE18" localSheetId="2">#REF!</definedName>
    <definedName name="PAGE18">#REF!</definedName>
    <definedName name="PAGE19" localSheetId="1">#REF!</definedName>
    <definedName name="PAGE19" localSheetId="2">#REF!</definedName>
    <definedName name="PAGE19">#REF!</definedName>
    <definedName name="PAGE2" localSheetId="1">#REF!</definedName>
    <definedName name="PAGE2" localSheetId="2">#REF!</definedName>
    <definedName name="PAGE2">#REF!</definedName>
    <definedName name="PAGE20" localSheetId="1">#REF!</definedName>
    <definedName name="PAGE20" localSheetId="2">#REF!</definedName>
    <definedName name="PAGE20">#REF!</definedName>
    <definedName name="PAGE3" localSheetId="1">#REF!</definedName>
    <definedName name="PAGE3" localSheetId="2">#REF!</definedName>
    <definedName name="PAGE3">#REF!</definedName>
    <definedName name="PAGE4" localSheetId="1">#REF!</definedName>
    <definedName name="PAGE4" localSheetId="2">#REF!</definedName>
    <definedName name="PAGE4">#REF!</definedName>
    <definedName name="PAGE5" localSheetId="1">#REF!</definedName>
    <definedName name="PAGE5" localSheetId="2">#REF!</definedName>
    <definedName name="PAGE5">#REF!</definedName>
    <definedName name="PAGE6" localSheetId="1">#REF!</definedName>
    <definedName name="PAGE6" localSheetId="2">#REF!</definedName>
    <definedName name="PAGE6">#REF!</definedName>
    <definedName name="PAGE7" localSheetId="1">#REF!</definedName>
    <definedName name="PAGE7" localSheetId="2">#REF!</definedName>
    <definedName name="PAGE7">#REF!</definedName>
    <definedName name="PAGE8" localSheetId="1">#REF!</definedName>
    <definedName name="PAGE8" localSheetId="2">#REF!</definedName>
    <definedName name="PAGE8">#REF!</definedName>
    <definedName name="PAGE9" localSheetId="1">#REF!</definedName>
    <definedName name="PAGE9" localSheetId="2">#REF!</definedName>
    <definedName name="PAGE9">#REF!</definedName>
    <definedName name="PART1" localSheetId="1">#REF!</definedName>
    <definedName name="PART1" localSheetId="2">#REF!</definedName>
    <definedName name="PART1">#REF!</definedName>
    <definedName name="PART2" localSheetId="1">#REF!</definedName>
    <definedName name="PART2" localSheetId="2">#REF!</definedName>
    <definedName name="PART2">#REF!</definedName>
    <definedName name="PART3" localSheetId="1">#REF!</definedName>
    <definedName name="PART3" localSheetId="2">#REF!</definedName>
    <definedName name="PART3">#REF!</definedName>
    <definedName name="PART4A" localSheetId="1">#REF!</definedName>
    <definedName name="PART4A" localSheetId="2">#REF!</definedName>
    <definedName name="PART4A">#REF!</definedName>
    <definedName name="PART4B" localSheetId="1">#REF!</definedName>
    <definedName name="PART4B" localSheetId="2">#REF!</definedName>
    <definedName name="PART4B">#REF!</definedName>
    <definedName name="PART5" localSheetId="1">#REF!</definedName>
    <definedName name="PART5" localSheetId="2">#REF!</definedName>
    <definedName name="PART5">#REF!</definedName>
    <definedName name="PART6A" localSheetId="1">#REF!</definedName>
    <definedName name="PART6A" localSheetId="2">#REF!</definedName>
    <definedName name="PART6A">#REF!</definedName>
    <definedName name="PART6B" localSheetId="1">#REF!</definedName>
    <definedName name="PART6B" localSheetId="2">#REF!</definedName>
    <definedName name="PART6B">#REF!</definedName>
    <definedName name="PART6C" localSheetId="1">#REF!</definedName>
    <definedName name="PART6C" localSheetId="2">#REF!</definedName>
    <definedName name="PART6C">#REF!</definedName>
    <definedName name="PART7B" localSheetId="1">#REF!</definedName>
    <definedName name="PART7B" localSheetId="2">#REF!</definedName>
    <definedName name="PART7B">#REF!</definedName>
    <definedName name="PART7C" localSheetId="1">#REF!</definedName>
    <definedName name="PART7C" localSheetId="2">#REF!</definedName>
    <definedName name="PART7C">#REF!</definedName>
    <definedName name="PART8" localSheetId="1">#REF!</definedName>
    <definedName name="PART8" localSheetId="2">#REF!</definedName>
    <definedName name="PART8">#REF!</definedName>
    <definedName name="_xlnm.Print_Area" localSheetId="0">'NEW...Tabs 132-139'!$A$1:$J$258</definedName>
    <definedName name="_xlnm.Print_Area" localSheetId="1">'OLD...Tables'!$A$1:$J$258</definedName>
    <definedName name="_xlnm.Print_Area" localSheetId="2">'Summary Medians'!$C$20:$BD$291</definedName>
    <definedName name="_xlnm.Print_Area">#REF!</definedName>
    <definedName name="_xlnm.Print_Titles" localSheetId="2">'Summary Medians'!$A:$B,'Summary Medians'!$1:$2</definedName>
    <definedName name="RATIONALE" localSheetId="0">#REF!</definedName>
    <definedName name="RATIONALE" localSheetId="1">#REF!</definedName>
    <definedName name="RATIONALE" localSheetId="2">#REF!</definedName>
    <definedName name="RATIONALE">#REF!</definedName>
    <definedName name="RATIONALE2" localSheetId="1">#REF!</definedName>
    <definedName name="RATIONALE2" localSheetId="2">#REF!</definedName>
    <definedName name="RATIONALE2">#REF!</definedName>
    <definedName name="SALHEAD" localSheetId="1">#REF!</definedName>
    <definedName name="SALHEAD" localSheetId="2">#REF!</definedName>
    <definedName name="SALHEAD">#REF!</definedName>
  </definedNames>
  <calcPr calcId="191029"/>
  <pivotCaches>
    <pivotCache cacheId="953" r:id="rId15"/>
    <pivotCache cacheId="956" r:id="rId16"/>
    <pivotCache cacheId="959" r:id="rId17"/>
    <pivotCache cacheId="962" r:id="rId18"/>
    <pivotCache cacheId="965" r:id="rId19"/>
    <pivotCache cacheId="968" r:id="rId20"/>
    <pivotCache cacheId="971" r:id="rId21"/>
    <pivotCache cacheId="974" r:id="rId22"/>
    <pivotCache cacheId="977" r:id="rId23"/>
    <pivotCache cacheId="980" r:id="rId24"/>
    <pivotCache cacheId="983" r:id="rId25"/>
    <pivotCache cacheId="986" r:id="rId26"/>
  </pivotCaches>
  <extLst>
    <ext xmlns:x15="http://schemas.microsoft.com/office/spreadsheetml/2010/11/main" uri="{FCE2AD5D-F65C-4FA6-A056-5C36A1767C68}">
      <x15:dataModel>
        <x15:modelTables>
          <x15:modelTable id="Range 1" name="Range 1" connection="WorksheetConnection_07TuitionAndFees!$A$5:$AO$66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97" i="38" l="1"/>
  <c r="J689" i="38"/>
  <c r="E680" i="38"/>
  <c r="F697" i="38"/>
  <c r="H704" i="38"/>
  <c r="I678" i="38"/>
  <c r="AF679" i="38"/>
  <c r="G675" i="38"/>
  <c r="H675" i="38"/>
  <c r="N677" i="38"/>
  <c r="T679" i="38"/>
  <c r="X679" i="38"/>
  <c r="AP2" i="38"/>
  <c r="O679" i="38"/>
  <c r="C706" i="38"/>
  <c r="F712" i="38"/>
  <c r="M696" i="38"/>
  <c r="F675" i="38" l="1"/>
  <c r="H673" i="38"/>
  <c r="I673" i="38"/>
  <c r="G673" i="38"/>
  <c r="H674" i="38"/>
  <c r="AA672" i="38"/>
  <c r="O674" i="38"/>
  <c r="F677" i="38"/>
  <c r="L721" i="38"/>
  <c r="Q679" i="38"/>
  <c r="L681" i="38"/>
  <c r="H681" i="38"/>
  <c r="Q239" i="38" l="1"/>
  <c r="O239" i="38"/>
  <c r="AO238" i="38"/>
  <c r="AM238" i="38"/>
  <c r="B3" i="39"/>
  <c r="C3" i="39"/>
  <c r="D3" i="39"/>
  <c r="E3" i="39"/>
  <c r="F3" i="39"/>
  <c r="G3" i="39"/>
  <c r="H3" i="39"/>
  <c r="I3" i="39"/>
  <c r="J3" i="39"/>
  <c r="K3" i="39"/>
  <c r="L3" i="39"/>
  <c r="M3" i="39"/>
  <c r="N3" i="39"/>
  <c r="O3" i="39"/>
  <c r="P3" i="39"/>
  <c r="Q3" i="39"/>
  <c r="R3" i="39"/>
  <c r="S3" i="39"/>
  <c r="T3" i="39"/>
  <c r="U3" i="39"/>
  <c r="V3" i="39"/>
  <c r="W3" i="39"/>
  <c r="X3" i="39"/>
  <c r="Y3" i="39"/>
  <c r="Z3" i="39"/>
  <c r="AA3" i="39"/>
  <c r="AB3" i="39"/>
  <c r="AC3" i="39"/>
  <c r="AD3" i="39"/>
  <c r="AE3" i="39"/>
  <c r="AF3" i="39"/>
  <c r="AG3" i="39"/>
  <c r="AH3" i="39"/>
  <c r="AI3" i="39"/>
  <c r="AJ3" i="39"/>
  <c r="AK3" i="39"/>
  <c r="AL3" i="39"/>
  <c r="AM3" i="39"/>
  <c r="AN3" i="39"/>
  <c r="AO3" i="39"/>
  <c r="A3" i="39"/>
  <c r="C682" i="38"/>
  <c r="Q243" i="19"/>
  <c r="O243" i="19"/>
  <c r="AO242" i="19"/>
  <c r="AM242" i="19"/>
  <c r="O291" i="13"/>
  <c r="G52" i="13"/>
  <c r="R223" i="13"/>
  <c r="S274" i="13"/>
  <c r="R257" i="13"/>
  <c r="C52" i="13"/>
  <c r="P257" i="13"/>
  <c r="P291" i="13"/>
  <c r="R240" i="13"/>
  <c r="J52" i="13"/>
  <c r="O240" i="13"/>
  <c r="P223" i="13"/>
  <c r="M52" i="13"/>
  <c r="O274" i="13"/>
  <c r="F52" i="13"/>
  <c r="I52" i="13"/>
  <c r="S291" i="13"/>
  <c r="O257" i="13"/>
  <c r="R274" i="13"/>
  <c r="S223" i="13"/>
  <c r="O223" i="13"/>
  <c r="L52" i="13"/>
  <c r="D52" i="13"/>
  <c r="R291" i="13"/>
  <c r="S257" i="13"/>
  <c r="P240" i="13"/>
  <c r="P274" i="13"/>
  <c r="S240" i="13"/>
  <c r="C60" i="13"/>
  <c r="K52" i="13" l="1"/>
  <c r="E52" i="13"/>
  <c r="N52" i="13"/>
  <c r="H52" i="13"/>
  <c r="F9" i="37"/>
  <c r="O206" i="13"/>
  <c r="O172" i="13"/>
  <c r="O155" i="13"/>
  <c r="S172" i="13"/>
  <c r="AH36" i="13"/>
  <c r="S206" i="13"/>
  <c r="AH87" i="13"/>
  <c r="AH223" i="13"/>
  <c r="R155" i="13"/>
  <c r="AH274" i="13"/>
  <c r="AH121" i="13"/>
  <c r="S155" i="13"/>
  <c r="AH172" i="13"/>
  <c r="AH138" i="13"/>
  <c r="P155" i="13"/>
  <c r="P189" i="13"/>
  <c r="AH291" i="13"/>
  <c r="AH189" i="13"/>
  <c r="R172" i="13"/>
  <c r="AH206" i="13"/>
  <c r="P206" i="13"/>
  <c r="P172" i="13"/>
  <c r="AH53" i="13"/>
  <c r="AH257" i="13"/>
  <c r="AH70" i="13"/>
  <c r="R189" i="13"/>
  <c r="AH104" i="13"/>
  <c r="O189" i="13"/>
  <c r="R206" i="13"/>
  <c r="S189" i="13"/>
  <c r="AH155" i="13"/>
  <c r="AH240" i="13"/>
  <c r="AC239" i="36" l="1"/>
  <c r="AA239" i="36"/>
  <c r="Q239" i="36"/>
  <c r="O239" i="36"/>
  <c r="AO238" i="36"/>
  <c r="AM238" i="36"/>
  <c r="Y155" i="36"/>
  <c r="W155" i="36"/>
  <c r="U155" i="36"/>
  <c r="S155" i="36"/>
  <c r="Q155" i="36"/>
  <c r="O155" i="36"/>
  <c r="M155" i="36"/>
  <c r="K155" i="36"/>
  <c r="I131" i="36"/>
  <c r="G131" i="36"/>
  <c r="I130" i="36"/>
  <c r="G130" i="36"/>
  <c r="I129" i="36"/>
  <c r="G129" i="36"/>
  <c r="I128" i="36"/>
  <c r="G128" i="36"/>
  <c r="I127" i="36"/>
  <c r="H127" i="36"/>
  <c r="G127" i="36"/>
  <c r="I126" i="36"/>
  <c r="G126" i="36"/>
  <c r="I125" i="36"/>
  <c r="G125" i="36"/>
  <c r="M124" i="36"/>
  <c r="K124" i="36"/>
  <c r="I124" i="36"/>
  <c r="G124" i="36"/>
  <c r="I123" i="36"/>
  <c r="G123" i="36"/>
  <c r="I122" i="36"/>
  <c r="G122" i="36"/>
  <c r="I121" i="36"/>
  <c r="G121" i="36"/>
  <c r="M120" i="36"/>
  <c r="K120" i="36"/>
  <c r="I120" i="36"/>
  <c r="G120" i="36"/>
  <c r="M119" i="36"/>
  <c r="K119" i="36"/>
  <c r="I119" i="36"/>
  <c r="G119" i="36"/>
  <c r="M118" i="36"/>
  <c r="K118" i="36"/>
  <c r="I118" i="36"/>
  <c r="G118" i="36"/>
  <c r="M117" i="36"/>
  <c r="K117" i="36"/>
  <c r="I117" i="36"/>
  <c r="H117" i="36"/>
  <c r="G117" i="36"/>
  <c r="M116" i="36"/>
  <c r="K116" i="36"/>
  <c r="J116" i="36"/>
  <c r="I116" i="36"/>
  <c r="G116" i="36"/>
  <c r="M115" i="36"/>
  <c r="K115" i="36"/>
  <c r="I115" i="36"/>
  <c r="G115" i="36"/>
  <c r="M114" i="36"/>
  <c r="K114" i="36"/>
  <c r="J114" i="36"/>
  <c r="I114" i="36"/>
  <c r="G114" i="36"/>
  <c r="Y113" i="36"/>
  <c r="W113" i="36"/>
  <c r="U113" i="36"/>
  <c r="S113" i="36"/>
  <c r="M113" i="36"/>
  <c r="K113" i="36"/>
  <c r="I113" i="36"/>
  <c r="G113" i="36"/>
  <c r="M112" i="36"/>
  <c r="K112" i="36"/>
  <c r="I112" i="36"/>
  <c r="G112" i="36"/>
  <c r="M111" i="36"/>
  <c r="K111" i="36"/>
  <c r="I111" i="36"/>
  <c r="G111" i="36"/>
  <c r="M110" i="36"/>
  <c r="K110" i="36"/>
  <c r="I110" i="36"/>
  <c r="G110" i="36"/>
  <c r="M109" i="36"/>
  <c r="K109" i="36"/>
  <c r="I109" i="36"/>
  <c r="G109" i="36"/>
  <c r="M108" i="36"/>
  <c r="K108" i="36"/>
  <c r="I108" i="36"/>
  <c r="G108" i="36"/>
  <c r="M107" i="36"/>
  <c r="L107" i="36"/>
  <c r="K107" i="36"/>
  <c r="J107" i="36"/>
  <c r="I107" i="36"/>
  <c r="G107" i="36"/>
  <c r="O106" i="36"/>
  <c r="M106" i="36"/>
  <c r="K106" i="36"/>
  <c r="I106" i="36"/>
  <c r="G106" i="36"/>
  <c r="Q105" i="36"/>
  <c r="O105" i="36"/>
  <c r="M105" i="36"/>
  <c r="K105" i="36"/>
  <c r="I105" i="36"/>
  <c r="G105" i="36"/>
  <c r="H14" i="14" l="1"/>
  <c r="Q155" i="13" l="1"/>
  <c r="B214" i="14"/>
  <c r="E209" i="15"/>
  <c r="E206" i="15"/>
  <c r="E207" i="15"/>
  <c r="B222" i="15"/>
  <c r="E208" i="15"/>
  <c r="E213" i="15"/>
  <c r="E217" i="15"/>
  <c r="T189" i="13"/>
  <c r="B249" i="14"/>
  <c r="B250" i="15"/>
  <c r="B249" i="15"/>
  <c r="B214" i="15"/>
  <c r="B251" i="15"/>
  <c r="T240" i="13"/>
  <c r="B253" i="14"/>
  <c r="Q189" i="13"/>
  <c r="B217" i="14"/>
  <c r="T172" i="13"/>
  <c r="B248" i="14"/>
  <c r="B217" i="15"/>
  <c r="B218" i="15"/>
  <c r="E219" i="15"/>
  <c r="B223" i="15"/>
  <c r="B246" i="15"/>
  <c r="B219" i="15"/>
  <c r="Q274" i="13"/>
  <c r="B223" i="14"/>
  <c r="B248" i="15"/>
  <c r="E214" i="15"/>
  <c r="E212" i="15"/>
  <c r="E216" i="15"/>
  <c r="B246" i="14"/>
  <c r="T155" i="13"/>
  <c r="Q172" i="13"/>
  <c r="B216" i="14"/>
  <c r="B255" i="14"/>
  <c r="T274" i="13"/>
  <c r="E211" i="15"/>
  <c r="B254" i="15"/>
  <c r="B216" i="15"/>
  <c r="T291" i="13"/>
  <c r="B256" i="14"/>
  <c r="B254" i="14"/>
  <c r="T257" i="13"/>
  <c r="B255" i="15"/>
  <c r="B218" i="14"/>
  <c r="Q206" i="13"/>
  <c r="E223" i="15"/>
  <c r="B253" i="15"/>
  <c r="E222" i="15"/>
  <c r="Q291" i="13"/>
  <c r="B224" i="14"/>
  <c r="B221" i="15"/>
  <c r="Q257" i="13"/>
  <c r="B222" i="14"/>
  <c r="Q240" i="13"/>
  <c r="B221" i="14"/>
  <c r="T223" i="13"/>
  <c r="B251" i="14"/>
  <c r="B224" i="15"/>
  <c r="E224" i="15"/>
  <c r="E218" i="15"/>
  <c r="E221" i="15"/>
  <c r="B219" i="14"/>
  <c r="Q223" i="13"/>
  <c r="B250" i="14"/>
  <c r="T206" i="13"/>
  <c r="B256" i="15"/>
  <c r="V36" i="13" l="1"/>
  <c r="G248" i="13"/>
  <c r="I245" i="13"/>
  <c r="AD223" i="13"/>
  <c r="BC19" i="31"/>
  <c r="G267" i="13"/>
  <c r="C270" i="13"/>
  <c r="M281" i="13"/>
  <c r="V104" i="13"/>
  <c r="Y257" i="13"/>
  <c r="F96" i="13"/>
  <c r="J190" i="13"/>
  <c r="AN223" i="13"/>
  <c r="M25" i="13"/>
  <c r="AV19" i="31"/>
  <c r="D196" i="13"/>
  <c r="D16" i="31"/>
  <c r="O19" i="31"/>
  <c r="M7" i="31"/>
  <c r="M237" i="13"/>
  <c r="AV138" i="13"/>
  <c r="J237" i="13"/>
  <c r="C215" i="13"/>
  <c r="V172" i="13"/>
  <c r="AT19" i="31"/>
  <c r="C32" i="13"/>
  <c r="I282" i="13"/>
  <c r="AS223" i="13"/>
  <c r="I153" i="13"/>
  <c r="L255" i="13"/>
  <c r="I269" i="13"/>
  <c r="AA257" i="13"/>
  <c r="I225" i="13"/>
  <c r="D242" i="13"/>
  <c r="D278" i="13"/>
  <c r="AG138" i="13"/>
  <c r="AY121" i="13"/>
  <c r="M12" i="31"/>
  <c r="L102" i="13"/>
  <c r="AD53" i="13"/>
  <c r="AD291" i="13"/>
  <c r="AY70" i="13"/>
  <c r="F94" i="13"/>
  <c r="G163" i="13"/>
  <c r="F182" i="13"/>
  <c r="D204" i="13"/>
  <c r="D149" i="13"/>
  <c r="L241" i="13"/>
  <c r="AE257" i="13"/>
  <c r="AT138" i="13"/>
  <c r="F136" i="13"/>
  <c r="J269" i="13"/>
  <c r="D44" i="13"/>
  <c r="AJ206" i="13"/>
  <c r="AP53" i="13"/>
  <c r="F213" i="13"/>
  <c r="C263" i="13"/>
  <c r="J83" i="13"/>
  <c r="AG172" i="13"/>
  <c r="I21" i="13"/>
  <c r="I6" i="13"/>
  <c r="J181" i="13"/>
  <c r="F18" i="13"/>
  <c r="AZ172" i="13"/>
  <c r="AS121" i="13"/>
  <c r="O36" i="13"/>
  <c r="L122" i="13"/>
  <c r="L98" i="13"/>
  <c r="D287" i="13"/>
  <c r="AT36" i="13"/>
  <c r="F124" i="13"/>
  <c r="C258" i="13"/>
  <c r="M190" i="13"/>
  <c r="I235" i="13"/>
  <c r="I14" i="31"/>
  <c r="D11" i="31"/>
  <c r="AJ274" i="13"/>
  <c r="J156" i="13"/>
  <c r="V70" i="13"/>
  <c r="J265" i="13"/>
  <c r="AV172" i="13"/>
  <c r="J126" i="13"/>
  <c r="D140" i="13"/>
  <c r="I3" i="13"/>
  <c r="J254" i="13"/>
  <c r="M183" i="13"/>
  <c r="C246" i="13"/>
  <c r="F220" i="13"/>
  <c r="M74" i="13"/>
  <c r="I207" i="13"/>
  <c r="L288" i="13"/>
  <c r="C181" i="13"/>
  <c r="J119" i="13"/>
  <c r="AN172" i="13"/>
  <c r="AT257" i="13"/>
  <c r="I12" i="31"/>
  <c r="F261" i="13"/>
  <c r="F75" i="13"/>
  <c r="G54" i="13"/>
  <c r="L83" i="13"/>
  <c r="G115" i="13"/>
  <c r="C185" i="13"/>
  <c r="J225" i="13"/>
  <c r="AZ121" i="13"/>
  <c r="F214" i="13"/>
  <c r="L110" i="13"/>
  <c r="M258" i="13"/>
  <c r="D55" i="13"/>
  <c r="D111" i="13"/>
  <c r="M48" i="13"/>
  <c r="L132" i="13"/>
  <c r="L141" i="13"/>
  <c r="L62" i="13"/>
  <c r="J109" i="13"/>
  <c r="I51" i="13"/>
  <c r="J248" i="13"/>
  <c r="I23" i="13"/>
  <c r="L216" i="13"/>
  <c r="C219" i="13"/>
  <c r="D247" i="13"/>
  <c r="G241" i="13"/>
  <c r="D265" i="13"/>
  <c r="J14" i="31"/>
  <c r="M287" i="13"/>
  <c r="J201" i="13"/>
  <c r="C243" i="13"/>
  <c r="D23" i="13"/>
  <c r="AK36" i="13"/>
  <c r="M15" i="31"/>
  <c r="G124" i="13"/>
  <c r="AW240" i="13"/>
  <c r="I238" i="13"/>
  <c r="F73" i="13"/>
  <c r="BB172" i="13"/>
  <c r="F231" i="13"/>
  <c r="F196" i="13"/>
  <c r="Y138" i="13"/>
  <c r="AM19" i="31"/>
  <c r="L67" i="13"/>
  <c r="C182" i="13"/>
  <c r="D170" i="13"/>
  <c r="C13" i="31"/>
  <c r="F210" i="13"/>
  <c r="D79" i="13"/>
  <c r="P121" i="13"/>
  <c r="Y274" i="13"/>
  <c r="F259" i="13"/>
  <c r="D179" i="13"/>
  <c r="I253" i="13"/>
  <c r="U19" i="31"/>
  <c r="Y53" i="13"/>
  <c r="G72" i="13"/>
  <c r="M199" i="13"/>
  <c r="G269" i="13"/>
  <c r="BB138" i="13"/>
  <c r="L95" i="13"/>
  <c r="L106" i="13"/>
  <c r="I45" i="13"/>
  <c r="AY223" i="13"/>
  <c r="C266" i="13"/>
  <c r="L143" i="13"/>
  <c r="L259" i="13"/>
  <c r="X138" i="13"/>
  <c r="AW138" i="13"/>
  <c r="C96" i="13"/>
  <c r="J134" i="13"/>
  <c r="L119" i="13"/>
  <c r="AP206" i="13"/>
  <c r="C290" i="13"/>
  <c r="D166" i="13"/>
  <c r="M208" i="13"/>
  <c r="I177" i="13"/>
  <c r="J244" i="13"/>
  <c r="G117" i="13"/>
  <c r="J218" i="13"/>
  <c r="U36" i="13"/>
  <c r="AS36" i="13"/>
  <c r="F245" i="13"/>
  <c r="O104" i="13"/>
  <c r="F59" i="13"/>
  <c r="M22" i="13"/>
  <c r="I152" i="13"/>
  <c r="BB223" i="13"/>
  <c r="I178" i="13"/>
  <c r="AS19" i="31"/>
  <c r="AB19" i="31"/>
  <c r="J108" i="13"/>
  <c r="X172" i="13"/>
  <c r="I101" i="13"/>
  <c r="D18" i="13"/>
  <c r="M91" i="13"/>
  <c r="M98" i="13"/>
  <c r="BB36" i="13"/>
  <c r="I201" i="13"/>
  <c r="L280" i="13"/>
  <c r="G287" i="13"/>
  <c r="AD274" i="13"/>
  <c r="D22" i="13"/>
  <c r="L285" i="13"/>
  <c r="M264" i="13"/>
  <c r="C230" i="13"/>
  <c r="C213" i="13"/>
  <c r="F267" i="13"/>
  <c r="C251" i="13"/>
  <c r="J116" i="13"/>
  <c r="L182" i="13"/>
  <c r="F264" i="13"/>
  <c r="J168" i="13"/>
  <c r="AS206" i="13"/>
  <c r="I258" i="13"/>
  <c r="I84" i="13"/>
  <c r="I78" i="13"/>
  <c r="L282" i="13"/>
  <c r="C8" i="31"/>
  <c r="L97" i="13"/>
  <c r="AN53" i="13"/>
  <c r="F185" i="13"/>
  <c r="C164" i="13"/>
  <c r="I113" i="13"/>
  <c r="D173" i="13"/>
  <c r="J232" i="13"/>
  <c r="M231" i="13"/>
  <c r="G282" i="13"/>
  <c r="I184" i="13"/>
  <c r="I197" i="13"/>
  <c r="D268" i="13"/>
  <c r="L130" i="13"/>
  <c r="M159" i="13"/>
  <c r="I210" i="13"/>
  <c r="J76" i="13"/>
  <c r="AW70" i="13"/>
  <c r="L266" i="13"/>
  <c r="D263" i="13"/>
  <c r="D244" i="13"/>
  <c r="M156" i="13"/>
  <c r="D281" i="13"/>
  <c r="G85" i="13"/>
  <c r="C193" i="13"/>
  <c r="G71" i="13"/>
  <c r="J199" i="13"/>
  <c r="C267" i="13"/>
  <c r="J149" i="13"/>
  <c r="J246" i="13"/>
  <c r="G93" i="13"/>
  <c r="J130" i="13"/>
  <c r="AB257" i="13"/>
  <c r="AE121" i="13"/>
  <c r="AG223" i="13"/>
  <c r="AG155" i="13"/>
  <c r="L125" i="13"/>
  <c r="F31" i="13"/>
  <c r="C76" i="13"/>
  <c r="G272" i="13"/>
  <c r="J140" i="13"/>
  <c r="AY274" i="13"/>
  <c r="D102" i="13"/>
  <c r="M182" i="13"/>
  <c r="O138" i="13"/>
  <c r="AN291" i="13"/>
  <c r="G101" i="13"/>
  <c r="J99" i="13"/>
  <c r="D254" i="13"/>
  <c r="AQ104" i="13"/>
  <c r="AM189" i="13"/>
  <c r="AE274" i="13"/>
  <c r="G116" i="13"/>
  <c r="C196" i="13"/>
  <c r="D267" i="13"/>
  <c r="C225" i="13"/>
  <c r="G95" i="13"/>
  <c r="L287" i="13"/>
  <c r="AE70" i="13"/>
  <c r="U291" i="13"/>
  <c r="M272" i="13"/>
  <c r="D164" i="13"/>
  <c r="M72" i="13"/>
  <c r="AM121" i="13"/>
  <c r="X104" i="13"/>
  <c r="J284" i="13"/>
  <c r="F258" i="13"/>
  <c r="L92" i="13"/>
  <c r="AW257" i="13"/>
  <c r="G98" i="13"/>
  <c r="L277" i="13"/>
  <c r="D83" i="13"/>
  <c r="AA70" i="13"/>
  <c r="X274" i="13"/>
  <c r="J229" i="13"/>
  <c r="AY155" i="13"/>
  <c r="AA155" i="13"/>
  <c r="M126" i="13"/>
  <c r="AW291" i="13"/>
  <c r="M209" i="13"/>
  <c r="G61" i="13"/>
  <c r="F265" i="13"/>
  <c r="I176" i="13"/>
  <c r="BB87" i="13"/>
  <c r="C255" i="13"/>
  <c r="C48" i="13"/>
  <c r="D201" i="13"/>
  <c r="G83" i="13"/>
  <c r="AB121" i="13"/>
  <c r="L26" i="13"/>
  <c r="I125" i="13"/>
  <c r="M197" i="13"/>
  <c r="AJ240" i="13"/>
  <c r="F198" i="13"/>
  <c r="G123" i="13"/>
  <c r="L187" i="13"/>
  <c r="X121" i="13"/>
  <c r="F149" i="13"/>
  <c r="AD87" i="13"/>
  <c r="L168" i="13"/>
  <c r="I74" i="13"/>
  <c r="F160" i="13"/>
  <c r="C125" i="13"/>
  <c r="I165" i="13"/>
  <c r="C285" i="13"/>
  <c r="F260" i="13"/>
  <c r="BB155" i="13"/>
  <c r="C31" i="13"/>
  <c r="F283" i="13"/>
  <c r="G235" i="13"/>
  <c r="G80" i="13"/>
  <c r="AT291" i="13"/>
  <c r="AB206" i="13"/>
  <c r="M16" i="31"/>
  <c r="C77" i="13"/>
  <c r="AD138" i="13"/>
  <c r="J122" i="13"/>
  <c r="U104" i="13"/>
  <c r="F224" i="13"/>
  <c r="M269" i="13"/>
  <c r="AM104" i="13"/>
  <c r="I4" i="31"/>
  <c r="AG291" i="13"/>
  <c r="AY172" i="13"/>
  <c r="AP291" i="13"/>
  <c r="M236" i="13"/>
  <c r="X19" i="31"/>
  <c r="I260" i="13"/>
  <c r="AT70" i="13"/>
  <c r="C165" i="13"/>
  <c r="I57" i="13"/>
  <c r="G63" i="13"/>
  <c r="D147" i="13"/>
  <c r="L43" i="13"/>
  <c r="I180" i="13"/>
  <c r="AS87" i="13"/>
  <c r="BB257" i="13"/>
  <c r="AQ240" i="13"/>
  <c r="D210" i="13"/>
  <c r="C221" i="13"/>
  <c r="D186" i="13"/>
  <c r="I198" i="13"/>
  <c r="BC206" i="13"/>
  <c r="F7" i="31"/>
  <c r="C116" i="13"/>
  <c r="C208" i="13"/>
  <c r="F51" i="13"/>
  <c r="M39" i="13"/>
  <c r="AA291" i="13"/>
  <c r="D68" i="13"/>
  <c r="M112" i="13"/>
  <c r="M265" i="13"/>
  <c r="S87" i="13"/>
  <c r="AV223" i="13"/>
  <c r="G201" i="13"/>
  <c r="I102" i="13"/>
  <c r="AM36" i="13"/>
  <c r="R121" i="13"/>
  <c r="AG87" i="13"/>
  <c r="G38" i="13"/>
  <c r="J187" i="13"/>
  <c r="J114" i="13"/>
  <c r="D18" i="31"/>
  <c r="C51" i="13"/>
  <c r="M283" i="13"/>
  <c r="AN206" i="13"/>
  <c r="AG19" i="31"/>
  <c r="M214" i="13"/>
  <c r="G17" i="31"/>
  <c r="G264" i="13"/>
  <c r="BB70" i="13"/>
  <c r="AZ206" i="13"/>
  <c r="L76" i="13"/>
  <c r="G261" i="13"/>
  <c r="G251" i="13"/>
  <c r="AG206" i="13"/>
  <c r="M221" i="13"/>
  <c r="L16" i="13"/>
  <c r="I147" i="13"/>
  <c r="J267" i="13"/>
  <c r="J45" i="13"/>
  <c r="AV257" i="13"/>
  <c r="C34" i="13"/>
  <c r="L170" i="13"/>
  <c r="G246" i="13"/>
  <c r="AP223" i="13"/>
  <c r="D190" i="13"/>
  <c r="F71" i="13"/>
  <c r="G231" i="13"/>
  <c r="J214" i="13"/>
  <c r="F3" i="31"/>
  <c r="L184" i="13"/>
  <c r="J252" i="13"/>
  <c r="L71" i="13"/>
  <c r="L89" i="13"/>
  <c r="AJ53" i="13"/>
  <c r="BC121" i="13"/>
  <c r="L99" i="13"/>
  <c r="F129" i="13"/>
  <c r="I248" i="13"/>
  <c r="D90" i="13"/>
  <c r="AZ19" i="31"/>
  <c r="L235" i="13"/>
  <c r="F277" i="13"/>
  <c r="F11" i="31"/>
  <c r="AQ87" i="13"/>
  <c r="V257" i="13"/>
  <c r="G187" i="13"/>
  <c r="AE155" i="13"/>
  <c r="C252" i="13"/>
  <c r="V53" i="13"/>
  <c r="G230" i="13"/>
  <c r="D250" i="13"/>
  <c r="AZ87" i="13"/>
  <c r="AV104" i="13"/>
  <c r="D195" i="13"/>
  <c r="J129" i="13"/>
  <c r="C113" i="13"/>
  <c r="AN138" i="13"/>
  <c r="AG53" i="13"/>
  <c r="AQ206" i="13"/>
  <c r="D110" i="13"/>
  <c r="M211" i="13"/>
  <c r="M279" i="13"/>
  <c r="Y206" i="13"/>
  <c r="U189" i="13"/>
  <c r="L142" i="13"/>
  <c r="AY53" i="13"/>
  <c r="I224" i="13"/>
  <c r="BC172" i="13"/>
  <c r="M47" i="13"/>
  <c r="D230" i="13"/>
  <c r="J4" i="31"/>
  <c r="L268" i="13"/>
  <c r="J285" i="13"/>
  <c r="D255" i="13"/>
  <c r="F243" i="13"/>
  <c r="BB19" i="31"/>
  <c r="C191" i="13"/>
  <c r="G125" i="13"/>
  <c r="M117" i="13"/>
  <c r="AJ70" i="13"/>
  <c r="M108" i="13"/>
  <c r="G141" i="13"/>
  <c r="C217" i="13"/>
  <c r="J275" i="13"/>
  <c r="C173" i="13"/>
  <c r="F16" i="31"/>
  <c r="M168" i="13"/>
  <c r="AS240" i="13"/>
  <c r="F113" i="13"/>
  <c r="S53" i="13"/>
  <c r="AN274" i="13"/>
  <c r="G255" i="13"/>
  <c r="M45" i="13"/>
  <c r="D6" i="31"/>
  <c r="AV87" i="13"/>
  <c r="BC291" i="13"/>
  <c r="F82" i="13"/>
  <c r="I80" i="13"/>
  <c r="AH19" i="31"/>
  <c r="Y104" i="13"/>
  <c r="AB189" i="13"/>
  <c r="C127" i="13"/>
  <c r="I200" i="13"/>
  <c r="G37" i="13"/>
  <c r="J73" i="13"/>
  <c r="I218" i="13"/>
  <c r="D4" i="31"/>
  <c r="G7" i="31"/>
  <c r="AW172" i="13"/>
  <c r="F139" i="13"/>
  <c r="D10" i="31"/>
  <c r="D252" i="13"/>
  <c r="AN121" i="13"/>
  <c r="M252" i="13"/>
  <c r="U223" i="13"/>
  <c r="I202" i="13"/>
  <c r="C247" i="13"/>
  <c r="U155" i="13"/>
  <c r="G183" i="13"/>
  <c r="L15" i="13"/>
  <c r="D211" i="13"/>
  <c r="G144" i="13"/>
  <c r="J97" i="13"/>
  <c r="V19" i="31"/>
  <c r="M113" i="13"/>
  <c r="F176" i="13"/>
  <c r="D245" i="13"/>
  <c r="G211" i="13"/>
  <c r="F133" i="13"/>
  <c r="V274" i="13"/>
  <c r="M9" i="31"/>
  <c r="C143" i="13"/>
  <c r="BC36" i="13"/>
  <c r="F263" i="13"/>
  <c r="AK206" i="13"/>
  <c r="L214" i="13"/>
  <c r="F20" i="13"/>
  <c r="AW155" i="13"/>
  <c r="BC189" i="13"/>
  <c r="J197" i="13"/>
  <c r="J84" i="13"/>
  <c r="D276" i="13"/>
  <c r="BB240" i="13"/>
  <c r="AE291" i="13"/>
  <c r="L111" i="13"/>
  <c r="G253" i="13"/>
  <c r="J249" i="13"/>
  <c r="AQ19" i="31"/>
  <c r="O70" i="13"/>
  <c r="F179" i="13"/>
  <c r="AJ121" i="13"/>
  <c r="J79" i="13"/>
  <c r="AY87" i="13"/>
  <c r="D157" i="13"/>
  <c r="D109" i="13"/>
  <c r="BC138" i="13"/>
  <c r="D209" i="13"/>
  <c r="I33" i="13"/>
  <c r="AY36" i="13"/>
  <c r="F95" i="13"/>
  <c r="D280" i="13"/>
  <c r="X257" i="13"/>
  <c r="P104" i="13"/>
  <c r="G78" i="13"/>
  <c r="M142" i="13"/>
  <c r="I216" i="13"/>
  <c r="F84" i="13"/>
  <c r="AM155" i="13"/>
  <c r="C280" i="13"/>
  <c r="AM223" i="13"/>
  <c r="C12" i="31"/>
  <c r="D203" i="13"/>
  <c r="I38" i="13"/>
  <c r="I10" i="31"/>
  <c r="F237" i="13"/>
  <c r="J233" i="13"/>
  <c r="D38" i="13"/>
  <c r="J37" i="13"/>
  <c r="F112" i="13"/>
  <c r="AP87" i="13"/>
  <c r="L81" i="13"/>
  <c r="I273" i="13"/>
  <c r="AA121" i="13"/>
  <c r="C168" i="13"/>
  <c r="I247" i="13"/>
  <c r="M254" i="13"/>
  <c r="AT121" i="13"/>
  <c r="D3" i="13"/>
  <c r="I8" i="13"/>
  <c r="I63" i="13"/>
  <c r="D249" i="13"/>
  <c r="F247" i="13"/>
  <c r="M158" i="13"/>
  <c r="G224" i="13"/>
  <c r="AW189" i="13"/>
  <c r="F62" i="13"/>
  <c r="AN19" i="31"/>
  <c r="M110" i="13"/>
  <c r="AZ70" i="13"/>
  <c r="M234" i="13"/>
  <c r="AV189" i="13"/>
  <c r="M229" i="13"/>
  <c r="C85" i="13"/>
  <c r="D199" i="13"/>
  <c r="F6" i="13"/>
  <c r="D200" i="13"/>
  <c r="G158" i="13"/>
  <c r="AJ155" i="13"/>
  <c r="L234" i="13"/>
  <c r="J259" i="13"/>
  <c r="C75" i="13"/>
  <c r="C272" i="13"/>
  <c r="D8" i="31"/>
  <c r="L6" i="31"/>
  <c r="D181" i="13"/>
  <c r="C80" i="13"/>
  <c r="AV155" i="13"/>
  <c r="BC104" i="13"/>
  <c r="AB53" i="13"/>
  <c r="D219" i="13"/>
  <c r="D215" i="13"/>
  <c r="M82" i="13"/>
  <c r="D156" i="13"/>
  <c r="M290" i="13"/>
  <c r="I287" i="13"/>
  <c r="F37" i="13"/>
  <c r="X53" i="13"/>
  <c r="AE189" i="13"/>
  <c r="G96" i="13"/>
  <c r="M80" i="13"/>
  <c r="AM172" i="13"/>
  <c r="I268" i="13"/>
  <c r="G192" i="13"/>
  <c r="C142" i="13"/>
  <c r="M144" i="13"/>
  <c r="G169" i="13"/>
  <c r="J228" i="13"/>
  <c r="AA223" i="13"/>
  <c r="D234" i="13"/>
  <c r="D84" i="13"/>
  <c r="L145" i="13"/>
  <c r="L186" i="13"/>
  <c r="U257" i="13"/>
  <c r="I81" i="13"/>
  <c r="AJ172" i="13"/>
  <c r="F207" i="13"/>
  <c r="BC87" i="13"/>
  <c r="G166" i="13"/>
  <c r="C105" i="13"/>
  <c r="L230" i="13"/>
  <c r="G159" i="13"/>
  <c r="F110" i="13"/>
  <c r="C254" i="13"/>
  <c r="L196" i="13"/>
  <c r="C260" i="13"/>
  <c r="G214" i="13"/>
  <c r="L204" i="13"/>
  <c r="I171" i="13"/>
  <c r="AY240" i="13"/>
  <c r="F101" i="13"/>
  <c r="M83" i="13"/>
  <c r="L176" i="13"/>
  <c r="I85" i="13"/>
  <c r="M102" i="13"/>
  <c r="D116" i="13"/>
  <c r="AP70" i="13"/>
  <c r="L9" i="31"/>
  <c r="I182" i="13"/>
  <c r="C170" i="13"/>
  <c r="G108" i="13"/>
  <c r="J51" i="13"/>
  <c r="D270" i="13"/>
  <c r="I55" i="13"/>
  <c r="L264" i="13"/>
  <c r="F10" i="31"/>
  <c r="AS19" i="13"/>
  <c r="F269" i="13"/>
  <c r="C9" i="31"/>
  <c r="I221" i="13"/>
  <c r="G42" i="13"/>
  <c r="F187" i="13"/>
  <c r="F151" i="13"/>
  <c r="J7" i="31"/>
  <c r="I99" i="13"/>
  <c r="G205" i="13"/>
  <c r="I69" i="13"/>
  <c r="M13" i="13"/>
  <c r="D101" i="13"/>
  <c r="J174" i="13"/>
  <c r="D169" i="13"/>
  <c r="G103" i="13"/>
  <c r="C27" i="13"/>
  <c r="AP155" i="13"/>
  <c r="BC257" i="13"/>
  <c r="D61" i="13"/>
  <c r="G226" i="13"/>
  <c r="M225" i="13"/>
  <c r="F192" i="13"/>
  <c r="D228" i="13"/>
  <c r="C90" i="13"/>
  <c r="J133" i="13"/>
  <c r="L272" i="13"/>
  <c r="D20" i="13"/>
  <c r="D17" i="31"/>
  <c r="M8" i="13"/>
  <c r="J247" i="13"/>
  <c r="L7" i="13"/>
  <c r="M69" i="13"/>
  <c r="AJ19" i="31"/>
  <c r="I124" i="13"/>
  <c r="L213" i="13"/>
  <c r="G151" i="13"/>
  <c r="I49" i="13"/>
  <c r="AV274" i="13"/>
  <c r="M192" i="13"/>
  <c r="C55" i="13"/>
  <c r="C4" i="13"/>
  <c r="AZ240" i="13"/>
  <c r="D10" i="13"/>
  <c r="F286" i="13"/>
  <c r="F108" i="13"/>
  <c r="I29" i="13"/>
  <c r="C33" i="13"/>
  <c r="I88" i="13"/>
  <c r="F275" i="13"/>
  <c r="D284" i="13"/>
  <c r="B24" i="31"/>
  <c r="D222" i="13"/>
  <c r="I244" i="13"/>
  <c r="M184" i="13"/>
  <c r="L252" i="13"/>
  <c r="L276" i="13"/>
  <c r="D285" i="13"/>
  <c r="G204" i="13"/>
  <c r="G170" i="13"/>
  <c r="G242" i="13"/>
  <c r="Y87" i="13"/>
  <c r="D184" i="13"/>
  <c r="F203" i="13"/>
  <c r="AB274" i="13"/>
  <c r="AW223" i="13"/>
  <c r="G137" i="13"/>
  <c r="C112" i="13"/>
  <c r="B4" i="33"/>
  <c r="C174" i="13"/>
  <c r="C21" i="13"/>
  <c r="BC240" i="13"/>
  <c r="C157" i="13"/>
  <c r="J175" i="13"/>
  <c r="D283" i="13"/>
  <c r="BC155" i="13"/>
  <c r="F209" i="13"/>
  <c r="AS291" i="13"/>
  <c r="F289" i="13"/>
  <c r="I79" i="13"/>
  <c r="AJ138" i="13"/>
  <c r="J270" i="13"/>
  <c r="D72" i="13"/>
  <c r="I213" i="13"/>
  <c r="AA19" i="31"/>
  <c r="M230" i="13"/>
  <c r="L10" i="31"/>
  <c r="AS257" i="13"/>
  <c r="M13" i="31"/>
  <c r="AG274" i="13"/>
  <c r="L68" i="13"/>
  <c r="D177" i="13"/>
  <c r="M259" i="13"/>
  <c r="C115" i="13"/>
  <c r="M23" i="13"/>
  <c r="J72" i="13"/>
  <c r="AS104" i="13"/>
  <c r="G209" i="13"/>
  <c r="V189" i="13"/>
  <c r="M224" i="13"/>
  <c r="C107" i="13"/>
  <c r="L12" i="31"/>
  <c r="L201" i="13"/>
  <c r="F163" i="13"/>
  <c r="I8" i="31"/>
  <c r="AQ70" i="13"/>
  <c r="I228" i="13"/>
  <c r="AE138" i="13"/>
  <c r="AK257" i="13"/>
  <c r="AG189" i="13"/>
  <c r="I27" i="13"/>
  <c r="C216" i="13"/>
  <c r="I134" i="13"/>
  <c r="U53" i="13"/>
  <c r="L18" i="13"/>
  <c r="I123" i="13"/>
  <c r="M261" i="13"/>
  <c r="AP257" i="13"/>
  <c r="I252" i="13"/>
  <c r="M213" i="13"/>
  <c r="F171" i="13"/>
  <c r="F246" i="13"/>
  <c r="C134" i="13"/>
  <c r="G12" i="31"/>
  <c r="D98" i="13"/>
  <c r="BC223" i="13"/>
  <c r="C93" i="13"/>
  <c r="I18" i="13"/>
  <c r="AE172" i="13"/>
  <c r="G74" i="13"/>
  <c r="G178" i="13"/>
  <c r="L199" i="13"/>
  <c r="G97" i="13"/>
  <c r="F78" i="13"/>
  <c r="F230" i="13"/>
  <c r="M238" i="13"/>
  <c r="F12" i="13"/>
  <c r="D56" i="13"/>
  <c r="AB19" i="13"/>
  <c r="X19" i="13"/>
  <c r="F173" i="13"/>
  <c r="C119" i="13"/>
  <c r="L136" i="13"/>
  <c r="C289" i="13"/>
  <c r="G219" i="13"/>
  <c r="J255" i="13"/>
  <c r="L78" i="13"/>
  <c r="D125" i="13"/>
  <c r="M81" i="13"/>
  <c r="D122" i="13"/>
  <c r="G118" i="13"/>
  <c r="C179" i="13"/>
  <c r="D214" i="13"/>
  <c r="M139" i="13"/>
  <c r="D194" i="13"/>
  <c r="J148" i="13"/>
  <c r="L146" i="13"/>
  <c r="I174" i="13"/>
  <c r="F103" i="13"/>
  <c r="G256" i="13"/>
  <c r="F4" i="31"/>
  <c r="AN87" i="13"/>
  <c r="I164" i="13"/>
  <c r="I262" i="13"/>
  <c r="M57" i="13"/>
  <c r="C152" i="13"/>
  <c r="F235" i="13"/>
  <c r="J16" i="13"/>
  <c r="I129" i="13"/>
  <c r="L284" i="13"/>
  <c r="C176" i="13"/>
  <c r="D182" i="13"/>
  <c r="J102" i="13"/>
  <c r="M37" i="13"/>
  <c r="M216" i="13"/>
  <c r="M251" i="13"/>
  <c r="J124" i="13"/>
  <c r="AW206" i="13"/>
  <c r="J271" i="13"/>
  <c r="M18" i="31"/>
  <c r="G28" i="13"/>
  <c r="AW104" i="13"/>
  <c r="C178" i="13"/>
  <c r="L115" i="13"/>
  <c r="I133" i="13"/>
  <c r="I254" i="13"/>
  <c r="M26" i="13"/>
  <c r="J261" i="13"/>
  <c r="J150" i="13"/>
  <c r="J209" i="13"/>
  <c r="F44" i="13"/>
  <c r="D47" i="13"/>
  <c r="D128" i="13"/>
  <c r="C244" i="13"/>
  <c r="I117" i="13"/>
  <c r="I241" i="13"/>
  <c r="L211" i="13"/>
  <c r="L84" i="13"/>
  <c r="G218" i="13"/>
  <c r="C124" i="13"/>
  <c r="Y189" i="13"/>
  <c r="F249" i="13"/>
  <c r="AP36" i="13"/>
  <c r="AD155" i="13"/>
  <c r="J125" i="13"/>
  <c r="M147" i="13"/>
  <c r="M248" i="13"/>
  <c r="BB104" i="13"/>
  <c r="BB189" i="13"/>
  <c r="J6" i="31"/>
  <c r="G62" i="13"/>
  <c r="V206" i="13"/>
  <c r="AD36" i="13"/>
  <c r="G119" i="13"/>
  <c r="G227" i="13"/>
  <c r="X223" i="13"/>
  <c r="M263" i="13"/>
  <c r="R70" i="13"/>
  <c r="J289" i="13"/>
  <c r="M194" i="13"/>
  <c r="AA104" i="13"/>
  <c r="F251" i="13"/>
  <c r="AW53" i="13"/>
  <c r="AJ36" i="13"/>
  <c r="AQ274" i="13"/>
  <c r="L105" i="13"/>
  <c r="J191" i="13"/>
  <c r="L16" i="31"/>
  <c r="F276" i="13"/>
  <c r="F13" i="31"/>
  <c r="L220" i="13"/>
  <c r="C74" i="13"/>
  <c r="C158" i="13"/>
  <c r="I283" i="13"/>
  <c r="F147" i="13"/>
  <c r="C88" i="13"/>
  <c r="D216" i="13"/>
  <c r="J163" i="13"/>
  <c r="G262" i="13"/>
  <c r="G11" i="31"/>
  <c r="L258" i="13"/>
  <c r="M249" i="13"/>
  <c r="B34" i="31"/>
  <c r="AM291" i="13"/>
  <c r="C288" i="13"/>
  <c r="AY291" i="13"/>
  <c r="J5" i="31"/>
  <c r="J173" i="13"/>
  <c r="D218" i="13"/>
  <c r="AS172" i="13"/>
  <c r="I272" i="13"/>
  <c r="AM274" i="13"/>
  <c r="F56" i="13"/>
  <c r="L242" i="13"/>
  <c r="F100" i="13"/>
  <c r="AM53" i="13"/>
  <c r="L245" i="13"/>
  <c r="C175" i="13"/>
  <c r="C211" i="13"/>
  <c r="F194" i="13"/>
  <c r="I15" i="31"/>
  <c r="M235" i="13"/>
  <c r="D290" i="13"/>
  <c r="L113" i="13"/>
  <c r="J224" i="13"/>
  <c r="BB291" i="13"/>
  <c r="F17" i="31"/>
  <c r="G260" i="13"/>
  <c r="M86" i="13"/>
  <c r="L148" i="13"/>
  <c r="F211" i="13"/>
  <c r="C92" i="13"/>
  <c r="J9" i="31"/>
  <c r="D236" i="13"/>
  <c r="C98" i="13"/>
  <c r="J192" i="13"/>
  <c r="L191" i="13"/>
  <c r="D5" i="31"/>
  <c r="M136" i="13"/>
  <c r="C3" i="13"/>
  <c r="I96" i="13"/>
  <c r="F55" i="13"/>
  <c r="J81" i="13"/>
  <c r="R19" i="31"/>
  <c r="I281" i="13"/>
  <c r="C114" i="13"/>
  <c r="F281" i="13"/>
  <c r="F254" i="13"/>
  <c r="D59" i="13"/>
  <c r="AV121" i="13"/>
  <c r="I132" i="13"/>
  <c r="I12" i="13"/>
  <c r="J251" i="13"/>
  <c r="J91" i="13"/>
  <c r="G16" i="31"/>
  <c r="F126" i="13"/>
  <c r="G217" i="13"/>
  <c r="M50" i="13"/>
  <c r="J28" i="13"/>
  <c r="G105" i="13"/>
  <c r="J213" i="13"/>
  <c r="V240" i="13"/>
  <c r="M90" i="13"/>
  <c r="AJ257" i="13"/>
  <c r="U121" i="13"/>
  <c r="AZ223" i="13"/>
  <c r="J24" i="13"/>
  <c r="I267" i="13"/>
  <c r="M175" i="13"/>
  <c r="F102" i="13"/>
  <c r="J207" i="13"/>
  <c r="C110" i="13"/>
  <c r="I100" i="13"/>
  <c r="F141" i="13"/>
  <c r="G32" i="13"/>
  <c r="C84" i="13"/>
  <c r="I270" i="13"/>
  <c r="G147" i="13"/>
  <c r="M5" i="13"/>
  <c r="L161" i="13"/>
  <c r="M163" i="13"/>
  <c r="F30" i="13"/>
  <c r="J18" i="31"/>
  <c r="V291" i="13"/>
  <c r="M160" i="13"/>
  <c r="I148" i="13"/>
  <c r="AB87" i="13"/>
  <c r="F202" i="13"/>
  <c r="AD240" i="13"/>
  <c r="I119" i="13"/>
  <c r="L195" i="13"/>
  <c r="L278" i="13"/>
  <c r="L133" i="13"/>
  <c r="G200" i="13"/>
  <c r="AT155" i="13"/>
  <c r="AV70" i="13"/>
  <c r="AK53" i="13"/>
  <c r="L151" i="13"/>
  <c r="G148" i="13"/>
  <c r="D13" i="31"/>
  <c r="G122" i="13"/>
  <c r="D272" i="13"/>
  <c r="L248" i="13"/>
  <c r="M127" i="13"/>
  <c r="G203" i="13"/>
  <c r="AN240" i="13"/>
  <c r="M3" i="13"/>
  <c r="AE87" i="13"/>
  <c r="G290" i="13"/>
  <c r="AK19" i="31"/>
  <c r="AW19" i="31"/>
  <c r="J185" i="13"/>
  <c r="G232" i="13"/>
  <c r="L82" i="13"/>
  <c r="C94" i="13"/>
  <c r="J78" i="13"/>
  <c r="F190" i="13"/>
  <c r="D34" i="13"/>
  <c r="J29" i="13"/>
  <c r="Y240" i="13"/>
  <c r="D289" i="13"/>
  <c r="D39" i="13"/>
  <c r="R87" i="13"/>
  <c r="F135" i="13"/>
  <c r="L41" i="13"/>
  <c r="I285" i="13"/>
  <c r="AE36" i="13"/>
  <c r="J226" i="13"/>
  <c r="D208" i="13"/>
  <c r="M34" i="13"/>
  <c r="AJ104" i="13"/>
  <c r="C214" i="13"/>
  <c r="BC53" i="13"/>
  <c r="G50" i="13"/>
  <c r="L135" i="13"/>
  <c r="M14" i="31"/>
  <c r="L208" i="13"/>
  <c r="C99" i="13"/>
  <c r="AK223" i="13"/>
  <c r="C250" i="13"/>
  <c r="G149" i="13"/>
  <c r="L174" i="13"/>
  <c r="F164" i="13"/>
  <c r="O53" i="13"/>
  <c r="AK104" i="13"/>
  <c r="L124" i="13"/>
  <c r="C149" i="13"/>
  <c r="M4" i="31"/>
  <c r="M115" i="13"/>
  <c r="L49" i="13"/>
  <c r="J210" i="13"/>
  <c r="J217" i="13"/>
  <c r="M96" i="13"/>
  <c r="F253" i="13"/>
  <c r="F45" i="13"/>
  <c r="M75" i="13"/>
  <c r="AN104" i="13"/>
  <c r="I6" i="31"/>
  <c r="I75" i="13"/>
  <c r="J165" i="13"/>
  <c r="F248" i="13"/>
  <c r="J85" i="13"/>
  <c r="F193" i="13"/>
  <c r="M38" i="13"/>
  <c r="C81" i="13"/>
  <c r="C58" i="13"/>
  <c r="B12" i="33"/>
  <c r="F98" i="13"/>
  <c r="D75" i="13"/>
  <c r="C66" i="13"/>
  <c r="D193" i="13"/>
  <c r="G109" i="13"/>
  <c r="AP104" i="13"/>
  <c r="G43" i="13"/>
  <c r="AP274" i="13"/>
  <c r="M30" i="13"/>
  <c r="F268" i="13"/>
  <c r="I142" i="13"/>
  <c r="I290" i="13"/>
  <c r="D266" i="13"/>
  <c r="M5" i="31"/>
  <c r="G126" i="13"/>
  <c r="AB172" i="13"/>
  <c r="D197" i="13"/>
  <c r="AW274" i="13"/>
  <c r="L190" i="13"/>
  <c r="I58" i="13"/>
  <c r="L50" i="13"/>
  <c r="G288" i="13"/>
  <c r="D66" i="13"/>
  <c r="J61" i="13"/>
  <c r="BB206" i="13"/>
  <c r="M181" i="13"/>
  <c r="D76" i="13"/>
  <c r="C287" i="13"/>
  <c r="X70" i="13"/>
  <c r="D277" i="13"/>
  <c r="F148" i="13"/>
  <c r="L228" i="13"/>
  <c r="G48" i="13"/>
  <c r="J166" i="13"/>
  <c r="G49" i="13"/>
  <c r="F27" i="13"/>
  <c r="L6" i="13"/>
  <c r="J48" i="13"/>
  <c r="C151" i="13"/>
  <c r="AM87" i="13"/>
  <c r="L30" i="13"/>
  <c r="I159" i="13"/>
  <c r="V138" i="13"/>
  <c r="G30" i="13"/>
  <c r="G212" i="13"/>
  <c r="I17" i="31"/>
  <c r="I234" i="13"/>
  <c r="J288" i="13"/>
  <c r="I277" i="13"/>
  <c r="M42" i="13"/>
  <c r="S121" i="13"/>
  <c r="AJ291" i="13"/>
  <c r="F180" i="13"/>
  <c r="F85" i="13"/>
  <c r="J200" i="13"/>
  <c r="G8" i="31"/>
  <c r="AK70" i="13"/>
  <c r="AB155" i="13"/>
  <c r="AA87" i="13"/>
  <c r="I136" i="13"/>
  <c r="D31" i="13"/>
  <c r="X87" i="13"/>
  <c r="D73" i="13"/>
  <c r="AS53" i="13"/>
  <c r="C3" i="31"/>
  <c r="R138" i="13"/>
  <c r="C184" i="13"/>
  <c r="L7" i="31"/>
  <c r="J80" i="13"/>
  <c r="D97" i="13"/>
  <c r="X36" i="13"/>
  <c r="G244" i="13"/>
  <c r="C4" i="31"/>
  <c r="C18" i="31"/>
  <c r="J117" i="13"/>
  <c r="G152" i="13"/>
  <c r="X240" i="13"/>
  <c r="C106" i="13"/>
  <c r="AQ36" i="13"/>
  <c r="F134" i="13"/>
  <c r="F161" i="13"/>
  <c r="X189" i="13"/>
  <c r="C264" i="13"/>
  <c r="M63" i="13"/>
  <c r="L244" i="13"/>
  <c r="I128" i="13"/>
  <c r="AT172" i="13"/>
  <c r="AD70" i="13"/>
  <c r="G191" i="13"/>
  <c r="C102" i="13"/>
  <c r="S70" i="13"/>
  <c r="AA189" i="13"/>
  <c r="F5" i="31"/>
  <c r="M109" i="13"/>
  <c r="L253" i="13"/>
  <c r="M78" i="13"/>
  <c r="C14" i="31"/>
  <c r="I62" i="13"/>
  <c r="L260" i="13"/>
  <c r="C234" i="13"/>
  <c r="D151" i="13"/>
  <c r="L194" i="13"/>
  <c r="J15" i="31"/>
  <c r="U87" i="13"/>
  <c r="G64" i="13"/>
  <c r="AM240" i="13"/>
  <c r="J264" i="13"/>
  <c r="C159" i="13"/>
  <c r="D112" i="13"/>
  <c r="M271" i="13"/>
  <c r="L237" i="13"/>
  <c r="D161" i="13"/>
  <c r="I215" i="13"/>
  <c r="F154" i="13"/>
  <c r="F34" i="13"/>
  <c r="C276" i="13"/>
  <c r="D207" i="13"/>
  <c r="G247" i="13"/>
  <c r="C262" i="13"/>
  <c r="F91" i="13"/>
  <c r="I280" i="13"/>
  <c r="C135" i="13"/>
  <c r="D15" i="31"/>
  <c r="I194" i="13"/>
  <c r="J47" i="13"/>
  <c r="C41" i="13"/>
  <c r="C26" i="13"/>
  <c r="J103" i="13"/>
  <c r="I5" i="31"/>
  <c r="M179" i="13"/>
  <c r="M270" i="13"/>
  <c r="C129" i="13"/>
  <c r="C44" i="13"/>
  <c r="D11" i="13"/>
  <c r="J196" i="13"/>
  <c r="C229" i="13"/>
  <c r="J161" i="13"/>
  <c r="L32" i="13"/>
  <c r="I83" i="13"/>
  <c r="AN189" i="13"/>
  <c r="D134" i="13"/>
  <c r="M65" i="13"/>
  <c r="I40" i="13"/>
  <c r="M203" i="13"/>
  <c r="F33" i="13"/>
  <c r="G14" i="31"/>
  <c r="L117" i="13"/>
  <c r="I151" i="13"/>
  <c r="I195" i="13"/>
  <c r="C17" i="13"/>
  <c r="D271" i="13"/>
  <c r="F234" i="13"/>
  <c r="AG240" i="13"/>
  <c r="I90" i="13"/>
  <c r="L46" i="13"/>
  <c r="F21" i="13"/>
  <c r="G271" i="13"/>
  <c r="G10" i="13"/>
  <c r="J179" i="13"/>
  <c r="J62" i="13"/>
  <c r="J184" i="13"/>
  <c r="F278" i="13"/>
  <c r="AA53" i="13"/>
  <c r="AA172" i="13"/>
  <c r="J215" i="13"/>
  <c r="G130" i="13"/>
  <c r="Y291" i="13"/>
  <c r="C186" i="13"/>
  <c r="L59" i="13"/>
  <c r="G6" i="31"/>
  <c r="AA274" i="13"/>
  <c r="AA240" i="13"/>
  <c r="F256" i="13"/>
  <c r="AT53" i="13"/>
  <c r="AG70" i="13"/>
  <c r="G279" i="13"/>
  <c r="F255" i="13"/>
  <c r="J105" i="13"/>
  <c r="L246" i="13"/>
  <c r="G68" i="13"/>
  <c r="G84" i="13"/>
  <c r="I20" i="13"/>
  <c r="I226" i="13"/>
  <c r="I43" i="13"/>
  <c r="G249" i="13"/>
  <c r="F114" i="13"/>
  <c r="L198" i="13"/>
  <c r="G22" i="13"/>
  <c r="Y223" i="13"/>
  <c r="D187" i="13"/>
  <c r="D192" i="13"/>
  <c r="G9" i="31"/>
  <c r="C6" i="31"/>
  <c r="C5" i="31"/>
  <c r="M245" i="13"/>
  <c r="C210" i="13"/>
  <c r="C78" i="13"/>
  <c r="G14" i="13"/>
  <c r="J178" i="13"/>
  <c r="D94" i="13"/>
  <c r="M177" i="13"/>
  <c r="M242" i="13"/>
  <c r="L263" i="13"/>
  <c r="C50" i="13"/>
  <c r="G56" i="13"/>
  <c r="M233" i="13"/>
  <c r="F170" i="13"/>
  <c r="AW87" i="13"/>
  <c r="D74" i="13"/>
  <c r="L158" i="13"/>
  <c r="C67" i="13"/>
  <c r="J101" i="13"/>
  <c r="Y155" i="13"/>
  <c r="J59" i="13"/>
  <c r="L38" i="13"/>
  <c r="L267" i="13"/>
  <c r="M207" i="13"/>
  <c r="J63" i="13"/>
  <c r="I18" i="31"/>
  <c r="C140" i="13"/>
  <c r="J186" i="13"/>
  <c r="M6" i="13"/>
  <c r="I160" i="13"/>
  <c r="M266" i="13"/>
  <c r="G112" i="13"/>
  <c r="J147" i="13"/>
  <c r="L72" i="13"/>
  <c r="C5" i="13"/>
  <c r="AZ155" i="13"/>
  <c r="M228" i="13"/>
  <c r="D251" i="13"/>
  <c r="M66" i="13"/>
  <c r="M61" i="13"/>
  <c r="B27" i="31"/>
  <c r="D269" i="13"/>
  <c r="G186" i="13"/>
  <c r="D162" i="13"/>
  <c r="AK87" i="13"/>
  <c r="M260" i="13"/>
  <c r="AY138" i="13"/>
  <c r="B6" i="33"/>
  <c r="B28" i="31"/>
  <c r="M200" i="13"/>
  <c r="C167" i="13"/>
  <c r="F28" i="13"/>
  <c r="J6" i="13"/>
  <c r="L265" i="13"/>
  <c r="D28" i="13"/>
  <c r="F23" i="13"/>
  <c r="F128" i="13"/>
  <c r="J219" i="13"/>
  <c r="B31" i="31"/>
  <c r="D150" i="13"/>
  <c r="I93" i="13"/>
  <c r="L215" i="13"/>
  <c r="D167" i="13"/>
  <c r="P19" i="13"/>
  <c r="L29" i="13"/>
  <c r="I82" i="13"/>
  <c r="J205" i="13"/>
  <c r="D93" i="13"/>
  <c r="M125" i="13"/>
  <c r="J235" i="13"/>
  <c r="F186" i="13"/>
  <c r="C23" i="13"/>
  <c r="G4" i="31"/>
  <c r="G188" i="13"/>
  <c r="F290" i="13"/>
  <c r="AZ291" i="13"/>
  <c r="G33" i="13"/>
  <c r="J211" i="13"/>
  <c r="F115" i="13"/>
  <c r="J128" i="13"/>
  <c r="G120" i="13"/>
  <c r="G140" i="13"/>
  <c r="I193" i="13"/>
  <c r="F63" i="13"/>
  <c r="J277" i="13"/>
  <c r="M149" i="13"/>
  <c r="G75" i="13"/>
  <c r="G210" i="13"/>
  <c r="F97" i="13"/>
  <c r="F60" i="13"/>
  <c r="F72" i="13"/>
  <c r="AE53" i="13"/>
  <c r="F57" i="13"/>
  <c r="L209" i="13"/>
  <c r="J242" i="13"/>
  <c r="L166" i="13"/>
  <c r="BC274" i="13"/>
  <c r="D260" i="13"/>
  <c r="L200" i="13"/>
  <c r="I48" i="13"/>
  <c r="AB240" i="13"/>
  <c r="J286" i="13"/>
  <c r="J279" i="13"/>
  <c r="G184" i="13"/>
  <c r="C153" i="13"/>
  <c r="AS274" i="13"/>
  <c r="L225" i="13"/>
  <c r="I97" i="13"/>
  <c r="L35" i="13"/>
  <c r="AJ87" i="13"/>
  <c r="I179" i="13"/>
  <c r="L27" i="13"/>
  <c r="G173" i="13"/>
  <c r="J20" i="13"/>
  <c r="AA206" i="13"/>
  <c r="S138" i="13"/>
  <c r="J152" i="13"/>
  <c r="I266" i="13"/>
  <c r="D96" i="13"/>
  <c r="L236" i="13"/>
  <c r="F106" i="13"/>
  <c r="BB121" i="13"/>
  <c r="I67" i="13"/>
  <c r="AE104" i="13"/>
  <c r="D198" i="13"/>
  <c r="C95" i="13"/>
  <c r="D133" i="13"/>
  <c r="P138" i="13"/>
  <c r="M280" i="13"/>
  <c r="I214" i="13"/>
  <c r="J7" i="13"/>
  <c r="L153" i="13"/>
  <c r="M9" i="13"/>
  <c r="L126" i="13"/>
  <c r="M243" i="13"/>
  <c r="L20" i="13"/>
  <c r="J234" i="13"/>
  <c r="D43" i="13"/>
  <c r="L25" i="13"/>
  <c r="I217" i="13"/>
  <c r="I183" i="13"/>
  <c r="I56" i="13"/>
  <c r="G142" i="13"/>
  <c r="D86" i="13"/>
  <c r="M176" i="13"/>
  <c r="F58" i="13"/>
  <c r="J188" i="13"/>
  <c r="C187" i="13"/>
  <c r="G7" i="13"/>
  <c r="C10" i="31"/>
  <c r="G91" i="13"/>
  <c r="J34" i="13"/>
  <c r="D146" i="13"/>
  <c r="D35" i="13"/>
  <c r="M56" i="13"/>
  <c r="C111" i="13"/>
  <c r="D3" i="31"/>
  <c r="D165" i="13"/>
  <c r="M277" i="13"/>
  <c r="AH19" i="13"/>
  <c r="J82" i="13"/>
  <c r="F65" i="13"/>
  <c r="L178" i="13"/>
  <c r="AG121" i="13"/>
  <c r="C61" i="13"/>
  <c r="C209" i="13"/>
  <c r="L212" i="13"/>
  <c r="B13" i="33"/>
  <c r="L11" i="13"/>
  <c r="J273" i="13"/>
  <c r="F16" i="13"/>
  <c r="G275" i="13"/>
  <c r="C101" i="13"/>
  <c r="M164" i="13"/>
  <c r="F181" i="13"/>
  <c r="C205" i="13"/>
  <c r="L163" i="13"/>
  <c r="AK19" i="13"/>
  <c r="J46" i="13"/>
  <c r="M278" i="13"/>
  <c r="I211" i="13"/>
  <c r="C14" i="13"/>
  <c r="L270" i="13"/>
  <c r="F41" i="13"/>
  <c r="AQ53" i="13"/>
  <c r="C192" i="13"/>
  <c r="C220" i="13"/>
  <c r="G277" i="13"/>
  <c r="L193" i="13"/>
  <c r="G11" i="13"/>
  <c r="C147" i="13"/>
  <c r="S19" i="13"/>
  <c r="L3" i="13"/>
  <c r="F225" i="13"/>
  <c r="F77" i="13"/>
  <c r="M101" i="13"/>
  <c r="J290" i="13"/>
  <c r="L93" i="13"/>
  <c r="L90" i="13"/>
  <c r="G16" i="13"/>
  <c r="F15" i="31"/>
  <c r="M79" i="13"/>
  <c r="L12" i="13"/>
  <c r="C183" i="13"/>
  <c r="G39" i="13"/>
  <c r="C38" i="13"/>
  <c r="D80" i="13"/>
  <c r="C282" i="13"/>
  <c r="J35" i="13"/>
  <c r="I16" i="13"/>
  <c r="G66" i="13"/>
  <c r="B17" i="33"/>
  <c r="I275" i="13"/>
  <c r="M275" i="13"/>
  <c r="BB19" i="13"/>
  <c r="I227" i="13"/>
  <c r="I118" i="13"/>
  <c r="AQ189" i="13"/>
  <c r="F61" i="13"/>
  <c r="C166" i="13"/>
  <c r="C16" i="13"/>
  <c r="G44" i="13"/>
  <c r="L54" i="13"/>
  <c r="I187" i="13"/>
  <c r="U172" i="13"/>
  <c r="AK291" i="13"/>
  <c r="J272" i="13"/>
  <c r="F29" i="13"/>
  <c r="C261" i="13"/>
  <c r="G47" i="13"/>
  <c r="AG19" i="13"/>
  <c r="G283" i="13"/>
  <c r="AP172" i="13"/>
  <c r="J26" i="13"/>
  <c r="G18" i="13"/>
  <c r="M55" i="13"/>
  <c r="L290" i="13"/>
  <c r="G243" i="13"/>
  <c r="D175" i="13"/>
  <c r="D180" i="13"/>
  <c r="J30" i="13"/>
  <c r="AZ257" i="13"/>
  <c r="F242" i="13"/>
  <c r="R53" i="13"/>
  <c r="M150" i="13"/>
  <c r="AE223" i="13"/>
  <c r="J167" i="13"/>
  <c r="J8" i="31"/>
  <c r="AP19" i="31"/>
  <c r="AB70" i="13"/>
  <c r="AJ223" i="13"/>
  <c r="D50" i="13"/>
  <c r="AB223" i="13"/>
  <c r="L8" i="31"/>
  <c r="U274" i="13"/>
  <c r="G146" i="13"/>
  <c r="D246" i="13"/>
  <c r="L219" i="13"/>
  <c r="L13" i="31"/>
  <c r="Y70" i="13"/>
  <c r="F238" i="13"/>
  <c r="I185" i="13"/>
  <c r="D286" i="13"/>
  <c r="L39" i="13"/>
  <c r="AQ291" i="13"/>
  <c r="AT240" i="13"/>
  <c r="V223" i="13"/>
  <c r="R19" i="13"/>
  <c r="F122" i="13"/>
  <c r="D12" i="31"/>
  <c r="R36" i="13"/>
  <c r="I203" i="13"/>
  <c r="G136" i="13"/>
  <c r="D33" i="13"/>
  <c r="C279" i="13"/>
  <c r="G81" i="13"/>
  <c r="M219" i="13"/>
  <c r="J145" i="13"/>
  <c r="J146" i="13"/>
  <c r="M20" i="13"/>
  <c r="M188" i="13"/>
  <c r="C45" i="13"/>
  <c r="F222" i="13"/>
  <c r="I289" i="13"/>
  <c r="C128" i="13"/>
  <c r="G20" i="13"/>
  <c r="B38" i="31"/>
  <c r="I46" i="13"/>
  <c r="G13" i="31"/>
  <c r="F35" i="13"/>
  <c r="I230" i="13"/>
  <c r="I114" i="13"/>
  <c r="I7" i="13"/>
  <c r="I163" i="13"/>
  <c r="J283" i="13"/>
  <c r="F216" i="13"/>
  <c r="B26" i="31"/>
  <c r="L75" i="13"/>
  <c r="F201" i="13"/>
  <c r="AB104" i="13"/>
  <c r="I111" i="13"/>
  <c r="C200" i="13"/>
  <c r="F280" i="13"/>
  <c r="B8" i="33"/>
  <c r="G213" i="13"/>
  <c r="J68" i="13"/>
  <c r="D26" i="13"/>
  <c r="L42" i="13"/>
  <c r="I112" i="13"/>
  <c r="AA138" i="13"/>
  <c r="D99" i="13"/>
  <c r="L48" i="13"/>
  <c r="AT189" i="13"/>
  <c r="C253" i="13"/>
  <c r="G57" i="13"/>
  <c r="F46" i="13"/>
  <c r="J58" i="13"/>
  <c r="D124" i="13"/>
  <c r="F39" i="13"/>
  <c r="L162" i="13"/>
  <c r="L229" i="13"/>
  <c r="J222" i="13"/>
  <c r="F125" i="13"/>
  <c r="F236" i="13"/>
  <c r="AA19" i="13"/>
  <c r="D178" i="13"/>
  <c r="V121" i="13"/>
  <c r="I199" i="13"/>
  <c r="F3" i="13"/>
  <c r="M215" i="13"/>
  <c r="I109" i="13"/>
  <c r="M247" i="13"/>
  <c r="L91" i="13"/>
  <c r="F74" i="13"/>
  <c r="M124" i="13"/>
  <c r="AJ19" i="13"/>
  <c r="L202" i="13"/>
  <c r="C6" i="13"/>
  <c r="L256" i="13"/>
  <c r="J31" i="13"/>
  <c r="L131" i="13"/>
  <c r="M166" i="13"/>
  <c r="C133" i="13"/>
  <c r="AN155" i="13"/>
  <c r="L164" i="13"/>
  <c r="J227" i="13"/>
  <c r="M11" i="13"/>
  <c r="F47" i="13"/>
  <c r="J278" i="13"/>
  <c r="G55" i="13"/>
  <c r="J231" i="13"/>
  <c r="AW19" i="13"/>
  <c r="I127" i="13"/>
  <c r="L221" i="13"/>
  <c r="G238" i="13"/>
  <c r="C9" i="13"/>
  <c r="D239" i="13"/>
  <c r="G154" i="13"/>
  <c r="J3" i="13"/>
  <c r="F153" i="13"/>
  <c r="D212" i="13"/>
  <c r="M239" i="13"/>
  <c r="AE19" i="31"/>
  <c r="AZ189" i="13"/>
  <c r="L181" i="13"/>
  <c r="F175" i="13"/>
  <c r="D139" i="13"/>
  <c r="I250" i="13"/>
  <c r="R104" i="13"/>
  <c r="F68" i="13"/>
  <c r="P19" i="31"/>
  <c r="J95" i="13"/>
  <c r="I220" i="13"/>
  <c r="M262" i="13"/>
  <c r="J115" i="13"/>
  <c r="J151" i="13"/>
  <c r="AZ104" i="13"/>
  <c r="M285" i="13"/>
  <c r="D258" i="13"/>
  <c r="AD206" i="13"/>
  <c r="AQ155" i="13"/>
  <c r="C269" i="13"/>
  <c r="D243" i="13"/>
  <c r="M268" i="13"/>
  <c r="C224" i="13"/>
  <c r="I105" i="13"/>
  <c r="AM138" i="13"/>
  <c r="M67" i="13"/>
  <c r="F144" i="13"/>
  <c r="C271" i="13"/>
  <c r="F262" i="13"/>
  <c r="G156" i="13"/>
  <c r="F191" i="13"/>
  <c r="L96" i="13"/>
  <c r="M202" i="13"/>
  <c r="D248" i="13"/>
  <c r="G265" i="13"/>
  <c r="G284" i="13"/>
  <c r="G150" i="13"/>
  <c r="I24" i="13"/>
  <c r="G143" i="13"/>
  <c r="F199" i="13"/>
  <c r="J43" i="13"/>
  <c r="D24" i="13"/>
  <c r="C68" i="13"/>
  <c r="I212" i="13"/>
  <c r="L15" i="31"/>
  <c r="L86" i="13"/>
  <c r="D88" i="13"/>
  <c r="D227" i="13"/>
  <c r="J176" i="13"/>
  <c r="D233" i="13"/>
  <c r="F205" i="13"/>
  <c r="D261" i="13"/>
  <c r="F188" i="13"/>
  <c r="F226" i="13"/>
  <c r="AN19" i="13"/>
  <c r="D132" i="13"/>
  <c r="F50" i="13"/>
  <c r="M4" i="13"/>
  <c r="G161" i="13"/>
  <c r="M89" i="13"/>
  <c r="I154" i="13"/>
  <c r="G6" i="13"/>
  <c r="L55" i="13"/>
  <c r="F43" i="13"/>
  <c r="J40" i="13"/>
  <c r="G266" i="13"/>
  <c r="D237" i="13"/>
  <c r="F69" i="13"/>
  <c r="F10" i="13"/>
  <c r="G175" i="13"/>
  <c r="G41" i="13"/>
  <c r="L69" i="13"/>
  <c r="I14" i="13"/>
  <c r="F86" i="13"/>
  <c r="L31" i="13"/>
  <c r="M106" i="13"/>
  <c r="J123" i="13"/>
  <c r="V87" i="13"/>
  <c r="G45" i="13"/>
  <c r="L207" i="13"/>
  <c r="F26" i="13"/>
  <c r="I30" i="13"/>
  <c r="D135" i="13"/>
  <c r="C283" i="13"/>
  <c r="M68" i="13"/>
  <c r="C120" i="13"/>
  <c r="D153" i="13"/>
  <c r="J66" i="13"/>
  <c r="C79" i="13"/>
  <c r="F150" i="13"/>
  <c r="C239" i="13"/>
  <c r="C49" i="13"/>
  <c r="B25" i="31"/>
  <c r="F5" i="13"/>
  <c r="L222" i="13"/>
  <c r="L160" i="13"/>
  <c r="J280" i="13"/>
  <c r="M273" i="13"/>
  <c r="M123" i="13"/>
  <c r="D131" i="13"/>
  <c r="C132" i="13"/>
  <c r="C150" i="13"/>
  <c r="M187" i="13"/>
  <c r="M185" i="13"/>
  <c r="I204" i="13"/>
  <c r="M135" i="13"/>
  <c r="G18" i="31"/>
  <c r="C15" i="31"/>
  <c r="G197" i="13"/>
  <c r="I60" i="13"/>
  <c r="C190" i="13"/>
  <c r="G190" i="13"/>
  <c r="AN36" i="13"/>
  <c r="M131" i="13"/>
  <c r="M165" i="13"/>
  <c r="J195" i="13"/>
  <c r="C245" i="13"/>
  <c r="F215" i="13"/>
  <c r="I116" i="13"/>
  <c r="D205" i="13"/>
  <c r="L57" i="13"/>
  <c r="J154" i="13"/>
  <c r="D107" i="13"/>
  <c r="J135" i="13"/>
  <c r="AW121" i="13"/>
  <c r="L128" i="13"/>
  <c r="M173" i="13"/>
  <c r="F118" i="13"/>
  <c r="I108" i="13"/>
  <c r="F158" i="13"/>
  <c r="G258" i="13"/>
  <c r="I37" i="13"/>
  <c r="AG36" i="13"/>
  <c r="B15" i="33"/>
  <c r="D163" i="13"/>
  <c r="F272" i="13"/>
  <c r="D58" i="13"/>
  <c r="L261" i="13"/>
  <c r="D14" i="31"/>
  <c r="X206" i="13"/>
  <c r="X155" i="13"/>
  <c r="I73" i="13"/>
  <c r="L14" i="13"/>
  <c r="J41" i="13"/>
  <c r="BC19" i="13"/>
  <c r="M191" i="13"/>
  <c r="B36" i="31"/>
  <c r="F204" i="13"/>
  <c r="J11" i="13"/>
  <c r="AK189" i="13"/>
  <c r="M77" i="13"/>
  <c r="AP138" i="13"/>
  <c r="AZ53" i="13"/>
  <c r="AD19" i="31"/>
  <c r="J60" i="13"/>
  <c r="AQ172" i="13"/>
  <c r="C17" i="31"/>
  <c r="P87" i="13"/>
  <c r="G131" i="13"/>
  <c r="I3" i="31"/>
  <c r="C146" i="13"/>
  <c r="L140" i="13"/>
  <c r="F9" i="31"/>
  <c r="C12" i="13"/>
  <c r="M204" i="13"/>
  <c r="L9" i="13"/>
  <c r="I278" i="13"/>
  <c r="C59" i="13"/>
  <c r="I158" i="13"/>
  <c r="F271" i="13"/>
  <c r="B9" i="33"/>
  <c r="F88" i="13"/>
  <c r="J183" i="13"/>
  <c r="I271" i="13"/>
  <c r="J268" i="13"/>
  <c r="I95" i="13"/>
  <c r="D13" i="13"/>
  <c r="C57" i="13"/>
  <c r="L250" i="13"/>
  <c r="J11" i="31"/>
  <c r="J281" i="13"/>
  <c r="M51" i="13"/>
  <c r="L243" i="13"/>
  <c r="AE240" i="13"/>
  <c r="D81" i="13"/>
  <c r="M276" i="13"/>
  <c r="F13" i="13"/>
  <c r="C180" i="13"/>
  <c r="C122" i="13"/>
  <c r="M21" i="13"/>
  <c r="L73" i="13"/>
  <c r="F17" i="13"/>
  <c r="J65" i="13"/>
  <c r="L17" i="13"/>
  <c r="M226" i="13"/>
  <c r="U206" i="13"/>
  <c r="J243" i="13"/>
  <c r="J142" i="13"/>
  <c r="I181" i="13"/>
  <c r="L64" i="13"/>
  <c r="I92" i="13"/>
  <c r="J86" i="13"/>
  <c r="G278" i="13"/>
  <c r="M54" i="13"/>
  <c r="C43" i="13"/>
  <c r="J13" i="13"/>
  <c r="M33" i="13"/>
  <c r="D105" i="13"/>
  <c r="G92" i="13"/>
  <c r="J143" i="13"/>
  <c r="D273" i="13"/>
  <c r="J107" i="13"/>
  <c r="D114" i="13"/>
  <c r="M162" i="13"/>
  <c r="D82" i="13"/>
  <c r="M253" i="13"/>
  <c r="G181" i="13"/>
  <c r="AD172" i="13"/>
  <c r="C226" i="13"/>
  <c r="D127" i="13"/>
  <c r="C268" i="13"/>
  <c r="M118" i="13"/>
  <c r="G99" i="13"/>
  <c r="J160" i="13"/>
  <c r="F83" i="13"/>
  <c r="M84" i="13"/>
  <c r="C63" i="13"/>
  <c r="M186" i="13"/>
  <c r="J112" i="13"/>
  <c r="J159" i="13"/>
  <c r="F146" i="13"/>
  <c r="I146" i="13"/>
  <c r="C248" i="13"/>
  <c r="C162" i="13"/>
  <c r="J136" i="13"/>
  <c r="I103" i="13"/>
  <c r="C218" i="13"/>
  <c r="C238" i="13"/>
  <c r="G60" i="13"/>
  <c r="M14" i="13"/>
  <c r="D183" i="13"/>
  <c r="D63" i="13"/>
  <c r="F145" i="13"/>
  <c r="C136" i="13"/>
  <c r="M27" i="13"/>
  <c r="AV36" i="13"/>
  <c r="I122" i="13"/>
  <c r="M130" i="13"/>
  <c r="I169" i="13"/>
  <c r="F105" i="13"/>
  <c r="C18" i="13"/>
  <c r="G236" i="13"/>
  <c r="M133" i="13"/>
  <c r="C277" i="13"/>
  <c r="F232" i="13"/>
  <c r="BB274" i="13"/>
  <c r="J208" i="13"/>
  <c r="G77" i="13"/>
  <c r="J137" i="13"/>
  <c r="I106" i="13"/>
  <c r="I243" i="13"/>
  <c r="L218" i="13"/>
  <c r="L100" i="13"/>
  <c r="C235" i="13"/>
  <c r="D48" i="13"/>
  <c r="J75" i="13"/>
  <c r="D154" i="13"/>
  <c r="G107" i="13"/>
  <c r="M28" i="13"/>
  <c r="C62" i="13"/>
  <c r="D126" i="13"/>
  <c r="I9" i="13"/>
  <c r="U240" i="13"/>
  <c r="L286" i="13"/>
  <c r="C82" i="13"/>
  <c r="L134" i="13"/>
  <c r="I141" i="13"/>
  <c r="AD121" i="13"/>
  <c r="I13" i="31"/>
  <c r="M8" i="31"/>
  <c r="I288" i="13"/>
  <c r="F266" i="13"/>
  <c r="D100" i="13"/>
  <c r="I71" i="13"/>
  <c r="C160" i="13"/>
  <c r="AP240" i="13"/>
  <c r="G270" i="13"/>
  <c r="F244" i="13"/>
  <c r="F219" i="13"/>
  <c r="AT206" i="13"/>
  <c r="J94" i="13"/>
  <c r="G276" i="13"/>
  <c r="G23" i="13"/>
  <c r="AG257" i="13"/>
  <c r="F270" i="13"/>
  <c r="AY19" i="31"/>
  <c r="F131" i="13"/>
  <c r="J8" i="13"/>
  <c r="C72" i="13"/>
  <c r="L224" i="13"/>
  <c r="F212" i="13"/>
  <c r="AT274" i="13"/>
  <c r="D174" i="13"/>
  <c r="D45" i="13"/>
  <c r="M10" i="13"/>
  <c r="L254" i="13"/>
  <c r="C207" i="13"/>
  <c r="M284" i="13"/>
  <c r="F252" i="13"/>
  <c r="I98" i="13"/>
  <c r="G69" i="13"/>
  <c r="Y121" i="13"/>
  <c r="C241" i="13"/>
  <c r="C7" i="31"/>
  <c r="J169" i="13"/>
  <c r="F285" i="13"/>
  <c r="G13" i="13"/>
  <c r="D64" i="13"/>
  <c r="AE206" i="13"/>
  <c r="L283" i="13"/>
  <c r="M17" i="31"/>
  <c r="G145" i="13"/>
  <c r="J110" i="13"/>
  <c r="C69" i="13"/>
  <c r="L247" i="13"/>
  <c r="C204" i="13"/>
  <c r="G176" i="13"/>
  <c r="G273" i="13"/>
  <c r="G21" i="13"/>
  <c r="G153" i="13"/>
  <c r="AT19" i="13"/>
  <c r="J236" i="13"/>
  <c r="J10" i="31"/>
  <c r="F178" i="13"/>
  <c r="C15" i="13"/>
  <c r="D148" i="13"/>
  <c r="D275" i="13"/>
  <c r="L88" i="13"/>
  <c r="L177" i="13"/>
  <c r="V19" i="13"/>
  <c r="D262" i="13"/>
  <c r="L227" i="13"/>
  <c r="M255" i="13"/>
  <c r="F174" i="13"/>
  <c r="D256" i="13"/>
  <c r="D91" i="13"/>
  <c r="F273" i="13"/>
  <c r="U70" i="13"/>
  <c r="AV53" i="13"/>
  <c r="F90" i="13"/>
  <c r="L11" i="31"/>
  <c r="L150" i="13"/>
  <c r="AB138" i="13"/>
  <c r="D118" i="13"/>
  <c r="J287" i="13"/>
  <c r="F132" i="13"/>
  <c r="D188" i="13"/>
  <c r="B3" i="33"/>
  <c r="F119" i="13"/>
  <c r="I41" i="13"/>
  <c r="I150" i="13"/>
  <c r="I66" i="13"/>
  <c r="D69" i="13"/>
  <c r="F93" i="13"/>
  <c r="I86" i="13"/>
  <c r="J10" i="13"/>
  <c r="G79" i="13"/>
  <c r="I173" i="13"/>
  <c r="L108" i="13"/>
  <c r="F284" i="13"/>
  <c r="AS138" i="13"/>
  <c r="C177" i="13"/>
  <c r="G29" i="13"/>
  <c r="L23" i="13"/>
  <c r="D160" i="13"/>
  <c r="I139" i="13"/>
  <c r="L101" i="13"/>
  <c r="F117" i="13"/>
  <c r="U138" i="13"/>
  <c r="Y36" i="13"/>
  <c r="C197" i="13"/>
  <c r="L275" i="13"/>
  <c r="I72" i="13"/>
  <c r="D8" i="13"/>
  <c r="I219" i="13"/>
  <c r="J180" i="13"/>
  <c r="J177" i="13"/>
  <c r="D92" i="13"/>
  <c r="I44" i="13"/>
  <c r="D9" i="13"/>
  <c r="G15" i="13"/>
  <c r="J132" i="13"/>
  <c r="D85" i="13"/>
  <c r="J193" i="13"/>
  <c r="F49" i="13"/>
  <c r="B39" i="31"/>
  <c r="F152" i="13"/>
  <c r="AV240" i="13"/>
  <c r="C100" i="13"/>
  <c r="D89" i="13"/>
  <c r="G129" i="13"/>
  <c r="J113" i="13"/>
  <c r="C39" i="13"/>
  <c r="I32" i="13"/>
  <c r="Y19" i="31"/>
  <c r="C148" i="13"/>
  <c r="G285" i="13"/>
  <c r="J12" i="31"/>
  <c r="G51" i="13"/>
  <c r="M180" i="13"/>
  <c r="I205" i="13"/>
  <c r="F279" i="13"/>
  <c r="M167" i="13"/>
  <c r="J106" i="13"/>
  <c r="L226" i="13"/>
  <c r="C137" i="13"/>
  <c r="L157" i="13"/>
  <c r="M11" i="31"/>
  <c r="M76" i="13"/>
  <c r="I161" i="13"/>
  <c r="L56" i="13"/>
  <c r="J276" i="13"/>
  <c r="I192" i="13"/>
  <c r="M12" i="13"/>
  <c r="I131" i="13"/>
  <c r="J39" i="13"/>
  <c r="AS155" i="13"/>
  <c r="D51" i="13"/>
  <c r="C232" i="13"/>
  <c r="M49" i="13"/>
  <c r="D12" i="13"/>
  <c r="M18" i="13"/>
  <c r="D115" i="13"/>
  <c r="G58" i="13"/>
  <c r="F288" i="13"/>
  <c r="J153" i="13"/>
  <c r="L8" i="13"/>
  <c r="J64" i="13"/>
  <c r="AD104" i="13"/>
  <c r="F8" i="13"/>
  <c r="G180" i="13"/>
  <c r="M71" i="13"/>
  <c r="I190" i="13"/>
  <c r="AK172" i="13"/>
  <c r="L180" i="13"/>
  <c r="F80" i="13"/>
  <c r="M94" i="13"/>
  <c r="M157" i="13"/>
  <c r="S19" i="31"/>
  <c r="L5" i="13"/>
  <c r="J118" i="13"/>
  <c r="G199" i="13"/>
  <c r="D120" i="13"/>
  <c r="G3" i="13"/>
  <c r="G202" i="13"/>
  <c r="J127" i="13"/>
  <c r="F8" i="31"/>
  <c r="B33" i="31"/>
  <c r="L179" i="13"/>
  <c r="G88" i="13"/>
  <c r="J131" i="13"/>
  <c r="D225" i="13"/>
  <c r="J69" i="13"/>
  <c r="M31" i="13"/>
  <c r="G127" i="13"/>
  <c r="M140" i="13"/>
  <c r="D54" i="13"/>
  <c r="L165" i="13"/>
  <c r="L188" i="13"/>
  <c r="F38" i="13"/>
  <c r="B37" i="31"/>
  <c r="B10" i="33"/>
  <c r="I149" i="13"/>
  <c r="C249" i="13"/>
  <c r="M217" i="13"/>
  <c r="C281" i="13"/>
  <c r="I144" i="13"/>
  <c r="D41" i="13"/>
  <c r="F64" i="13"/>
  <c r="D136" i="13"/>
  <c r="L34" i="13"/>
  <c r="F32" i="13"/>
  <c r="M196" i="13"/>
  <c r="J162" i="13"/>
  <c r="F9" i="13"/>
  <c r="J253" i="13"/>
  <c r="B11" i="33"/>
  <c r="C242" i="13"/>
  <c r="I167" i="13"/>
  <c r="I89" i="13"/>
  <c r="L175" i="13"/>
  <c r="J67" i="13"/>
  <c r="AK274" i="13"/>
  <c r="G128" i="13"/>
  <c r="B2" i="33"/>
  <c r="M244" i="13"/>
  <c r="L118" i="13"/>
  <c r="C144" i="13"/>
  <c r="I61" i="13"/>
  <c r="I35" i="13"/>
  <c r="J89" i="13"/>
  <c r="M32" i="13"/>
  <c r="L47" i="13"/>
  <c r="C188" i="13"/>
  <c r="M40" i="13"/>
  <c r="M16" i="13"/>
  <c r="I59" i="13"/>
  <c r="G76" i="13"/>
  <c r="D232" i="13"/>
  <c r="G177" i="13"/>
  <c r="C145" i="13"/>
  <c r="D220" i="13"/>
  <c r="G182" i="13"/>
  <c r="G67" i="13"/>
  <c r="F241" i="13"/>
  <c r="D27" i="13"/>
  <c r="AW36" i="13"/>
  <c r="AP121" i="13"/>
  <c r="AK138" i="13"/>
  <c r="D106" i="13"/>
  <c r="D123" i="13"/>
  <c r="F22" i="13"/>
  <c r="BC70" i="13"/>
  <c r="C83" i="13"/>
  <c r="J203" i="13"/>
  <c r="G46" i="13"/>
  <c r="G65" i="13"/>
  <c r="AZ36" i="13"/>
  <c r="G25" i="13"/>
  <c r="L66" i="13"/>
  <c r="I255" i="13"/>
  <c r="D288" i="13"/>
  <c r="C237" i="13"/>
  <c r="I265" i="13"/>
  <c r="L61" i="13"/>
  <c r="D158" i="13"/>
  <c r="C203" i="13"/>
  <c r="C89" i="13"/>
  <c r="L44" i="13"/>
  <c r="D226" i="13"/>
  <c r="J111" i="13"/>
  <c r="U19" i="13"/>
  <c r="O121" i="13"/>
  <c r="J96" i="13"/>
  <c r="G208" i="13"/>
  <c r="G102" i="13"/>
  <c r="I34" i="13"/>
  <c r="C91" i="13"/>
  <c r="D77" i="13"/>
  <c r="AM70" i="13"/>
  <c r="L79" i="13"/>
  <c r="G35" i="13"/>
  <c r="I156" i="13"/>
  <c r="L279" i="13"/>
  <c r="C7" i="13"/>
  <c r="L217" i="13"/>
  <c r="G27" i="13"/>
  <c r="F157" i="13"/>
  <c r="F67" i="13"/>
  <c r="D5" i="13"/>
  <c r="C10" i="13"/>
  <c r="G160" i="13"/>
  <c r="C54" i="13"/>
  <c r="F143" i="13"/>
  <c r="C169" i="13"/>
  <c r="G221" i="13"/>
  <c r="J238" i="13"/>
  <c r="D159" i="13"/>
  <c r="G194" i="13"/>
  <c r="D60" i="13"/>
  <c r="G133" i="13"/>
  <c r="G268" i="13"/>
  <c r="C56" i="13"/>
  <c r="I264" i="13"/>
  <c r="M286" i="13"/>
  <c r="L10" i="13"/>
  <c r="J182" i="13"/>
  <c r="L58" i="13"/>
  <c r="G171" i="13"/>
  <c r="M41" i="13"/>
  <c r="D279" i="13"/>
  <c r="J263" i="13"/>
  <c r="D137" i="13"/>
  <c r="M10" i="31"/>
  <c r="F48" i="13"/>
  <c r="F287" i="13"/>
  <c r="G9" i="13"/>
  <c r="M29" i="13"/>
  <c r="D40" i="13"/>
  <c r="C24" i="13"/>
  <c r="D238" i="13"/>
  <c r="L233" i="13"/>
  <c r="I157" i="13"/>
  <c r="C273" i="13"/>
  <c r="M103" i="13"/>
  <c r="M46" i="13"/>
  <c r="L183" i="13"/>
  <c r="M151" i="13"/>
  <c r="F116" i="13"/>
  <c r="F184" i="13"/>
  <c r="G113" i="13"/>
  <c r="J241" i="13"/>
  <c r="L45" i="13"/>
  <c r="I47" i="13"/>
  <c r="F227" i="13"/>
  <c r="D113" i="13"/>
  <c r="C126" i="13"/>
  <c r="D168" i="13"/>
  <c r="I31" i="13"/>
  <c r="F6" i="31"/>
  <c r="C233" i="13"/>
  <c r="D16" i="13"/>
  <c r="J198" i="13"/>
  <c r="G229" i="13"/>
  <c r="L144" i="13"/>
  <c r="D17" i="13"/>
  <c r="M24" i="13"/>
  <c r="D259" i="13"/>
  <c r="L5" i="31"/>
  <c r="L239" i="13"/>
  <c r="I186" i="13"/>
  <c r="F183" i="13"/>
  <c r="I130" i="13"/>
  <c r="L185" i="13"/>
  <c r="G110" i="13"/>
  <c r="D6" i="13"/>
  <c r="G135" i="13"/>
  <c r="I175" i="13"/>
  <c r="G174" i="13"/>
  <c r="V155" i="13"/>
  <c r="AD19" i="13"/>
  <c r="M220" i="13"/>
  <c r="L114" i="13"/>
  <c r="G225" i="13"/>
  <c r="F107" i="13"/>
  <c r="J266" i="13"/>
  <c r="C195" i="13"/>
  <c r="I15" i="13"/>
  <c r="I208" i="13"/>
  <c r="D37" i="13"/>
  <c r="I276" i="13"/>
  <c r="G185" i="13"/>
  <c r="D7" i="31"/>
  <c r="G17" i="13"/>
  <c r="D57" i="13"/>
  <c r="F208" i="13"/>
  <c r="G198" i="13"/>
  <c r="C37" i="13"/>
  <c r="C35" i="13"/>
  <c r="M107" i="13"/>
  <c r="D108" i="13"/>
  <c r="AM257" i="13"/>
  <c r="J260" i="13"/>
  <c r="L103" i="13"/>
  <c r="G106" i="13"/>
  <c r="M227" i="13"/>
  <c r="J100" i="13"/>
  <c r="L21" i="13"/>
  <c r="F168" i="13"/>
  <c r="C201" i="13"/>
  <c r="C42" i="13"/>
  <c r="F92" i="13"/>
  <c r="D191" i="13"/>
  <c r="C46" i="13"/>
  <c r="I10" i="13"/>
  <c r="M129" i="13"/>
  <c r="J13" i="31"/>
  <c r="AG104" i="13"/>
  <c r="I145" i="13"/>
  <c r="I9" i="31"/>
  <c r="C227" i="13"/>
  <c r="G5" i="13"/>
  <c r="D32" i="13"/>
  <c r="L116" i="13"/>
  <c r="D145" i="13"/>
  <c r="C228" i="13"/>
  <c r="D144" i="13"/>
  <c r="L3" i="31"/>
  <c r="L22" i="13"/>
  <c r="AY206" i="13"/>
  <c r="J32" i="13"/>
  <c r="I239" i="13"/>
  <c r="C278" i="13"/>
  <c r="C259" i="13"/>
  <c r="C28" i="13"/>
  <c r="J262" i="13"/>
  <c r="C256" i="13"/>
  <c r="D95" i="13"/>
  <c r="D129" i="13"/>
  <c r="J171" i="13"/>
  <c r="D217" i="13"/>
  <c r="I65" i="13"/>
  <c r="AY19" i="13"/>
  <c r="J92" i="13"/>
  <c r="X291" i="13"/>
  <c r="M59" i="13"/>
  <c r="AD189" i="13"/>
  <c r="M170" i="13"/>
  <c r="M210" i="13"/>
  <c r="J158" i="13"/>
  <c r="L80" i="13"/>
  <c r="G12" i="13"/>
  <c r="I16" i="31"/>
  <c r="C16" i="31"/>
  <c r="D253" i="13"/>
  <c r="M134" i="13"/>
  <c r="D21" i="13"/>
  <c r="C11" i="31"/>
  <c r="L169" i="13"/>
  <c r="AQ19" i="13"/>
  <c r="L4" i="31"/>
  <c r="J16" i="31"/>
  <c r="G24" i="13"/>
  <c r="C139" i="13"/>
  <c r="B16" i="33"/>
  <c r="C108" i="13"/>
  <c r="J141" i="13"/>
  <c r="L120" i="13"/>
  <c r="G94" i="13"/>
  <c r="J90" i="13"/>
  <c r="I126" i="13"/>
  <c r="G250" i="13"/>
  <c r="D29" i="13"/>
  <c r="L147" i="13"/>
  <c r="G111" i="13"/>
  <c r="D42" i="13"/>
  <c r="L281" i="13"/>
  <c r="F14" i="31"/>
  <c r="C47" i="13"/>
  <c r="I22" i="13"/>
  <c r="I209" i="13"/>
  <c r="I11" i="31"/>
  <c r="G259" i="13"/>
  <c r="F169" i="13"/>
  <c r="AK121" i="13"/>
  <c r="M154" i="13"/>
  <c r="I94" i="13"/>
  <c r="J9" i="13"/>
  <c r="M62" i="13"/>
  <c r="M222" i="13"/>
  <c r="I237" i="13"/>
  <c r="C20" i="13"/>
  <c r="AV19" i="13"/>
  <c r="B35" i="31"/>
  <c r="I191" i="13"/>
  <c r="G207" i="13"/>
  <c r="I256" i="13"/>
  <c r="I188" i="13"/>
  <c r="J216" i="13"/>
  <c r="F166" i="13"/>
  <c r="D241" i="13"/>
  <c r="J204" i="13"/>
  <c r="D176" i="13"/>
  <c r="M145" i="13"/>
  <c r="J23" i="13"/>
  <c r="G157" i="13"/>
  <c r="AN257" i="13"/>
  <c r="AT104" i="13"/>
  <c r="M88" i="13"/>
  <c r="L203" i="13"/>
  <c r="G168" i="13"/>
  <c r="J256" i="13"/>
  <c r="L63" i="13"/>
  <c r="J120" i="13"/>
  <c r="I11" i="13"/>
  <c r="L273" i="13"/>
  <c r="C156" i="13"/>
  <c r="AQ121" i="13"/>
  <c r="L40" i="13"/>
  <c r="AZ274" i="13"/>
  <c r="M116" i="13"/>
  <c r="AZ19" i="13"/>
  <c r="B29" i="31"/>
  <c r="G239" i="13"/>
  <c r="C236" i="13"/>
  <c r="G10" i="31"/>
  <c r="J5" i="13"/>
  <c r="L94" i="13"/>
  <c r="C73" i="13"/>
  <c r="O87" i="13"/>
  <c r="I242" i="13"/>
  <c r="I232" i="13"/>
  <c r="M241" i="13"/>
  <c r="L149" i="13"/>
  <c r="M97" i="13"/>
  <c r="J17" i="31"/>
  <c r="M169" i="13"/>
  <c r="C161" i="13"/>
  <c r="G86" i="13"/>
  <c r="AB36" i="13"/>
  <c r="L197" i="13"/>
  <c r="C286" i="13"/>
  <c r="F142" i="13"/>
  <c r="M73" i="13"/>
  <c r="M64" i="13"/>
  <c r="M43" i="13"/>
  <c r="M282" i="13"/>
  <c r="I140" i="13"/>
  <c r="AN70" i="13"/>
  <c r="G40" i="13"/>
  <c r="J221" i="13"/>
  <c r="M100" i="13"/>
  <c r="M246" i="13"/>
  <c r="D9" i="31"/>
  <c r="AM206" i="13"/>
  <c r="F228" i="13"/>
  <c r="J77" i="13"/>
  <c r="L127" i="13"/>
  <c r="J245" i="13"/>
  <c r="C131" i="13"/>
  <c r="C231" i="13"/>
  <c r="J56" i="13"/>
  <c r="D78" i="13"/>
  <c r="D229" i="13"/>
  <c r="F24" i="13"/>
  <c r="M44" i="13"/>
  <c r="D65" i="13"/>
  <c r="AQ257" i="13"/>
  <c r="I251" i="13"/>
  <c r="D142" i="13"/>
  <c r="L17" i="31"/>
  <c r="D49" i="13"/>
  <c r="J194" i="13"/>
  <c r="J282" i="13"/>
  <c r="F15" i="13"/>
  <c r="I77" i="13"/>
  <c r="D14" i="13"/>
  <c r="D235" i="13"/>
  <c r="M128" i="13"/>
  <c r="M205" i="13"/>
  <c r="L156" i="13"/>
  <c r="J42" i="13"/>
  <c r="D4" i="13"/>
  <c r="AQ138" i="13"/>
  <c r="J139" i="13"/>
  <c r="G82" i="13"/>
  <c r="J21" i="13"/>
  <c r="D119" i="13"/>
  <c r="C117" i="13"/>
  <c r="C71" i="13"/>
  <c r="I13" i="13"/>
  <c r="D202" i="13"/>
  <c r="M3" i="31"/>
  <c r="I236" i="13"/>
  <c r="F12" i="31"/>
  <c r="F79" i="13"/>
  <c r="C97" i="13"/>
  <c r="I25" i="13"/>
  <c r="I7" i="31"/>
  <c r="G15" i="31"/>
  <c r="J14" i="13"/>
  <c r="J57" i="13"/>
  <c r="C30" i="13"/>
  <c r="I54" i="13"/>
  <c r="L4" i="13"/>
  <c r="L28" i="13"/>
  <c r="Y19" i="13"/>
  <c r="C11" i="13"/>
  <c r="AB291" i="13"/>
  <c r="L139" i="13"/>
  <c r="F81" i="13"/>
  <c r="O19" i="13"/>
  <c r="M146" i="13"/>
  <c r="C284" i="13"/>
  <c r="I64" i="13"/>
  <c r="G196" i="13"/>
  <c r="G134" i="13"/>
  <c r="J212" i="13"/>
  <c r="M120" i="13"/>
  <c r="M212" i="13"/>
  <c r="M198" i="13"/>
  <c r="F127" i="13"/>
  <c r="C130" i="13"/>
  <c r="M218" i="13"/>
  <c r="F229" i="13"/>
  <c r="M153" i="13"/>
  <c r="F195" i="13"/>
  <c r="F4" i="13"/>
  <c r="G162" i="13"/>
  <c r="L154" i="13"/>
  <c r="L249" i="13"/>
  <c r="C265" i="13"/>
  <c r="J164" i="13"/>
  <c r="D152" i="13"/>
  <c r="G165" i="13"/>
  <c r="J202" i="13"/>
  <c r="L112" i="13"/>
  <c r="I42" i="13"/>
  <c r="M178" i="13"/>
  <c r="J38" i="13"/>
  <c r="J71" i="13"/>
  <c r="C212" i="13"/>
  <c r="J15" i="13"/>
  <c r="G167" i="13"/>
  <c r="L231" i="13"/>
  <c r="L13" i="13"/>
  <c r="I76" i="13"/>
  <c r="AQ223" i="13"/>
  <c r="S104" i="13"/>
  <c r="G5" i="31"/>
  <c r="F11" i="13"/>
  <c r="F42" i="13"/>
  <c r="M15" i="13"/>
  <c r="I233" i="13"/>
  <c r="D30" i="13"/>
  <c r="L262" i="13"/>
  <c r="F130" i="13"/>
  <c r="G222" i="13"/>
  <c r="M256" i="13"/>
  <c r="G286" i="13"/>
  <c r="S36" i="13"/>
  <c r="J74" i="13"/>
  <c r="I263" i="13"/>
  <c r="L109" i="13"/>
  <c r="AY257" i="13"/>
  <c r="M152" i="13"/>
  <c r="F76" i="13"/>
  <c r="L123" i="13"/>
  <c r="M35" i="13"/>
  <c r="G34" i="13"/>
  <c r="F156" i="13"/>
  <c r="I196" i="13"/>
  <c r="L137" i="13"/>
  <c r="J170" i="13"/>
  <c r="F239" i="13"/>
  <c r="D141" i="13"/>
  <c r="G90" i="13"/>
  <c r="J22" i="13"/>
  <c r="I91" i="13"/>
  <c r="C86" i="13"/>
  <c r="L85" i="13"/>
  <c r="M111" i="13"/>
  <c r="C109" i="13"/>
  <c r="L232" i="13"/>
  <c r="C171" i="13"/>
  <c r="L18" i="31"/>
  <c r="J220" i="13"/>
  <c r="M201" i="13"/>
  <c r="C199" i="13"/>
  <c r="M132" i="13"/>
  <c r="L159" i="13"/>
  <c r="F233" i="13"/>
  <c r="M114" i="13"/>
  <c r="G234" i="13"/>
  <c r="F218" i="13"/>
  <c r="M193" i="13"/>
  <c r="J12" i="13"/>
  <c r="J4" i="13"/>
  <c r="I284" i="13"/>
  <c r="AD257" i="13"/>
  <c r="AK155" i="13"/>
  <c r="M85" i="13"/>
  <c r="G3" i="31"/>
  <c r="AY189" i="13"/>
  <c r="L152" i="13"/>
  <c r="M60" i="13"/>
  <c r="M174" i="13"/>
  <c r="AE19" i="13"/>
  <c r="J49" i="13"/>
  <c r="AY104" i="13"/>
  <c r="I39" i="13"/>
  <c r="M99" i="13"/>
  <c r="D67" i="13"/>
  <c r="D231" i="13"/>
  <c r="F282" i="13"/>
  <c r="F221" i="13"/>
  <c r="D224" i="13"/>
  <c r="AV206" i="13"/>
  <c r="F200" i="13"/>
  <c r="M161" i="13"/>
  <c r="C13" i="13"/>
  <c r="G114" i="13"/>
  <c r="D185" i="13"/>
  <c r="G8" i="13"/>
  <c r="AT87" i="13"/>
  <c r="L205" i="13"/>
  <c r="I286" i="13"/>
  <c r="Y172" i="13"/>
  <c r="I5" i="13"/>
  <c r="C22" i="13"/>
  <c r="G89" i="13"/>
  <c r="L251" i="13"/>
  <c r="G100" i="13"/>
  <c r="F111" i="13"/>
  <c r="C202" i="13"/>
  <c r="D103" i="13"/>
  <c r="F177" i="13"/>
  <c r="C194" i="13"/>
  <c r="F167" i="13"/>
  <c r="F18" i="31"/>
  <c r="F40" i="13"/>
  <c r="B7" i="33"/>
  <c r="J17" i="13"/>
  <c r="D15" i="13"/>
  <c r="G245" i="13"/>
  <c r="I17" i="13"/>
  <c r="G252" i="13"/>
  <c r="L238" i="13"/>
  <c r="B30" i="31"/>
  <c r="C8" i="13"/>
  <c r="B32" i="31"/>
  <c r="L289" i="13"/>
  <c r="M288" i="13"/>
  <c r="G179" i="13"/>
  <c r="C141" i="13"/>
  <c r="F162" i="13"/>
  <c r="G254" i="13"/>
  <c r="I162" i="13"/>
  <c r="C25" i="13"/>
  <c r="M137" i="13"/>
  <c r="C163" i="13"/>
  <c r="AP189" i="13"/>
  <c r="C40" i="13"/>
  <c r="L37" i="13"/>
  <c r="C123" i="13"/>
  <c r="J88" i="13"/>
  <c r="I137" i="13"/>
  <c r="I166" i="13"/>
  <c r="L107" i="13"/>
  <c r="L24" i="13"/>
  <c r="G31" i="13"/>
  <c r="L173" i="13"/>
  <c r="G59" i="13"/>
  <c r="G193" i="13"/>
  <c r="L14" i="31"/>
  <c r="BB53" i="13"/>
  <c r="F89" i="13"/>
  <c r="G195" i="13"/>
  <c r="G289" i="13"/>
  <c r="J44" i="13"/>
  <c r="I259" i="13"/>
  <c r="M92" i="13"/>
  <c r="C64" i="13"/>
  <c r="M232" i="13"/>
  <c r="L74" i="13"/>
  <c r="L269" i="13"/>
  <c r="F99" i="13"/>
  <c r="J239" i="13"/>
  <c r="C118" i="13"/>
  <c r="M95" i="13"/>
  <c r="J50" i="13"/>
  <c r="AP19" i="13"/>
  <c r="G228" i="13"/>
  <c r="L77" i="13"/>
  <c r="I28" i="13"/>
  <c r="C103" i="13"/>
  <c r="M195" i="13"/>
  <c r="AS189" i="13"/>
  <c r="I4" i="13"/>
  <c r="J258" i="13"/>
  <c r="P70" i="13"/>
  <c r="AA36" i="13"/>
  <c r="M58" i="13"/>
  <c r="J55" i="13"/>
  <c r="D46" i="13"/>
  <c r="M93" i="13"/>
  <c r="F159" i="13"/>
  <c r="I143" i="13"/>
  <c r="G220" i="13"/>
  <c r="J250" i="13"/>
  <c r="M17" i="13"/>
  <c r="D213" i="13"/>
  <c r="J98" i="13"/>
  <c r="J157" i="13"/>
  <c r="D282" i="13"/>
  <c r="P53" i="13"/>
  <c r="J25" i="13"/>
  <c r="D71" i="13"/>
  <c r="L167" i="13"/>
  <c r="I107" i="13"/>
  <c r="G164" i="13"/>
  <c r="G281" i="13"/>
  <c r="G4" i="13"/>
  <c r="L271" i="13"/>
  <c r="I231" i="13"/>
  <c r="AM19" i="13"/>
  <c r="J18" i="13"/>
  <c r="F197" i="13"/>
  <c r="J33" i="13"/>
  <c r="G26" i="13"/>
  <c r="D221" i="13"/>
  <c r="M6" i="31"/>
  <c r="C198" i="13"/>
  <c r="I279" i="13"/>
  <c r="I229" i="13"/>
  <c r="M143" i="13"/>
  <c r="M141" i="13"/>
  <c r="F217" i="13"/>
  <c r="I249" i="13"/>
  <c r="M250" i="13"/>
  <c r="D7" i="13"/>
  <c r="L210" i="13"/>
  <c r="M122" i="13"/>
  <c r="F120" i="13"/>
  <c r="L51" i="13"/>
  <c r="C65" i="13"/>
  <c r="J27" i="13"/>
  <c r="L65" i="13"/>
  <c r="M289" i="13"/>
  <c r="L171" i="13"/>
  <c r="F137" i="13"/>
  <c r="AS70" i="13"/>
  <c r="I170" i="13"/>
  <c r="M148" i="13"/>
  <c r="I26" i="13"/>
  <c r="D25" i="13"/>
  <c r="I135" i="13"/>
  <c r="I168" i="13"/>
  <c r="D171" i="13"/>
  <c r="F14" i="13"/>
  <c r="G73" i="13"/>
  <c r="J93" i="13"/>
  <c r="I246" i="13"/>
  <c r="I115" i="13"/>
  <c r="G215" i="13"/>
  <c r="D143" i="13"/>
  <c r="G216" i="13"/>
  <c r="D62" i="13"/>
  <c r="G237" i="13"/>
  <c r="J230" i="13"/>
  <c r="AZ138" i="13"/>
  <c r="P36" i="13"/>
  <c r="M267" i="13"/>
  <c r="L60" i="13"/>
  <c r="D117" i="13"/>
  <c r="M7" i="13"/>
  <c r="M119" i="13"/>
  <c r="G132" i="13"/>
  <c r="J54" i="13"/>
  <c r="F25" i="13"/>
  <c r="F109" i="13"/>
  <c r="C154" i="13"/>
  <c r="B14" i="33"/>
  <c r="D264" i="13"/>
  <c r="F165" i="13"/>
  <c r="M171" i="13"/>
  <c r="C275" i="13"/>
  <c r="J144" i="13"/>
  <c r="AT223" i="13"/>
  <c r="G280" i="13"/>
  <c r="M105" i="13"/>
  <c r="I68" i="13"/>
  <c r="I110" i="13"/>
  <c r="I222" i="13"/>
  <c r="AJ189" i="13"/>
  <c r="L192" i="13"/>
  <c r="I120" i="13"/>
  <c r="F250" i="13"/>
  <c r="L129" i="13"/>
  <c r="C222" i="13"/>
  <c r="D130" i="13"/>
  <c r="G263" i="13"/>
  <c r="J3" i="31"/>
  <c r="B5" i="33"/>
  <c r="C29" i="13"/>
  <c r="I50" i="13"/>
  <c r="F140" i="13"/>
  <c r="F54" i="13"/>
  <c r="I261" i="13"/>
  <c r="G233" i="13"/>
  <c r="F7" i="13"/>
  <c r="AV291" i="13"/>
  <c r="G139" i="13"/>
  <c r="F66" i="13"/>
  <c r="AK240" i="13"/>
  <c r="F123" i="13"/>
  <c r="L33" i="13"/>
  <c r="N33" i="13" l="1"/>
  <c r="H123" i="13"/>
  <c r="C84" i="14"/>
  <c r="E253" i="15"/>
  <c r="G111" i="14"/>
  <c r="H66" i="13"/>
  <c r="B85" i="15"/>
  <c r="AX291" i="13"/>
  <c r="G256" i="14"/>
  <c r="H7" i="13"/>
  <c r="F75" i="14"/>
  <c r="D124" i="15"/>
  <c r="K261" i="13"/>
  <c r="E159" i="14"/>
  <c r="B79" i="14"/>
  <c r="H54" i="13"/>
  <c r="C85" i="14"/>
  <c r="H140" i="13"/>
  <c r="K50" i="13"/>
  <c r="E29" i="13"/>
  <c r="D44" i="14"/>
  <c r="G94" i="15"/>
  <c r="C51" i="15"/>
  <c r="J57" i="14"/>
  <c r="E222" i="13"/>
  <c r="N129" i="13"/>
  <c r="H250" i="13"/>
  <c r="D125" i="14"/>
  <c r="K120" i="13"/>
  <c r="D186" i="14"/>
  <c r="N192" i="13"/>
  <c r="AL189" i="13"/>
  <c r="E249" i="14"/>
  <c r="K222" i="13"/>
  <c r="K110" i="13"/>
  <c r="G148" i="14"/>
  <c r="K68" i="13"/>
  <c r="B180" i="15"/>
  <c r="G95" i="15"/>
  <c r="G219" i="15"/>
  <c r="G150" i="15"/>
  <c r="B30" i="14"/>
  <c r="E275" i="13"/>
  <c r="H165" i="13"/>
  <c r="D119" i="14"/>
  <c r="H29" i="15"/>
  <c r="E154" i="13"/>
  <c r="J52" i="14"/>
  <c r="H109" i="13"/>
  <c r="F83" i="14"/>
  <c r="H25" i="13"/>
  <c r="G77" i="14"/>
  <c r="B144" i="15"/>
  <c r="E116" i="15"/>
  <c r="F172" i="15"/>
  <c r="G50" i="15"/>
  <c r="N60" i="13"/>
  <c r="H176" i="14"/>
  <c r="B206" i="15"/>
  <c r="H213" i="15"/>
  <c r="H157" i="15"/>
  <c r="H124" i="15"/>
  <c r="C46" i="15"/>
  <c r="D122" i="15"/>
  <c r="F20" i="15"/>
  <c r="C122" i="15"/>
  <c r="K115" i="13"/>
  <c r="G158" i="14"/>
  <c r="K246" i="13"/>
  <c r="G147" i="15"/>
  <c r="D80" i="15"/>
  <c r="H14" i="13"/>
  <c r="F107" i="14"/>
  <c r="J54" i="15"/>
  <c r="K168" i="13"/>
  <c r="K135" i="13"/>
  <c r="G12" i="15"/>
  <c r="K26" i="13"/>
  <c r="H142" i="14"/>
  <c r="K170" i="13"/>
  <c r="G208" i="14"/>
  <c r="AU70" i="13"/>
  <c r="J116" i="14"/>
  <c r="H137" i="13"/>
  <c r="N171" i="13"/>
  <c r="N65" i="13"/>
  <c r="E65" i="13"/>
  <c r="F46" i="14"/>
  <c r="N51" i="13"/>
  <c r="H120" i="13"/>
  <c r="J115" i="14"/>
  <c r="B181" i="15"/>
  <c r="E187" i="14"/>
  <c r="N210" i="13"/>
  <c r="F10" i="15"/>
  <c r="K249" i="13"/>
  <c r="H217" i="13"/>
  <c r="E122" i="14"/>
  <c r="D182" i="15"/>
  <c r="F182" i="15"/>
  <c r="G157" i="14"/>
  <c r="K229" i="13"/>
  <c r="F160" i="14"/>
  <c r="K279" i="13"/>
  <c r="E198" i="13"/>
  <c r="C56" i="14"/>
  <c r="I57" i="15"/>
  <c r="H77" i="15"/>
  <c r="H197" i="13"/>
  <c r="B121" i="14"/>
  <c r="AO19" i="13"/>
  <c r="F204" i="14"/>
  <c r="K231" i="13"/>
  <c r="N271" i="13"/>
  <c r="C75" i="15"/>
  <c r="H95" i="15"/>
  <c r="C119" i="15"/>
  <c r="K107" i="13"/>
  <c r="D148" i="14"/>
  <c r="N167" i="13"/>
  <c r="B15" i="15"/>
  <c r="G142" i="15"/>
  <c r="B207" i="15"/>
  <c r="B62" i="15"/>
  <c r="C152" i="15"/>
  <c r="H25" i="15"/>
  <c r="H122" i="15"/>
  <c r="F150" i="14"/>
  <c r="K143" i="13"/>
  <c r="H159" i="13"/>
  <c r="E87" i="14"/>
  <c r="G179" i="15"/>
  <c r="D45" i="15"/>
  <c r="C144" i="15"/>
  <c r="F176" i="15"/>
  <c r="D206" i="14"/>
  <c r="AC36" i="13"/>
  <c r="B208" i="15"/>
  <c r="B159" i="15"/>
  <c r="C140" i="14"/>
  <c r="K4" i="13"/>
  <c r="G217" i="14"/>
  <c r="AU189" i="13"/>
  <c r="G186" i="15"/>
  <c r="J49" i="14"/>
  <c r="E103" i="13"/>
  <c r="K28" i="13"/>
  <c r="H177" i="14"/>
  <c r="N77" i="13"/>
  <c r="F92" i="15"/>
  <c r="F236" i="14"/>
  <c r="AR19" i="13"/>
  <c r="E118" i="13"/>
  <c r="H50" i="14"/>
  <c r="H99" i="13"/>
  <c r="F114" i="14"/>
  <c r="N269" i="13"/>
  <c r="N74" i="13"/>
  <c r="E177" i="14"/>
  <c r="E46" i="14"/>
  <c r="E64" i="13"/>
  <c r="F179" i="15"/>
  <c r="C159" i="14"/>
  <c r="K259" i="13"/>
  <c r="I127" i="15"/>
  <c r="G89" i="15"/>
  <c r="C82" i="14"/>
  <c r="H89" i="13"/>
  <c r="BD53" i="13"/>
  <c r="H239" i="14"/>
  <c r="N14" i="31"/>
  <c r="E89" i="15"/>
  <c r="G79" i="15"/>
  <c r="N173" i="13"/>
  <c r="B185" i="14"/>
  <c r="F109" i="15"/>
  <c r="F174" i="14"/>
  <c r="N24" i="13"/>
  <c r="N107" i="13"/>
  <c r="D180" i="14"/>
  <c r="K166" i="13"/>
  <c r="K137" i="13"/>
  <c r="B147" i="15"/>
  <c r="C19" i="14"/>
  <c r="E123" i="13"/>
  <c r="N37" i="13"/>
  <c r="B175" i="14"/>
  <c r="E40" i="13"/>
  <c r="E13" i="14"/>
  <c r="AR189" i="13"/>
  <c r="F249" i="14"/>
  <c r="E163" i="13"/>
  <c r="B54" i="14"/>
  <c r="G12" i="14"/>
  <c r="E25" i="13"/>
  <c r="K162" i="13"/>
  <c r="H152" i="14"/>
  <c r="H125" i="15"/>
  <c r="H162" i="13"/>
  <c r="H87" i="14"/>
  <c r="D20" i="14"/>
  <c r="E141" i="13"/>
  <c r="H88" i="15"/>
  <c r="N289" i="13"/>
  <c r="E8" i="13"/>
  <c r="G10" i="14"/>
  <c r="N238" i="13"/>
  <c r="F125" i="15"/>
  <c r="F93" i="15"/>
  <c r="G42" i="15"/>
  <c r="H40" i="13"/>
  <c r="E78" i="14"/>
  <c r="H18" i="31"/>
  <c r="H167" i="13"/>
  <c r="F119" i="14"/>
  <c r="E194" i="13"/>
  <c r="F24" i="14"/>
  <c r="F88" i="14"/>
  <c r="H177" i="13"/>
  <c r="J49" i="15"/>
  <c r="E202" i="13"/>
  <c r="G56" i="14"/>
  <c r="H83" i="14"/>
  <c r="H111" i="13"/>
  <c r="G114" i="15"/>
  <c r="N251" i="13"/>
  <c r="C82" i="15"/>
  <c r="D12" i="14"/>
  <c r="E22" i="13"/>
  <c r="K5" i="13"/>
  <c r="D140" i="14"/>
  <c r="C248" i="15"/>
  <c r="K286" i="13"/>
  <c r="N205" i="13"/>
  <c r="G209" i="15"/>
  <c r="G75" i="15"/>
  <c r="G55" i="15"/>
  <c r="D115" i="15"/>
  <c r="E13" i="13"/>
  <c r="E42" i="14"/>
  <c r="G184" i="15"/>
  <c r="H200" i="13"/>
  <c r="E121" i="14"/>
  <c r="AX206" i="13"/>
  <c r="G250" i="14"/>
  <c r="B27" i="15"/>
  <c r="H221" i="13"/>
  <c r="I122" i="14"/>
  <c r="H282" i="13"/>
  <c r="B127" i="14"/>
  <c r="B59" i="15"/>
  <c r="H46" i="15"/>
  <c r="K39" i="13"/>
  <c r="D143" i="14"/>
  <c r="H211" i="14"/>
  <c r="BA104" i="13"/>
  <c r="D236" i="15"/>
  <c r="C185" i="15"/>
  <c r="H176" i="15"/>
  <c r="N152" i="13"/>
  <c r="H217" i="14"/>
  <c r="BA189" i="13"/>
  <c r="E246" i="15"/>
  <c r="AF257" i="13"/>
  <c r="D254" i="14"/>
  <c r="K284" i="13"/>
  <c r="C140" i="15"/>
  <c r="E186" i="15"/>
  <c r="F122" i="14"/>
  <c r="H218" i="13"/>
  <c r="E124" i="15"/>
  <c r="H233" i="13"/>
  <c r="D124" i="14"/>
  <c r="N159" i="13"/>
  <c r="E184" i="14"/>
  <c r="D56" i="14"/>
  <c r="E199" i="13"/>
  <c r="N18" i="31"/>
  <c r="J54" i="14"/>
  <c r="E171" i="13"/>
  <c r="N232" i="13"/>
  <c r="E109" i="13"/>
  <c r="F18" i="14"/>
  <c r="H180" i="15"/>
  <c r="N85" i="13"/>
  <c r="J47" i="14"/>
  <c r="E86" i="13"/>
  <c r="K91" i="13"/>
  <c r="E147" i="14"/>
  <c r="D142" i="15"/>
  <c r="D82" i="15"/>
  <c r="D20" i="15"/>
  <c r="H239" i="13"/>
  <c r="J124" i="14"/>
  <c r="N137" i="13"/>
  <c r="K196" i="13"/>
  <c r="H154" i="14"/>
  <c r="B87" i="14"/>
  <c r="H156" i="13"/>
  <c r="I109" i="15"/>
  <c r="N123" i="13"/>
  <c r="C181" i="14"/>
  <c r="G80" i="14"/>
  <c r="H76" i="13"/>
  <c r="BA257" i="13"/>
  <c r="H222" i="14"/>
  <c r="N109" i="13"/>
  <c r="F180" i="14"/>
  <c r="K263" i="13"/>
  <c r="G159" i="14"/>
  <c r="E145" i="15"/>
  <c r="B238" i="15"/>
  <c r="F127" i="15"/>
  <c r="J122" i="15"/>
  <c r="C116" i="14"/>
  <c r="H130" i="13"/>
  <c r="F191" i="14"/>
  <c r="N262" i="13"/>
  <c r="E44" i="15"/>
  <c r="K233" i="13"/>
  <c r="H42" i="13"/>
  <c r="G78" i="14"/>
  <c r="C107" i="14"/>
  <c r="H11" i="13"/>
  <c r="B243" i="15"/>
  <c r="F251" i="15"/>
  <c r="K76" i="13"/>
  <c r="G145" i="14"/>
  <c r="N231" i="13"/>
  <c r="F119" i="15"/>
  <c r="G25" i="14"/>
  <c r="E212" i="13"/>
  <c r="B145" i="15"/>
  <c r="C143" i="15"/>
  <c r="G185" i="15"/>
  <c r="G143" i="14"/>
  <c r="K42" i="13"/>
  <c r="N112" i="13"/>
  <c r="D119" i="15"/>
  <c r="H52" i="15"/>
  <c r="E265" i="13"/>
  <c r="B61" i="14"/>
  <c r="N249" i="13"/>
  <c r="N154" i="13"/>
  <c r="H87" i="15"/>
  <c r="H4" i="13"/>
  <c r="C75" i="14"/>
  <c r="G89" i="14"/>
  <c r="H195" i="13"/>
  <c r="G92" i="14"/>
  <c r="H229" i="13"/>
  <c r="E130" i="13"/>
  <c r="C51" i="14"/>
  <c r="H127" i="13"/>
  <c r="G84" i="14"/>
  <c r="G187" i="15"/>
  <c r="G155" i="15"/>
  <c r="G116" i="15"/>
  <c r="H89" i="15"/>
  <c r="K64" i="13"/>
  <c r="E284" i="13"/>
  <c r="D62" i="14"/>
  <c r="B204" i="14"/>
  <c r="Q19" i="13"/>
  <c r="H81" i="13"/>
  <c r="E112" i="14"/>
  <c r="N139" i="13"/>
  <c r="B182" i="14"/>
  <c r="D224" i="15"/>
  <c r="C42" i="14"/>
  <c r="E11" i="13"/>
  <c r="C236" i="15"/>
  <c r="N28" i="13"/>
  <c r="N4" i="13"/>
  <c r="C172" i="14"/>
  <c r="B144" i="14"/>
  <c r="K54" i="13"/>
  <c r="E44" i="14"/>
  <c r="E30" i="13"/>
  <c r="E144" i="15"/>
  <c r="K7" i="31"/>
  <c r="K25" i="13"/>
  <c r="G142" i="14"/>
  <c r="E97" i="13"/>
  <c r="D49" i="14"/>
  <c r="H79" i="13"/>
  <c r="C112" i="14"/>
  <c r="H12" i="31"/>
  <c r="K236" i="13"/>
  <c r="G56" i="15"/>
  <c r="B15" i="14"/>
  <c r="E71" i="13"/>
  <c r="G50" i="14"/>
  <c r="E117" i="13"/>
  <c r="I50" i="15"/>
  <c r="C142" i="15"/>
  <c r="F112" i="15"/>
  <c r="B150" i="15"/>
  <c r="F245" i="15"/>
  <c r="C10" i="15"/>
  <c r="G143" i="15"/>
  <c r="N156" i="13"/>
  <c r="B184" i="14"/>
  <c r="H181" i="15"/>
  <c r="F59" i="15"/>
  <c r="F42" i="15"/>
  <c r="H145" i="14"/>
  <c r="K77" i="13"/>
  <c r="G107" i="14"/>
  <c r="H15" i="13"/>
  <c r="F154" i="15"/>
  <c r="G45" i="15"/>
  <c r="N17" i="31"/>
  <c r="E20" i="15"/>
  <c r="K251" i="13"/>
  <c r="F254" i="15"/>
  <c r="F46" i="15"/>
  <c r="H24" i="13"/>
  <c r="F77" i="14"/>
  <c r="G27" i="15"/>
  <c r="B47" i="15"/>
  <c r="D144" i="15"/>
  <c r="E231" i="13"/>
  <c r="B59" i="14"/>
  <c r="D51" i="14"/>
  <c r="E131" i="13"/>
  <c r="F158" i="15"/>
  <c r="N127" i="13"/>
  <c r="G181" i="14"/>
  <c r="H145" i="15"/>
  <c r="H228" i="13"/>
  <c r="F92" i="14"/>
  <c r="AO206" i="13"/>
  <c r="F218" i="14"/>
  <c r="G190" i="15"/>
  <c r="E78" i="15"/>
  <c r="F208" i="15"/>
  <c r="C150" i="14"/>
  <c r="K140" i="13"/>
  <c r="H175" i="15"/>
  <c r="D177" i="15"/>
  <c r="H142" i="13"/>
  <c r="E85" i="14"/>
  <c r="E286" i="13"/>
  <c r="F62" i="14"/>
  <c r="N197" i="13"/>
  <c r="D206" i="15"/>
  <c r="J112" i="15"/>
  <c r="G22" i="14"/>
  <c r="E161" i="13"/>
  <c r="N149" i="13"/>
  <c r="B190" i="15"/>
  <c r="K232" i="13"/>
  <c r="C158" i="14"/>
  <c r="K242" i="13"/>
  <c r="Q87" i="13"/>
  <c r="B209" i="14"/>
  <c r="E73" i="13"/>
  <c r="D15" i="14"/>
  <c r="N94" i="13"/>
  <c r="H179" i="14"/>
  <c r="D140" i="15"/>
  <c r="E236" i="13"/>
  <c r="G59" i="14"/>
  <c r="J124" i="15"/>
  <c r="H204" i="15"/>
  <c r="H223" i="15"/>
  <c r="E175" i="14"/>
  <c r="N40" i="13"/>
  <c r="F244" i="15"/>
  <c r="E156" i="13"/>
  <c r="B22" i="14"/>
  <c r="N273" i="13"/>
  <c r="N63" i="13"/>
  <c r="G119" i="15"/>
  <c r="N203" i="13"/>
  <c r="B179" i="15"/>
  <c r="G211" i="15"/>
  <c r="F222" i="15"/>
  <c r="C87" i="15"/>
  <c r="E142" i="15"/>
  <c r="H182" i="15"/>
  <c r="E23" i="15"/>
  <c r="B28" i="15"/>
  <c r="H166" i="13"/>
  <c r="E119" i="14"/>
  <c r="K188" i="13"/>
  <c r="K256" i="13"/>
  <c r="B90" i="15"/>
  <c r="C154" i="14"/>
  <c r="K191" i="13"/>
  <c r="G236" i="14"/>
  <c r="AX19" i="13"/>
  <c r="E20" i="13"/>
  <c r="B12" i="14"/>
  <c r="K237" i="13"/>
  <c r="H140" i="15"/>
  <c r="H147" i="14"/>
  <c r="K94" i="13"/>
  <c r="E244" i="15"/>
  <c r="H119" i="14"/>
  <c r="H169" i="13"/>
  <c r="C94" i="15"/>
  <c r="K11" i="31"/>
  <c r="K209" i="13"/>
  <c r="D155" i="14"/>
  <c r="D142" i="14"/>
  <c r="K22" i="13"/>
  <c r="E47" i="13"/>
  <c r="E45" i="14"/>
  <c r="H14" i="31"/>
  <c r="H192" i="14"/>
  <c r="N281" i="13"/>
  <c r="G13" i="15"/>
  <c r="H83" i="15"/>
  <c r="N147" i="13"/>
  <c r="D44" i="15"/>
  <c r="D125" i="15"/>
  <c r="F149" i="14"/>
  <c r="K126" i="13"/>
  <c r="D147" i="15"/>
  <c r="H82" i="15"/>
  <c r="N120" i="13"/>
  <c r="D150" i="15"/>
  <c r="E18" i="14"/>
  <c r="E108" i="13"/>
  <c r="B20" i="14"/>
  <c r="E139" i="13"/>
  <c r="F77" i="15"/>
  <c r="N4" i="31"/>
  <c r="F236" i="15"/>
  <c r="N169" i="13"/>
  <c r="E11" i="31"/>
  <c r="C12" i="15"/>
  <c r="G60" i="15"/>
  <c r="E16" i="31"/>
  <c r="K16" i="31"/>
  <c r="D107" i="15"/>
  <c r="N80" i="13"/>
  <c r="D152" i="15"/>
  <c r="E187" i="15"/>
  <c r="D249" i="14"/>
  <c r="AF189" i="13"/>
  <c r="G176" i="15"/>
  <c r="C256" i="14"/>
  <c r="Z291" i="13"/>
  <c r="F147" i="15"/>
  <c r="BA19" i="13"/>
  <c r="H204" i="14"/>
  <c r="K65" i="13"/>
  <c r="E57" i="15"/>
  <c r="B51" i="15"/>
  <c r="B49" i="15"/>
  <c r="J60" i="14"/>
  <c r="E256" i="13"/>
  <c r="F159" i="15"/>
  <c r="C44" i="14"/>
  <c r="E28" i="13"/>
  <c r="E259" i="13"/>
  <c r="C29" i="14"/>
  <c r="E30" i="14"/>
  <c r="E278" i="13"/>
  <c r="K239" i="13"/>
  <c r="H218" i="14"/>
  <c r="BA206" i="13"/>
  <c r="D174" i="14"/>
  <c r="N22" i="13"/>
  <c r="N3" i="31"/>
  <c r="G20" i="15"/>
  <c r="F27" i="14"/>
  <c r="E228" i="13"/>
  <c r="H20" i="15"/>
  <c r="N116" i="13"/>
  <c r="G44" i="15"/>
  <c r="D75" i="15"/>
  <c r="E27" i="14"/>
  <c r="E227" i="13"/>
  <c r="K9" i="31"/>
  <c r="H150" i="14"/>
  <c r="K145" i="13"/>
  <c r="E211" i="14"/>
  <c r="AI104" i="13"/>
  <c r="E46" i="13"/>
  <c r="D45" i="14"/>
  <c r="C24" i="15"/>
  <c r="H92" i="13"/>
  <c r="F82" i="14"/>
  <c r="E42" i="13"/>
  <c r="G13" i="14"/>
  <c r="E201" i="13"/>
  <c r="F56" i="14"/>
  <c r="H168" i="13"/>
  <c r="G119" i="14"/>
  <c r="N21" i="13"/>
  <c r="C174" i="14"/>
  <c r="E189" i="15"/>
  <c r="C83" i="15"/>
  <c r="N103" i="13"/>
  <c r="D159" i="15"/>
  <c r="F222" i="14"/>
  <c r="AO257" i="13"/>
  <c r="E18" i="15"/>
  <c r="D180" i="15"/>
  <c r="J44" i="14"/>
  <c r="E35" i="13"/>
  <c r="B13" i="14"/>
  <c r="E37" i="13"/>
  <c r="C121" i="15"/>
  <c r="C90" i="14"/>
  <c r="H208" i="13"/>
  <c r="E14" i="15"/>
  <c r="I107" i="15"/>
  <c r="G120" i="15"/>
  <c r="K276" i="13"/>
  <c r="C160" i="14"/>
  <c r="B13" i="15"/>
  <c r="K208" i="13"/>
  <c r="C155" i="14"/>
  <c r="E195" i="13"/>
  <c r="G24" i="14"/>
  <c r="H107" i="13"/>
  <c r="D83" i="14"/>
  <c r="C92" i="15"/>
  <c r="N114" i="13"/>
  <c r="AF19" i="13"/>
  <c r="D236" i="14"/>
  <c r="C214" i="15"/>
  <c r="C88" i="15"/>
  <c r="D153" i="14"/>
  <c r="K175" i="13"/>
  <c r="H116" i="15"/>
  <c r="E10" i="15"/>
  <c r="G83" i="15"/>
  <c r="N185" i="13"/>
  <c r="K130" i="13"/>
  <c r="H183" i="13"/>
  <c r="E120" i="14"/>
  <c r="K186" i="13"/>
  <c r="N239" i="13"/>
  <c r="N5" i="31"/>
  <c r="C29" i="15"/>
  <c r="F174" i="15"/>
  <c r="I42" i="15"/>
  <c r="N144" i="13"/>
  <c r="G182" i="14"/>
  <c r="G92" i="15"/>
  <c r="H42" i="15"/>
  <c r="D59" i="14"/>
  <c r="E233" i="13"/>
  <c r="H6" i="31"/>
  <c r="K31" i="13"/>
  <c r="G54" i="15"/>
  <c r="E126" i="13"/>
  <c r="F19" i="14"/>
  <c r="C50" i="15"/>
  <c r="E92" i="14"/>
  <c r="H227" i="13"/>
  <c r="K47" i="13"/>
  <c r="N45" i="13"/>
  <c r="B158" i="15"/>
  <c r="C115" i="15"/>
  <c r="H184" i="13"/>
  <c r="F120" i="14"/>
  <c r="H116" i="13"/>
  <c r="F115" i="14"/>
  <c r="N183" i="13"/>
  <c r="J61" i="14"/>
  <c r="E273" i="13"/>
  <c r="C152" i="14"/>
  <c r="K157" i="13"/>
  <c r="N233" i="13"/>
  <c r="I59" i="15"/>
  <c r="F12" i="14"/>
  <c r="E24" i="13"/>
  <c r="E13" i="15"/>
  <c r="H75" i="15"/>
  <c r="G127" i="14"/>
  <c r="H287" i="13"/>
  <c r="F110" i="14"/>
  <c r="H48" i="13"/>
  <c r="J51" i="15"/>
  <c r="G159" i="15"/>
  <c r="F30" i="15"/>
  <c r="F175" i="15"/>
  <c r="J119" i="15"/>
  <c r="F176" i="14"/>
  <c r="N58" i="13"/>
  <c r="H159" i="14"/>
  <c r="K264" i="13"/>
  <c r="E56" i="13"/>
  <c r="D14" i="14"/>
  <c r="E126" i="15"/>
  <c r="F116" i="15"/>
  <c r="E60" i="13"/>
  <c r="H14" i="15"/>
  <c r="F89" i="15"/>
  <c r="E22" i="15"/>
  <c r="I122" i="15"/>
  <c r="H54" i="14"/>
  <c r="E169" i="13"/>
  <c r="H143" i="13"/>
  <c r="F85" i="14"/>
  <c r="B14" i="14"/>
  <c r="E54" i="13"/>
  <c r="F87" i="15"/>
  <c r="E10" i="13"/>
  <c r="B42" i="14"/>
  <c r="D10" i="15"/>
  <c r="H111" i="14"/>
  <c r="H67" i="13"/>
  <c r="C87" i="14"/>
  <c r="H157" i="13"/>
  <c r="B109" i="15"/>
  <c r="N217" i="13"/>
  <c r="E7" i="13"/>
  <c r="F10" i="14"/>
  <c r="N279" i="13"/>
  <c r="F192" i="14"/>
  <c r="B152" i="14"/>
  <c r="K156" i="13"/>
  <c r="J109" i="15"/>
  <c r="N79" i="13"/>
  <c r="F208" i="14"/>
  <c r="AO70" i="13"/>
  <c r="H15" i="15"/>
  <c r="E91" i="13"/>
  <c r="E17" i="14"/>
  <c r="K34" i="13"/>
  <c r="I114" i="15"/>
  <c r="C90" i="15"/>
  <c r="Q121" i="13"/>
  <c r="B212" i="14"/>
  <c r="C204" i="14"/>
  <c r="W19" i="13"/>
  <c r="H148" i="15"/>
  <c r="D27" i="15"/>
  <c r="N44" i="13"/>
  <c r="E89" i="13"/>
  <c r="C17" i="14"/>
  <c r="E203" i="13"/>
  <c r="H56" i="14"/>
  <c r="D22" i="15"/>
  <c r="N61" i="13"/>
  <c r="K265" i="13"/>
  <c r="H59" i="14"/>
  <c r="E237" i="13"/>
  <c r="H62" i="15"/>
  <c r="K255" i="13"/>
  <c r="N66" i="13"/>
  <c r="G77" i="15"/>
  <c r="H206" i="15"/>
  <c r="F111" i="15"/>
  <c r="D110" i="15"/>
  <c r="E83" i="13"/>
  <c r="G47" i="14"/>
  <c r="H240" i="15"/>
  <c r="H22" i="13"/>
  <c r="D77" i="14"/>
  <c r="C19" i="15"/>
  <c r="C18" i="15"/>
  <c r="E245" i="15"/>
  <c r="AR121" i="13"/>
  <c r="F244" i="14"/>
  <c r="G238" i="15"/>
  <c r="B44" i="15"/>
  <c r="H241" i="13"/>
  <c r="B93" i="14"/>
  <c r="H111" i="15"/>
  <c r="D120" i="15"/>
  <c r="H57" i="15"/>
  <c r="E145" i="13"/>
  <c r="H20" i="14"/>
  <c r="F88" i="15"/>
  <c r="C59" i="15"/>
  <c r="G80" i="15"/>
  <c r="K59" i="13"/>
  <c r="G144" i="14"/>
  <c r="E175" i="15"/>
  <c r="E188" i="13"/>
  <c r="J55" i="14"/>
  <c r="N47" i="13"/>
  <c r="C147" i="15"/>
  <c r="K35" i="13"/>
  <c r="K61" i="13"/>
  <c r="E144" i="13"/>
  <c r="G20" i="14"/>
  <c r="N118" i="13"/>
  <c r="E190" i="15"/>
  <c r="H84" i="15"/>
  <c r="E255" i="15"/>
  <c r="N175" i="13"/>
  <c r="D185" i="14"/>
  <c r="K89" i="13"/>
  <c r="C147" i="14"/>
  <c r="K167" i="13"/>
  <c r="C28" i="14"/>
  <c r="E242" i="13"/>
  <c r="H75" i="14"/>
  <c r="H9" i="13"/>
  <c r="H152" i="15"/>
  <c r="H186" i="15"/>
  <c r="H32" i="13"/>
  <c r="G109" i="14"/>
  <c r="N34" i="13"/>
  <c r="I51" i="15"/>
  <c r="E111" i="14"/>
  <c r="H64" i="13"/>
  <c r="F13" i="15"/>
  <c r="K144" i="13"/>
  <c r="G150" i="14"/>
  <c r="H30" i="14"/>
  <c r="E281" i="13"/>
  <c r="C60" i="14"/>
  <c r="E249" i="13"/>
  <c r="K149" i="13"/>
  <c r="H38" i="13"/>
  <c r="C78" i="14"/>
  <c r="N188" i="13"/>
  <c r="N165" i="13"/>
  <c r="B14" i="15"/>
  <c r="C182" i="15"/>
  <c r="G84" i="15"/>
  <c r="C27" i="15"/>
  <c r="B82" i="15"/>
  <c r="N179" i="13"/>
  <c r="H185" i="14"/>
  <c r="H8" i="31"/>
  <c r="G149" i="15"/>
  <c r="G121" i="15"/>
  <c r="B75" i="15"/>
  <c r="J50" i="15"/>
  <c r="D121" i="15"/>
  <c r="D172" i="14"/>
  <c r="N5" i="13"/>
  <c r="C184" i="15"/>
  <c r="H179" i="15"/>
  <c r="H80" i="13"/>
  <c r="D112" i="14"/>
  <c r="N180" i="13"/>
  <c r="E248" i="15"/>
  <c r="B154" i="14"/>
  <c r="K190" i="13"/>
  <c r="B177" i="15"/>
  <c r="B120" i="15"/>
  <c r="G75" i="14"/>
  <c r="H8" i="13"/>
  <c r="D243" i="14"/>
  <c r="AF104" i="13"/>
  <c r="G172" i="14"/>
  <c r="N8" i="13"/>
  <c r="H288" i="13"/>
  <c r="H127" i="14"/>
  <c r="F79" i="15"/>
  <c r="E50" i="15"/>
  <c r="D42" i="15"/>
  <c r="C59" i="14"/>
  <c r="E232" i="13"/>
  <c r="I45" i="15"/>
  <c r="AU155" i="13"/>
  <c r="G214" i="14"/>
  <c r="D143" i="15"/>
  <c r="K131" i="13"/>
  <c r="K192" i="13"/>
  <c r="D154" i="14"/>
  <c r="C160" i="15"/>
  <c r="N56" i="13"/>
  <c r="D176" i="14"/>
  <c r="K161" i="13"/>
  <c r="G152" i="14"/>
  <c r="G177" i="15"/>
  <c r="C184" i="14"/>
  <c r="N157" i="13"/>
  <c r="J51" i="14"/>
  <c r="E137" i="13"/>
  <c r="D189" i="14"/>
  <c r="N226" i="13"/>
  <c r="C148" i="15"/>
  <c r="F95" i="14"/>
  <c r="H279" i="13"/>
  <c r="K205" i="13"/>
  <c r="I110" i="15"/>
  <c r="E127" i="15"/>
  <c r="D52" i="14"/>
  <c r="E148" i="13"/>
  <c r="K32" i="13"/>
  <c r="D13" i="14"/>
  <c r="E39" i="13"/>
  <c r="B116" i="15"/>
  <c r="C17" i="15"/>
  <c r="E100" i="13"/>
  <c r="G49" i="14"/>
  <c r="G253" i="14"/>
  <c r="AX240" i="13"/>
  <c r="H152" i="13"/>
  <c r="H117" i="14"/>
  <c r="H49" i="13"/>
  <c r="G110" i="14"/>
  <c r="E154" i="15"/>
  <c r="I47" i="15"/>
  <c r="G107" i="15"/>
  <c r="H10" i="15"/>
  <c r="K44" i="13"/>
  <c r="F17" i="15"/>
  <c r="F153" i="15"/>
  <c r="K219" i="13"/>
  <c r="G10" i="15"/>
  <c r="K72" i="13"/>
  <c r="C145" i="14"/>
  <c r="B192" i="14"/>
  <c r="N275" i="13"/>
  <c r="E197" i="13"/>
  <c r="B56" i="14"/>
  <c r="C238" i="15"/>
  <c r="W138" i="13"/>
  <c r="C213" i="14"/>
  <c r="G115" i="14"/>
  <c r="H117" i="13"/>
  <c r="N101" i="13"/>
  <c r="K139" i="13"/>
  <c r="B150" i="14"/>
  <c r="F22" i="15"/>
  <c r="N23" i="13"/>
  <c r="E174" i="14"/>
  <c r="D109" i="15"/>
  <c r="E177" i="13"/>
  <c r="F23" i="14"/>
  <c r="AU138" i="13"/>
  <c r="G213" i="14"/>
  <c r="D127" i="14"/>
  <c r="H284" i="13"/>
  <c r="E180" i="14"/>
  <c r="N108" i="13"/>
  <c r="K173" i="13"/>
  <c r="B153" i="14"/>
  <c r="C112" i="15"/>
  <c r="K86" i="13"/>
  <c r="H93" i="13"/>
  <c r="G82" i="14"/>
  <c r="J46" i="15"/>
  <c r="K66" i="13"/>
  <c r="K150" i="13"/>
  <c r="F143" i="14"/>
  <c r="K41" i="13"/>
  <c r="I115" i="14"/>
  <c r="H119" i="13"/>
  <c r="J55" i="15"/>
  <c r="E116" i="14"/>
  <c r="H132" i="13"/>
  <c r="H50" i="15"/>
  <c r="D213" i="15"/>
  <c r="N150" i="13"/>
  <c r="N11" i="31"/>
  <c r="D82" i="14"/>
  <c r="H90" i="13"/>
  <c r="G239" i="14"/>
  <c r="AX53" i="13"/>
  <c r="C208" i="14"/>
  <c r="W70" i="13"/>
  <c r="H273" i="13"/>
  <c r="J126" i="14"/>
  <c r="E17" i="15"/>
  <c r="J60" i="15"/>
  <c r="H174" i="13"/>
  <c r="C88" i="14"/>
  <c r="N227" i="13"/>
  <c r="E189" i="14"/>
  <c r="F29" i="15"/>
  <c r="C204" i="15"/>
  <c r="N177" i="13"/>
  <c r="F185" i="14"/>
  <c r="B179" i="14"/>
  <c r="N88" i="13"/>
  <c r="B30" i="15"/>
  <c r="D52" i="15"/>
  <c r="E15" i="13"/>
  <c r="G42" i="14"/>
  <c r="H178" i="13"/>
  <c r="G88" i="14"/>
  <c r="G204" i="15"/>
  <c r="I117" i="15"/>
  <c r="C77" i="15"/>
  <c r="J126" i="15"/>
  <c r="E88" i="15"/>
  <c r="I56" i="14"/>
  <c r="E204" i="13"/>
  <c r="N247" i="13"/>
  <c r="H190" i="14"/>
  <c r="E69" i="13"/>
  <c r="J46" i="14"/>
  <c r="G148" i="15"/>
  <c r="H85" i="15"/>
  <c r="N283" i="13"/>
  <c r="D250" i="15"/>
  <c r="E46" i="15"/>
  <c r="E107" i="15"/>
  <c r="E127" i="14"/>
  <c r="H285" i="13"/>
  <c r="E7" i="31"/>
  <c r="E241" i="13"/>
  <c r="B28" i="14"/>
  <c r="C244" i="15"/>
  <c r="J111" i="15"/>
  <c r="K98" i="13"/>
  <c r="F125" i="14"/>
  <c r="H252" i="13"/>
  <c r="E207" i="13"/>
  <c r="B25" i="14"/>
  <c r="N254" i="13"/>
  <c r="C45" i="15"/>
  <c r="C23" i="15"/>
  <c r="G223" i="15"/>
  <c r="H212" i="13"/>
  <c r="G90" i="14"/>
  <c r="N224" i="13"/>
  <c r="B189" i="14"/>
  <c r="E72" i="13"/>
  <c r="C15" i="14"/>
  <c r="G140" i="15"/>
  <c r="D116" i="14"/>
  <c r="H131" i="13"/>
  <c r="BA19" i="31"/>
  <c r="H270" i="13"/>
  <c r="G126" i="14"/>
  <c r="AI257" i="13"/>
  <c r="E222" i="14"/>
  <c r="E77" i="15"/>
  <c r="C95" i="15"/>
  <c r="H147" i="15"/>
  <c r="G218" i="15"/>
  <c r="G122" i="14"/>
  <c r="H219" i="13"/>
  <c r="E93" i="14"/>
  <c r="H244" i="13"/>
  <c r="G126" i="15"/>
  <c r="F253" i="14"/>
  <c r="AR240" i="13"/>
  <c r="E160" i="13"/>
  <c r="F22" i="14"/>
  <c r="B145" i="14"/>
  <c r="K71" i="13"/>
  <c r="G49" i="15"/>
  <c r="C126" i="14"/>
  <c r="H266" i="13"/>
  <c r="K288" i="13"/>
  <c r="K13" i="31"/>
  <c r="AF121" i="13"/>
  <c r="D244" i="14"/>
  <c r="K141" i="13"/>
  <c r="D150" i="14"/>
  <c r="N134" i="13"/>
  <c r="E82" i="13"/>
  <c r="F47" i="14"/>
  <c r="N286" i="13"/>
  <c r="C221" i="14"/>
  <c r="W240" i="13"/>
  <c r="K9" i="13"/>
  <c r="H140" i="14"/>
  <c r="F19" i="15"/>
  <c r="C46" i="14"/>
  <c r="E62" i="13"/>
  <c r="D83" i="15"/>
  <c r="J52" i="15"/>
  <c r="F145" i="15"/>
  <c r="F45" i="15"/>
  <c r="F59" i="14"/>
  <c r="E235" i="13"/>
  <c r="N100" i="13"/>
  <c r="N218" i="13"/>
  <c r="K243" i="13"/>
  <c r="D158" i="14"/>
  <c r="C148" i="14"/>
  <c r="K106" i="13"/>
  <c r="H80" i="15"/>
  <c r="C155" i="15"/>
  <c r="H255" i="14"/>
  <c r="BD274" i="13"/>
  <c r="C124" i="14"/>
  <c r="H232" i="13"/>
  <c r="D30" i="14"/>
  <c r="E277" i="13"/>
  <c r="G124" i="15"/>
  <c r="E18" i="13"/>
  <c r="J42" i="14"/>
  <c r="H105" i="13"/>
  <c r="B83" i="14"/>
  <c r="K169" i="13"/>
  <c r="K122" i="13"/>
  <c r="B149" i="14"/>
  <c r="AX36" i="13"/>
  <c r="G238" i="14"/>
  <c r="I51" i="14"/>
  <c r="E136" i="13"/>
  <c r="H145" i="13"/>
  <c r="H85" i="14"/>
  <c r="D46" i="15"/>
  <c r="E55" i="15"/>
  <c r="H79" i="15"/>
  <c r="E238" i="13"/>
  <c r="I59" i="14"/>
  <c r="E218" i="13"/>
  <c r="F57" i="14"/>
  <c r="K103" i="13"/>
  <c r="H22" i="14"/>
  <c r="E162" i="13"/>
  <c r="E248" i="13"/>
  <c r="B60" i="14"/>
  <c r="K146" i="13"/>
  <c r="B117" i="14"/>
  <c r="H146" i="13"/>
  <c r="E152" i="15"/>
  <c r="D46" i="14"/>
  <c r="E63" i="13"/>
  <c r="H83" i="13"/>
  <c r="G112" i="14"/>
  <c r="F152" i="15"/>
  <c r="F114" i="15"/>
  <c r="E61" i="14"/>
  <c r="E268" i="13"/>
  <c r="G19" i="15"/>
  <c r="E226" i="13"/>
  <c r="D27" i="14"/>
  <c r="AF172" i="13"/>
  <c r="D248" i="14"/>
  <c r="C120" i="15"/>
  <c r="F47" i="15"/>
  <c r="H184" i="15"/>
  <c r="D50" i="15"/>
  <c r="D148" i="15"/>
  <c r="J61" i="15"/>
  <c r="F150" i="15"/>
  <c r="F82" i="15"/>
  <c r="B18" i="15"/>
  <c r="E43" i="13"/>
  <c r="H13" i="14"/>
  <c r="B176" i="15"/>
  <c r="E95" i="15"/>
  <c r="F147" i="14"/>
  <c r="K92" i="13"/>
  <c r="N64" i="13"/>
  <c r="K181" i="13"/>
  <c r="E150" i="15"/>
  <c r="D158" i="15"/>
  <c r="W206" i="13"/>
  <c r="C218" i="14"/>
  <c r="D189" i="15"/>
  <c r="I107" i="14"/>
  <c r="H17" i="13"/>
  <c r="N73" i="13"/>
  <c r="D177" i="14"/>
  <c r="C174" i="15"/>
  <c r="B19" i="14"/>
  <c r="E122" i="13"/>
  <c r="B55" i="14"/>
  <c r="E180" i="13"/>
  <c r="E107" i="14"/>
  <c r="H13" i="13"/>
  <c r="C192" i="15"/>
  <c r="E47" i="15"/>
  <c r="D253" i="15"/>
  <c r="N243" i="13"/>
  <c r="D190" i="14"/>
  <c r="H160" i="15"/>
  <c r="N250" i="13"/>
  <c r="E57" i="13"/>
  <c r="E14" i="14"/>
  <c r="E42" i="15"/>
  <c r="K95" i="13"/>
  <c r="K271" i="13"/>
  <c r="H88" i="13"/>
  <c r="B82" i="14"/>
  <c r="H126" i="14"/>
  <c r="H271" i="13"/>
  <c r="D152" i="14"/>
  <c r="K158" i="13"/>
  <c r="G14" i="14"/>
  <c r="E59" i="13"/>
  <c r="K278" i="13"/>
  <c r="E160" i="14"/>
  <c r="H172" i="14"/>
  <c r="N9" i="13"/>
  <c r="D42" i="14"/>
  <c r="E12" i="13"/>
  <c r="H9" i="31"/>
  <c r="N140" i="13"/>
  <c r="C182" i="14"/>
  <c r="E146" i="13"/>
  <c r="B52" i="14"/>
  <c r="K3" i="31"/>
  <c r="D116" i="15"/>
  <c r="B209" i="15"/>
  <c r="E17" i="31"/>
  <c r="F248" i="15"/>
  <c r="H144" i="15"/>
  <c r="AF19" i="31"/>
  <c r="H207" i="15"/>
  <c r="AR138" i="13"/>
  <c r="F245" i="14"/>
  <c r="H177" i="15"/>
  <c r="E249" i="15"/>
  <c r="H204" i="13"/>
  <c r="I121" i="14"/>
  <c r="C186" i="15"/>
  <c r="H236" i="15"/>
  <c r="F143" i="15"/>
  <c r="D145" i="14"/>
  <c r="K73" i="13"/>
  <c r="Z155" i="13"/>
  <c r="C246" i="14"/>
  <c r="C250" i="14"/>
  <c r="Z206" i="13"/>
  <c r="N261" i="13"/>
  <c r="E191" i="14"/>
  <c r="F14" i="15"/>
  <c r="I126" i="14"/>
  <c r="H272" i="13"/>
  <c r="B54" i="15"/>
  <c r="E206" i="14"/>
  <c r="AI36" i="13"/>
  <c r="K37" i="13"/>
  <c r="B143" i="14"/>
  <c r="B94" i="15"/>
  <c r="D87" i="14"/>
  <c r="H158" i="13"/>
  <c r="E148" i="14"/>
  <c r="K108" i="13"/>
  <c r="H115" i="14"/>
  <c r="H118" i="13"/>
  <c r="B185" i="15"/>
  <c r="H181" i="14"/>
  <c r="N128" i="13"/>
  <c r="G244" i="15"/>
  <c r="D18" i="15"/>
  <c r="E176" i="14"/>
  <c r="N57" i="13"/>
  <c r="J56" i="15"/>
  <c r="K116" i="13"/>
  <c r="C122" i="14"/>
  <c r="H215" i="13"/>
  <c r="F28" i="14"/>
  <c r="E245" i="13"/>
  <c r="G154" i="15"/>
  <c r="F206" i="15"/>
  <c r="B89" i="15"/>
  <c r="B24" i="14"/>
  <c r="E190" i="13"/>
  <c r="K60" i="13"/>
  <c r="H144" i="14"/>
  <c r="B121" i="15"/>
  <c r="E15" i="31"/>
  <c r="K204" i="13"/>
  <c r="F52" i="14"/>
  <c r="E150" i="13"/>
  <c r="E51" i="14"/>
  <c r="E132" i="13"/>
  <c r="D51" i="15"/>
  <c r="C181" i="15"/>
  <c r="G160" i="15"/>
  <c r="F184" i="14"/>
  <c r="N160" i="13"/>
  <c r="N222" i="13"/>
  <c r="D75" i="14"/>
  <c r="H5" i="13"/>
  <c r="E49" i="13"/>
  <c r="G45" i="14"/>
  <c r="J59" i="14"/>
  <c r="E239" i="13"/>
  <c r="F117" i="14"/>
  <c r="H150" i="13"/>
  <c r="E79" i="13"/>
  <c r="C47" i="14"/>
  <c r="I52" i="15"/>
  <c r="E120" i="13"/>
  <c r="J50" i="14"/>
  <c r="E283" i="13"/>
  <c r="C62" i="14"/>
  <c r="H51" i="15"/>
  <c r="K30" i="13"/>
  <c r="H26" i="13"/>
  <c r="H77" i="14"/>
  <c r="B187" i="14"/>
  <c r="N207" i="13"/>
  <c r="C110" i="15"/>
  <c r="C209" i="15"/>
  <c r="C149" i="15"/>
  <c r="C180" i="15"/>
  <c r="N31" i="13"/>
  <c r="J112" i="14"/>
  <c r="H86" i="13"/>
  <c r="N69" i="13"/>
  <c r="F78" i="15"/>
  <c r="D88" i="15"/>
  <c r="H10" i="13"/>
  <c r="B107" i="14"/>
  <c r="H69" i="13"/>
  <c r="J111" i="14"/>
  <c r="H59" i="15"/>
  <c r="C126" i="15"/>
  <c r="E143" i="15"/>
  <c r="H78" i="14"/>
  <c r="H43" i="13"/>
  <c r="C176" i="14"/>
  <c r="N55" i="13"/>
  <c r="E75" i="15"/>
  <c r="K154" i="13"/>
  <c r="C179" i="15"/>
  <c r="G87" i="15"/>
  <c r="C172" i="15"/>
  <c r="H110" i="14"/>
  <c r="H50" i="13"/>
  <c r="E51" i="15"/>
  <c r="F204" i="15"/>
  <c r="D92" i="14"/>
  <c r="H226" i="13"/>
  <c r="J120" i="14"/>
  <c r="H188" i="13"/>
  <c r="E29" i="15"/>
  <c r="H205" i="13"/>
  <c r="J121" i="14"/>
  <c r="D59" i="15"/>
  <c r="E153" i="15"/>
  <c r="E27" i="15"/>
  <c r="B17" i="15"/>
  <c r="N86" i="13"/>
  <c r="N15" i="31"/>
  <c r="K212" i="13"/>
  <c r="G155" i="14"/>
  <c r="E68" i="13"/>
  <c r="I46" i="14"/>
  <c r="F12" i="15"/>
  <c r="H143" i="15"/>
  <c r="D121" i="14"/>
  <c r="H199" i="13"/>
  <c r="F85" i="15"/>
  <c r="K24" i="13"/>
  <c r="F142" i="14"/>
  <c r="F117" i="15"/>
  <c r="D127" i="15"/>
  <c r="B126" i="15"/>
  <c r="B60" i="15"/>
  <c r="N96" i="13"/>
  <c r="C89" i="14"/>
  <c r="H191" i="13"/>
  <c r="B87" i="15"/>
  <c r="H262" i="13"/>
  <c r="F94" i="14"/>
  <c r="H61" i="14"/>
  <c r="E271" i="13"/>
  <c r="G85" i="14"/>
  <c r="H144" i="13"/>
  <c r="AO138" i="13"/>
  <c r="F213" i="14"/>
  <c r="K105" i="13"/>
  <c r="B148" i="14"/>
  <c r="B27" i="14"/>
  <c r="E224" i="13"/>
  <c r="D28" i="15"/>
  <c r="E269" i="13"/>
  <c r="F61" i="14"/>
  <c r="F246" i="15"/>
  <c r="D250" i="14"/>
  <c r="AF206" i="13"/>
  <c r="B29" i="15"/>
  <c r="H211" i="15"/>
  <c r="F191" i="15"/>
  <c r="K220" i="13"/>
  <c r="I111" i="14"/>
  <c r="H68" i="13"/>
  <c r="T104" i="13"/>
  <c r="B243" i="14"/>
  <c r="K250" i="13"/>
  <c r="B20" i="15"/>
  <c r="H175" i="13"/>
  <c r="D88" i="14"/>
  <c r="N181" i="13"/>
  <c r="H217" i="15"/>
  <c r="G25" i="15"/>
  <c r="H153" i="13"/>
  <c r="I117" i="14"/>
  <c r="B140" i="15"/>
  <c r="J117" i="15"/>
  <c r="J59" i="15"/>
  <c r="H10" i="14"/>
  <c r="E9" i="13"/>
  <c r="I124" i="15"/>
  <c r="N221" i="13"/>
  <c r="K127" i="13"/>
  <c r="G149" i="14"/>
  <c r="G236" i="15"/>
  <c r="C79" i="15"/>
  <c r="E160" i="15"/>
  <c r="E110" i="14"/>
  <c r="H47" i="13"/>
  <c r="E157" i="15"/>
  <c r="N164" i="13"/>
  <c r="F214" i="15"/>
  <c r="E133" i="13"/>
  <c r="F51" i="14"/>
  <c r="N131" i="13"/>
  <c r="N256" i="13"/>
  <c r="E6" i="13"/>
  <c r="E10" i="14"/>
  <c r="N202" i="13"/>
  <c r="AL19" i="13"/>
  <c r="E236" i="14"/>
  <c r="D181" i="15"/>
  <c r="E80" i="14"/>
  <c r="H74" i="13"/>
  <c r="N91" i="13"/>
  <c r="E179" i="14"/>
  <c r="H190" i="15"/>
  <c r="F148" i="14"/>
  <c r="K109" i="13"/>
  <c r="B75" i="14"/>
  <c r="H3" i="13"/>
  <c r="K199" i="13"/>
  <c r="C212" i="15"/>
  <c r="G23" i="15"/>
  <c r="AC19" i="13"/>
  <c r="D204" i="14"/>
  <c r="H236" i="13"/>
  <c r="G124" i="14"/>
  <c r="H125" i="13"/>
  <c r="E84" i="14"/>
  <c r="G189" i="14"/>
  <c r="N229" i="13"/>
  <c r="N162" i="13"/>
  <c r="H184" i="14"/>
  <c r="H39" i="13"/>
  <c r="D78" i="14"/>
  <c r="D19" i="15"/>
  <c r="F144" i="15"/>
  <c r="H46" i="13"/>
  <c r="D110" i="14"/>
  <c r="E79" i="15"/>
  <c r="G60" i="14"/>
  <c r="E253" i="13"/>
  <c r="G217" i="15"/>
  <c r="N48" i="13"/>
  <c r="F49" i="15"/>
  <c r="AC138" i="13"/>
  <c r="D213" i="14"/>
  <c r="K112" i="13"/>
  <c r="N42" i="13"/>
  <c r="G175" i="14"/>
  <c r="H12" i="15"/>
  <c r="H90" i="15"/>
  <c r="G95" i="14"/>
  <c r="H280" i="13"/>
  <c r="E56" i="14"/>
  <c r="E200" i="13"/>
  <c r="K111" i="13"/>
  <c r="H148" i="14"/>
  <c r="D211" i="15"/>
  <c r="H201" i="13"/>
  <c r="F121" i="14"/>
  <c r="F177" i="14"/>
  <c r="N75" i="13"/>
  <c r="D122" i="14"/>
  <c r="H216" i="13"/>
  <c r="K163" i="13"/>
  <c r="K7" i="13"/>
  <c r="F140" i="14"/>
  <c r="K114" i="13"/>
  <c r="K230" i="13"/>
  <c r="H157" i="14"/>
  <c r="J109" i="14"/>
  <c r="H35" i="13"/>
  <c r="K46" i="13"/>
  <c r="B77" i="15"/>
  <c r="H19" i="14"/>
  <c r="E128" i="13"/>
  <c r="K289" i="13"/>
  <c r="J122" i="14"/>
  <c r="H222" i="13"/>
  <c r="C45" i="14"/>
  <c r="E45" i="13"/>
  <c r="B174" i="15"/>
  <c r="H150" i="15"/>
  <c r="E112" i="15"/>
  <c r="F30" i="14"/>
  <c r="E279" i="13"/>
  <c r="H44" i="15"/>
  <c r="I116" i="15"/>
  <c r="K203" i="13"/>
  <c r="B238" i="14"/>
  <c r="T36" i="13"/>
  <c r="B84" i="14"/>
  <c r="H122" i="13"/>
  <c r="B236" i="14"/>
  <c r="T19" i="13"/>
  <c r="C219" i="15"/>
  <c r="G221" i="15"/>
  <c r="F256" i="15"/>
  <c r="N39" i="13"/>
  <c r="D175" i="14"/>
  <c r="F62" i="15"/>
  <c r="K185" i="13"/>
  <c r="H238" i="13"/>
  <c r="I124" i="14"/>
  <c r="C240" i="15"/>
  <c r="N13" i="31"/>
  <c r="N219" i="13"/>
  <c r="G28" i="15"/>
  <c r="B117" i="15"/>
  <c r="C223" i="14"/>
  <c r="W274" i="13"/>
  <c r="N8" i="31"/>
  <c r="D219" i="15"/>
  <c r="H45" i="15"/>
  <c r="E251" i="14"/>
  <c r="AL223" i="13"/>
  <c r="D208" i="15"/>
  <c r="AR19" i="31"/>
  <c r="D251" i="15"/>
  <c r="B239" i="14"/>
  <c r="T53" i="13"/>
  <c r="C93" i="14"/>
  <c r="H242" i="13"/>
  <c r="H222" i="15"/>
  <c r="B55" i="15"/>
  <c r="D23" i="15"/>
  <c r="D93" i="15"/>
  <c r="N290" i="13"/>
  <c r="C176" i="15"/>
  <c r="J107" i="15"/>
  <c r="H142" i="15"/>
  <c r="AR172" i="13"/>
  <c r="F248" i="14"/>
  <c r="C127" i="15"/>
  <c r="E204" i="14"/>
  <c r="AI19" i="13"/>
  <c r="E110" i="15"/>
  <c r="E261" i="13"/>
  <c r="E29" i="14"/>
  <c r="D109" i="14"/>
  <c r="H29" i="13"/>
  <c r="E256" i="15"/>
  <c r="C216" i="14"/>
  <c r="W172" i="13"/>
  <c r="K187" i="13"/>
  <c r="N54" i="13"/>
  <c r="B176" i="14"/>
  <c r="B110" i="15"/>
  <c r="H42" i="14"/>
  <c r="E16" i="13"/>
  <c r="E54" i="14"/>
  <c r="E166" i="13"/>
  <c r="B111" i="14"/>
  <c r="H61" i="13"/>
  <c r="F249" i="15"/>
  <c r="K118" i="13"/>
  <c r="K227" i="13"/>
  <c r="E157" i="14"/>
  <c r="H236" i="14"/>
  <c r="BD19" i="13"/>
  <c r="B192" i="15"/>
  <c r="B160" i="14"/>
  <c r="K275" i="13"/>
  <c r="G111" i="15"/>
  <c r="B62" i="14"/>
  <c r="E282" i="13"/>
  <c r="D47" i="15"/>
  <c r="C13" i="14"/>
  <c r="E38" i="13"/>
  <c r="D78" i="15"/>
  <c r="E183" i="13"/>
  <c r="E55" i="14"/>
  <c r="H15" i="31"/>
  <c r="H107" i="15"/>
  <c r="D179" i="14"/>
  <c r="N90" i="13"/>
  <c r="N93" i="13"/>
  <c r="G179" i="14"/>
  <c r="H77" i="13"/>
  <c r="H80" i="14"/>
  <c r="H225" i="13"/>
  <c r="C92" i="14"/>
  <c r="B172" i="14"/>
  <c r="N3" i="13"/>
  <c r="B236" i="15"/>
  <c r="E147" i="13"/>
  <c r="C52" i="14"/>
  <c r="C107" i="15"/>
  <c r="N193" i="13"/>
  <c r="E186" i="14"/>
  <c r="D95" i="15"/>
  <c r="H57" i="14"/>
  <c r="E220" i="13"/>
  <c r="E192" i="13"/>
  <c r="D24" i="14"/>
  <c r="F239" i="15"/>
  <c r="H41" i="13"/>
  <c r="F78" i="14"/>
  <c r="N270" i="13"/>
  <c r="E14" i="13"/>
  <c r="F42" i="14"/>
  <c r="F155" i="14"/>
  <c r="K211" i="13"/>
  <c r="E192" i="15"/>
  <c r="E236" i="15"/>
  <c r="N163" i="13"/>
  <c r="J56" i="14"/>
  <c r="E205" i="13"/>
  <c r="H181" i="13"/>
  <c r="C120" i="14"/>
  <c r="H49" i="14"/>
  <c r="E101" i="13"/>
  <c r="B95" i="15"/>
  <c r="H107" i="14"/>
  <c r="H16" i="13"/>
  <c r="N212" i="13"/>
  <c r="G187" i="14"/>
  <c r="D25" i="14"/>
  <c r="E209" i="13"/>
  <c r="E61" i="13"/>
  <c r="B46" i="14"/>
  <c r="E212" i="14"/>
  <c r="AI121" i="13"/>
  <c r="N178" i="13"/>
  <c r="G185" i="14"/>
  <c r="F111" i="14"/>
  <c r="H65" i="13"/>
  <c r="E204" i="15"/>
  <c r="D192" i="15"/>
  <c r="D54" i="15"/>
  <c r="H18" i="14"/>
  <c r="E111" i="13"/>
  <c r="D176" i="15"/>
  <c r="J44" i="15"/>
  <c r="B52" i="15"/>
  <c r="E82" i="15"/>
  <c r="E10" i="31"/>
  <c r="F75" i="15"/>
  <c r="E187" i="13"/>
  <c r="I55" i="14"/>
  <c r="F79" i="14"/>
  <c r="H58" i="13"/>
  <c r="E185" i="15"/>
  <c r="J47" i="15"/>
  <c r="E85" i="15"/>
  <c r="D144" i="14"/>
  <c r="K56" i="13"/>
  <c r="K183" i="13"/>
  <c r="K217" i="13"/>
  <c r="N25" i="13"/>
  <c r="G174" i="14"/>
  <c r="H13" i="15"/>
  <c r="N20" i="13"/>
  <c r="B174" i="14"/>
  <c r="D190" i="15"/>
  <c r="N126" i="13"/>
  <c r="F181" i="14"/>
  <c r="H172" i="15"/>
  <c r="N153" i="13"/>
  <c r="F140" i="15"/>
  <c r="K214" i="13"/>
  <c r="G192" i="15"/>
  <c r="B213" i="15"/>
  <c r="F51" i="15"/>
  <c r="E95" i="13"/>
  <c r="B49" i="14"/>
  <c r="C56" i="15"/>
  <c r="D243" i="15"/>
  <c r="K67" i="13"/>
  <c r="BD121" i="13"/>
  <c r="H244" i="14"/>
  <c r="C83" i="14"/>
  <c r="H106" i="13"/>
  <c r="N236" i="13"/>
  <c r="C49" i="15"/>
  <c r="K266" i="13"/>
  <c r="B245" i="15"/>
  <c r="AC206" i="13"/>
  <c r="D218" i="14"/>
  <c r="B142" i="15"/>
  <c r="B88" i="15"/>
  <c r="N27" i="13"/>
  <c r="K179" i="13"/>
  <c r="H153" i="14"/>
  <c r="AL87" i="13"/>
  <c r="E241" i="14"/>
  <c r="N35" i="13"/>
  <c r="K97" i="13"/>
  <c r="N225" i="13"/>
  <c r="C189" i="14"/>
  <c r="AU274" i="13"/>
  <c r="G223" i="14"/>
  <c r="E153" i="13"/>
  <c r="I52" i="14"/>
  <c r="F120" i="15"/>
  <c r="F160" i="15"/>
  <c r="D221" i="15"/>
  <c r="K48" i="13"/>
  <c r="N200" i="13"/>
  <c r="D29" i="15"/>
  <c r="H255" i="15"/>
  <c r="N166" i="13"/>
  <c r="C158" i="15"/>
  <c r="D187" i="14"/>
  <c r="N209" i="13"/>
  <c r="E79" i="14"/>
  <c r="H57" i="13"/>
  <c r="D239" i="15"/>
  <c r="H72" i="13"/>
  <c r="C80" i="14"/>
  <c r="H79" i="14"/>
  <c r="H60" i="13"/>
  <c r="D114" i="14"/>
  <c r="H97" i="13"/>
  <c r="E90" i="15"/>
  <c r="F80" i="15"/>
  <c r="D160" i="15"/>
  <c r="H63" i="13"/>
  <c r="D111" i="14"/>
  <c r="K193" i="13"/>
  <c r="E154" i="14"/>
  <c r="C85" i="15"/>
  <c r="J115" i="15"/>
  <c r="H149" i="15"/>
  <c r="H115" i="13"/>
  <c r="E115" i="14"/>
  <c r="F155" i="15"/>
  <c r="H109" i="15"/>
  <c r="H224" i="15"/>
  <c r="J127" i="14"/>
  <c r="H290" i="13"/>
  <c r="J120" i="15"/>
  <c r="E23" i="13"/>
  <c r="E12" i="14"/>
  <c r="H120" i="14"/>
  <c r="H186" i="13"/>
  <c r="E181" i="15"/>
  <c r="G17" i="15"/>
  <c r="K82" i="13"/>
  <c r="N29" i="13"/>
  <c r="B204" i="15"/>
  <c r="F54" i="15"/>
  <c r="N215" i="13"/>
  <c r="K93" i="13"/>
  <c r="G147" i="14"/>
  <c r="F52" i="15"/>
  <c r="H128" i="13"/>
  <c r="H84" i="14"/>
  <c r="H23" i="13"/>
  <c r="E77" i="14"/>
  <c r="C44" i="15"/>
  <c r="N265" i="13"/>
  <c r="E140" i="15"/>
  <c r="C109" i="14"/>
  <c r="H28" i="13"/>
  <c r="F54" i="14"/>
  <c r="E167" i="13"/>
  <c r="BA138" i="13"/>
  <c r="H213" i="14"/>
  <c r="D191" i="15"/>
  <c r="E241" i="15"/>
  <c r="H22" i="15"/>
  <c r="H120" i="15"/>
  <c r="F61" i="15"/>
  <c r="E60" i="15"/>
  <c r="F189" i="15"/>
  <c r="H214" i="15"/>
  <c r="D10" i="14"/>
  <c r="E5" i="13"/>
  <c r="C177" i="14"/>
  <c r="N72" i="13"/>
  <c r="B115" i="15"/>
  <c r="K160" i="13"/>
  <c r="F152" i="14"/>
  <c r="E172" i="15"/>
  <c r="C20" i="14"/>
  <c r="E140" i="13"/>
  <c r="K18" i="31"/>
  <c r="B187" i="15"/>
  <c r="N267" i="13"/>
  <c r="C175" i="14"/>
  <c r="N38" i="13"/>
  <c r="G144" i="15"/>
  <c r="C246" i="15"/>
  <c r="H46" i="14"/>
  <c r="E67" i="13"/>
  <c r="N158" i="13"/>
  <c r="D184" i="14"/>
  <c r="E15" i="15"/>
  <c r="G241" i="15"/>
  <c r="I119" i="14"/>
  <c r="H170" i="13"/>
  <c r="D79" i="15"/>
  <c r="E50" i="13"/>
  <c r="H45" i="14"/>
  <c r="G191" i="14"/>
  <c r="N263" i="13"/>
  <c r="C190" i="15"/>
  <c r="F185" i="15"/>
  <c r="H17" i="15"/>
  <c r="G153" i="15"/>
  <c r="F107" i="15"/>
  <c r="E78" i="13"/>
  <c r="B47" i="14"/>
  <c r="E25" i="14"/>
  <c r="E210" i="13"/>
  <c r="F190" i="15"/>
  <c r="E5" i="31"/>
  <c r="E6" i="31"/>
  <c r="D24" i="15"/>
  <c r="I55" i="15"/>
  <c r="C251" i="15"/>
  <c r="D77" i="15"/>
  <c r="N198" i="13"/>
  <c r="D115" i="14"/>
  <c r="H114" i="13"/>
  <c r="C125" i="15"/>
  <c r="H143" i="14"/>
  <c r="K43" i="13"/>
  <c r="K226" i="13"/>
  <c r="D157" i="14"/>
  <c r="B142" i="14"/>
  <c r="K20" i="13"/>
  <c r="H112" i="15"/>
  <c r="I111" i="15"/>
  <c r="G190" i="14"/>
  <c r="N246" i="13"/>
  <c r="B148" i="15"/>
  <c r="H255" i="13"/>
  <c r="I125" i="14"/>
  <c r="F95" i="15"/>
  <c r="E208" i="14"/>
  <c r="AI70" i="13"/>
  <c r="G207" i="15"/>
  <c r="H256" i="13"/>
  <c r="J125" i="14"/>
  <c r="D221" i="14"/>
  <c r="AC240" i="13"/>
  <c r="D223" i="14"/>
  <c r="AC274" i="13"/>
  <c r="G176" i="14"/>
  <c r="N59" i="13"/>
  <c r="E186" i="13"/>
  <c r="H55" i="14"/>
  <c r="C256" i="15"/>
  <c r="C116" i="15"/>
  <c r="AC172" i="13"/>
  <c r="D216" i="14"/>
  <c r="AC53" i="13"/>
  <c r="D207" i="14"/>
  <c r="H278" i="13"/>
  <c r="E95" i="14"/>
  <c r="H153" i="15"/>
  <c r="B107" i="15"/>
  <c r="H126" i="15"/>
  <c r="H21" i="13"/>
  <c r="C77" i="14"/>
  <c r="N46" i="13"/>
  <c r="D147" i="14"/>
  <c r="K90" i="13"/>
  <c r="AI240" i="13"/>
  <c r="E221" i="14"/>
  <c r="E124" i="14"/>
  <c r="H234" i="13"/>
  <c r="H61" i="15"/>
  <c r="E17" i="13"/>
  <c r="I42" i="14"/>
  <c r="K195" i="13"/>
  <c r="G154" i="14"/>
  <c r="K151" i="13"/>
  <c r="N117" i="13"/>
  <c r="H33" i="13"/>
  <c r="H109" i="14"/>
  <c r="K40" i="13"/>
  <c r="E143" i="14"/>
  <c r="G51" i="15"/>
  <c r="F217" i="15"/>
  <c r="K83" i="13"/>
  <c r="N32" i="13"/>
  <c r="G152" i="15"/>
  <c r="E229" i="13"/>
  <c r="G27" i="14"/>
  <c r="H154" i="15"/>
  <c r="C42" i="15"/>
  <c r="B45" i="14"/>
  <c r="E44" i="13"/>
  <c r="E129" i="13"/>
  <c r="B51" i="14"/>
  <c r="H185" i="15"/>
  <c r="K5" i="31"/>
  <c r="E26" i="13"/>
  <c r="H12" i="14"/>
  <c r="F13" i="14"/>
  <c r="E41" i="13"/>
  <c r="K194" i="13"/>
  <c r="F154" i="14"/>
  <c r="E135" i="13"/>
  <c r="H51" i="14"/>
  <c r="G160" i="14"/>
  <c r="K280" i="13"/>
  <c r="E82" i="14"/>
  <c r="H91" i="13"/>
  <c r="E262" i="13"/>
  <c r="F29" i="14"/>
  <c r="H93" i="15"/>
  <c r="B25" i="15"/>
  <c r="C30" i="14"/>
  <c r="E276" i="13"/>
  <c r="H34" i="13"/>
  <c r="I109" i="14"/>
  <c r="J117" i="14"/>
  <c r="H154" i="13"/>
  <c r="K215" i="13"/>
  <c r="G22" i="15"/>
  <c r="N237" i="13"/>
  <c r="B50" i="15"/>
  <c r="E159" i="13"/>
  <c r="E22" i="14"/>
  <c r="H159" i="15"/>
  <c r="F221" i="14"/>
  <c r="AO240" i="13"/>
  <c r="E111" i="15"/>
  <c r="C209" i="14"/>
  <c r="W87" i="13"/>
  <c r="F186" i="14"/>
  <c r="N194" i="13"/>
  <c r="G52" i="15"/>
  <c r="E234" i="13"/>
  <c r="E59" i="14"/>
  <c r="N260" i="13"/>
  <c r="D191" i="14"/>
  <c r="K62" i="13"/>
  <c r="E14" i="31"/>
  <c r="N253" i="13"/>
  <c r="F180" i="15"/>
  <c r="H5" i="31"/>
  <c r="D217" i="14"/>
  <c r="AC189" i="13"/>
  <c r="B240" i="15"/>
  <c r="I49" i="14"/>
  <c r="E102" i="13"/>
  <c r="C89" i="15"/>
  <c r="D240" i="14"/>
  <c r="AF70" i="13"/>
  <c r="G216" i="15"/>
  <c r="H149" i="14"/>
  <c r="K128" i="13"/>
  <c r="E190" i="14"/>
  <c r="N244" i="13"/>
  <c r="E264" i="13"/>
  <c r="H29" i="14"/>
  <c r="C249" i="14"/>
  <c r="Z189" i="13"/>
  <c r="H161" i="13"/>
  <c r="G87" i="14"/>
  <c r="H134" i="13"/>
  <c r="G116" i="14"/>
  <c r="F238" i="15"/>
  <c r="E106" i="13"/>
  <c r="C18" i="14"/>
  <c r="Z240" i="13"/>
  <c r="C253" i="14"/>
  <c r="H117" i="15"/>
  <c r="E18" i="31"/>
  <c r="E4" i="31"/>
  <c r="E93" i="15"/>
  <c r="C238" i="14"/>
  <c r="Z36" i="13"/>
  <c r="D49" i="15"/>
  <c r="N7" i="31"/>
  <c r="E184" i="13"/>
  <c r="F55" i="14"/>
  <c r="T138" i="13"/>
  <c r="B245" i="14"/>
  <c r="E3" i="31"/>
  <c r="G207" i="14"/>
  <c r="AU53" i="13"/>
  <c r="D15" i="15"/>
  <c r="C241" i="14"/>
  <c r="Z87" i="13"/>
  <c r="F44" i="15"/>
  <c r="K136" i="13"/>
  <c r="D209" i="14"/>
  <c r="AC87" i="13"/>
  <c r="D214" i="15"/>
  <c r="E240" i="15"/>
  <c r="H85" i="13"/>
  <c r="I112" i="14"/>
  <c r="B120" i="14"/>
  <c r="H180" i="13"/>
  <c r="E256" i="14"/>
  <c r="AL291" i="13"/>
  <c r="B244" i="15"/>
  <c r="G175" i="15"/>
  <c r="D160" i="14"/>
  <c r="K277" i="13"/>
  <c r="K234" i="13"/>
  <c r="K17" i="31"/>
  <c r="G90" i="15"/>
  <c r="E109" i="15"/>
  <c r="C213" i="15"/>
  <c r="K159" i="13"/>
  <c r="E152" i="14"/>
  <c r="N30" i="13"/>
  <c r="F209" i="14"/>
  <c r="AO87" i="13"/>
  <c r="G52" i="14"/>
  <c r="E151" i="13"/>
  <c r="N6" i="13"/>
  <c r="E172" i="14"/>
  <c r="B109" i="14"/>
  <c r="H27" i="13"/>
  <c r="G110" i="15"/>
  <c r="F110" i="15"/>
  <c r="N228" i="13"/>
  <c r="F189" i="14"/>
  <c r="H148" i="13"/>
  <c r="D117" i="14"/>
  <c r="D30" i="15"/>
  <c r="Z70" i="13"/>
  <c r="C240" i="14"/>
  <c r="E287" i="13"/>
  <c r="G62" i="14"/>
  <c r="G15" i="15"/>
  <c r="H250" i="14"/>
  <c r="BD206" i="13"/>
  <c r="G46" i="15"/>
  <c r="H127" i="15"/>
  <c r="N50" i="13"/>
  <c r="K58" i="13"/>
  <c r="F144" i="14"/>
  <c r="N190" i="13"/>
  <c r="B186" i="14"/>
  <c r="G255" i="15"/>
  <c r="B56" i="15"/>
  <c r="D216" i="15"/>
  <c r="F84" i="15"/>
  <c r="C61" i="15"/>
  <c r="K290" i="13"/>
  <c r="E150" i="14"/>
  <c r="K142" i="13"/>
  <c r="H268" i="13"/>
  <c r="E126" i="14"/>
  <c r="AR274" i="13"/>
  <c r="F255" i="14"/>
  <c r="H78" i="15"/>
  <c r="F243" i="14"/>
  <c r="AR104" i="13"/>
  <c r="F83" i="15"/>
  <c r="E24" i="15"/>
  <c r="G46" i="14"/>
  <c r="E66" i="13"/>
  <c r="F15" i="15"/>
  <c r="E114" i="14"/>
  <c r="H98" i="13"/>
  <c r="F14" i="14"/>
  <c r="E58" i="13"/>
  <c r="E81" i="13"/>
  <c r="E47" i="14"/>
  <c r="C175" i="15"/>
  <c r="H193" i="13"/>
  <c r="E89" i="14"/>
  <c r="B125" i="14"/>
  <c r="H248" i="13"/>
  <c r="F145" i="14"/>
  <c r="K75" i="13"/>
  <c r="K6" i="31"/>
  <c r="F211" i="15"/>
  <c r="F177" i="15"/>
  <c r="H45" i="13"/>
  <c r="C110" i="14"/>
  <c r="H253" i="13"/>
  <c r="G125" i="14"/>
  <c r="E155" i="15"/>
  <c r="N49" i="13"/>
  <c r="E149" i="13"/>
  <c r="E52" i="14"/>
  <c r="N124" i="13"/>
  <c r="D181" i="14"/>
  <c r="E243" i="15"/>
  <c r="B207" i="14"/>
  <c r="Q53" i="13"/>
  <c r="C119" i="14"/>
  <c r="H164" i="13"/>
  <c r="C185" i="14"/>
  <c r="N174" i="13"/>
  <c r="E117" i="15"/>
  <c r="E250" i="13"/>
  <c r="D60" i="14"/>
  <c r="E251" i="15"/>
  <c r="E99" i="13"/>
  <c r="F49" i="14"/>
  <c r="N208" i="13"/>
  <c r="C187" i="14"/>
  <c r="N135" i="13"/>
  <c r="H110" i="15"/>
  <c r="H239" i="15"/>
  <c r="E214" i="13"/>
  <c r="B57" i="14"/>
  <c r="E243" i="14"/>
  <c r="AL104" i="13"/>
  <c r="C25" i="15"/>
  <c r="D157" i="15"/>
  <c r="D238" i="15"/>
  <c r="K285" i="13"/>
  <c r="N41" i="13"/>
  <c r="F175" i="14"/>
  <c r="H116" i="14"/>
  <c r="H135" i="13"/>
  <c r="B241" i="14"/>
  <c r="T87" i="13"/>
  <c r="D13" i="15"/>
  <c r="I62" i="15"/>
  <c r="C253" i="15"/>
  <c r="I44" i="15"/>
  <c r="H190" i="13"/>
  <c r="B89" i="14"/>
  <c r="H17" i="14"/>
  <c r="E94" i="13"/>
  <c r="N82" i="13"/>
  <c r="C124" i="15"/>
  <c r="J127" i="15"/>
  <c r="D241" i="15"/>
  <c r="B172" i="15"/>
  <c r="F221" i="15"/>
  <c r="H121" i="15"/>
  <c r="G181" i="15"/>
  <c r="N248" i="13"/>
  <c r="I61" i="15"/>
  <c r="B84" i="15"/>
  <c r="D117" i="15"/>
  <c r="N151" i="13"/>
  <c r="E239" i="15"/>
  <c r="G240" i="14"/>
  <c r="AX70" i="13"/>
  <c r="G214" i="15"/>
  <c r="E121" i="15"/>
  <c r="N133" i="13"/>
  <c r="N278" i="13"/>
  <c r="E192" i="14"/>
  <c r="G186" i="14"/>
  <c r="N195" i="13"/>
  <c r="K119" i="13"/>
  <c r="AF240" i="13"/>
  <c r="D253" i="14"/>
  <c r="H202" i="13"/>
  <c r="G121" i="14"/>
  <c r="D209" i="15"/>
  <c r="K148" i="13"/>
  <c r="F184" i="15"/>
  <c r="C224" i="15"/>
  <c r="H30" i="13"/>
  <c r="E109" i="14"/>
  <c r="N161" i="13"/>
  <c r="G184" i="14"/>
  <c r="D172" i="15"/>
  <c r="C117" i="15"/>
  <c r="K270" i="13"/>
  <c r="E84" i="13"/>
  <c r="H47" i="14"/>
  <c r="G109" i="15"/>
  <c r="H141" i="13"/>
  <c r="D85" i="14"/>
  <c r="K100" i="13"/>
  <c r="G18" i="14"/>
  <c r="E110" i="13"/>
  <c r="B155" i="15"/>
  <c r="I114" i="14"/>
  <c r="H102" i="13"/>
  <c r="D185" i="15"/>
  <c r="K267" i="13"/>
  <c r="F142" i="15"/>
  <c r="H219" i="15"/>
  <c r="C212" i="14"/>
  <c r="W121" i="13"/>
  <c r="E254" i="14"/>
  <c r="AL257" i="13"/>
  <c r="D179" i="15"/>
  <c r="C221" i="15"/>
  <c r="H155" i="15"/>
  <c r="B83" i="15"/>
  <c r="E122" i="15"/>
  <c r="F84" i="14"/>
  <c r="H126" i="13"/>
  <c r="E147" i="15"/>
  <c r="K132" i="13"/>
  <c r="G244" i="14"/>
  <c r="AX121" i="13"/>
  <c r="G14" i="15"/>
  <c r="H254" i="13"/>
  <c r="H125" i="14"/>
  <c r="H95" i="14"/>
  <c r="H281" i="13"/>
  <c r="E114" i="13"/>
  <c r="D50" i="14"/>
  <c r="H160" i="14"/>
  <c r="K281" i="13"/>
  <c r="T19" i="31"/>
  <c r="C79" i="14"/>
  <c r="H55" i="13"/>
  <c r="K96" i="13"/>
  <c r="B10" i="14"/>
  <c r="E3" i="13"/>
  <c r="N191" i="13"/>
  <c r="C186" i="14"/>
  <c r="D154" i="15"/>
  <c r="E49" i="14"/>
  <c r="E98" i="13"/>
  <c r="G59" i="15"/>
  <c r="E92" i="13"/>
  <c r="F17" i="14"/>
  <c r="F90" i="14"/>
  <c r="H211" i="13"/>
  <c r="N148" i="13"/>
  <c r="D94" i="15"/>
  <c r="H17" i="31"/>
  <c r="BD291" i="13"/>
  <c r="H256" i="14"/>
  <c r="B157" i="15"/>
  <c r="N113" i="13"/>
  <c r="J62" i="15"/>
  <c r="K15" i="31"/>
  <c r="H194" i="13"/>
  <c r="F89" i="14"/>
  <c r="F25" i="14"/>
  <c r="E211" i="13"/>
  <c r="D23" i="14"/>
  <c r="E175" i="13"/>
  <c r="N245" i="13"/>
  <c r="F190" i="14"/>
  <c r="F207" i="14"/>
  <c r="AO53" i="13"/>
  <c r="G114" i="14"/>
  <c r="H100" i="13"/>
  <c r="C190" i="14"/>
  <c r="N242" i="13"/>
  <c r="H56" i="13"/>
  <c r="D79" i="14"/>
  <c r="F223" i="14"/>
  <c r="AO274" i="13"/>
  <c r="K272" i="13"/>
  <c r="G216" i="14"/>
  <c r="AU172" i="13"/>
  <c r="F57" i="15"/>
  <c r="B153" i="15"/>
  <c r="H224" i="14"/>
  <c r="BA291" i="13"/>
  <c r="E288" i="13"/>
  <c r="H62" i="14"/>
  <c r="F224" i="14"/>
  <c r="AO291" i="13"/>
  <c r="B191" i="14"/>
  <c r="N258" i="13"/>
  <c r="F94" i="15"/>
  <c r="D57" i="15"/>
  <c r="B17" i="14"/>
  <c r="E88" i="13"/>
  <c r="H147" i="13"/>
  <c r="C117" i="14"/>
  <c r="K283" i="13"/>
  <c r="D22" i="14"/>
  <c r="E158" i="13"/>
  <c r="E15" i="14"/>
  <c r="E74" i="13"/>
  <c r="N220" i="13"/>
  <c r="H13" i="31"/>
  <c r="H276" i="13"/>
  <c r="C95" i="14"/>
  <c r="N16" i="31"/>
  <c r="C154" i="15"/>
  <c r="N105" i="13"/>
  <c r="B180" i="14"/>
  <c r="F255" i="15"/>
  <c r="AL36" i="13"/>
  <c r="E238" i="14"/>
  <c r="G239" i="15"/>
  <c r="E125" i="14"/>
  <c r="H251" i="13"/>
  <c r="D211" i="14"/>
  <c r="AC104" i="13"/>
  <c r="F186" i="15"/>
  <c r="T70" i="13"/>
  <c r="B240" i="14"/>
  <c r="G191" i="15"/>
  <c r="Z223" i="13"/>
  <c r="C251" i="14"/>
  <c r="E92" i="15"/>
  <c r="I115" i="15"/>
  <c r="AF36" i="13"/>
  <c r="D238" i="14"/>
  <c r="C218" i="15"/>
  <c r="C111" i="15"/>
  <c r="BD189" i="13"/>
  <c r="H249" i="14"/>
  <c r="H243" i="14"/>
  <c r="BD104" i="13"/>
  <c r="E149" i="15"/>
  <c r="AF155" i="13"/>
  <c r="D246" i="14"/>
  <c r="F238" i="14"/>
  <c r="AR36" i="13"/>
  <c r="H249" i="13"/>
  <c r="C125" i="14"/>
  <c r="C249" i="15"/>
  <c r="D19" i="14"/>
  <c r="E124" i="13"/>
  <c r="F122" i="15"/>
  <c r="N84" i="13"/>
  <c r="N211" i="13"/>
  <c r="F187" i="14"/>
  <c r="K241" i="13"/>
  <c r="B158" i="14"/>
  <c r="K117" i="13"/>
  <c r="E28" i="14"/>
  <c r="E244" i="13"/>
  <c r="H19" i="15"/>
  <c r="E45" i="15"/>
  <c r="H44" i="13"/>
  <c r="B110" i="14"/>
  <c r="D155" i="15"/>
  <c r="E159" i="15"/>
  <c r="H174" i="15"/>
  <c r="K254" i="13"/>
  <c r="K133" i="13"/>
  <c r="N115" i="13"/>
  <c r="G23" i="14"/>
  <c r="E178" i="13"/>
  <c r="G243" i="15"/>
  <c r="C109" i="15"/>
  <c r="G250" i="15"/>
  <c r="D149" i="15"/>
  <c r="B175" i="15"/>
  <c r="D55" i="15"/>
  <c r="E176" i="13"/>
  <c r="E23" i="14"/>
  <c r="N284" i="13"/>
  <c r="K129" i="13"/>
  <c r="F124" i="14"/>
  <c r="H235" i="13"/>
  <c r="E152" i="13"/>
  <c r="H52" i="14"/>
  <c r="E176" i="15"/>
  <c r="K262" i="13"/>
  <c r="F159" i="14"/>
  <c r="K164" i="13"/>
  <c r="F209" i="15"/>
  <c r="H4" i="31"/>
  <c r="J125" i="15"/>
  <c r="J114" i="14"/>
  <c r="H103" i="13"/>
  <c r="C153" i="14"/>
  <c r="K174" i="13"/>
  <c r="N146" i="13"/>
  <c r="F24" i="15"/>
  <c r="B182" i="15"/>
  <c r="B57" i="15"/>
  <c r="H23" i="14"/>
  <c r="E179" i="13"/>
  <c r="H115" i="15"/>
  <c r="B19" i="15"/>
  <c r="E19" i="15"/>
  <c r="N78" i="13"/>
  <c r="G122" i="15"/>
  <c r="E289" i="13"/>
  <c r="I62" i="14"/>
  <c r="N136" i="13"/>
  <c r="E119" i="13"/>
  <c r="I50" i="14"/>
  <c r="H173" i="13"/>
  <c r="B88" i="14"/>
  <c r="C236" i="14"/>
  <c r="Z19" i="13"/>
  <c r="D204" i="15"/>
  <c r="D14" i="15"/>
  <c r="H12" i="13"/>
  <c r="D107" i="14"/>
  <c r="H230" i="13"/>
  <c r="H92" i="14"/>
  <c r="B112" i="14"/>
  <c r="H78" i="13"/>
  <c r="D114" i="15"/>
  <c r="N199" i="13"/>
  <c r="G88" i="15"/>
  <c r="E80" i="15"/>
  <c r="D248" i="15"/>
  <c r="E93" i="13"/>
  <c r="G17" i="14"/>
  <c r="H251" i="15"/>
  <c r="E49" i="15"/>
  <c r="G51" i="14"/>
  <c r="E134" i="13"/>
  <c r="H246" i="13"/>
  <c r="G93" i="14"/>
  <c r="H171" i="13"/>
  <c r="J119" i="14"/>
  <c r="H187" i="15"/>
  <c r="K252" i="13"/>
  <c r="F254" i="14"/>
  <c r="AR257" i="13"/>
  <c r="E191" i="15"/>
  <c r="K123" i="13"/>
  <c r="C149" i="14"/>
  <c r="W53" i="13"/>
  <c r="C207" i="14"/>
  <c r="K134" i="13"/>
  <c r="E216" i="13"/>
  <c r="D57" i="14"/>
  <c r="K27" i="13"/>
  <c r="AI189" i="13"/>
  <c r="E217" i="14"/>
  <c r="E254" i="15"/>
  <c r="D245" i="15"/>
  <c r="K228" i="13"/>
  <c r="F157" i="14"/>
  <c r="F240" i="15"/>
  <c r="K8" i="31"/>
  <c r="H163" i="13"/>
  <c r="B119" i="14"/>
  <c r="N201" i="13"/>
  <c r="N12" i="31"/>
  <c r="E107" i="13"/>
  <c r="D18" i="14"/>
  <c r="B189" i="15"/>
  <c r="C217" i="15"/>
  <c r="D90" i="15"/>
  <c r="G211" i="14"/>
  <c r="AU104" i="13"/>
  <c r="C145" i="15"/>
  <c r="E174" i="15"/>
  <c r="E115" i="13"/>
  <c r="E50" i="14"/>
  <c r="C191" i="15"/>
  <c r="F23" i="15"/>
  <c r="N68" i="13"/>
  <c r="E223" i="14"/>
  <c r="AI274" i="13"/>
  <c r="G222" i="14"/>
  <c r="AU257" i="13"/>
  <c r="N10" i="31"/>
  <c r="H189" i="15"/>
  <c r="AC19" i="31"/>
  <c r="K213" i="13"/>
  <c r="H155" i="14"/>
  <c r="C15" i="15"/>
  <c r="AL138" i="13"/>
  <c r="E245" i="14"/>
  <c r="K79" i="13"/>
  <c r="H289" i="13"/>
  <c r="I127" i="14"/>
  <c r="G224" i="14"/>
  <c r="AU291" i="13"/>
  <c r="H209" i="13"/>
  <c r="D90" i="14"/>
  <c r="H246" i="15"/>
  <c r="C62" i="15"/>
  <c r="D153" i="15"/>
  <c r="C22" i="14"/>
  <c r="E157" i="13"/>
  <c r="H253" i="15"/>
  <c r="C12" i="14"/>
  <c r="E21" i="13"/>
  <c r="C23" i="14"/>
  <c r="E174" i="13"/>
  <c r="E112" i="13"/>
  <c r="B50" i="14"/>
  <c r="J116" i="15"/>
  <c r="G251" i="15"/>
  <c r="D223" i="15"/>
  <c r="H121" i="14"/>
  <c r="H203" i="13"/>
  <c r="F55" i="15"/>
  <c r="C241" i="15"/>
  <c r="C93" i="15"/>
  <c r="I119" i="15"/>
  <c r="I121" i="15"/>
  <c r="E62" i="15"/>
  <c r="N276" i="13"/>
  <c r="C192" i="14"/>
  <c r="N252" i="13"/>
  <c r="K244" i="13"/>
  <c r="E158" i="14"/>
  <c r="J57" i="15"/>
  <c r="D62" i="15"/>
  <c r="H275" i="13"/>
  <c r="B95" i="14"/>
  <c r="B147" i="14"/>
  <c r="K88" i="13"/>
  <c r="E33" i="13"/>
  <c r="H44" i="14"/>
  <c r="K29" i="13"/>
  <c r="H108" i="13"/>
  <c r="E83" i="14"/>
  <c r="H286" i="13"/>
  <c r="F127" i="14"/>
  <c r="B42" i="15"/>
  <c r="H221" i="15"/>
  <c r="E4" i="13"/>
  <c r="C10" i="14"/>
  <c r="C14" i="14"/>
  <c r="E55" i="13"/>
  <c r="D186" i="15"/>
  <c r="AX274" i="13"/>
  <c r="G255" i="14"/>
  <c r="K49" i="13"/>
  <c r="G117" i="15"/>
  <c r="H187" i="14"/>
  <c r="N213" i="13"/>
  <c r="D149" i="14"/>
  <c r="K124" i="13"/>
  <c r="AL19" i="31"/>
  <c r="N7" i="13"/>
  <c r="F172" i="14"/>
  <c r="H158" i="15"/>
  <c r="G172" i="15"/>
  <c r="B12" i="15"/>
  <c r="N272" i="13"/>
  <c r="E90" i="13"/>
  <c r="D17" i="14"/>
  <c r="F27" i="15"/>
  <c r="D89" i="14"/>
  <c r="H192" i="13"/>
  <c r="C189" i="15"/>
  <c r="D92" i="15"/>
  <c r="B46" i="15"/>
  <c r="H254" i="15"/>
  <c r="AR155" i="13"/>
  <c r="F246" i="14"/>
  <c r="B44" i="14"/>
  <c r="E27" i="13"/>
  <c r="J114" i="15"/>
  <c r="H54" i="15"/>
  <c r="C153" i="15"/>
  <c r="H49" i="15"/>
  <c r="K69" i="13"/>
  <c r="J121" i="15"/>
  <c r="K99" i="13"/>
  <c r="H151" i="13"/>
  <c r="G117" i="14"/>
  <c r="H187" i="13"/>
  <c r="I120" i="14"/>
  <c r="G78" i="15"/>
  <c r="K221" i="13"/>
  <c r="E9" i="31"/>
  <c r="F126" i="14"/>
  <c r="H269" i="13"/>
  <c r="G204" i="14"/>
  <c r="AU19" i="13"/>
  <c r="H10" i="31"/>
  <c r="H191" i="14"/>
  <c r="N264" i="13"/>
  <c r="K55" i="13"/>
  <c r="C144" i="14"/>
  <c r="G61" i="15"/>
  <c r="E83" i="15"/>
  <c r="I54" i="14"/>
  <c r="E170" i="13"/>
  <c r="K182" i="13"/>
  <c r="N9" i="31"/>
  <c r="AR70" i="13"/>
  <c r="F240" i="14"/>
  <c r="F50" i="15"/>
  <c r="K85" i="13"/>
  <c r="N176" i="13"/>
  <c r="E185" i="14"/>
  <c r="H101" i="13"/>
  <c r="H114" i="14"/>
  <c r="BA240" i="13"/>
  <c r="H221" i="14"/>
  <c r="K171" i="13"/>
  <c r="N204" i="13"/>
  <c r="B122" i="15"/>
  <c r="D29" i="14"/>
  <c r="E260" i="13"/>
  <c r="N196" i="13"/>
  <c r="H186" i="14"/>
  <c r="E254" i="13"/>
  <c r="H60" i="14"/>
  <c r="G83" i="14"/>
  <c r="H110" i="13"/>
  <c r="E87" i="15"/>
  <c r="H189" i="14"/>
  <c r="N230" i="13"/>
  <c r="E105" i="13"/>
  <c r="B18" i="14"/>
  <c r="E119" i="15"/>
  <c r="H241" i="15"/>
  <c r="H207" i="13"/>
  <c r="B90" i="14"/>
  <c r="AL172" i="13"/>
  <c r="E248" i="14"/>
  <c r="K81" i="13"/>
  <c r="C222" i="14"/>
  <c r="W257" i="13"/>
  <c r="N186" i="13"/>
  <c r="N145" i="13"/>
  <c r="H182" i="14"/>
  <c r="H47" i="15"/>
  <c r="E59" i="15"/>
  <c r="D219" i="14"/>
  <c r="AC223" i="13"/>
  <c r="F157" i="15"/>
  <c r="H119" i="15"/>
  <c r="G182" i="15"/>
  <c r="E20" i="14"/>
  <c r="E142" i="13"/>
  <c r="D89" i="15"/>
  <c r="K268" i="13"/>
  <c r="AO172" i="13"/>
  <c r="F216" i="14"/>
  <c r="C114" i="15"/>
  <c r="D249" i="15"/>
  <c r="C239" i="14"/>
  <c r="Z53" i="13"/>
  <c r="H37" i="13"/>
  <c r="B78" i="14"/>
  <c r="K287" i="13"/>
  <c r="B22" i="15"/>
  <c r="C57" i="15"/>
  <c r="G57" i="15"/>
  <c r="D207" i="15"/>
  <c r="H243" i="15"/>
  <c r="AX155" i="13"/>
  <c r="G246" i="14"/>
  <c r="E80" i="13"/>
  <c r="D47" i="14"/>
  <c r="C55" i="15"/>
  <c r="N6" i="31"/>
  <c r="E272" i="13"/>
  <c r="I61" i="14"/>
  <c r="E75" i="13"/>
  <c r="F15" i="14"/>
  <c r="C159" i="15"/>
  <c r="N234" i="13"/>
  <c r="E246" i="14"/>
  <c r="AL155" i="13"/>
  <c r="D87" i="15"/>
  <c r="E56" i="15"/>
  <c r="H6" i="13"/>
  <c r="E75" i="14"/>
  <c r="D56" i="15"/>
  <c r="I47" i="14"/>
  <c r="E85" i="13"/>
  <c r="G189" i="15"/>
  <c r="G249" i="14"/>
  <c r="AX189" i="13"/>
  <c r="H208" i="15"/>
  <c r="G180" i="15"/>
  <c r="C111" i="14"/>
  <c r="H62" i="13"/>
  <c r="G249" i="15"/>
  <c r="B92" i="15"/>
  <c r="D184" i="15"/>
  <c r="H93" i="14"/>
  <c r="H247" i="13"/>
  <c r="C60" i="15"/>
  <c r="K63" i="13"/>
  <c r="K8" i="13"/>
  <c r="G140" i="14"/>
  <c r="B10" i="15"/>
  <c r="G212" i="15"/>
  <c r="H158" i="14"/>
  <c r="K247" i="13"/>
  <c r="G54" i="14"/>
  <c r="E168" i="13"/>
  <c r="D212" i="14"/>
  <c r="AC121" i="13"/>
  <c r="K273" i="13"/>
  <c r="N81" i="13"/>
  <c r="F241" i="14"/>
  <c r="AR87" i="13"/>
  <c r="H112" i="13"/>
  <c r="B115" i="14"/>
  <c r="B143" i="15"/>
  <c r="C13" i="15"/>
  <c r="H237" i="13"/>
  <c r="H124" i="14"/>
  <c r="K10" i="31"/>
  <c r="C143" i="14"/>
  <c r="K38" i="13"/>
  <c r="H56" i="15"/>
  <c r="E12" i="31"/>
  <c r="AO223" i="13"/>
  <c r="F219" i="14"/>
  <c r="E280" i="13"/>
  <c r="G30" i="14"/>
  <c r="AO155" i="13"/>
  <c r="F214" i="14"/>
  <c r="H112" i="14"/>
  <c r="H84" i="13"/>
  <c r="K216" i="13"/>
  <c r="E182" i="15"/>
  <c r="B112" i="15"/>
  <c r="B211" i="15"/>
  <c r="Z257" i="13"/>
  <c r="C254" i="14"/>
  <c r="G30" i="15"/>
  <c r="H95" i="13"/>
  <c r="B114" i="14"/>
  <c r="H206" i="14"/>
  <c r="BA36" i="13"/>
  <c r="K33" i="13"/>
  <c r="D25" i="15"/>
  <c r="H245" i="15"/>
  <c r="F18" i="15"/>
  <c r="C22" i="15"/>
  <c r="H209" i="14"/>
  <c r="BA87" i="13"/>
  <c r="E244" i="14"/>
  <c r="AL121" i="13"/>
  <c r="H179" i="13"/>
  <c r="H88" i="14"/>
  <c r="Q70" i="13"/>
  <c r="B208" i="14"/>
  <c r="G125" i="15"/>
  <c r="N111" i="13"/>
  <c r="H180" i="14"/>
  <c r="D256" i="15"/>
  <c r="H253" i="14"/>
  <c r="BD240" i="13"/>
  <c r="C30" i="15"/>
  <c r="H249" i="15"/>
  <c r="G246" i="15"/>
  <c r="B77" i="14"/>
  <c r="H20" i="13"/>
  <c r="N214" i="13"/>
  <c r="E250" i="15"/>
  <c r="H263" i="13"/>
  <c r="G94" i="14"/>
  <c r="H238" i="15"/>
  <c r="F20" i="14"/>
  <c r="E143" i="13"/>
  <c r="C223" i="15"/>
  <c r="H133" i="13"/>
  <c r="F116" i="14"/>
  <c r="F90" i="15"/>
  <c r="F28" i="15"/>
  <c r="H176" i="13"/>
  <c r="E88" i="14"/>
  <c r="G85" i="15"/>
  <c r="F25" i="15"/>
  <c r="E120" i="15"/>
  <c r="W155" i="13"/>
  <c r="C214" i="14"/>
  <c r="H28" i="14"/>
  <c r="E247" i="13"/>
  <c r="K202" i="13"/>
  <c r="W223" i="13"/>
  <c r="C219" i="14"/>
  <c r="F212" i="15"/>
  <c r="F60" i="15"/>
  <c r="H139" i="13"/>
  <c r="B85" i="14"/>
  <c r="G248" i="15"/>
  <c r="K218" i="13"/>
  <c r="D145" i="15"/>
  <c r="B78" i="15"/>
  <c r="K200" i="13"/>
  <c r="G19" i="14"/>
  <c r="E127" i="13"/>
  <c r="D217" i="15"/>
  <c r="C243" i="15"/>
  <c r="K80" i="13"/>
  <c r="F112" i="14"/>
  <c r="H82" i="13"/>
  <c r="H256" i="15"/>
  <c r="AX87" i="13"/>
  <c r="G241" i="14"/>
  <c r="I125" i="15"/>
  <c r="F223" i="15"/>
  <c r="B239" i="15"/>
  <c r="H113" i="13"/>
  <c r="C115" i="14"/>
  <c r="G221" i="14"/>
  <c r="AU240" i="13"/>
  <c r="H16" i="31"/>
  <c r="B23" i="14"/>
  <c r="E173" i="13"/>
  <c r="B160" i="15"/>
  <c r="E57" i="14"/>
  <c r="E217" i="13"/>
  <c r="D85" i="15"/>
  <c r="E180" i="15"/>
  <c r="E240" i="14"/>
  <c r="AL70" i="13"/>
  <c r="E84" i="15"/>
  <c r="E191" i="13"/>
  <c r="C24" i="14"/>
  <c r="BD19" i="31"/>
  <c r="D93" i="14"/>
  <c r="H243" i="13"/>
  <c r="I60" i="15"/>
  <c r="N268" i="13"/>
  <c r="H27" i="15"/>
  <c r="H248" i="15"/>
  <c r="B157" i="14"/>
  <c r="K224" i="13"/>
  <c r="BA53" i="13"/>
  <c r="H207" i="14"/>
  <c r="N142" i="13"/>
  <c r="E182" i="14"/>
  <c r="W189" i="13"/>
  <c r="C217" i="14"/>
  <c r="C250" i="15"/>
  <c r="F192" i="15"/>
  <c r="F187" i="15"/>
  <c r="G18" i="15"/>
  <c r="F250" i="15"/>
  <c r="E207" i="14"/>
  <c r="AI53" i="13"/>
  <c r="F213" i="15"/>
  <c r="E113" i="13"/>
  <c r="C50" i="14"/>
  <c r="G24" i="15"/>
  <c r="AX104" i="13"/>
  <c r="G243" i="14"/>
  <c r="H209" i="15"/>
  <c r="D60" i="15"/>
  <c r="H92" i="15"/>
  <c r="C207" i="15"/>
  <c r="F60" i="14"/>
  <c r="E252" i="13"/>
  <c r="D246" i="15"/>
  <c r="I120" i="15"/>
  <c r="C222" i="15"/>
  <c r="F241" i="15"/>
  <c r="H11" i="31"/>
  <c r="H277" i="13"/>
  <c r="D95" i="14"/>
  <c r="N235" i="13"/>
  <c r="D17" i="15"/>
  <c r="K248" i="13"/>
  <c r="B116" i="14"/>
  <c r="H129" i="13"/>
  <c r="N99" i="13"/>
  <c r="H244" i="15"/>
  <c r="E239" i="14"/>
  <c r="AL53" i="13"/>
  <c r="C179" i="14"/>
  <c r="N89" i="13"/>
  <c r="B177" i="14"/>
  <c r="N71" i="13"/>
  <c r="N184" i="13"/>
  <c r="H3" i="31"/>
  <c r="B124" i="15"/>
  <c r="H71" i="13"/>
  <c r="B80" i="14"/>
  <c r="B24" i="15"/>
  <c r="AR223" i="13"/>
  <c r="F251" i="14"/>
  <c r="G93" i="15"/>
  <c r="N170" i="13"/>
  <c r="E34" i="13"/>
  <c r="I44" i="14"/>
  <c r="AX257" i="13"/>
  <c r="G254" i="14"/>
  <c r="K147" i="13"/>
  <c r="AI206" i="13"/>
  <c r="E218" i="14"/>
  <c r="E125" i="15"/>
  <c r="E94" i="15"/>
  <c r="N76" i="13"/>
  <c r="G177" i="14"/>
  <c r="H218" i="15"/>
  <c r="H240" i="14"/>
  <c r="BD70" i="13"/>
  <c r="H94" i="15"/>
  <c r="AI19" i="31"/>
  <c r="F218" i="15"/>
  <c r="I45" i="14"/>
  <c r="E51" i="13"/>
  <c r="C78" i="15"/>
  <c r="E209" i="14"/>
  <c r="AI87" i="13"/>
  <c r="T121" i="13"/>
  <c r="B244" i="14"/>
  <c r="F206" i="14"/>
  <c r="AO36" i="13"/>
  <c r="K102" i="13"/>
  <c r="F121" i="15"/>
  <c r="G251" i="14"/>
  <c r="AX223" i="13"/>
  <c r="B241" i="15"/>
  <c r="I46" i="15"/>
  <c r="D224" i="14"/>
  <c r="AC291" i="13"/>
  <c r="D175" i="15"/>
  <c r="I110" i="14"/>
  <c r="H51" i="13"/>
  <c r="E208" i="13"/>
  <c r="C25" i="14"/>
  <c r="E116" i="13"/>
  <c r="F50" i="14"/>
  <c r="H7" i="31"/>
  <c r="H250" i="15"/>
  <c r="K198" i="13"/>
  <c r="H55" i="15"/>
  <c r="E221" i="13"/>
  <c r="I57" i="14"/>
  <c r="E25" i="15"/>
  <c r="F253" i="15"/>
  <c r="BD257" i="13"/>
  <c r="H254" i="14"/>
  <c r="G209" i="14"/>
  <c r="AU87" i="13"/>
  <c r="K180" i="13"/>
  <c r="H175" i="14"/>
  <c r="N43" i="13"/>
  <c r="C52" i="15"/>
  <c r="D111" i="15"/>
  <c r="E144" i="14"/>
  <c r="K57" i="13"/>
  <c r="D54" i="14"/>
  <c r="E165" i="13"/>
  <c r="G208" i="15"/>
  <c r="D159" i="14"/>
  <c r="K260" i="13"/>
  <c r="Z19" i="31"/>
  <c r="F256" i="14"/>
  <c r="AR291" i="13"/>
  <c r="BA172" i="13"/>
  <c r="H216" i="14"/>
  <c r="AI291" i="13"/>
  <c r="E224" i="14"/>
  <c r="K4" i="31"/>
  <c r="AO104" i="13"/>
  <c r="F211" i="14"/>
  <c r="B92" i="14"/>
  <c r="H224" i="13"/>
  <c r="W104" i="13"/>
  <c r="C211" i="14"/>
  <c r="B149" i="15"/>
  <c r="D245" i="14"/>
  <c r="AF138" i="13"/>
  <c r="E77" i="13"/>
  <c r="H15" i="14"/>
  <c r="D218" i="15"/>
  <c r="G224" i="15"/>
  <c r="D112" i="15"/>
  <c r="F124" i="15"/>
  <c r="C127" i="14"/>
  <c r="H283" i="13"/>
  <c r="F44" i="14"/>
  <c r="E31" i="13"/>
  <c r="BD155" i="13"/>
  <c r="H246" i="14"/>
  <c r="H260" i="13"/>
  <c r="D94" i="14"/>
  <c r="E62" i="14"/>
  <c r="E285" i="13"/>
  <c r="K165" i="13"/>
  <c r="E19" i="14"/>
  <c r="E125" i="13"/>
  <c r="F87" i="14"/>
  <c r="H160" i="13"/>
  <c r="K74" i="13"/>
  <c r="E145" i="14"/>
  <c r="N168" i="13"/>
  <c r="D241" i="14"/>
  <c r="AF87" i="13"/>
  <c r="E117" i="14"/>
  <c r="H149" i="13"/>
  <c r="C244" i="14"/>
  <c r="Z121" i="13"/>
  <c r="N187" i="13"/>
  <c r="C84" i="15"/>
  <c r="C121" i="14"/>
  <c r="H198" i="13"/>
  <c r="AL240" i="13"/>
  <c r="E253" i="14"/>
  <c r="E149" i="14"/>
  <c r="K125" i="13"/>
  <c r="H174" i="14"/>
  <c r="N26" i="13"/>
  <c r="D212" i="15"/>
  <c r="G112" i="15"/>
  <c r="F56" i="15"/>
  <c r="E48" i="13"/>
  <c r="F45" i="14"/>
  <c r="I60" i="14"/>
  <c r="E255" i="13"/>
  <c r="BD87" i="13"/>
  <c r="H241" i="14"/>
  <c r="E153" i="14"/>
  <c r="K176" i="13"/>
  <c r="B126" i="14"/>
  <c r="H265" i="13"/>
  <c r="B111" i="15"/>
  <c r="D187" i="15"/>
  <c r="G256" i="15"/>
  <c r="F181" i="15"/>
  <c r="AC155" i="13"/>
  <c r="D214" i="14"/>
  <c r="BA155" i="13"/>
  <c r="H214" i="14"/>
  <c r="G157" i="15"/>
  <c r="C255" i="14"/>
  <c r="Z274" i="13"/>
  <c r="AC70" i="13"/>
  <c r="D208" i="14"/>
  <c r="G47" i="15"/>
  <c r="N277" i="13"/>
  <c r="D192" i="14"/>
  <c r="E114" i="15"/>
  <c r="G254" i="15"/>
  <c r="N92" i="13"/>
  <c r="F179" i="14"/>
  <c r="H258" i="13"/>
  <c r="B94" i="14"/>
  <c r="Z104" i="13"/>
  <c r="C243" i="14"/>
  <c r="AO121" i="13"/>
  <c r="F212" i="14"/>
  <c r="C177" i="15"/>
  <c r="C54" i="15"/>
  <c r="W291" i="13"/>
  <c r="C224" i="14"/>
  <c r="D240" i="15"/>
  <c r="N287" i="13"/>
  <c r="B114" i="15"/>
  <c r="E225" i="13"/>
  <c r="C27" i="14"/>
  <c r="D61" i="15"/>
  <c r="H24" i="14"/>
  <c r="E196" i="13"/>
  <c r="F115" i="15"/>
  <c r="D255" i="15"/>
  <c r="AO189" i="13"/>
  <c r="F217" i="14"/>
  <c r="F243" i="15"/>
  <c r="H60" i="15"/>
  <c r="H114" i="15"/>
  <c r="F224" i="15"/>
  <c r="B213" i="14"/>
  <c r="Q138" i="13"/>
  <c r="I49" i="15"/>
  <c r="H223" i="14"/>
  <c r="BA274" i="13"/>
  <c r="C150" i="15"/>
  <c r="I126" i="15"/>
  <c r="G15" i="14"/>
  <c r="E76" i="13"/>
  <c r="F109" i="14"/>
  <c r="H31" i="13"/>
  <c r="N125" i="13"/>
  <c r="E181" i="14"/>
  <c r="AI155" i="13"/>
  <c r="E214" i="14"/>
  <c r="E219" i="14"/>
  <c r="AI223" i="13"/>
  <c r="D244" i="15"/>
  <c r="D222" i="15"/>
  <c r="G82" i="15"/>
  <c r="G158" i="15"/>
  <c r="D61" i="14"/>
  <c r="E267" i="13"/>
  <c r="B80" i="15"/>
  <c r="E24" i="14"/>
  <c r="E193" i="13"/>
  <c r="I112" i="15"/>
  <c r="H30" i="15"/>
  <c r="B184" i="15"/>
  <c r="E28" i="15"/>
  <c r="G29" i="15"/>
  <c r="N266" i="13"/>
  <c r="G240" i="15"/>
  <c r="G145" i="15"/>
  <c r="K210" i="13"/>
  <c r="E155" i="14"/>
  <c r="E184" i="15"/>
  <c r="N130" i="13"/>
  <c r="E61" i="15"/>
  <c r="K197" i="13"/>
  <c r="K184" i="13"/>
  <c r="B127" i="15"/>
  <c r="B23" i="15"/>
  <c r="K113" i="13"/>
  <c r="C54" i="14"/>
  <c r="E164" i="13"/>
  <c r="H185" i="13"/>
  <c r="G120" i="14"/>
  <c r="F207" i="15"/>
  <c r="N97" i="13"/>
  <c r="E8" i="31"/>
  <c r="N282" i="13"/>
  <c r="K78" i="13"/>
  <c r="K84" i="13"/>
  <c r="K258" i="13"/>
  <c r="B159" i="14"/>
  <c r="G218" i="14"/>
  <c r="AU206" i="13"/>
  <c r="H94" i="14"/>
  <c r="H264" i="13"/>
  <c r="N182" i="13"/>
  <c r="E251" i="13"/>
  <c r="E60" i="14"/>
  <c r="D126" i="14"/>
  <c r="H267" i="13"/>
  <c r="H25" i="14"/>
  <c r="E213" i="13"/>
  <c r="E230" i="13"/>
  <c r="H27" i="14"/>
  <c r="H191" i="15"/>
  <c r="N285" i="13"/>
  <c r="D12" i="15"/>
  <c r="D255" i="14"/>
  <c r="AF274" i="13"/>
  <c r="G127" i="15"/>
  <c r="N280" i="13"/>
  <c r="G192" i="14"/>
  <c r="K201" i="13"/>
  <c r="BD36" i="13"/>
  <c r="H238" i="14"/>
  <c r="E179" i="15"/>
  <c r="J42" i="15"/>
  <c r="K101" i="13"/>
  <c r="Z172" i="13"/>
  <c r="C248" i="14"/>
  <c r="E148" i="15"/>
  <c r="AU19" i="31"/>
  <c r="G153" i="14"/>
  <c r="K178" i="13"/>
  <c r="H251" i="14"/>
  <c r="BD223" i="13"/>
  <c r="K152" i="13"/>
  <c r="D174" i="15"/>
  <c r="G79" i="14"/>
  <c r="H59" i="13"/>
  <c r="Q104" i="13"/>
  <c r="B211" i="14"/>
  <c r="F93" i="14"/>
  <c r="H245" i="13"/>
  <c r="G206" i="14"/>
  <c r="AU36" i="13"/>
  <c r="W36" i="13"/>
  <c r="C206" i="14"/>
  <c r="G115" i="15"/>
  <c r="E158" i="15"/>
  <c r="K177" i="13"/>
  <c r="F153" i="14"/>
  <c r="C187" i="15"/>
  <c r="E54" i="15"/>
  <c r="J62" i="14"/>
  <c r="E290" i="13"/>
  <c r="AR206" i="13"/>
  <c r="F250" i="14"/>
  <c r="N119" i="13"/>
  <c r="C49" i="14"/>
  <c r="E96" i="13"/>
  <c r="G245" i="15"/>
  <c r="C245" i="14"/>
  <c r="Z138" i="13"/>
  <c r="C191" i="14"/>
  <c r="N259" i="13"/>
  <c r="N143" i="13"/>
  <c r="F182" i="14"/>
  <c r="E266" i="13"/>
  <c r="C61" i="14"/>
  <c r="BA223" i="13"/>
  <c r="H219" i="14"/>
  <c r="K45" i="13"/>
  <c r="C180" i="14"/>
  <c r="N106" i="13"/>
  <c r="N95" i="13"/>
  <c r="H245" i="14"/>
  <c r="BD138" i="13"/>
  <c r="F126" i="15"/>
  <c r="C80" i="15"/>
  <c r="C239" i="15"/>
  <c r="W19" i="31"/>
  <c r="K253" i="13"/>
  <c r="H23" i="15"/>
  <c r="H259" i="13"/>
  <c r="C94" i="14"/>
  <c r="C255" i="15"/>
  <c r="B212" i="15"/>
  <c r="C47" i="15"/>
  <c r="H210" i="13"/>
  <c r="E90" i="14"/>
  <c r="E13" i="31"/>
  <c r="I54" i="15"/>
  <c r="D55" i="14"/>
  <c r="E182" i="13"/>
  <c r="N67" i="13"/>
  <c r="AO19" i="31"/>
  <c r="C245" i="15"/>
  <c r="H89" i="14"/>
  <c r="H196" i="13"/>
  <c r="H231" i="13"/>
  <c r="B124" i="14"/>
  <c r="H248" i="14"/>
  <c r="BD172" i="13"/>
  <c r="H73" i="13"/>
  <c r="D80" i="14"/>
  <c r="K238" i="13"/>
  <c r="G253" i="15"/>
  <c r="D84" i="15"/>
  <c r="E238" i="15"/>
  <c r="E12" i="15"/>
  <c r="D28" i="14"/>
  <c r="E243" i="13"/>
  <c r="B61" i="15"/>
  <c r="B93" i="15"/>
  <c r="H28" i="15"/>
  <c r="G57" i="14"/>
  <c r="E219" i="13"/>
  <c r="N216" i="13"/>
  <c r="K23" i="13"/>
  <c r="E142" i="14"/>
  <c r="K51" i="13"/>
  <c r="F148" i="15"/>
  <c r="N62" i="13"/>
  <c r="N141" i="13"/>
  <c r="D182" i="14"/>
  <c r="N132" i="13"/>
  <c r="H18" i="15"/>
  <c r="C14" i="15"/>
  <c r="B191" i="15"/>
  <c r="N110" i="13"/>
  <c r="G180" i="14"/>
  <c r="H214" i="13"/>
  <c r="B122" i="14"/>
  <c r="H212" i="15"/>
  <c r="C157" i="15"/>
  <c r="E185" i="13"/>
  <c r="G55" i="14"/>
  <c r="E115" i="15"/>
  <c r="N83" i="13"/>
  <c r="B79" i="15"/>
  <c r="F80" i="14"/>
  <c r="H75" i="13"/>
  <c r="E94" i="14"/>
  <c r="H261" i="13"/>
  <c r="K12" i="31"/>
  <c r="G222" i="15"/>
  <c r="F216" i="15"/>
  <c r="E181" i="13"/>
  <c r="C55" i="14"/>
  <c r="N288" i="13"/>
  <c r="B155" i="14"/>
  <c r="K207" i="13"/>
  <c r="E177" i="15"/>
  <c r="H220" i="13"/>
  <c r="H122" i="14"/>
  <c r="G28" i="14"/>
  <c r="E246" i="13"/>
  <c r="B140" i="14"/>
  <c r="K3" i="13"/>
  <c r="C20" i="15"/>
  <c r="F149" i="15"/>
  <c r="G248" i="14"/>
  <c r="AX172" i="13"/>
  <c r="C208" i="15"/>
  <c r="B152" i="15"/>
  <c r="AL274" i="13"/>
  <c r="E255" i="14"/>
  <c r="K14" i="31"/>
  <c r="K235" i="13"/>
  <c r="B186" i="15"/>
  <c r="E258" i="13"/>
  <c r="B29" i="14"/>
  <c r="H124" i="13"/>
  <c r="D84" i="14"/>
  <c r="G206" i="15"/>
  <c r="G62" i="15"/>
  <c r="N98" i="13"/>
  <c r="N122" i="13"/>
  <c r="B181" i="14"/>
  <c r="B206" i="14"/>
  <c r="Q36" i="13"/>
  <c r="G212" i="14"/>
  <c r="AU121" i="13"/>
  <c r="H216" i="15"/>
  <c r="J107" i="14"/>
  <c r="H18" i="13"/>
  <c r="K6" i="13"/>
  <c r="E140" i="14"/>
  <c r="C142" i="14"/>
  <c r="K21" i="13"/>
  <c r="AI172" i="13"/>
  <c r="E216" i="14"/>
  <c r="E263" i="13"/>
  <c r="G29" i="14"/>
  <c r="H90" i="14"/>
  <c r="H213" i="13"/>
  <c r="F239" i="14"/>
  <c r="AR53" i="13"/>
  <c r="E250" i="14"/>
  <c r="AL206" i="13"/>
  <c r="B45" i="15"/>
  <c r="I116" i="14"/>
  <c r="H136" i="13"/>
  <c r="G213" i="15"/>
  <c r="D254" i="15"/>
  <c r="N241" i="13"/>
  <c r="B190" i="14"/>
  <c r="E52" i="15"/>
  <c r="I56" i="15"/>
  <c r="H182" i="13"/>
  <c r="D120" i="14"/>
  <c r="B119" i="15"/>
  <c r="H94" i="13"/>
  <c r="H82" i="14"/>
  <c r="H208" i="14"/>
  <c r="BA70" i="13"/>
  <c r="AF291" i="13"/>
  <c r="D256" i="14"/>
  <c r="D239" i="14"/>
  <c r="AF53" i="13"/>
  <c r="N102" i="13"/>
  <c r="BA121" i="13"/>
  <c r="H212" i="14"/>
  <c r="AI138" i="13"/>
  <c r="E213" i="14"/>
  <c r="E30" i="15"/>
  <c r="C28" i="15"/>
  <c r="K225" i="13"/>
  <c r="C157" i="14"/>
  <c r="D222" i="14"/>
  <c r="AC257" i="13"/>
  <c r="K269" i="13"/>
  <c r="N255" i="13"/>
  <c r="K153" i="13"/>
  <c r="G219" i="14"/>
  <c r="AU223" i="13"/>
  <c r="K282" i="13"/>
  <c r="E32" i="13"/>
  <c r="G44" i="14"/>
  <c r="C216" i="15"/>
  <c r="C57" i="14"/>
  <c r="E215" i="13"/>
  <c r="G245" i="14"/>
  <c r="AX138" i="13"/>
  <c r="Q19" i="31"/>
  <c r="H24" i="15"/>
  <c r="AX19" i="31"/>
  <c r="G174" i="15"/>
  <c r="F219" i="15"/>
  <c r="B154" i="15"/>
  <c r="H96" i="13"/>
  <c r="C114" i="14"/>
  <c r="C254" i="15"/>
  <c r="C211" i="15"/>
  <c r="H192" i="15"/>
  <c r="E270" i="13"/>
  <c r="G61" i="14"/>
  <c r="D126" i="15"/>
  <c r="D251" i="14"/>
  <c r="AF223" i="13"/>
  <c r="F158" i="14"/>
  <c r="K245" i="13"/>
  <c r="B125" i="15"/>
  <c r="C20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mloverde</author>
  </authors>
  <commentList>
    <comment ref="A1" authorId="0" shapeId="0" xr:uid="{00000000-0006-0000-0200-000001000000}">
      <text>
        <r>
          <rPr>
            <b/>
            <sz val="8"/>
            <color indexed="81"/>
            <rFont val="Tahoma"/>
            <family val="2"/>
          </rPr>
          <t>when computing medians for All 4-yr schools, do not include specialized institutions (type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Excel Validator</author>
  </authors>
  <commentList>
    <comment ref="B571" authorId="0" shapeId="0" xr:uid="{3B85D6E0-0602-4CDB-9D2A-D0F6ED260C64}">
      <text>
        <r>
          <rPr>
            <sz val="8"/>
            <color rgb="FF000000"/>
            <rFont val="Tahoma"/>
            <family val="2"/>
          </rPr>
          <t>Moderate Warning  AA003:  Institution name is invalid.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mloverde</author>
  </authors>
  <commentList>
    <comment ref="A1" authorId="0" shapeId="0" xr:uid="{6F1D6E24-EDB6-40A0-8FFC-694062165A49}">
      <text>
        <r>
          <rPr>
            <b/>
            <sz val="8"/>
            <color indexed="81"/>
            <rFont val="Tahoma"/>
            <family val="2"/>
          </rPr>
          <t>when computing medians for All 4-yr schools, do not include specialized institutions (type 15)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Excel Validator</author>
  </authors>
  <commentList>
    <comment ref="B570" authorId="0" shapeId="0" xr:uid="{76EA048E-9F83-4804-99FC-C350845E7BFB}">
      <text>
        <r>
          <rPr>
            <sz val="8"/>
            <color rgb="FF000000"/>
            <rFont val="Tahoma"/>
            <family val="2"/>
          </rPr>
          <t>Moderate Warning  AA003:  Institution name is invalid.</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431D93-416F-4749-8C3A-1D9B344423AC}" keepAlive="1" name="ModelConnection_ExternalData_1" description="Data Model" type="5" refreshedVersion="8" minRefreshableVersion="5" saveData="1">
    <dbPr connection="Data Model Connection" command="DRILLTHROUGH MAXROWS 1000 SELECT FROM [Model] WHERE (([Measures].[mOldUGIS],[Range 1].[State].&amp;[GA],[Range 1].[Type].&amp;[6])) RETURN [$Range 1].[State],[$Range 1].[Name],[$Range 1].[Notes],[$Range 1].[IPEDSID],[$Range 1].[Type],[$Range 1].[OldUGIS],[$Range 1].[NewUGIS],[$Range 1].[OldUGOS],[$Range 1].[NewUGOS],[$Range 1].[OldGIS],[$Range 1].[NewGIS],[$Range 1].[OldGOS],[$Range 1].[NewGOS],[$Range 1].[OldLawIS],[$Range 1].[NewLawIS],[$Range 1].[OldLawOS],[$Range 1].[NewLawOS],[$Range 1].[OldMedIS],[$Range 1].[NewMedIS],[$Range 1].[OldMedOS],[$Range 1].[NewMedOS],[$Range 1].[OldDenIS],[$Range 1].[NewDenIS],[$Range 1].[OldDenOS],[$Range 1].[NewDenOS],[$Range 1].[OldPhrIS],[$Range 1].[NewPhrIS],[$Range 1].[OldPhrOS],[$Range 1].[NewPhrOS],[$Range 1].[OldOptIS],[$Range 1].[NewOptIS],[$Range 1].[OldOptOS],[$Range 1].[NewOptOS],[$Range 1].[OldOstIS],[$Range 1].[NewOstIS],[$Range 1].[OldOstOS],[$Range 1].[NewOstOS],[$Range 1].[OldVetIS],[$Range 1].[NewVetIS],[$Range 1].[OldVetOS],[$Range 1].[NewVetOS]" commandType="4"/>
    <extLst>
      <ext xmlns:x15="http://schemas.microsoft.com/office/spreadsheetml/2010/11/main" uri="{DE250136-89BD-433C-8126-D09CA5730AF9}">
        <x15:connection id="" model="1"/>
      </ext>
    </extLst>
  </connection>
  <connection id="2" xr16:uid="{9357358A-54C8-4379-9187-52F19EA0A67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53898AC2-A65A-4274-852E-22D235C5DF11}" name="WorksheetConnection_07TuitionAndFees!$A$5:$AO$661" type="102" refreshedVersion="8" minRefreshableVersion="5">
    <extLst>
      <ext xmlns:x15="http://schemas.microsoft.com/office/spreadsheetml/2010/11/main" uri="{DE250136-89BD-433C-8126-D09CA5730AF9}">
        <x15:connection id="Range 1" autoDelete="1">
          <x15:rangePr sourceName="_xlcn.WorksheetConnection_07TuitionAndFeesA5AO661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Range 1].[Type].&amp;[1],[Range 1].[Type].&amp;[2],[Range 1].[Type].&amp;[3],[Range 1].[Type].&amp;[4],[Range 1].[Type].&amp;[5],[Range 1].[Type].&amp;[6]}"/>
    <s v="{[Range 1].[Type].&amp;[7],[Range 1].[Type].&amp;[8],[Range 1].[Type].&amp;[9],[Range 1].[Type].&amp;[10]}"/>
    <s v="{[Range 1].[Type].&amp;[12],[Range 1].[Type].&amp;[13],[Range 1].[Type].&amp;[14]}"/>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<sst xmlns="http://schemas.openxmlformats.org/spreadsheetml/2006/main" count="7644" uniqueCount="1055">
  <si>
    <t>Undergraduate</t>
  </si>
  <si>
    <t>Graduate</t>
  </si>
  <si>
    <t>Law</t>
  </si>
  <si>
    <t>Medicine</t>
  </si>
  <si>
    <t>Dentistry</t>
  </si>
  <si>
    <t>Pharmacy</t>
  </si>
  <si>
    <t>Optometry</t>
  </si>
  <si>
    <t>Osteopathic Medicine</t>
  </si>
  <si>
    <t>Veterinary Medicine</t>
  </si>
  <si>
    <t>Comments:  Please look for comments and answer questions; add comments as needed</t>
  </si>
  <si>
    <t>In-State</t>
  </si>
  <si>
    <t>Out-of-State</t>
  </si>
  <si>
    <t>State</t>
  </si>
  <si>
    <t>Institution</t>
  </si>
  <si>
    <t>Classification Notes</t>
  </si>
  <si>
    <t>IPEDS #</t>
  </si>
  <si>
    <t>Category</t>
  </si>
  <si>
    <t>Name</t>
  </si>
  <si>
    <t>IPEDSID</t>
  </si>
  <si>
    <t>Type</t>
  </si>
  <si>
    <t>OldUGIS</t>
  </si>
  <si>
    <t>NewUGIS</t>
  </si>
  <si>
    <t>OldUGOS</t>
  </si>
  <si>
    <t>NewUGOS</t>
  </si>
  <si>
    <t>OldGIS</t>
  </si>
  <si>
    <t>NewGIS</t>
  </si>
  <si>
    <t>OldGOS</t>
  </si>
  <si>
    <t>NewGOS</t>
  </si>
  <si>
    <t>OldLawIS</t>
  </si>
  <si>
    <t>NewLawIS</t>
  </si>
  <si>
    <t>OldLawOS</t>
  </si>
  <si>
    <t>NewLawOS</t>
  </si>
  <si>
    <t>OldMedIS</t>
  </si>
  <si>
    <t>NewMedIS</t>
  </si>
  <si>
    <t>OldMedOS</t>
  </si>
  <si>
    <t>NewMedOS</t>
  </si>
  <si>
    <t>OldDenIS</t>
  </si>
  <si>
    <t>NewDenIS</t>
  </si>
  <si>
    <t>OldDenOS</t>
  </si>
  <si>
    <t>NewDenOS</t>
  </si>
  <si>
    <t>OldPhrIS</t>
  </si>
  <si>
    <t>NewPhrIS</t>
  </si>
  <si>
    <t>OldPhrOS</t>
  </si>
  <si>
    <t>NewPhrOS</t>
  </si>
  <si>
    <t>OldOptIS</t>
  </si>
  <si>
    <t>NewOptIS</t>
  </si>
  <si>
    <t>OldOptOS</t>
  </si>
  <si>
    <t>NewOptOS</t>
  </si>
  <si>
    <t>OldOstIS</t>
  </si>
  <si>
    <t>NewOstIS</t>
  </si>
  <si>
    <t>OldOstOS</t>
  </si>
  <si>
    <t>NewOstOS</t>
  </si>
  <si>
    <t>OldVetIS</t>
  </si>
  <si>
    <t>NewVetIS</t>
  </si>
  <si>
    <t>OldVetOS</t>
  </si>
  <si>
    <t>NewVetOS</t>
  </si>
  <si>
    <t>AL</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</si>
  <si>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</si>
  <si>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</si>
  <si>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</si>
  <si>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</si>
  <si>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</si>
  <si>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</si>
  <si>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</si>
  <si>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</si>
  <si>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</si>
  <si>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</si>
  <si>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</si>
  <si>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</si>
  <si>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</si>
  <si>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</si>
  <si>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</si>
  <si>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Bevill State Community College</t>
  </si>
  <si>
    <t>Bishop State Community College</t>
  </si>
  <si>
    <t>Gadsden State Community College</t>
  </si>
  <si>
    <t xml:space="preserve">Lawson State Community College </t>
  </si>
  <si>
    <t>Northwest-Shoals Community College</t>
  </si>
  <si>
    <t>Shelton State Community College</t>
  </si>
  <si>
    <t>Southern Union State Community College</t>
  </si>
  <si>
    <t>Central Alabama Community College</t>
  </si>
  <si>
    <t>George Corley Wallace State Community College - Selma</t>
  </si>
  <si>
    <t xml:space="preserve">Lurleen B. Wallace Community College </t>
  </si>
  <si>
    <t xml:space="preserve">Snead State Community College </t>
  </si>
  <si>
    <t xml:space="preserve">J.F. Ingram State Technical College </t>
  </si>
  <si>
    <t>N/A</t>
  </si>
  <si>
    <t xml:space="preserve">Reid State Technical College </t>
  </si>
  <si>
    <t>Marion Military Institute</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</si>
  <si>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</si>
  <si>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</si>
  <si>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</si>
  <si>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</si>
  <si>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</si>
  <si>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</si>
  <si>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</si>
  <si>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</si>
  <si>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</si>
  <si>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</si>
  <si>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</si>
  <si>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</si>
  <si>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</si>
  <si>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</si>
  <si>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</si>
  <si>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</si>
  <si>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</si>
  <si>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</si>
  <si>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</si>
  <si>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</si>
  <si>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</si>
  <si>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</si>
  <si>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</si>
  <si>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</si>
  <si>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</si>
  <si>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</si>
  <si>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</si>
  <si>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</si>
  <si>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Morrilton</t>
  </si>
  <si>
    <t>University of Arkansas for Medical Sciences</t>
  </si>
  <si>
    <t>DE</t>
  </si>
  <si>
    <t>University of Delaware</t>
  </si>
  <si>
    <t>Delaware State University</t>
  </si>
  <si>
    <t>Delaware Technical and Community College--Terry</t>
  </si>
  <si>
    <t>FL</t>
  </si>
  <si>
    <t xml:space="preserve">Broward College </t>
  </si>
  <si>
    <t xml:space="preserve">Chipola College </t>
  </si>
  <si>
    <t>College of Central Florida</t>
  </si>
  <si>
    <t xml:space="preserve">Daytona State College </t>
  </si>
  <si>
    <t>Florida SouthWestern State College</t>
  </si>
  <si>
    <t>Florida State College at Jacksonville</t>
  </si>
  <si>
    <t xml:space="preserve">Gulf Coast State College </t>
  </si>
  <si>
    <t xml:space="preserve">Indian River State College </t>
  </si>
  <si>
    <t xml:space="preserve">Miami Dade College </t>
  </si>
  <si>
    <t>Northwest Florida State College</t>
  </si>
  <si>
    <t xml:space="preserve">Palm Beach State College </t>
  </si>
  <si>
    <t xml:space="preserve">Pensacola State College </t>
  </si>
  <si>
    <t xml:space="preserve">Polk State College </t>
  </si>
  <si>
    <t xml:space="preserve">Santa Fe College </t>
  </si>
  <si>
    <t>Seminole State College of Florida</t>
  </si>
  <si>
    <t xml:space="preserve">St. Johns River State College </t>
  </si>
  <si>
    <t xml:space="preserve">St. Petersburg College </t>
  </si>
  <si>
    <t>State College of Florida, Manatee-Sarasota</t>
  </si>
  <si>
    <t xml:space="preserve">Valencia College </t>
  </si>
  <si>
    <t>Eastern Florida State College</t>
  </si>
  <si>
    <t xml:space="preserve">Hillsborough Community College </t>
  </si>
  <si>
    <t xml:space="preserve">Pasco-Hernando State College </t>
  </si>
  <si>
    <t xml:space="preserve">Tallahassee Community College </t>
  </si>
  <si>
    <t>Florida Gateway College</t>
  </si>
  <si>
    <t xml:space="preserve">Lake-Sumter State College </t>
  </si>
  <si>
    <t xml:space="preserve">South Florida State College </t>
  </si>
  <si>
    <t>GA</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</si>
  <si>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</si>
  <si>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</si>
  <si>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</si>
  <si>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</si>
  <si>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</si>
  <si>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</si>
  <si>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</si>
  <si>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</si>
  <si>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Clayton State University</t>
  </si>
  <si>
    <t>Columbus State University</t>
  </si>
  <si>
    <t>Fort Valley State University</t>
  </si>
  <si>
    <t>Georgia College and State University</t>
  </si>
  <si>
    <t>University of North Georgia</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</si>
  <si>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</si>
  <si>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</si>
  <si>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</si>
  <si>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</si>
  <si>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</si>
  <si>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</si>
  <si>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</si>
  <si>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</si>
  <si>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 xml:space="preserve">Georgia Perimeter College </t>
  </si>
  <si>
    <t>Atlanta Metropolitan State College</t>
  </si>
  <si>
    <t>East Georgia State College</t>
  </si>
  <si>
    <t>Georgia Highlands College</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</si>
  <si>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</si>
  <si>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</si>
  <si>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</si>
  <si>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</si>
  <si>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</si>
  <si>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</si>
  <si>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</si>
  <si>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</si>
  <si>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</si>
  <si>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</si>
  <si>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</si>
  <si>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</si>
  <si>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</si>
  <si>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</si>
  <si>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</si>
  <si>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</si>
  <si>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</si>
  <si>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</si>
  <si>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</si>
  <si>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</si>
  <si>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</si>
  <si>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</si>
  <si>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</si>
  <si>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</si>
  <si>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</si>
  <si>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</si>
  <si>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</si>
  <si>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</si>
  <si>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</si>
  <si>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</si>
  <si>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</si>
  <si>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</si>
  <si>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</si>
  <si>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</si>
  <si>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</si>
  <si>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</si>
  <si>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</si>
  <si>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</si>
  <si>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</si>
  <si>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</si>
  <si>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</si>
  <si>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</si>
  <si>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</si>
  <si>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</si>
  <si>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</si>
  <si>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</si>
  <si>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</si>
  <si>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</si>
  <si>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</si>
  <si>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</si>
  <si>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</si>
  <si>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</si>
  <si>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</si>
  <si>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</si>
  <si>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</si>
  <si>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</si>
  <si>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</si>
  <si>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</si>
  <si>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</si>
  <si>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</si>
  <si>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</si>
  <si>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</si>
  <si>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</si>
  <si>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</si>
  <si>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</si>
  <si>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</si>
  <si>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</si>
  <si>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</si>
  <si>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</si>
  <si>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</si>
  <si>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</si>
  <si>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</si>
  <si>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L.E. Fletcher Technical Community College</t>
  </si>
  <si>
    <t>Northshore Technical College</t>
  </si>
  <si>
    <t>Northwest LA Technical College</t>
  </si>
  <si>
    <t>Sowela Technical Community College</t>
  </si>
  <si>
    <t>Louisiana State University Health Sciences Center - New Orleans</t>
  </si>
  <si>
    <t>Louisiana State University Health Sciences Center - Shreveport</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</si>
  <si>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</si>
  <si>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</si>
  <si>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</si>
  <si>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</si>
  <si>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</si>
  <si>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</si>
  <si>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</si>
  <si>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</si>
  <si>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</si>
  <si>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</si>
  <si>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</si>
  <si>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</si>
  <si>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</si>
  <si>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</si>
  <si>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 xml:space="preserve">Howard Community College </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</si>
  <si>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</si>
  <si>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</si>
  <si>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</si>
  <si>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</si>
  <si>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</si>
  <si>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</si>
  <si>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</si>
  <si>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</si>
  <si>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</si>
  <si>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</si>
  <si>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</si>
  <si>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</si>
  <si>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</si>
  <si>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</si>
  <si>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</si>
  <si>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</si>
  <si>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</si>
  <si>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</si>
  <si>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</si>
  <si>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</si>
  <si>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NC</t>
  </si>
  <si>
    <t>Alamance Community College</t>
  </si>
  <si>
    <t>Asheville-Buncombe Technical Community College</t>
  </si>
  <si>
    <t xml:space="preserve">Beaufort County Community College </t>
  </si>
  <si>
    <t>Bladen Community College</t>
  </si>
  <si>
    <t>Blue Ridge Community College</t>
  </si>
  <si>
    <t>Brunswick Community College</t>
  </si>
  <si>
    <t>Caldwell Community College &amp; Technical Institute</t>
  </si>
  <si>
    <t>Cape Fear Community College</t>
  </si>
  <si>
    <t>Carteret Community College</t>
  </si>
  <si>
    <t>Catawba Valley Community College</t>
  </si>
  <si>
    <t>Central Carolina Commuity College</t>
  </si>
  <si>
    <t xml:space="preserve">Central Piedmont Community College </t>
  </si>
  <si>
    <t>Cleveland Community College</t>
  </si>
  <si>
    <t xml:space="preserve">Coastal Carolina Community College </t>
  </si>
  <si>
    <t xml:space="preserve">Craven Community College </t>
  </si>
  <si>
    <t>Durham Technical Community College</t>
  </si>
  <si>
    <t>Edgecombe Community College</t>
  </si>
  <si>
    <t>Fayetteville Technical Community College</t>
  </si>
  <si>
    <t>Forsyth Technical Community College</t>
  </si>
  <si>
    <t xml:space="preserve">Gaston College </t>
  </si>
  <si>
    <t>Guilford Technical Community College</t>
  </si>
  <si>
    <t xml:space="preserve">Halifax Community College </t>
  </si>
  <si>
    <t>Haywood Community College</t>
  </si>
  <si>
    <t xml:space="preserve">Isothermal Community College </t>
  </si>
  <si>
    <t>James Sprunt Community College</t>
  </si>
  <si>
    <t>Johnston Community College</t>
  </si>
  <si>
    <t xml:space="preserve">Lenoir Community College </t>
  </si>
  <si>
    <t xml:space="preserve">Martin Community College </t>
  </si>
  <si>
    <t>Mayland Community College</t>
  </si>
  <si>
    <t>McDowell Technical Community College</t>
  </si>
  <si>
    <t xml:space="preserve">Mitchell Community College </t>
  </si>
  <si>
    <t>Montgomery Community College</t>
  </si>
  <si>
    <t>Nash Community College</t>
  </si>
  <si>
    <t>Pamlico Community College</t>
  </si>
  <si>
    <t>Piedmont Community College</t>
  </si>
  <si>
    <t>Pitt Community College</t>
  </si>
  <si>
    <t>Randolph Community College</t>
  </si>
  <si>
    <t>Richmond Community College</t>
  </si>
  <si>
    <t>Roanoke-Chowan Community College</t>
  </si>
  <si>
    <t>Robeson Community College</t>
  </si>
  <si>
    <t xml:space="preserve">Rockingham Community College </t>
  </si>
  <si>
    <t>Rowan-Cabarrus Community College</t>
  </si>
  <si>
    <t>Sampson Community College</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</si>
  <si>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</si>
  <si>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</si>
  <si>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</si>
  <si>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</si>
  <si>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</si>
  <si>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</si>
  <si>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Tri-County Community College </t>
  </si>
  <si>
    <t xml:space="preserve">Vance-Granville Community College </t>
  </si>
  <si>
    <t>Wake Technical Community College</t>
  </si>
  <si>
    <t>Wayne Community College</t>
  </si>
  <si>
    <t xml:space="preserve">Western Piedmont Community College </t>
  </si>
  <si>
    <t xml:space="preserve">Wilkes Community College </t>
  </si>
  <si>
    <t>Wilson Community College</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</si>
  <si>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</si>
  <si>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</si>
  <si>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</si>
  <si>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</si>
  <si>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</si>
  <si>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</si>
  <si>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</si>
  <si>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</si>
  <si>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</si>
  <si>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</si>
  <si>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</si>
  <si>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</si>
  <si>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</si>
  <si>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</si>
  <si>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</si>
  <si>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OK</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</si>
  <si>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</si>
  <si>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</si>
  <si>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</si>
  <si>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</si>
  <si>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</si>
  <si>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</si>
  <si>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</si>
  <si>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</si>
  <si>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</si>
  <si>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</si>
  <si>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</si>
  <si>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</si>
  <si>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</si>
  <si>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</si>
  <si>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</si>
  <si>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</si>
  <si>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</si>
  <si>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</si>
  <si>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</si>
  <si>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</si>
  <si>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</si>
  <si>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</si>
  <si>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</si>
  <si>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</si>
  <si>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</si>
  <si>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</si>
  <si>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</si>
  <si>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</si>
  <si>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</si>
  <si>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</si>
  <si>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</si>
  <si>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</si>
  <si>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Medical University of South Carolina</t>
  </si>
  <si>
    <t>TN</t>
  </si>
  <si>
    <t>University of Memphis</t>
  </si>
  <si>
    <t>University of Tennessee, Knoxville</t>
  </si>
  <si>
    <t>East Tennessee State University</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</si>
  <si>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</si>
  <si>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</si>
  <si>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</si>
  <si>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</si>
  <si>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</si>
  <si>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</si>
  <si>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</si>
  <si>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</si>
  <si>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</si>
  <si>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</si>
  <si>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</si>
  <si>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</si>
  <si>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</si>
  <si>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</si>
  <si>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</si>
  <si>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</si>
  <si>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</si>
  <si>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</si>
  <si>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</si>
  <si>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</si>
  <si>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</si>
  <si>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</si>
  <si>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</si>
  <si>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</si>
  <si>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</si>
  <si>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</si>
  <si>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</si>
  <si>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</si>
  <si>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</si>
  <si>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</si>
  <si>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</si>
  <si>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</si>
  <si>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</si>
  <si>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</si>
  <si>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</si>
  <si>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</si>
  <si>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</si>
  <si>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</si>
  <si>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</si>
  <si>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</si>
  <si>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</si>
  <si>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</si>
  <si>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</si>
  <si>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</si>
  <si>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</si>
  <si>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</si>
  <si>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</si>
  <si>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University of Tennessee Health Science Center</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</si>
  <si>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</si>
  <si>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</si>
  <si>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</si>
  <si>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</si>
  <si>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</si>
  <si>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</si>
  <si>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</si>
  <si>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</si>
  <si>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</si>
  <si>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</si>
  <si>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</si>
  <si>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</si>
  <si>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</si>
  <si>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</si>
  <si>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</si>
  <si>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</si>
  <si>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</si>
  <si>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</si>
  <si>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</si>
  <si>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</si>
  <si>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</si>
  <si>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</si>
  <si>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</si>
  <si>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</si>
  <si>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</si>
  <si>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</si>
  <si>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</si>
  <si>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</si>
  <si>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</si>
  <si>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</si>
  <si>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</si>
  <si>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</si>
  <si>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</si>
  <si>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</si>
  <si>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</si>
  <si>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</si>
  <si>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</si>
  <si>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</si>
  <si>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</si>
  <si>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Virginia Military Institute</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</si>
  <si>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</si>
  <si>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</si>
  <si>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</si>
  <si>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</si>
  <si>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</si>
  <si>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</si>
  <si>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</si>
  <si>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</si>
  <si>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</si>
  <si>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</si>
  <si>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</si>
  <si>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</si>
  <si>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</si>
  <si>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</si>
  <si>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</si>
  <si>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</si>
  <si>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</si>
  <si>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</si>
  <si>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</si>
  <si>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</si>
  <si>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</si>
  <si>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West Virginia School of Osteopathic Medicine</t>
  </si>
  <si>
    <t>TX</t>
  </si>
  <si>
    <t>Cabell County Career Technology Center</t>
  </si>
  <si>
    <t>Fayette Institute of Technology</t>
  </si>
  <si>
    <t xml:space="preserve">Fred W. Eberle Technical Center </t>
  </si>
  <si>
    <t xml:space="preserve">Garnet Career Center </t>
  </si>
  <si>
    <t>James Rumsey Technical Institute</t>
  </si>
  <si>
    <t>John D. Rockefeller IV Career Center</t>
  </si>
  <si>
    <t>Mercer County Technical Education Center</t>
  </si>
  <si>
    <t xml:space="preserve">Monongalia County Technical Education Center </t>
  </si>
  <si>
    <t>Putnam Career and Technical Center</t>
  </si>
  <si>
    <t>Roane-Jackson Technical Center</t>
  </si>
  <si>
    <t>South Branch Career &amp; Technical Center</t>
  </si>
  <si>
    <t>United Technical Center</t>
  </si>
  <si>
    <t>Mingo Extended Learning Center</t>
  </si>
  <si>
    <t>MEDIANS</t>
  </si>
  <si>
    <t>Undergraduate In-State</t>
  </si>
  <si>
    <t>Undergraduate Out-of-State</t>
  </si>
  <si>
    <t>Graduate In-State</t>
  </si>
  <si>
    <t>Graduate Out-of-State</t>
  </si>
  <si>
    <t>Law In-State</t>
  </si>
  <si>
    <t>Law Out-of-State</t>
  </si>
  <si>
    <t>Medicine In-State</t>
  </si>
  <si>
    <t>Medicine Out-of-State</t>
  </si>
  <si>
    <t>Dentistry In-State</t>
  </si>
  <si>
    <t>Dentistry Out-of-State</t>
  </si>
  <si>
    <t>Pharmacy In-State</t>
  </si>
  <si>
    <t>Pharmacy Out-of-State</t>
  </si>
  <si>
    <t>Optometry In-State</t>
  </si>
  <si>
    <t>Optometry Out-of-State</t>
  </si>
  <si>
    <t>Osteopathic Med In-State</t>
  </si>
  <si>
    <t>Osteopathic Med Out-of-State</t>
  </si>
  <si>
    <t>Veterinary Med In-State</t>
  </si>
  <si>
    <t>Veterinary Med. Out-of-State</t>
  </si>
  <si>
    <t>Old</t>
  </si>
  <si>
    <t>New</t>
  </si>
  <si>
    <t>% Change</t>
  </si>
  <si>
    <t>SREB</t>
  </si>
  <si>
    <t>Four-Year 1</t>
  </si>
  <si>
    <t>Four-Year 2</t>
  </si>
  <si>
    <t>Four-Year 3</t>
  </si>
  <si>
    <t>Four-Year 4</t>
  </si>
  <si>
    <t>Four-Year 5</t>
  </si>
  <si>
    <t>Four-Year 6</t>
  </si>
  <si>
    <t>All 4yr</t>
  </si>
  <si>
    <t>Two-Year w/ bachs (7)</t>
  </si>
  <si>
    <t>Two-Year 1 (8)</t>
  </si>
  <si>
    <t>Two-Year 2 (9)</t>
  </si>
  <si>
    <t>Two-Year 3 (10)</t>
  </si>
  <si>
    <t>All 2yr</t>
  </si>
  <si>
    <t>Technical 1 (12)</t>
  </si>
  <si>
    <t>Technical 2 (13)</t>
  </si>
  <si>
    <t>Technical size unk (14)</t>
  </si>
  <si>
    <t>All Technical</t>
  </si>
  <si>
    <t>Professional</t>
  </si>
  <si>
    <t>Table 132</t>
  </si>
  <si>
    <t>Median Annual Tuition and Required Fees</t>
  </si>
  <si>
    <t>Full-Time In-State Undergraduate Students</t>
  </si>
  <si>
    <t xml:space="preserve">Four-Year </t>
  </si>
  <si>
    <t>All</t>
  </si>
  <si>
    <t>SREB states</t>
  </si>
  <si>
    <t>Alabama</t>
  </si>
  <si>
    <t>Arkansas</t>
  </si>
  <si>
    <t>Delaware</t>
  </si>
  <si>
    <t>Florida</t>
  </si>
  <si>
    <t>Georgia</t>
  </si>
  <si>
    <t>Kentucky</t>
  </si>
  <si>
    <t>Louisiana</t>
  </si>
  <si>
    <t>Maryland</t>
  </si>
  <si>
    <t>Mississippi</t>
  </si>
  <si>
    <t>North Carolina</t>
  </si>
  <si>
    <t>Oklahoma</t>
  </si>
  <si>
    <t>South Carolina</t>
  </si>
  <si>
    <t>Tennessee</t>
  </si>
  <si>
    <t xml:space="preserve">Texas </t>
  </si>
  <si>
    <t>Virginia</t>
  </si>
  <si>
    <t>West Virginia</t>
  </si>
  <si>
    <t xml:space="preserve">Notes: The amounts shown for each state are the medians (middle values) of the institutions in each state. The "SREB states median" is the middle value of all institutions of each type. Full-time undergraduate students are defined by a 30 credit hour load per year. </t>
  </si>
  <si>
    <t>Table 133</t>
  </si>
  <si>
    <t xml:space="preserve">Two-Year </t>
  </si>
  <si>
    <t>Technical Institute or College</t>
  </si>
  <si>
    <t>With Bach-    elor's</t>
  </si>
  <si>
    <t>Size Un- known</t>
  </si>
  <si>
    <t>Texas</t>
  </si>
  <si>
    <t>Virginia*</t>
  </si>
  <si>
    <t xml:space="preserve">*In Virginia community colleges, mandatory fees vary and are not included. </t>
  </si>
  <si>
    <t>Notes: The amounts shown for each state are the medians (middle values) of the institutions in each state. The "SREB states median" is the middle value of all institutions of each type. Full-time undergraduate students are defined by a 30 credit hour load per year. For two-year colleges, "in-district" rates are reported in the "in-state" column and "out-of-district" may be reported in the "out-of-state" column, if no other out-of-state rates apply.</t>
  </si>
  <si>
    <t>Table 134</t>
  </si>
  <si>
    <t>Full-Time Out-of-State Undergraduate Students</t>
  </si>
  <si>
    <t>Table 135</t>
  </si>
  <si>
    <t xml:space="preserve">Notes: The amounts shown for each state are the medians (middle values) of the institutions in each state. The "SREB states median" is the middle value of all institutions of each type. Full-time undergraduate students are defined by a 30 credit hour load per year. For two-year colleges, "in-district" rates are reported in the "in-state" column and "out-of-district" may be reported in the "out-of-state" column, if no other out-of-state rates apply. </t>
  </si>
  <si>
    <t>Table 136</t>
  </si>
  <si>
    <t>Full-Time In-State Graduate Students</t>
  </si>
  <si>
    <t>Notes: The amounts shown for each state are the medians (middle values) of the institutions in each state. The "SREB states median" is the middle value of all institutions of each type. Full-time graduate students are defined by a 24 credit hour load per year.</t>
  </si>
  <si>
    <t>Table 137</t>
  </si>
  <si>
    <t>Full-Time Out-of-State Graduate Students</t>
  </si>
  <si>
    <t>Table 138</t>
  </si>
  <si>
    <t>Full-Time In-State Students in Professional Programs</t>
  </si>
  <si>
    <t>Osteopathic</t>
  </si>
  <si>
    <t>Veterinary</t>
  </si>
  <si>
    <t>Notes: The amounts shown for each state are the medians (middle values) of the institutions in each state. The "SREB states median" is the middle value of all institutions with the professional program.</t>
  </si>
  <si>
    <t>Table 139</t>
  </si>
  <si>
    <t>Full-Time Out-of-State Students in Professional Programs</t>
  </si>
  <si>
    <t>Notes:  The amounts shown for each state are the medians (middle values) of the institutions in each state.  The "SREB states median" is the middle value of all institutions with the professional program.</t>
  </si>
  <si>
    <r>
      <rPr>
        <b/>
        <sz val="10"/>
        <color rgb="FF000000"/>
        <rFont val="Arial"/>
        <family val="2"/>
      </rPr>
      <t xml:space="preserve">Data Columns:  </t>
    </r>
    <r>
      <rPr>
        <sz val="10"/>
        <color rgb="FF000000"/>
        <rFont val="Arial"/>
        <family val="2"/>
      </rPr>
      <t xml:space="preserve">White = New Data, Peach = Old Data, Purple/Grey = Calculated Data. </t>
    </r>
  </si>
  <si>
    <t xml:space="preserve">John C. Calhoun Community College </t>
  </si>
  <si>
    <t>George C. Wallace Community College-Dothan</t>
  </si>
  <si>
    <t>George C. Wallace State Community College-Hanceville</t>
  </si>
  <si>
    <t>Chattahoochee Valley Community College</t>
  </si>
  <si>
    <t>Enterprise State Community College</t>
  </si>
  <si>
    <t>Northeast Alabama Community College</t>
  </si>
  <si>
    <t>H. Councill Trenholm State Community College</t>
  </si>
  <si>
    <t>J.F. Drake State Community and Technical College</t>
  </si>
  <si>
    <t>University of Arkansas - Pulaski Technical College</t>
  </si>
  <si>
    <t>University of Arkansas Community College Rich Mountain</t>
  </si>
  <si>
    <t>Augusta University</t>
  </si>
  <si>
    <t>Central LA Technical Community College</t>
  </si>
  <si>
    <t>University of North Carolina School of the Arts</t>
  </si>
  <si>
    <t>Met the criteria for Four-Year 3 in 2018-19 and 2019-20.</t>
  </si>
  <si>
    <t>Met the criteria for Four-Year 5 in 2019-20.</t>
  </si>
  <si>
    <t>Coastal Alabama Community College</t>
  </si>
  <si>
    <t>Met the criteria for Two-Year 2 in 2018-19 and 2019-20.</t>
  </si>
  <si>
    <t>Arkansas State University Three Rivers</t>
  </si>
  <si>
    <t>2019-20: Institution joined one of our university systems</t>
  </si>
  <si>
    <t>University of Arkansas Community College at Hope-Texarkana</t>
  </si>
  <si>
    <t xml:space="preserve">Met the criteria for Two-Year with Bachelor's in 2019-20. </t>
  </si>
  <si>
    <t>The College of the Florida Keys</t>
  </si>
  <si>
    <t xml:space="preserve">Met the criteria for Two-Year with Bachelor's in 2018-19 and 2019-20. </t>
  </si>
  <si>
    <t xml:space="preserve">North Florida College </t>
  </si>
  <si>
    <t>Met the criteria for Four-Year 2 in 2019-20.</t>
  </si>
  <si>
    <t>Reclassified: Met the criteria for Two-Year 2 in 2017-18, 2018-19, and 2019-20.</t>
  </si>
  <si>
    <t>Southern University Law Center</t>
  </si>
  <si>
    <t>Met the criteria for Two-Year 3 in 2018-19 and 2019-20.</t>
  </si>
  <si>
    <t>Met the criteria for Four-Year 4 in 2019-20.</t>
  </si>
  <si>
    <t>University of Maryland Global Campus</t>
  </si>
  <si>
    <t>Met the criteria for Two-Year 2 in 2019-20.</t>
  </si>
  <si>
    <t xml:space="preserve">Williamsburg Technical College </t>
  </si>
  <si>
    <t>Met the criteria for Technical Institute or College 1 in 2019-20.</t>
  </si>
  <si>
    <t>Academy of Careers and Technology</t>
  </si>
  <si>
    <t>Ben Franklin Career Center</t>
  </si>
  <si>
    <t>Boone Career and Technical Center</t>
  </si>
  <si>
    <t>Carver Career and Technical Education Center</t>
  </si>
  <si>
    <t>Marion County Technical Center</t>
  </si>
  <si>
    <t>McDowell County Career and Technology Center</t>
  </si>
  <si>
    <t>Mineral County Technical Center</t>
  </si>
  <si>
    <t>Ralph R. Willis Career and Technical Center</t>
  </si>
  <si>
    <t>Wyoming County Career &amp; Technical Center</t>
  </si>
  <si>
    <t>Greenbrier School of Practical Nursing</t>
  </si>
  <si>
    <t>Randolph Technical Center</t>
  </si>
  <si>
    <t>Summers County School of Practical Nursing</t>
  </si>
  <si>
    <t>Met the criteria for Four-Year 3 in 2018-19.</t>
  </si>
  <si>
    <t xml:space="preserve">Met the criteria for Four-Year 6 in 2017-18 and 2018-19. </t>
  </si>
  <si>
    <t>CPE: Updated 2019-20 Graduate Numbers</t>
  </si>
  <si>
    <t>Changed # from 157173 to 156392</t>
  </si>
  <si>
    <t>Community College of Baltimore County (all campuses)</t>
  </si>
  <si>
    <t>Montgomery College (all campuses)</t>
  </si>
  <si>
    <t>University of Maryland, Baltimore</t>
  </si>
  <si>
    <t>Davidson-Davie Community College</t>
  </si>
  <si>
    <t>College of The Albemarle</t>
  </si>
  <si>
    <t xml:space="preserve">Canadian Valley Technology Center                 </t>
  </si>
  <si>
    <t xml:space="preserve">Francis Tuttle Technology Center                  </t>
  </si>
  <si>
    <t xml:space="preserve">Tulsa Technology Center-Lemley Campus             </t>
  </si>
  <si>
    <t>Met the criteria for Technical Institute or College 2 in 2019-20.</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</si>
  <si>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</si>
  <si>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</si>
  <si>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</si>
  <si>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</si>
  <si>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</si>
  <si>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</si>
  <si>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</si>
  <si>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</si>
  <si>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</si>
  <si>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</si>
  <si>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</si>
  <si>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</si>
  <si>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</si>
  <si>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</si>
  <si>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</si>
  <si>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</si>
  <si>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</si>
  <si>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</si>
  <si>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</si>
  <si>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</si>
  <si>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</si>
  <si>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</si>
  <si>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</si>
  <si>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Metro Technology Centers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</si>
  <si>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</si>
  <si>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</si>
  <si>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</si>
  <si>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</si>
  <si>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</si>
  <si>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</si>
  <si>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</si>
  <si>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</si>
  <si>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</si>
  <si>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</si>
  <si>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</si>
  <si>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</si>
  <si>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</si>
  <si>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</si>
  <si>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</si>
  <si>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</si>
  <si>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</si>
  <si>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Tulsa Technology Center-Owasso</t>
  </si>
  <si>
    <t xml:space="preserve">Tulsa Technology Center-Riverside Campus          </t>
  </si>
  <si>
    <t>Tulsa Technology Center-Sand Springs</t>
  </si>
  <si>
    <t xml:space="preserve">Wes Watkins Technology Center                     </t>
  </si>
  <si>
    <t xml:space="preserve">Western Technology Center                         </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</si>
  <si>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</si>
  <si>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</si>
  <si>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</si>
  <si>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</si>
  <si>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</si>
  <si>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</si>
  <si>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</si>
  <si>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University of Texas at San Antonio</t>
  </si>
  <si>
    <t>Texas State University</t>
  </si>
  <si>
    <t>Texas Woman's University</t>
  </si>
  <si>
    <t>University of Texas at El Paso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</si>
  <si>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</si>
  <si>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</si>
  <si>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</si>
  <si>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</si>
  <si>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</si>
  <si>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</si>
  <si>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</si>
  <si>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</si>
  <si>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</si>
  <si>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</si>
  <si>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</si>
  <si>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</si>
  <si>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</si>
  <si>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</si>
  <si>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Tyler</t>
  </si>
  <si>
    <t>University of Texas Permian Basin</t>
  </si>
  <si>
    <t>University of Texas-Rio Grande Valley</t>
  </si>
  <si>
    <t>West Texas A&amp;M University</t>
  </si>
  <si>
    <t>Texas A&amp;M -Texarkana</t>
  </si>
  <si>
    <t>Texas A&amp;M University-Central Texas</t>
  </si>
  <si>
    <t>University of Houston-Downtown</t>
  </si>
  <si>
    <t>University of Houston-Victoria</t>
  </si>
  <si>
    <t>Sul Ross State University-Rio Grande College</t>
  </si>
  <si>
    <t>228501B</t>
  </si>
  <si>
    <t>Texas A&amp;M University at Galveston</t>
  </si>
  <si>
    <t>Texas A&amp;M University-San Antonio</t>
  </si>
  <si>
    <t xml:space="preserve">Brazosport College </t>
  </si>
  <si>
    <t xml:space="preserve">Midland College </t>
  </si>
  <si>
    <t>South Texas College</t>
  </si>
  <si>
    <t xml:space="preserve">Amarillo College </t>
  </si>
  <si>
    <t xml:space="preserve">Austin Community College </t>
  </si>
  <si>
    <t>Met the criteria for Two-Year with Bachelor's in 2019-20.</t>
  </si>
  <si>
    <t>Blinn College</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</si>
  <si>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</si>
  <si>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</si>
  <si>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</si>
  <si>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</si>
  <si>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</si>
  <si>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</si>
  <si>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</si>
  <si>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</si>
  <si>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Laredo College </t>
  </si>
  <si>
    <t>Lone Star College System District</t>
  </si>
  <si>
    <t xml:space="preserve">McLennan Community College </t>
  </si>
  <si>
    <t>Mountain View College  (DCCCD)</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</si>
  <si>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</si>
  <si>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</si>
  <si>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</si>
  <si>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</si>
  <si>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</si>
  <si>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</si>
  <si>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</si>
  <si>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</si>
  <si>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</si>
  <si>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</si>
  <si>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</si>
  <si>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</si>
  <si>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</si>
  <si>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</si>
  <si>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</si>
  <si>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</si>
  <si>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</si>
  <si>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</si>
  <si>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</si>
  <si>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</si>
  <si>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</si>
  <si>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</si>
  <si>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</si>
  <si>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</si>
  <si>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</si>
  <si>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</si>
  <si>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</si>
  <si>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</si>
  <si>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</si>
  <si>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</si>
  <si>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</si>
  <si>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</si>
  <si>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Changed IPEDS # from 229072</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</si>
  <si>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</si>
  <si>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</si>
  <si>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</si>
  <si>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</si>
  <si>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</si>
  <si>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</si>
  <si>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</si>
  <si>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</si>
  <si>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</si>
  <si>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</si>
  <si>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</si>
  <si>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</si>
  <si>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Panola College</t>
  </si>
  <si>
    <t xml:space="preserve">Ranger College </t>
  </si>
  <si>
    <t>Southwest Collegiate Institute for the Deaf (HCJCD)</t>
  </si>
  <si>
    <t>Texas State Technical College-Fort Bend</t>
  </si>
  <si>
    <t>Texas State Technical College-Marshall</t>
  </si>
  <si>
    <t>Texas State Technical College-North Texas</t>
  </si>
  <si>
    <t>Texas State Technical College-West Texas</t>
  </si>
  <si>
    <t xml:space="preserve">Western Texas College </t>
  </si>
  <si>
    <t>Texas A&amp;M Health Science Center</t>
  </si>
  <si>
    <t>Texas Tech University Health Sciences Center</t>
  </si>
  <si>
    <t xml:space="preserve">Texas Tech University Health Sciences Center - El Paso </t>
  </si>
  <si>
    <t>University of North Texas at Dallas</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</si>
  <si>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</si>
  <si>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</si>
  <si>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</si>
  <si>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</si>
  <si>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</si>
  <si>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 at Dallas</t>
  </si>
  <si>
    <t>University of Texas Health Science Center at Tyler</t>
  </si>
  <si>
    <t>Wood County School of Practical Nursing</t>
  </si>
  <si>
    <t>2020-21</t>
  </si>
  <si>
    <t>Grand Total</t>
  </si>
  <si>
    <t>Notes</t>
  </si>
  <si>
    <t>mNewLawOS</t>
  </si>
  <si>
    <t>mOldLawOS</t>
  </si>
  <si>
    <t>mOldLawIS</t>
  </si>
  <si>
    <t>mNewLawIS</t>
  </si>
  <si>
    <t>mOLDGIS</t>
  </si>
  <si>
    <t>mOldUGIS</t>
  </si>
  <si>
    <t>mNewUGIS</t>
  </si>
  <si>
    <t>mNewGIS</t>
  </si>
  <si>
    <t>mOldUGOS</t>
  </si>
  <si>
    <t>mNewGOS</t>
  </si>
  <si>
    <t>mNewUGOS</t>
  </si>
  <si>
    <t>mOldGOS</t>
  </si>
  <si>
    <t>mOldMedIS</t>
  </si>
  <si>
    <t>mNewMedIS</t>
  </si>
  <si>
    <t>State &amp; Cat</t>
  </si>
  <si>
    <t>mOldDenIS</t>
  </si>
  <si>
    <t>mNewDenIS</t>
  </si>
  <si>
    <t>mOldDenOS</t>
  </si>
  <si>
    <t>mNewDenOS</t>
  </si>
  <si>
    <t>mOldPhrIS</t>
  </si>
  <si>
    <t>mNewPhIS</t>
  </si>
  <si>
    <t>mOldPhrOS</t>
  </si>
  <si>
    <t>mNewPhrOS</t>
  </si>
  <si>
    <t>mOldOptIS</t>
  </si>
  <si>
    <t>Undergrad</t>
  </si>
  <si>
    <t>In-state</t>
  </si>
  <si>
    <t xml:space="preserve">Undergrad </t>
  </si>
  <si>
    <t>Out-of-state</t>
  </si>
  <si>
    <t>mOldOptOS</t>
  </si>
  <si>
    <t>mNewOptOS</t>
  </si>
  <si>
    <t>Med</t>
  </si>
  <si>
    <t>Dentist</t>
  </si>
  <si>
    <t>Pharma</t>
  </si>
  <si>
    <t>mNewOptIS</t>
  </si>
  <si>
    <t>mOldOstIS</t>
  </si>
  <si>
    <t>mNewOstIS</t>
  </si>
  <si>
    <t>mOldOstOS</t>
  </si>
  <si>
    <t>mNewOstOS</t>
  </si>
  <si>
    <t>mOldMedOS</t>
  </si>
  <si>
    <t>mNewMedOS</t>
  </si>
  <si>
    <t>Out of State</t>
  </si>
  <si>
    <t>m[OldVetIS</t>
  </si>
  <si>
    <t>mNewVetIS</t>
  </si>
  <si>
    <t>Vet</t>
  </si>
  <si>
    <t>mOldVetOS</t>
  </si>
  <si>
    <t>mNewVetOS</t>
  </si>
  <si>
    <t>4-Year</t>
  </si>
  <si>
    <t>Tech</t>
  </si>
  <si>
    <t>(Multiple Items)</t>
  </si>
  <si>
    <t>2- Year</t>
  </si>
  <si>
    <t xml:space="preserve">Categories </t>
  </si>
  <si>
    <t>Public Four-Year Institutions, 2020-21</t>
  </si>
  <si>
    <t>Public Two-Year Colleges and Technical Institutes or Colleges, 2020-21</t>
  </si>
  <si>
    <t>Public Institutions, 2020-21</t>
  </si>
  <si>
    <t>Reclassified: Met the criteria for Four-Year 3 in 2018-19, 2019-20, and 2020-21.</t>
  </si>
  <si>
    <t>Reclassified: Met the criteria for Four-Year 4 in 2018-19, 2019-20, and 2020-21.</t>
  </si>
  <si>
    <t>Reclassified: Met the criteria for Two-Year 1 in 2018-19, 2019-20, and 2020-21.</t>
  </si>
  <si>
    <t>Reclassified: Met the criteria for Four-Year 5 in 2018-19, 2019-20, and 2020-21.</t>
  </si>
  <si>
    <t>Reclassified: Met the criteria for Two-Year 2 in 2018-19, 2019-20, and 2020-21.</t>
  </si>
  <si>
    <t>SRHE</t>
  </si>
  <si>
    <t>Reclassified: Met the criteria for Four-Year 3 in 2018-19 ,2019-20, and 2020-21</t>
  </si>
  <si>
    <t>Reclassified: Met the criteria for Four-Year 4 in 2018-19 and 2019-20, and 2021</t>
  </si>
  <si>
    <t>Reclassifed Met the criteria for Two-Year 2 in 2018-19 and 2019-20 and 2020-21</t>
  </si>
  <si>
    <t>Dallas College</t>
  </si>
  <si>
    <t>Name change ( Dallas County Community College)</t>
  </si>
  <si>
    <t>Met the criteria for Four-Year 5 in 2019-20 and 2020-21.</t>
  </si>
  <si>
    <t>Met the criteria for Two-Year 3 in 2020-21.</t>
  </si>
  <si>
    <t>Met the criteria for Four-Year 4 in 2020-21.</t>
  </si>
  <si>
    <t>Met the criteria for Two-Year 2 in 2020-21.</t>
  </si>
  <si>
    <t xml:space="preserve">Met the criteria for Two-Year with Bachelor's in 2019-20 and 2020-21. </t>
  </si>
  <si>
    <t>Met the criteria for Four-Year 6 in 2020-21.</t>
  </si>
  <si>
    <t>Met the criteria for Two-Year 3 in 2019-20 and 2020-21.</t>
  </si>
  <si>
    <t>Met the criteria for Four-Year 2 in 2019-20 and 2020-21.</t>
  </si>
  <si>
    <t>Met the criteria for Technical Institute or College 1 in 2019-20 and 2020-21.</t>
  </si>
  <si>
    <t>Met the requirments for 4-year 1 in 2020-21</t>
  </si>
  <si>
    <t>Met the requirments for 4 Year 1 in 2020-21</t>
  </si>
  <si>
    <t>Met the criteria Two-Year 2 in 2020-21</t>
  </si>
  <si>
    <t>Met the critera for Two-Year 1 in 2020-21</t>
  </si>
  <si>
    <t>Met the requirments for  Two-year 3 in 2020-21</t>
  </si>
  <si>
    <t>Met the criteria for Two-Year 2 in 2019-20 and 2020-21.</t>
  </si>
  <si>
    <t>Met the criteria for Four-Year 4 in 2019-20 and 2020-21.</t>
  </si>
  <si>
    <t>corrected SREB Category</t>
  </si>
  <si>
    <t>Range 1[State]</t>
  </si>
  <si>
    <t>Range 1[Name]</t>
  </si>
  <si>
    <t>Range 1[Notes]</t>
  </si>
  <si>
    <t>Range 1[IPEDSID]</t>
  </si>
  <si>
    <t>Range 1[Type]</t>
  </si>
  <si>
    <t>Range 1[OldUGIS]</t>
  </si>
  <si>
    <t>Range 1[NewUGIS]</t>
  </si>
  <si>
    <t>Range 1[OldUGOS]</t>
  </si>
  <si>
    <t>Range 1[NewUGOS]</t>
  </si>
  <si>
    <t>Range 1[OldGIS]</t>
  </si>
  <si>
    <t>Range 1[NewGIS]</t>
  </si>
  <si>
    <t>Range 1[OldGOS]</t>
  </si>
  <si>
    <t>Range 1[NewGOS]</t>
  </si>
  <si>
    <t>Range 1[OldLawIS]</t>
  </si>
  <si>
    <t>Range 1[NewLawIS]</t>
  </si>
  <si>
    <t>Range 1[OldLawOS]</t>
  </si>
  <si>
    <t>Range 1[NewLawOS]</t>
  </si>
  <si>
    <t>Range 1[OldMedIS]</t>
  </si>
  <si>
    <t>Range 1[NewMedIS]</t>
  </si>
  <si>
    <t>Range 1[OldMedOS]</t>
  </si>
  <si>
    <t>Range 1[NewMedOS]</t>
  </si>
  <si>
    <t>Range 1[OldDenIS]</t>
  </si>
  <si>
    <t>Range 1[NewDenIS]</t>
  </si>
  <si>
    <t>Range 1[OldDenOS]</t>
  </si>
  <si>
    <t>Range 1[NewDenOS]</t>
  </si>
  <si>
    <t>Range 1[OldPhrIS]</t>
  </si>
  <si>
    <t>Range 1[NewPhrIS]</t>
  </si>
  <si>
    <t>Range 1[OldPhrOS]</t>
  </si>
  <si>
    <t>Range 1[NewPhrOS]</t>
  </si>
  <si>
    <t>Range 1[OldOptIS]</t>
  </si>
  <si>
    <t>Range 1[NewOptIS]</t>
  </si>
  <si>
    <t>Range 1[OldOptOS]</t>
  </si>
  <si>
    <t>Range 1[NewOptOS]</t>
  </si>
  <si>
    <t>Range 1[OldOstIS]</t>
  </si>
  <si>
    <t>Range 1[NewOstIS]</t>
  </si>
  <si>
    <t>Range 1[OldOstOS]</t>
  </si>
  <si>
    <t>Range 1[NewOstOS]</t>
  </si>
  <si>
    <t>Range 1[OldVetIS]</t>
  </si>
  <si>
    <t>Range 1[NewVetIS]</t>
  </si>
  <si>
    <t>Range 1[OldVetOS]</t>
  </si>
  <si>
    <t>Range 1[NewVetOS]</t>
  </si>
  <si>
    <t>College of Coastal Georgia</t>
  </si>
  <si>
    <t>139250</t>
  </si>
  <si>
    <t>Dalton State College</t>
  </si>
  <si>
    <t>139463</t>
  </si>
  <si>
    <t>447689</t>
  </si>
  <si>
    <t>Data returned for mOldUGIS, GA - 6 (First 1000 rows).</t>
  </si>
  <si>
    <t>Abraham Baldwin Agricultural College</t>
  </si>
  <si>
    <t>138558</t>
  </si>
  <si>
    <t>Gordon State College</t>
  </si>
  <si>
    <t>Met the criteria for Four-Year 6 in 2017-18 and 2018-19.</t>
  </si>
  <si>
    <t>139968</t>
  </si>
  <si>
    <t>100830</t>
  </si>
  <si>
    <t>101587</t>
  </si>
  <si>
    <t>101161</t>
  </si>
  <si>
    <t xml:space="preserve">Hinds Community College </t>
  </si>
  <si>
    <t xml:space="preserve">Holmes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</si>
  <si>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</si>
  <si>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</si>
  <si>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</si>
  <si>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</si>
  <si>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</si>
  <si>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Itawamba Community College </t>
  </si>
  <si>
    <t>Jones College</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</si>
  <si>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</si>
  <si>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</si>
  <si>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</si>
  <si>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</si>
  <si>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</si>
  <si>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</si>
  <si>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Please check IPEDS ID and Category; UNT Dallas ID is "484905" in IPEDS, might be a 4-yr school</t>
  </si>
  <si>
    <t>Formerly Dallas County Community College District (DCCCD)</t>
  </si>
  <si>
    <t>Public Four-Year Institutions, 2021-22</t>
  </si>
  <si>
    <t>Public Two-Year Colleges and Technical Institutes or Colleges, 2021-22</t>
  </si>
  <si>
    <t>Public Institutions, 2021-22</t>
  </si>
  <si>
    <t>Reclassified: Met the criteria for Four-Year 5 in 2019-20 and 2020-21, and 2021-22</t>
  </si>
  <si>
    <t>Met the criteria for Two-Year 3 in 2020-21, and 2021-22</t>
  </si>
  <si>
    <t>Met the criteria for Two-Year 3 in 2020-21 and 2021,22</t>
  </si>
  <si>
    <t>Met the criteria for Two-Year 2 in 2021-22</t>
  </si>
  <si>
    <t>Met the criteria for Four-Year 4 in 2020-21 ands 2021-22</t>
  </si>
  <si>
    <t>Met the criteria for Two-Year 2 in 2020-21 and 2021-22</t>
  </si>
  <si>
    <t>Reclassifed Met the criteria for Two-Year with Bachelor's in 2019-20, 2020-21 and 2021-22</t>
  </si>
  <si>
    <t>Met the criteria for Two-Year 1 in 2020-21 and 2021-22</t>
  </si>
  <si>
    <t>Met the criteria for Two-Year 21in 2020-21 and 2021-22</t>
  </si>
  <si>
    <t>Met the criteria for Two-Year 3 in 2020-21 and 2021-22</t>
  </si>
  <si>
    <t>Meet the Criteria for Four-Year 3 in 2021-22</t>
  </si>
  <si>
    <t xml:space="preserve"> Met the Criteria for Four-Year 4 in 2021-22</t>
  </si>
  <si>
    <t>Met the crtiera for Technical College 2 in 2021-22</t>
  </si>
  <si>
    <t>Met the criteria for Two-Year 3 in  2021-22</t>
  </si>
  <si>
    <t>Reclassifed: Met the criteria for Four-Year 2 in 2019-20 and 2020-21, and 2021-22</t>
  </si>
  <si>
    <t>Met the criteria for Technical Institute or College 2 in 2021-22</t>
  </si>
  <si>
    <t>Met the criteria for Four-Year 5 in 2021-22</t>
  </si>
  <si>
    <t>Reclassified Met the criteria for Four-Year 5 in 2019-20 and 2020-21, and 2021, 22</t>
  </si>
  <si>
    <t>Met the criteria for Two-Year 2 in 2020-21, and 2021-22</t>
  </si>
  <si>
    <t>Met the criteria for Two-Year 3 in 2021-22</t>
  </si>
  <si>
    <t>Met the criteria for Two-Year 1 in  2021-22</t>
  </si>
  <si>
    <t>Met the requirments for Four-Year 1 in 2020-21, and 2021-22</t>
  </si>
  <si>
    <t>Met the requirments for 4-Year 2 in 2021-22</t>
  </si>
  <si>
    <t>Met the requirments for 4-Year 3 in 2021-22</t>
  </si>
  <si>
    <t>Met the requirments for 4-Year 4 in 2021-22</t>
  </si>
  <si>
    <t>Met the criteria Two-Year 2 in 2020-21, and 2021-22</t>
  </si>
  <si>
    <t>Met the critera for Two-Year 1 in 2020-21, and 2021-22</t>
  </si>
  <si>
    <t>Met the criteria Two-Year 3 in 2021-22</t>
  </si>
  <si>
    <t>Met the criteria Two-Year 3 2021-22</t>
  </si>
  <si>
    <t>Met the criteria Two-Year 2 2021-22</t>
  </si>
  <si>
    <t>Met the criteria Two-Year 1 2021-22</t>
  </si>
  <si>
    <t>Met the requirments for  Two-year 3 in 2020-21, and 2021-22</t>
  </si>
  <si>
    <t>Met the requirments for  Two-year 3 in 021-22</t>
  </si>
  <si>
    <t>Reclassifed Met the criteria for Two-Year 3 in 2019-20 and 2020-21, and 2021-22</t>
  </si>
  <si>
    <t>Reclassifed: Met the criteria for Four-Year 4 in 2019-20 2020-21, and 2021-22</t>
  </si>
  <si>
    <t>2021-22</t>
  </si>
  <si>
    <t>Reclassifed Met the criteria for Two-Year 3 in 2019-20 and 2020-21, and 2022</t>
  </si>
  <si>
    <t>Was J.S. Reynolds Community College</t>
  </si>
  <si>
    <t>Was John Tyler Community College</t>
  </si>
  <si>
    <t>Was Lord Fairfax Community College</t>
  </si>
  <si>
    <t>Brightpoint Community College</t>
  </si>
  <si>
    <t>Laurel Ridge Community College</t>
  </si>
  <si>
    <t>Bluefield State University</t>
  </si>
  <si>
    <t>Glenville State University</t>
  </si>
  <si>
    <t xml:space="preserve"> Mountain Gateway Community College</t>
  </si>
  <si>
    <t xml:space="preserve">Was D.S. Lancaster Community College </t>
  </si>
  <si>
    <t>Patrick &amp; Henry Community College</t>
  </si>
  <si>
    <t xml:space="preserve">Was Patrick Henry Community College </t>
  </si>
  <si>
    <t>William &amp; Mary</t>
  </si>
  <si>
    <t>Was College of William &amp; Mary</t>
  </si>
  <si>
    <t>Reclassifed: Met the criteria for Two-Year 2 in 2019-20 and 2020-21 and 2021-22</t>
  </si>
  <si>
    <t>Met the Requirment for Four-Year 4 in 2021-22</t>
  </si>
  <si>
    <t>Part 7: Annual Tuition and Mandatory  Fees</t>
  </si>
  <si>
    <t>With Bach- elor's</t>
  </si>
  <si>
    <t>Met the criteria for Two-Year 1 in 2021-22</t>
  </si>
  <si>
    <t>Met the criteria for Two-Year 2  in 2021-22</t>
  </si>
  <si>
    <t>Virginia Peninsula Community College</t>
  </si>
  <si>
    <t>Reclassifed: Met the criteria for Two-Year 2 in 2019-20 and 2020-21 and 2021-22 Was Thomas Nelson Community College</t>
  </si>
  <si>
    <t xml:space="preserve">  Oct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</si>
</sst>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_)"/>
    <numFmt numFmtId="165" formatCode="_(* #,##0_);_(* \(#,##0\);_(* &quot;-&quot;??_);_(@_)"/>
    <numFmt numFmtId="166" formatCode="General_)"/>
    <numFmt numFmtId="167" formatCode="&quot;$&quot;#,##0"/>
    <numFmt numFmtId="168" formatCode="0.00_)"/>
  </numFmts>
  <fonts count="72">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sz val="12"/>
      <name val="AGaramond"/>
      <family val="1"/>
    </font>
    <font>
      <sz val="8"/>
      <name val="Arial"/>
      <family val="2"/>
    </font>
    <font>
      <sz val="10"/>
      <name val="Arial"/>
      <family val="2"/>
    </font>
    <font>
      <b/>
      <sz val="12"/>
      <name val="Arial"/>
      <family val="2"/>
    </font>
    <font>
      <b/>
      <sz val="10"/>
      <name val="Arial"/>
      <family val="2"/>
    </font>
    <font>
      <sz val="12"/>
      <name val="Arial"/>
      <family val="2"/>
    </font>
    <font>
      <b/>
      <sz val="10"/>
      <color indexed="12"/>
      <name val="Arial"/>
      <family val="2"/>
    </font>
    <font>
      <sz val="10"/>
      <name val="Courier"/>
      <family val="3"/>
    </font>
    <font>
      <b/>
      <sz val="14"/>
      <color theme="0"/>
      <name val="Arial"/>
      <family val="2"/>
    </font>
    <font>
      <sz val="10"/>
      <color indexed="8"/>
      <name val="Arial"/>
      <family val="2"/>
    </font>
    <font>
      <sz val="10"/>
      <color theme="1"/>
      <name val="Arial"/>
      <family val="2"/>
    </font>
    <font>
      <sz val="11"/>
      <color indexed="8"/>
      <name val="Calibri"/>
      <family val="2"/>
    </font>
    <font>
      <sz val="10"/>
      <name val="Helv"/>
    </font>
    <font>
      <sz val="12"/>
      <name val="AGaramond"/>
      <family val="1"/>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Times New Roman"/>
      <family val="1"/>
    </font>
    <font>
      <b/>
      <sz val="10"/>
      <color rgb="FFC00000"/>
      <name val="Arial"/>
      <family val="2"/>
    </font>
    <font>
      <b/>
      <sz val="10"/>
      <color rgb="FF000000"/>
      <name val="Arial"/>
      <family val="2"/>
    </font>
    <font>
      <sz val="10"/>
      <color rgb="FF000000"/>
      <name val="Arial"/>
      <family val="2"/>
    </font>
    <font>
      <sz val="8"/>
      <color rgb="FF000000"/>
      <name val="Tahoma"/>
      <family val="2"/>
    </font>
    <font>
      <b/>
      <sz val="10"/>
      <name val="Times New Roman"/>
      <family val="1"/>
    </font>
    <font>
      <b/>
      <sz val="8"/>
      <color indexed="81"/>
      <name val="Tahoma"/>
      <family val="2"/>
    </font>
    <font>
      <b/>
      <sz val="14"/>
      <name val="Arial"/>
      <family val="2"/>
    </font>
    <font>
      <b/>
      <sz val="9"/>
      <name val="Arial"/>
      <family val="2"/>
    </font>
    <font>
      <i/>
      <sz val="10"/>
      <name val="Arial"/>
      <family val="2"/>
    </font>
    <font>
      <sz val="10"/>
      <name val="AGaramond"/>
      <family val="1"/>
    </font>
    <font>
      <sz val="10"/>
      <color indexed="19"/>
      <name val="Arial"/>
      <family val="2"/>
    </font>
    <font>
      <b/>
      <sz val="10"/>
      <color rgb="FFFF0000"/>
      <name val="Arial"/>
      <family val="2"/>
    </font>
    <font>
      <b/>
      <sz val="11"/>
      <color rgb="FFC00000"/>
      <name val="Calibri"/>
      <family val="2"/>
    </font>
    <font>
      <b/>
      <sz val="11"/>
      <color rgb="FF000000"/>
      <name val="Calibri"/>
      <family val="2"/>
    </font>
    <font>
      <sz val="10"/>
      <color rgb="FF9C0000"/>
      <name val="Arial"/>
      <family val="2"/>
    </font>
    <font>
      <sz val="10"/>
      <color rgb="FFFFFFFF"/>
      <name val="Arial"/>
      <family val="2"/>
    </font>
    <font>
      <b/>
      <sz val="12"/>
      <name val="AGaramond"/>
    </font>
    <font>
      <sz val="10"/>
      <color rgb="FFC00000"/>
      <name val="Arial"/>
      <family val="2"/>
    </font>
    <font>
      <b/>
      <sz val="11"/>
      <color rgb="FFC00000"/>
      <name val="Calibri"/>
      <family val="2"/>
      <scheme val="minor"/>
    </font>
    <font>
      <b/>
      <sz val="11"/>
      <name val="Calibri"/>
      <family val="2"/>
    </font>
    <font>
      <b/>
      <sz val="11"/>
      <color rgb="FFFF0000"/>
      <name val="Calibri"/>
      <family val="2"/>
      <scheme val="minor"/>
    </font>
    <font>
      <b/>
      <sz val="11"/>
      <color theme="1"/>
      <name val="Calibri"/>
      <family val="2"/>
      <scheme val="minor"/>
    </font>
    <font>
      <b/>
      <sz val="11"/>
      <name val="Calibri"/>
      <family val="2"/>
      <scheme val="minor"/>
    </font>
    <font>
      <sz val="10"/>
      <color rgb="FF0000FF"/>
      <name val="Arial"/>
      <family val="2"/>
    </font>
    <font>
      <b/>
      <sz val="10"/>
      <color rgb="FF000000"/>
      <name val="Times New Roman"/>
      <family val="1"/>
    </font>
    <font>
      <b/>
      <sz val="11"/>
      <color rgb="FFFF0000"/>
      <name val="Calibri"/>
      <family val="2"/>
    </font>
    <font>
      <b/>
      <sz val="8"/>
      <color rgb="FF000000"/>
      <name val="Times New Roman"/>
      <family val="1"/>
    </font>
    <font>
      <b/>
      <sz val="10"/>
      <color rgb="FFFFFFFF"/>
      <name val="Arial"/>
      <family val="2"/>
    </font>
  </fonts>
  <fills count="76">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theme="1"/>
        <bgColor indexed="64"/>
      </patternFill>
    </fill>
    <fill>
      <patternFill patternType="solid">
        <fgColor theme="9" tint="0.59999389629810485"/>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FFCC99"/>
        <bgColor rgb="FFFFCC99"/>
      </patternFill>
    </fill>
    <fill>
      <patternFill patternType="solid">
        <fgColor rgb="FFFFFF00"/>
        <bgColor indexed="64"/>
      </patternFill>
    </fill>
    <fill>
      <patternFill patternType="solid">
        <fgColor indexed="15"/>
        <bgColor indexed="64"/>
      </patternFill>
    </fill>
    <fill>
      <patternFill patternType="solid">
        <fgColor rgb="FF99CCFF"/>
        <bgColor rgb="FF99CCFF"/>
      </patternFill>
    </fill>
    <fill>
      <patternFill patternType="solid">
        <fgColor rgb="FFFF99CC"/>
        <bgColor rgb="FFFF99CC"/>
      </patternFill>
    </fill>
    <fill>
      <patternFill patternType="solid">
        <fgColor rgb="FFFFFF99"/>
        <bgColor rgb="FFFFFF99"/>
      </patternFill>
    </fill>
    <fill>
      <patternFill patternType="solid">
        <fgColor rgb="FFCC99FF"/>
        <bgColor rgb="FFCC99FF"/>
      </patternFill>
    </fill>
    <fill>
      <patternFill patternType="solid">
        <fgColor rgb="FF00FFFF"/>
        <bgColor indexed="64"/>
      </patternFill>
    </fill>
    <fill>
      <patternFill patternType="solid">
        <fgColor theme="9" tint="0.59999389629810485"/>
        <bgColor theme="9" tint="0.59999389629810485"/>
      </patternFill>
    </fill>
    <fill>
      <patternFill patternType="solid">
        <fgColor rgb="FFFCD5B4"/>
        <bgColor rgb="FFFCD5B4"/>
      </patternFill>
    </fill>
    <fill>
      <patternFill patternType="solid">
        <fgColor rgb="FFFF99CC"/>
        <bgColor rgb="FF000000"/>
      </patternFill>
    </fill>
    <fill>
      <patternFill patternType="solid">
        <fgColor rgb="FFFFCC00"/>
        <bgColor rgb="FFFFCC00"/>
      </patternFill>
    </fill>
    <fill>
      <patternFill patternType="solid">
        <fgColor rgb="FFFFCC99"/>
        <bgColor rgb="FF000000"/>
      </patternFill>
    </fill>
    <fill>
      <patternFill patternType="solid">
        <fgColor rgb="FFFFFF99"/>
        <bgColor rgb="FF000000"/>
      </patternFill>
    </fill>
    <fill>
      <patternFill patternType="solid">
        <fgColor rgb="FF00FFFF"/>
        <bgColor rgb="FF000000"/>
      </patternFill>
    </fill>
    <fill>
      <patternFill patternType="solid">
        <fgColor rgb="FF99CCFF"/>
        <bgColor rgb="FF000000"/>
      </patternFill>
    </fill>
    <fill>
      <patternFill patternType="solid">
        <fgColor rgb="FFFF0000"/>
        <bgColor rgb="FF000000"/>
      </patternFill>
    </fill>
    <fill>
      <patternFill patternType="solid">
        <fgColor rgb="FFFFFF00"/>
        <bgColor rgb="FF000000"/>
      </patternFill>
    </fill>
    <fill>
      <patternFill patternType="solid">
        <fgColor rgb="FFFFCC00"/>
        <bgColor rgb="FF000000"/>
      </patternFill>
    </fill>
    <fill>
      <patternFill patternType="solid">
        <fgColor rgb="FFCCFFCC"/>
        <bgColor rgb="FF000000"/>
      </patternFill>
    </fill>
    <fill>
      <patternFill patternType="solid">
        <fgColor rgb="FFCC99FF"/>
        <bgColor rgb="FF000000"/>
      </patternFill>
    </fill>
    <fill>
      <patternFill patternType="solid">
        <fgColor rgb="FFFFC8C8"/>
        <bgColor rgb="FFFFC8C8"/>
      </patternFill>
    </fill>
    <fill>
      <patternFill patternType="solid">
        <fgColor rgb="FFCCFFCC"/>
        <bgColor rgb="FFCCFFCC"/>
      </patternFill>
    </fill>
    <fill>
      <patternFill patternType="solid">
        <fgColor rgb="FFCCFFCC"/>
        <bgColor rgb="FFFFC8C8"/>
      </patternFill>
    </fill>
    <fill>
      <patternFill patternType="solid">
        <fgColor rgb="FFFF0000"/>
        <bgColor rgb="FFFF0000"/>
      </patternFill>
    </fill>
    <fill>
      <patternFill patternType="solid">
        <fgColor rgb="FFFCD5B4"/>
        <bgColor rgb="FF000000"/>
      </patternFill>
    </fill>
    <fill>
      <patternFill patternType="solid">
        <fgColor rgb="FFFF99CC"/>
        <bgColor indexed="64"/>
      </patternFill>
    </fill>
    <fill>
      <patternFill patternType="solid">
        <fgColor rgb="FF99CCFF"/>
        <bgColor indexed="64"/>
      </patternFill>
    </fill>
    <fill>
      <patternFill patternType="solid">
        <fgColor rgb="FFFFCC00"/>
        <bgColor indexed="64"/>
      </patternFill>
    </fill>
    <fill>
      <patternFill patternType="solid">
        <fgColor rgb="FFFFFF99"/>
        <bgColor indexed="64"/>
      </patternFill>
    </fill>
    <fill>
      <patternFill patternType="solid">
        <fgColor indexed="43"/>
        <bgColor indexed="64"/>
      </patternFill>
    </fill>
    <fill>
      <patternFill patternType="solid">
        <fgColor rgb="FFCCFFCC"/>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CC99"/>
      </patternFill>
    </fill>
    <fill>
      <patternFill patternType="solid">
        <fgColor rgb="FFFF99CC"/>
        <bgColor rgb="FFFFFFFF"/>
      </patternFill>
    </fill>
    <fill>
      <patternFill patternType="solid">
        <fgColor rgb="FFFF99CC"/>
      </patternFill>
    </fill>
    <fill>
      <patternFill patternType="solid">
        <fgColor rgb="FFFFFF99"/>
      </patternFill>
    </fill>
    <fill>
      <patternFill patternType="solid">
        <fgColor rgb="FF00FFFF"/>
      </patternFill>
    </fill>
    <fill>
      <patternFill patternType="solid">
        <fgColor rgb="FF99CCFF"/>
      </patternFill>
    </fill>
    <fill>
      <patternFill patternType="solid">
        <fgColor rgb="FFFFCC00"/>
      </patternFill>
    </fill>
    <fill>
      <patternFill patternType="solid">
        <fgColor rgb="FFCCFFCC"/>
      </patternFill>
    </fill>
    <fill>
      <patternFill patternType="solid">
        <fgColor indexed="15"/>
      </patternFill>
    </fill>
    <fill>
      <patternFill patternType="solid">
        <fgColor rgb="FFCC99FF"/>
      </patternFill>
    </fill>
    <fill>
      <patternFill patternType="solid">
        <fgColor rgb="FFFFFF00"/>
      </patternFill>
    </fill>
    <fill>
      <patternFill patternType="solid">
        <fgColor rgb="FF000000"/>
        <bgColor rgb="FF000000"/>
      </patternFill>
    </fill>
  </fills>
  <borders count="100">
    <border>
      <left/>
      <right/>
      <top/>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bottom style="double">
        <color auto="1"/>
      </bottom>
      <diagonal/>
    </border>
    <border>
      <left style="medium">
        <color auto="1"/>
      </left>
      <right style="medium">
        <color auto="1"/>
      </right>
      <top/>
      <bottom/>
      <diagonal/>
    </border>
    <border>
      <left style="thin">
        <color indexed="8"/>
      </left>
      <right/>
      <top style="thin">
        <color indexed="65"/>
      </top>
      <bottom/>
      <diagonal/>
    </border>
    <border>
      <left style="thick">
        <color auto="1"/>
      </left>
      <right/>
      <top/>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thin">
        <color indexed="64"/>
      </top>
      <bottom/>
      <diagonal/>
    </border>
    <border>
      <left/>
      <right/>
      <top style="thin">
        <color indexed="8"/>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diagonal/>
    </border>
    <border>
      <left style="thin">
        <color indexed="8"/>
      </left>
      <right/>
      <top/>
      <bottom/>
      <diagonal/>
    </border>
    <border>
      <left style="thin">
        <color indexed="8"/>
      </left>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64"/>
      </left>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right style="thin">
        <color indexed="64"/>
      </right>
      <top style="thin">
        <color indexed="8"/>
      </top>
      <bottom style="thin">
        <color indexed="8"/>
      </bottom>
      <diagonal/>
    </border>
    <border>
      <left style="thin">
        <color indexed="64"/>
      </left>
      <right/>
      <top style="thin">
        <color indexed="64"/>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diagonal/>
    </border>
    <border>
      <left/>
      <right/>
      <top/>
      <bottom style="thin">
        <color indexed="8"/>
      </bottom>
      <diagonal/>
    </border>
    <border>
      <left/>
      <right/>
      <top/>
      <bottom style="thin">
        <color indexed="64"/>
      </bottom>
      <diagonal/>
    </border>
    <border>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8"/>
      </top>
      <bottom style="thin">
        <color indexed="8"/>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s>
  <cellStyleXfs count="50251">
    <xf numFmtId="164" fontId="0" fillId="0" borderId="0"/>
    <xf numFmtId="43" fontId="12" fillId="0" borderId="0" applyFont="0" applyFill="0" applyBorder="0" applyAlignment="0" applyProtection="0"/>
    <xf numFmtId="164" fontId="11" fillId="0" borderId="0"/>
    <xf numFmtId="164" fontId="11" fillId="0" borderId="0"/>
    <xf numFmtId="164" fontId="12" fillId="0" borderId="0"/>
    <xf numFmtId="9" fontId="11" fillId="0" borderId="0" applyFont="0" applyFill="0" applyBorder="0" applyAlignment="0" applyProtection="0"/>
    <xf numFmtId="43" fontId="11" fillId="0" borderId="0" applyFont="0" applyFill="0" applyBorder="0" applyAlignment="0" applyProtection="0"/>
    <xf numFmtId="0" fontId="14" fillId="0" borderId="0"/>
    <xf numFmtId="0" fontId="14" fillId="0" borderId="0"/>
    <xf numFmtId="43" fontId="11" fillId="0" borderId="0" applyFont="0" applyFill="0" applyBorder="0" applyAlignment="0" applyProtection="0"/>
    <xf numFmtId="0" fontId="14" fillId="0" borderId="0"/>
    <xf numFmtId="0" fontId="14" fillId="0" borderId="0"/>
    <xf numFmtId="0" fontId="10" fillId="0" borderId="0"/>
    <xf numFmtId="0" fontId="17" fillId="0" borderId="0"/>
    <xf numFmtId="3" fontId="14" fillId="0" borderId="7" applyFont="0"/>
    <xf numFmtId="164" fontId="16" fillId="0" borderId="8" applyNumberFormat="0" applyFont="0" applyBorder="0" applyAlignment="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2" fillId="0" borderId="0"/>
    <xf numFmtId="9" fontId="12" fillId="0" borderId="0" applyFont="0" applyFill="0" applyBorder="0" applyAlignment="0" applyProtection="0"/>
    <xf numFmtId="0" fontId="9" fillId="0" borderId="0"/>
    <xf numFmtId="164" fontId="12" fillId="0" borderId="0"/>
    <xf numFmtId="0" fontId="9" fillId="0" borderId="0"/>
    <xf numFmtId="0" fontId="9" fillId="0" borderId="0"/>
    <xf numFmtId="0" fontId="9" fillId="0" borderId="0"/>
    <xf numFmtId="0" fontId="22" fillId="0" borderId="0"/>
    <xf numFmtId="9" fontId="22" fillId="0" borderId="0" applyFont="0" applyFill="0" applyBorder="0" applyAlignment="0" applyProtection="0"/>
    <xf numFmtId="0" fontId="9"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3" fillId="0" borderId="0"/>
    <xf numFmtId="0" fontId="23" fillId="0" borderId="0"/>
    <xf numFmtId="0" fontId="23" fillId="0" borderId="0"/>
    <xf numFmtId="0" fontId="23" fillId="0" borderId="0"/>
    <xf numFmtId="0" fontId="21" fillId="0" borderId="0"/>
    <xf numFmtId="0" fontId="21" fillId="0" borderId="0">
      <alignment vertical="top"/>
    </xf>
    <xf numFmtId="0" fontId="14" fillId="0" borderId="0"/>
    <xf numFmtId="0" fontId="14" fillId="0" borderId="0"/>
    <xf numFmtId="0" fontId="9" fillId="0" borderId="0"/>
    <xf numFmtId="0" fontId="14" fillId="0" borderId="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9" fillId="0" borderId="0">
      <alignment horizontal="left" wrapText="1"/>
    </xf>
    <xf numFmtId="0" fontId="22" fillId="0" borderId="0"/>
    <xf numFmtId="0" fontId="17"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1" fillId="0" borderId="0"/>
    <xf numFmtId="43" fontId="11"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3" fontId="13" fillId="0" borderId="0"/>
    <xf numFmtId="43" fontId="12" fillId="0" borderId="0" applyFont="0" applyFill="0" applyBorder="0" applyAlignment="0" applyProtection="0"/>
    <xf numFmtId="166" fontId="24" fillId="0" borderId="0"/>
    <xf numFmtId="166" fontId="24" fillId="0" borderId="0"/>
    <xf numFmtId="3" fontId="14" fillId="0" borderId="7" applyFont="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2" fillId="0" borderId="0" applyFont="0" applyFill="0" applyBorder="0" applyAlignment="0" applyProtection="0"/>
    <xf numFmtId="0" fontId="22" fillId="0" borderId="0"/>
    <xf numFmtId="9" fontId="22" fillId="0" borderId="0" applyFont="0" applyFill="0" applyBorder="0" applyAlignment="0" applyProtection="0"/>
    <xf numFmtId="0" fontId="9" fillId="0" borderId="0"/>
    <xf numFmtId="0" fontId="9" fillId="0" borderId="0"/>
    <xf numFmtId="0" fontId="23" fillId="0" borderId="0"/>
    <xf numFmtId="0" fontId="23" fillId="0" borderId="0"/>
    <xf numFmtId="0" fontId="23" fillId="0" borderId="0"/>
    <xf numFmtId="0" fontId="21" fillId="0" borderId="0">
      <alignment vertical="top"/>
    </xf>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22" fillId="0" borderId="0"/>
    <xf numFmtId="0" fontId="14"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164" fontId="25"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66" fontId="24"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4" fontId="25" fillId="0" borderId="0"/>
    <xf numFmtId="9" fontId="22" fillId="0" borderId="0" applyFont="0" applyFill="0" applyBorder="0" applyAlignment="0" applyProtection="0"/>
    <xf numFmtId="164" fontId="25" fillId="0" borderId="0"/>
    <xf numFmtId="0" fontId="14"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164" fontId="25" fillId="0" borderId="0"/>
    <xf numFmtId="164" fontId="25" fillId="0" borderId="0"/>
    <xf numFmtId="164" fontId="25"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4" fontId="25"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66" fontId="24"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4" fontId="25"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64" fontId="25"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166" fontId="24"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2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4" fontId="12"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4" fontId="12" fillId="0" borderId="0"/>
    <xf numFmtId="164" fontId="12"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12" fillId="0" borderId="0"/>
    <xf numFmtId="164" fontId="12" fillId="0" borderId="0"/>
    <xf numFmtId="164" fontId="12"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4" fontId="12"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4" fontId="12"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164" fontId="12"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2" fillId="0" borderId="0"/>
    <xf numFmtId="164" fontId="12" fillId="0" borderId="0"/>
    <xf numFmtId="164" fontId="12" fillId="0" borderId="0"/>
    <xf numFmtId="0" fontId="4" fillId="0" borderId="0"/>
    <xf numFmtId="0" fontId="4" fillId="0" borderId="0"/>
    <xf numFmtId="0" fontId="4" fillId="0" borderId="0"/>
    <xf numFmtId="0" fontId="4" fillId="0" borderId="0"/>
    <xf numFmtId="0" fontId="4"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6" fontId="24" fillId="0" borderId="0"/>
    <xf numFmtId="0" fontId="1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6"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6" fontId="24"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4" fontId="12" fillId="0" borderId="0"/>
    <xf numFmtId="164" fontId="12" fillId="0" borderId="0"/>
    <xf numFmtId="164"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12" fillId="0" borderId="0"/>
    <xf numFmtId="164" fontId="12" fillId="0" borderId="0"/>
    <xf numFmtId="164" fontId="12"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4" fontId="12" fillId="0" borderId="0"/>
    <xf numFmtId="164" fontId="1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4" fontId="12"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164" fontId="12" fillId="0" borderId="0"/>
    <xf numFmtId="164" fontId="12"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7" fillId="17"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8" fillId="8" borderId="0" applyNumberFormat="0" applyBorder="0" applyAlignment="0" applyProtection="0"/>
    <xf numFmtId="0" fontId="29" fillId="25" borderId="12" applyNumberFormat="0" applyAlignment="0" applyProtection="0"/>
    <xf numFmtId="0" fontId="30" fillId="26" borderId="13" applyNumberFormat="0" applyAlignment="0" applyProtection="0"/>
    <xf numFmtId="43" fontId="23" fillId="0" borderId="0" applyFon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33" fillId="0" borderId="14" applyNumberFormat="0" applyFill="0" applyAlignment="0" applyProtection="0"/>
    <xf numFmtId="0" fontId="34" fillId="0" borderId="15" applyNumberFormat="0" applyFill="0" applyAlignment="0" applyProtection="0"/>
    <xf numFmtId="0" fontId="35" fillId="0" borderId="16" applyNumberFormat="0" applyFill="0" applyAlignment="0" applyProtection="0"/>
    <xf numFmtId="0" fontId="35" fillId="0" borderId="0" applyNumberFormat="0" applyFill="0" applyBorder="0" applyAlignment="0" applyProtection="0"/>
    <xf numFmtId="0" fontId="36" fillId="12" borderId="12" applyNumberFormat="0" applyAlignment="0" applyProtection="0"/>
    <xf numFmtId="0" fontId="37" fillId="0" borderId="17" applyNumberFormat="0" applyFill="0" applyAlignment="0" applyProtection="0"/>
    <xf numFmtId="0" fontId="38" fillId="27" borderId="0" applyNumberFormat="0" applyBorder="0" applyAlignment="0" applyProtection="0"/>
    <xf numFmtId="0" fontId="23" fillId="0" borderId="0"/>
    <xf numFmtId="0" fontId="14" fillId="28" borderId="18" applyNumberFormat="0" applyFont="0" applyAlignment="0" applyProtection="0"/>
    <xf numFmtId="0" fontId="23" fillId="28" borderId="18" applyNumberFormat="0" applyFont="0" applyAlignment="0" applyProtection="0"/>
    <xf numFmtId="0" fontId="39" fillId="25" borderId="19" applyNumberFormat="0" applyAlignment="0" applyProtection="0"/>
    <xf numFmtId="9" fontId="14" fillId="0" borderId="0" applyFont="0" applyFill="0" applyBorder="0" applyAlignment="0" applyProtection="0"/>
    <xf numFmtId="9" fontId="23" fillId="0" borderId="0" applyFont="0" applyFill="0" applyBorder="0" applyAlignment="0" applyProtection="0"/>
    <xf numFmtId="0" fontId="40" fillId="0" borderId="0" applyNumberFormat="0" applyFill="0" applyBorder="0" applyAlignment="0" applyProtection="0"/>
    <xf numFmtId="0" fontId="41" fillId="0" borderId="20" applyNumberFormat="0" applyFill="0" applyAlignment="0" applyProtection="0"/>
    <xf numFmtId="0" fontId="42" fillId="0" borderId="0" applyNumberFormat="0" applyFill="0" applyBorder="0" applyAlignment="0" applyProtection="0"/>
    <xf numFmtId="0" fontId="23" fillId="28" borderId="18" applyNumberFormat="0" applyFont="0" applyAlignment="0" applyProtection="0"/>
    <xf numFmtId="0" fontId="14" fillId="28" borderId="18" applyNumberFormat="0" applyFont="0" applyAlignment="0" applyProtection="0"/>
    <xf numFmtId="0" fontId="36" fillId="12" borderId="12" applyNumberFormat="0" applyAlignment="0" applyProtection="0"/>
    <xf numFmtId="0" fontId="29" fillId="25" borderId="12" applyNumberFormat="0" applyAlignment="0" applyProtection="0"/>
    <xf numFmtId="0" fontId="39" fillId="25" borderId="19" applyNumberFormat="0" applyAlignment="0" applyProtection="0"/>
    <xf numFmtId="0" fontId="41" fillId="0" borderId="2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164" fontId="12"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6" borderId="11"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3" fontId="1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2" fillId="0" borderId="0"/>
    <xf numFmtId="166" fontId="24"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2" fillId="0" borderId="0"/>
    <xf numFmtId="164" fontId="12"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164" fontId="1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6" borderId="11"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2" fillId="0" borderId="0"/>
    <xf numFmtId="164" fontId="12" fillId="0" borderId="0"/>
    <xf numFmtId="166" fontId="24" fillId="0" borderId="0"/>
    <xf numFmtId="166" fontId="24" fillId="0" borderId="0"/>
    <xf numFmtId="166" fontId="24" fillId="0" borderId="0"/>
    <xf numFmtId="164" fontId="12" fillId="0" borderId="0"/>
    <xf numFmtId="164" fontId="12" fillId="0" borderId="0"/>
    <xf numFmtId="164" fontId="12" fillId="0" borderId="0"/>
    <xf numFmtId="164"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4" fillId="28" borderId="21" applyNumberFormat="0" applyFont="0" applyAlignment="0" applyProtection="0"/>
    <xf numFmtId="0" fontId="23" fillId="28" borderId="21" applyNumberFormat="0" applyFont="0" applyAlignment="0" applyProtection="0"/>
    <xf numFmtId="0" fontId="39" fillId="25" borderId="22" applyNumberFormat="0" applyAlignment="0" applyProtection="0"/>
    <xf numFmtId="0" fontId="41" fillId="0" borderId="23" applyNumberFormat="0" applyFill="0" applyAlignment="0" applyProtection="0"/>
    <xf numFmtId="0" fontId="23" fillId="28" borderId="21" applyNumberFormat="0" applyFont="0" applyAlignment="0" applyProtection="0"/>
    <xf numFmtId="0" fontId="14" fillId="28" borderId="21" applyNumberFormat="0" applyFont="0" applyAlignment="0" applyProtection="0"/>
    <xf numFmtId="0" fontId="39" fillId="25" borderId="22" applyNumberFormat="0" applyAlignment="0" applyProtection="0"/>
    <xf numFmtId="0" fontId="41" fillId="0" borderId="23"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37" fontId="14" fillId="5" borderId="72"/>
    <xf numFmtId="37" fontId="14" fillId="5" borderId="72">
      <protection locked="0"/>
    </xf>
    <xf numFmtId="37" fontId="14" fillId="0" borderId="72">
      <alignment horizontal="center" vertical="top"/>
      <protection locked="0"/>
    </xf>
    <xf numFmtId="9" fontId="67" fillId="63" borderId="72">
      <alignment horizontal="right"/>
    </xf>
    <xf numFmtId="9" fontId="67" fillId="62" borderId="72">
      <alignment horizontal="right"/>
    </xf>
    <xf numFmtId="38" fontId="67" fillId="63" borderId="72">
      <alignment horizontal="right"/>
    </xf>
    <xf numFmtId="38" fontId="67" fillId="62" borderId="72">
      <alignment horizontal="right"/>
    </xf>
  </cellStyleXfs>
  <cellXfs count="558">
    <xf numFmtId="164" fontId="0" fillId="0" borderId="0" xfId="0"/>
    <xf numFmtId="49" fontId="14" fillId="9" borderId="0" xfId="0" applyNumberFormat="1" applyFont="1" applyFill="1" applyAlignment="1" applyProtection="1">
      <alignment horizontal="left"/>
      <protection locked="0"/>
    </xf>
    <xf numFmtId="1" fontId="14" fillId="9" borderId="0" xfId="0" applyNumberFormat="1" applyFont="1" applyFill="1" applyAlignment="1" applyProtection="1">
      <alignment horizontal="center"/>
      <protection locked="0"/>
    </xf>
    <xf numFmtId="49" fontId="14" fillId="32" borderId="0" xfId="0" applyNumberFormat="1" applyFont="1" applyFill="1" applyAlignment="1" applyProtection="1">
      <alignment horizontal="left"/>
      <protection locked="0"/>
    </xf>
    <xf numFmtId="1" fontId="14" fillId="32" borderId="0" xfId="0" applyNumberFormat="1" applyFont="1" applyFill="1" applyAlignment="1" applyProtection="1">
      <alignment horizontal="center"/>
      <protection locked="0"/>
    </xf>
    <xf numFmtId="164" fontId="16" fillId="0" borderId="25" xfId="4" applyFont="1" applyBorder="1"/>
    <xf numFmtId="164" fontId="14" fillId="0" borderId="26" xfId="4" applyFont="1" applyBorder="1" applyAlignment="1">
      <alignment horizontal="right"/>
    </xf>
    <xf numFmtId="164" fontId="16" fillId="0" borderId="26" xfId="4" applyFont="1" applyBorder="1" applyAlignment="1">
      <alignment horizontal="centerContinuous" wrapText="1"/>
    </xf>
    <xf numFmtId="164" fontId="16" fillId="0" borderId="27" xfId="4" applyFont="1" applyBorder="1" applyAlignment="1">
      <alignment horizontal="centerContinuous" wrapText="1"/>
    </xf>
    <xf numFmtId="164" fontId="16" fillId="0" borderId="25" xfId="4" applyFont="1" applyBorder="1" applyAlignment="1">
      <alignment horizontal="centerContinuous" wrapText="1"/>
    </xf>
    <xf numFmtId="164" fontId="14" fillId="0" borderId="0" xfId="4" applyFont="1"/>
    <xf numFmtId="164" fontId="14" fillId="0" borderId="3" xfId="4" applyFont="1" applyBorder="1" applyAlignment="1">
      <alignment horizontal="center" wrapText="1"/>
    </xf>
    <xf numFmtId="164" fontId="14" fillId="0" borderId="5" xfId="4" applyFont="1" applyBorder="1" applyAlignment="1">
      <alignment horizontal="right" wrapText="1"/>
    </xf>
    <xf numFmtId="164" fontId="14" fillId="0" borderId="5" xfId="4" applyFont="1" applyBorder="1" applyAlignment="1">
      <alignment horizontal="center" wrapText="1"/>
    </xf>
    <xf numFmtId="164" fontId="16" fillId="0" borderId="27" xfId="4" applyFont="1" applyBorder="1" applyAlignment="1">
      <alignment horizontal="center" wrapText="1"/>
    </xf>
    <xf numFmtId="164" fontId="16" fillId="0" borderId="26" xfId="4" applyFont="1" applyBorder="1" applyAlignment="1">
      <alignment horizontal="center" wrapText="1"/>
    </xf>
    <xf numFmtId="164" fontId="14" fillId="0" borderId="25" xfId="4" applyFont="1" applyBorder="1" applyAlignment="1">
      <alignment horizontal="center" wrapText="1"/>
    </xf>
    <xf numFmtId="164" fontId="14" fillId="0" borderId="0" xfId="4" applyFont="1" applyAlignment="1">
      <alignment horizontal="center" wrapText="1"/>
    </xf>
    <xf numFmtId="164" fontId="16" fillId="0" borderId="2" xfId="4" applyFont="1" applyBorder="1"/>
    <xf numFmtId="164" fontId="14" fillId="0" borderId="0" xfId="4" applyFont="1" applyAlignment="1">
      <alignment horizontal="right"/>
    </xf>
    <xf numFmtId="3" fontId="14" fillId="0" borderId="0" xfId="1" applyNumberFormat="1" applyFont="1" applyFill="1" applyBorder="1" applyAlignment="1">
      <alignment horizontal="right"/>
    </xf>
    <xf numFmtId="164" fontId="16" fillId="0" borderId="1" xfId="1" applyNumberFormat="1" applyFont="1" applyFill="1" applyBorder="1" applyAlignment="1">
      <alignment horizontal="right"/>
    </xf>
    <xf numFmtId="3" fontId="16" fillId="0" borderId="0" xfId="1" applyNumberFormat="1" applyFont="1" applyFill="1" applyBorder="1" applyAlignment="1">
      <alignment horizontal="right"/>
    </xf>
    <xf numFmtId="3" fontId="14" fillId="0" borderId="2" xfId="1" applyNumberFormat="1" applyFont="1" applyFill="1" applyBorder="1" applyAlignment="1">
      <alignment horizontal="right"/>
    </xf>
    <xf numFmtId="3" fontId="16" fillId="0" borderId="1" xfId="1" applyNumberFormat="1" applyFont="1" applyFill="1" applyBorder="1" applyAlignment="1">
      <alignment horizontal="right"/>
    </xf>
    <xf numFmtId="3" fontId="14" fillId="0" borderId="28" xfId="1" applyNumberFormat="1" applyFont="1" applyFill="1" applyBorder="1" applyAlignment="1">
      <alignment horizontal="right"/>
    </xf>
    <xf numFmtId="3" fontId="14" fillId="0" borderId="29" xfId="1" applyNumberFormat="1" applyFont="1" applyFill="1" applyBorder="1" applyAlignment="1">
      <alignment horizontal="right"/>
    </xf>
    <xf numFmtId="3" fontId="16" fillId="0" borderId="30" xfId="1" applyNumberFormat="1" applyFont="1" applyFill="1" applyBorder="1" applyAlignment="1">
      <alignment horizontal="right"/>
    </xf>
    <xf numFmtId="164" fontId="14" fillId="0" borderId="2" xfId="4" applyFont="1" applyBorder="1"/>
    <xf numFmtId="164" fontId="14" fillId="0" borderId="2" xfId="4" applyFont="1" applyBorder="1" applyAlignment="1">
      <alignment vertical="center"/>
    </xf>
    <xf numFmtId="164" fontId="14" fillId="0" borderId="0" xfId="4" applyFont="1" applyAlignment="1">
      <alignment horizontal="right" vertical="center"/>
    </xf>
    <xf numFmtId="3" fontId="14" fillId="0" borderId="0" xfId="1" applyNumberFormat="1" applyFont="1" applyFill="1" applyBorder="1" applyAlignment="1">
      <alignment horizontal="right" vertical="center"/>
    </xf>
    <xf numFmtId="164" fontId="16" fillId="0" borderId="1" xfId="1" applyNumberFormat="1" applyFont="1" applyFill="1" applyBorder="1" applyAlignment="1">
      <alignment horizontal="right" vertical="center"/>
    </xf>
    <xf numFmtId="3" fontId="16" fillId="0" borderId="0" xfId="1" applyNumberFormat="1" applyFont="1" applyFill="1" applyBorder="1" applyAlignment="1">
      <alignment horizontal="right" vertical="center"/>
    </xf>
    <xf numFmtId="3" fontId="14" fillId="0" borderId="2" xfId="1" applyNumberFormat="1" applyFont="1" applyFill="1" applyBorder="1" applyAlignment="1">
      <alignment horizontal="right" vertical="center"/>
    </xf>
    <xf numFmtId="3" fontId="16" fillId="0" borderId="1" xfId="1" applyNumberFormat="1" applyFont="1" applyFill="1" applyBorder="1" applyAlignment="1">
      <alignment horizontal="right" vertical="center"/>
    </xf>
    <xf numFmtId="3" fontId="14" fillId="0" borderId="28" xfId="1" applyNumberFormat="1" applyFont="1" applyFill="1" applyBorder="1" applyAlignment="1">
      <alignment horizontal="right" vertical="center"/>
    </xf>
    <xf numFmtId="3" fontId="14" fillId="0" borderId="29" xfId="1" applyNumberFormat="1" applyFont="1" applyFill="1" applyBorder="1" applyAlignment="1">
      <alignment horizontal="right" vertical="center"/>
    </xf>
    <xf numFmtId="3" fontId="16" fillId="0" borderId="30" xfId="1" applyNumberFormat="1" applyFont="1" applyFill="1" applyBorder="1" applyAlignment="1">
      <alignment horizontal="right" vertical="center"/>
    </xf>
    <xf numFmtId="164" fontId="14" fillId="0" borderId="0" xfId="4" applyFont="1" applyAlignment="1">
      <alignment vertical="center"/>
    </xf>
    <xf numFmtId="164" fontId="14" fillId="0" borderId="3" xfId="4" applyFont="1" applyBorder="1"/>
    <xf numFmtId="164" fontId="14" fillId="0" borderId="5" xfId="4" applyFont="1" applyBorder="1" applyAlignment="1">
      <alignment horizontal="right"/>
    </xf>
    <xf numFmtId="3" fontId="14" fillId="0" borderId="5" xfId="1" applyNumberFormat="1" applyFont="1" applyFill="1" applyBorder="1" applyAlignment="1">
      <alignment horizontal="right"/>
    </xf>
    <xf numFmtId="164" fontId="16" fillId="0" borderId="4" xfId="1" applyNumberFormat="1" applyFont="1" applyFill="1" applyBorder="1" applyAlignment="1">
      <alignment horizontal="right"/>
    </xf>
    <xf numFmtId="3" fontId="16" fillId="0" borderId="5" xfId="1" applyNumberFormat="1" applyFont="1" applyFill="1" applyBorder="1" applyAlignment="1">
      <alignment horizontal="right"/>
    </xf>
    <xf numFmtId="3" fontId="14" fillId="0" borderId="3" xfId="1" applyNumberFormat="1" applyFont="1" applyFill="1" applyBorder="1" applyAlignment="1">
      <alignment horizontal="right"/>
    </xf>
    <xf numFmtId="3" fontId="16" fillId="0" borderId="4" xfId="1" applyNumberFormat="1" applyFont="1" applyFill="1" applyBorder="1" applyAlignment="1">
      <alignment horizontal="right"/>
    </xf>
    <xf numFmtId="164" fontId="14" fillId="0" borderId="31" xfId="4" applyFont="1" applyBorder="1" applyAlignment="1">
      <alignment horizontal="right"/>
    </xf>
    <xf numFmtId="164" fontId="14" fillId="0" borderId="2" xfId="4" applyFont="1" applyBorder="1" applyAlignment="1">
      <alignment vertical="top"/>
    </xf>
    <xf numFmtId="164" fontId="14" fillId="0" borderId="0" xfId="4" applyFont="1" applyAlignment="1">
      <alignment vertical="top"/>
    </xf>
    <xf numFmtId="164" fontId="14" fillId="0" borderId="0" xfId="4" applyFont="1" applyAlignment="1">
      <alignment horizontal="right" vertical="top"/>
    </xf>
    <xf numFmtId="164" fontId="14" fillId="0" borderId="2" xfId="0" applyFont="1" applyBorder="1"/>
    <xf numFmtId="164" fontId="14" fillId="0" borderId="0" xfId="0" applyFont="1" applyAlignment="1">
      <alignment horizontal="right"/>
    </xf>
    <xf numFmtId="164" fontId="14" fillId="0" borderId="0" xfId="0" applyFont="1"/>
    <xf numFmtId="164" fontId="14" fillId="0" borderId="2" xfId="0" applyFont="1" applyBorder="1" applyAlignment="1">
      <alignment vertical="top"/>
    </xf>
    <xf numFmtId="164" fontId="14" fillId="0" borderId="0" xfId="0" applyFont="1" applyAlignment="1">
      <alignment horizontal="right" vertical="center"/>
    </xf>
    <xf numFmtId="164" fontId="14" fillId="0" borderId="0" xfId="0" applyFont="1" applyAlignment="1">
      <alignment vertical="top"/>
    </xf>
    <xf numFmtId="164" fontId="16" fillId="0" borderId="0" xfId="4" applyFont="1"/>
    <xf numFmtId="3" fontId="16" fillId="31" borderId="0" xfId="1" applyNumberFormat="1" applyFont="1" applyFill="1" applyBorder="1" applyAlignment="1">
      <alignment horizontal="right"/>
    </xf>
    <xf numFmtId="164" fontId="16" fillId="31" borderId="1" xfId="1" applyNumberFormat="1" applyFont="1" applyFill="1" applyBorder="1" applyAlignment="1">
      <alignment horizontal="right"/>
    </xf>
    <xf numFmtId="3" fontId="16" fillId="31" borderId="4" xfId="1" applyNumberFormat="1" applyFont="1" applyFill="1" applyBorder="1" applyAlignment="1">
      <alignment horizontal="right"/>
    </xf>
    <xf numFmtId="3" fontId="16" fillId="31" borderId="0" xfId="1" applyNumberFormat="1" applyFont="1" applyFill="1" applyBorder="1" applyAlignment="1">
      <alignment horizontal="right" vertical="center"/>
    </xf>
    <xf numFmtId="0" fontId="50" fillId="0" borderId="0" xfId="50243" applyFont="1" applyAlignment="1">
      <alignment horizontal="centerContinuous"/>
    </xf>
    <xf numFmtId="164" fontId="17" fillId="0" borderId="0" xfId="0" applyFont="1"/>
    <xf numFmtId="0" fontId="16" fillId="0" borderId="0" xfId="50243" applyFont="1" applyAlignment="1">
      <alignment horizontal="centerContinuous"/>
    </xf>
    <xf numFmtId="0" fontId="15" fillId="0" borderId="0" xfId="50243" applyFont="1" applyAlignment="1">
      <alignment horizontal="centerContinuous"/>
    </xf>
    <xf numFmtId="0" fontId="14" fillId="0" borderId="0" xfId="50243"/>
    <xf numFmtId="0" fontId="14" fillId="0" borderId="31" xfId="50243" applyBorder="1"/>
    <xf numFmtId="0" fontId="51" fillId="0" borderId="32" xfId="50243" applyFont="1" applyBorder="1" applyAlignment="1">
      <alignment horizontal="centerContinuous"/>
    </xf>
    <xf numFmtId="0" fontId="14" fillId="0" borderId="5" xfId="50243" applyBorder="1" applyAlignment="1">
      <alignment horizontal="center"/>
    </xf>
    <xf numFmtId="0" fontId="51" fillId="0" borderId="33" xfId="50243" applyFont="1" applyBorder="1" applyAlignment="1">
      <alignment horizontal="center"/>
    </xf>
    <xf numFmtId="0" fontId="51" fillId="0" borderId="34" xfId="50243" applyFont="1" applyBorder="1" applyAlignment="1">
      <alignment horizontal="center"/>
    </xf>
    <xf numFmtId="164" fontId="17" fillId="0" borderId="0" xfId="0" applyFont="1" applyAlignment="1">
      <alignment horizontal="center"/>
    </xf>
    <xf numFmtId="3" fontId="14" fillId="0" borderId="0" xfId="50243" applyNumberFormat="1" applyAlignment="1">
      <alignment horizontal="center"/>
    </xf>
    <xf numFmtId="3" fontId="14" fillId="0" borderId="35" xfId="50243" applyNumberFormat="1" applyBorder="1" applyAlignment="1">
      <alignment horizontal="center"/>
    </xf>
    <xf numFmtId="167" fontId="14" fillId="0" borderId="0" xfId="50243" applyNumberFormat="1" applyAlignment="1">
      <alignment horizontal="right"/>
    </xf>
    <xf numFmtId="167" fontId="14" fillId="0" borderId="36" xfId="50243" applyNumberFormat="1" applyBorder="1" applyAlignment="1">
      <alignment horizontal="right"/>
    </xf>
    <xf numFmtId="3" fontId="14" fillId="0" borderId="0" xfId="50243" applyNumberFormat="1" applyAlignment="1">
      <alignment horizontal="right"/>
    </xf>
    <xf numFmtId="3" fontId="14" fillId="0" borderId="1" xfId="50243" applyNumberFormat="1" applyBorder="1" applyAlignment="1">
      <alignment horizontal="right"/>
    </xf>
    <xf numFmtId="3" fontId="14" fillId="0" borderId="36" xfId="50243" applyNumberFormat="1" applyBorder="1" applyAlignment="1">
      <alignment horizontal="right"/>
    </xf>
    <xf numFmtId="0" fontId="14" fillId="0" borderId="5" xfId="50243" applyBorder="1"/>
    <xf numFmtId="3" fontId="14" fillId="0" borderId="5" xfId="50243" applyNumberFormat="1" applyBorder="1" applyAlignment="1">
      <alignment horizontal="right"/>
    </xf>
    <xf numFmtId="3" fontId="14" fillId="0" borderId="37" xfId="50243" applyNumberFormat="1" applyBorder="1" applyAlignment="1">
      <alignment horizontal="right"/>
    </xf>
    <xf numFmtId="49" fontId="13" fillId="0" borderId="0" xfId="0" applyNumberFormat="1" applyFont="1" applyAlignment="1">
      <alignment horizontal="right"/>
    </xf>
    <xf numFmtId="0" fontId="16" fillId="0" borderId="0" xfId="50243" applyFont="1" applyAlignment="1">
      <alignment horizontal="center"/>
    </xf>
    <xf numFmtId="0" fontId="51" fillId="0" borderId="38" xfId="50243" applyFont="1" applyBorder="1" applyAlignment="1">
      <alignment horizontal="centerContinuous"/>
    </xf>
    <xf numFmtId="0" fontId="51" fillId="0" borderId="39" xfId="50243" applyFont="1" applyBorder="1" applyAlignment="1">
      <alignment horizontal="centerContinuous"/>
    </xf>
    <xf numFmtId="0" fontId="51" fillId="0" borderId="40" xfId="50243" applyFont="1" applyBorder="1" applyAlignment="1">
      <alignment horizontal="centerContinuous"/>
    </xf>
    <xf numFmtId="0" fontId="51" fillId="0" borderId="33" xfId="50243" applyFont="1" applyBorder="1" applyAlignment="1">
      <alignment horizontal="center" vertical="center" wrapText="1"/>
    </xf>
    <xf numFmtId="0" fontId="51" fillId="0" borderId="39" xfId="50243" applyFont="1" applyBorder="1" applyAlignment="1">
      <alignment horizontal="center"/>
    </xf>
    <xf numFmtId="0" fontId="51" fillId="0" borderId="38" xfId="50243" applyFont="1" applyBorder="1" applyAlignment="1">
      <alignment horizontal="center" wrapText="1"/>
    </xf>
    <xf numFmtId="3" fontId="14" fillId="0" borderId="41" xfId="50243" applyNumberFormat="1" applyBorder="1" applyAlignment="1">
      <alignment horizontal="center"/>
    </xf>
    <xf numFmtId="3" fontId="52" fillId="0" borderId="42" xfId="50243" applyNumberFormat="1" applyFont="1" applyBorder="1" applyAlignment="1">
      <alignment horizontal="center"/>
    </xf>
    <xf numFmtId="3" fontId="52" fillId="0" borderId="32" xfId="50243" applyNumberFormat="1" applyFont="1" applyBorder="1" applyAlignment="1">
      <alignment horizontal="center"/>
    </xf>
    <xf numFmtId="3" fontId="52" fillId="0" borderId="35" xfId="50243" applyNumberFormat="1" applyFont="1" applyBorder="1" applyAlignment="1">
      <alignment horizontal="center"/>
    </xf>
    <xf numFmtId="167" fontId="14" fillId="0" borderId="43" xfId="50243" applyNumberFormat="1" applyBorder="1" applyAlignment="1">
      <alignment horizontal="right"/>
    </xf>
    <xf numFmtId="167" fontId="14" fillId="0" borderId="44" xfId="50243" applyNumberFormat="1" applyBorder="1" applyAlignment="1">
      <alignment horizontal="right"/>
    </xf>
    <xf numFmtId="3" fontId="14" fillId="0" borderId="43" xfId="50243" applyNumberFormat="1" applyBorder="1" applyAlignment="1">
      <alignment horizontal="right"/>
    </xf>
    <xf numFmtId="3" fontId="14" fillId="0" borderId="44" xfId="50243" applyNumberFormat="1" applyBorder="1" applyAlignment="1">
      <alignment horizontal="right"/>
    </xf>
    <xf numFmtId="3" fontId="14" fillId="0" borderId="45" xfId="50243" applyNumberFormat="1" applyBorder="1" applyAlignment="1">
      <alignment horizontal="right"/>
    </xf>
    <xf numFmtId="3" fontId="14" fillId="0" borderId="46" xfId="50243" applyNumberFormat="1" applyBorder="1" applyAlignment="1">
      <alignment horizontal="right"/>
    </xf>
    <xf numFmtId="164" fontId="13" fillId="0" borderId="0" xfId="0" applyFont="1" applyAlignment="1">
      <alignment vertical="center"/>
    </xf>
    <xf numFmtId="164" fontId="13" fillId="0" borderId="0" xfId="0" applyFont="1"/>
    <xf numFmtId="0" fontId="14" fillId="0" borderId="0" xfId="50243" applyAlignment="1">
      <alignment horizontal="centerContinuous"/>
    </xf>
    <xf numFmtId="0" fontId="51" fillId="0" borderId="47" xfId="50243" applyFont="1" applyBorder="1" applyAlignment="1">
      <alignment horizontal="center"/>
    </xf>
    <xf numFmtId="164" fontId="11" fillId="0" borderId="0" xfId="0" applyFont="1"/>
    <xf numFmtId="164" fontId="11" fillId="0" borderId="35" xfId="0" applyFont="1" applyBorder="1"/>
    <xf numFmtId="167" fontId="14" fillId="0" borderId="48" xfId="50243" applyNumberFormat="1" applyBorder="1" applyAlignment="1">
      <alignment horizontal="right"/>
    </xf>
    <xf numFmtId="3" fontId="14" fillId="0" borderId="49" xfId="50243" applyNumberFormat="1" applyBorder="1" applyAlignment="1">
      <alignment horizontal="right"/>
    </xf>
    <xf numFmtId="3" fontId="14" fillId="0" borderId="2" xfId="50243" applyNumberFormat="1" applyBorder="1" applyAlignment="1">
      <alignment horizontal="right"/>
    </xf>
    <xf numFmtId="164" fontId="11" fillId="0" borderId="2" xfId="0" applyFont="1" applyBorder="1"/>
    <xf numFmtId="3" fontId="14" fillId="0" borderId="50" xfId="50243" applyNumberFormat="1" applyBorder="1" applyAlignment="1">
      <alignment horizontal="right"/>
    </xf>
    <xf numFmtId="0" fontId="16" fillId="0" borderId="32" xfId="50243" applyFont="1" applyBorder="1" applyAlignment="1">
      <alignment horizontal="centerContinuous"/>
    </xf>
    <xf numFmtId="0" fontId="16" fillId="0" borderId="38" xfId="50243" applyFont="1" applyBorder="1" applyAlignment="1">
      <alignment horizontal="centerContinuous"/>
    </xf>
    <xf numFmtId="0" fontId="16" fillId="0" borderId="39" xfId="50243" applyFont="1" applyBorder="1" applyAlignment="1">
      <alignment horizontal="centerContinuous"/>
    </xf>
    <xf numFmtId="0" fontId="16" fillId="0" borderId="40" xfId="50243" applyFont="1" applyBorder="1" applyAlignment="1">
      <alignment horizontal="centerContinuous"/>
    </xf>
    <xf numFmtId="3" fontId="14" fillId="0" borderId="42" xfId="50243" applyNumberFormat="1" applyBorder="1" applyAlignment="1">
      <alignment horizontal="center"/>
    </xf>
    <xf numFmtId="3" fontId="14" fillId="0" borderId="32" xfId="50243" applyNumberFormat="1" applyBorder="1" applyAlignment="1">
      <alignment horizontal="center"/>
    </xf>
    <xf numFmtId="3" fontId="14" fillId="0" borderId="40" xfId="50243" applyNumberFormat="1" applyBorder="1" applyAlignment="1">
      <alignment horizontal="center"/>
    </xf>
    <xf numFmtId="3" fontId="14" fillId="0" borderId="51" xfId="50243" applyNumberFormat="1" applyBorder="1" applyAlignment="1">
      <alignment horizontal="right"/>
    </xf>
    <xf numFmtId="3" fontId="14" fillId="0" borderId="52" xfId="50243" applyNumberFormat="1" applyBorder="1" applyAlignment="1">
      <alignment horizontal="right"/>
    </xf>
    <xf numFmtId="0" fontId="50" fillId="0" borderId="0" xfId="50243" applyFont="1" applyAlignment="1">
      <alignment horizontal="center"/>
    </xf>
    <xf numFmtId="0" fontId="16" fillId="0" borderId="33" xfId="50243" applyFont="1" applyBorder="1" applyAlignment="1">
      <alignment horizontal="centerContinuous"/>
    </xf>
    <xf numFmtId="0" fontId="16" fillId="0" borderId="5" xfId="50243" applyFont="1" applyBorder="1" applyAlignment="1">
      <alignment horizontal="center"/>
    </xf>
    <xf numFmtId="164" fontId="11" fillId="0" borderId="0" xfId="0" applyFont="1" applyAlignment="1">
      <alignment horizontal="center"/>
    </xf>
    <xf numFmtId="164" fontId="11" fillId="0" borderId="35" xfId="0" applyFont="1" applyBorder="1" applyAlignment="1">
      <alignment horizontal="center"/>
    </xf>
    <xf numFmtId="3" fontId="14" fillId="0" borderId="48" xfId="50243" applyNumberFormat="1" applyBorder="1" applyAlignment="1">
      <alignment horizontal="right"/>
    </xf>
    <xf numFmtId="164" fontId="11" fillId="0" borderId="48" xfId="0" applyFont="1" applyBorder="1"/>
    <xf numFmtId="164" fontId="53" fillId="0" borderId="0" xfId="0" applyFont="1"/>
    <xf numFmtId="164" fontId="53" fillId="0" borderId="5" xfId="0" applyFont="1" applyBorder="1"/>
    <xf numFmtId="0" fontId="16" fillId="0" borderId="53" xfId="50243" applyFont="1" applyBorder="1" applyAlignment="1">
      <alignment horizontal="centerContinuous"/>
    </xf>
    <xf numFmtId="164" fontId="53" fillId="0" borderId="54" xfId="0" applyFont="1" applyBorder="1"/>
    <xf numFmtId="0" fontId="51" fillId="0" borderId="55" xfId="50243" applyFont="1" applyBorder="1" applyAlignment="1">
      <alignment horizontal="center"/>
    </xf>
    <xf numFmtId="0" fontId="51" fillId="0" borderId="56" xfId="50243" applyFont="1" applyBorder="1" applyAlignment="1">
      <alignment horizontal="center"/>
    </xf>
    <xf numFmtId="164" fontId="11" fillId="0" borderId="57" xfId="0" applyFont="1" applyBorder="1"/>
    <xf numFmtId="0" fontId="51" fillId="0" borderId="58" xfId="50243" applyFont="1" applyBorder="1" applyAlignment="1">
      <alignment horizontal="center"/>
    </xf>
    <xf numFmtId="164" fontId="11" fillId="0" borderId="32" xfId="0" applyFont="1" applyBorder="1"/>
    <xf numFmtId="0" fontId="14" fillId="0" borderId="59" xfId="50243" applyBorder="1"/>
    <xf numFmtId="3" fontId="14" fillId="0" borderId="59" xfId="50243" applyNumberFormat="1" applyBorder="1" applyAlignment="1">
      <alignment horizontal="right"/>
    </xf>
    <xf numFmtId="0" fontId="14" fillId="0" borderId="60" xfId="50243" applyBorder="1" applyAlignment="1">
      <alignment horizontal="center"/>
    </xf>
    <xf numFmtId="0" fontId="51" fillId="0" borderId="32" xfId="50243" applyFont="1" applyBorder="1" applyAlignment="1">
      <alignment horizontal="center"/>
    </xf>
    <xf numFmtId="0" fontId="14" fillId="0" borderId="0" xfId="50243" applyAlignment="1">
      <alignment horizontal="center"/>
    </xf>
    <xf numFmtId="0" fontId="51" fillId="0" borderId="0" xfId="50243" applyFont="1" applyAlignment="1">
      <alignment horizontal="center"/>
    </xf>
    <xf numFmtId="164" fontId="17" fillId="0" borderId="60" xfId="0" applyFont="1" applyBorder="1"/>
    <xf numFmtId="164" fontId="11" fillId="0" borderId="60" xfId="0" applyFont="1" applyBorder="1"/>
    <xf numFmtId="0" fontId="14" fillId="0" borderId="60" xfId="50243" applyBorder="1"/>
    <xf numFmtId="0" fontId="14" fillId="0" borderId="59" xfId="50243" applyBorder="1" applyAlignment="1">
      <alignment horizontal="center"/>
    </xf>
    <xf numFmtId="0" fontId="51" fillId="0" borderId="61" xfId="50243" applyFont="1" applyBorder="1" applyAlignment="1">
      <alignment horizontal="center"/>
    </xf>
    <xf numFmtId="3" fontId="14" fillId="0" borderId="57" xfId="50243" applyNumberFormat="1" applyBorder="1" applyAlignment="1">
      <alignment horizontal="center"/>
    </xf>
    <xf numFmtId="3" fontId="54" fillId="0" borderId="0" xfId="50243" applyNumberFormat="1" applyFont="1" applyAlignment="1">
      <alignment horizontal="right"/>
    </xf>
    <xf numFmtId="3" fontId="54" fillId="0" borderId="49" xfId="50243" applyNumberFormat="1" applyFont="1" applyBorder="1" applyAlignment="1">
      <alignment horizontal="right"/>
    </xf>
    <xf numFmtId="0" fontId="51" fillId="0" borderId="62" xfId="50243" applyFont="1" applyBorder="1" applyAlignment="1">
      <alignment horizontal="centerContinuous"/>
    </xf>
    <xf numFmtId="0" fontId="51" fillId="0" borderId="63" xfId="50243" applyFont="1" applyBorder="1" applyAlignment="1">
      <alignment horizontal="centerContinuous"/>
    </xf>
    <xf numFmtId="0" fontId="51" fillId="0" borderId="64" xfId="50243" applyFont="1" applyBorder="1" applyAlignment="1">
      <alignment horizontal="centerContinuous"/>
    </xf>
    <xf numFmtId="0" fontId="51" fillId="0" borderId="55" xfId="50243" applyFont="1" applyBorder="1" applyAlignment="1">
      <alignment horizontal="center" wrapText="1"/>
    </xf>
    <xf numFmtId="0" fontId="51" fillId="0" borderId="63" xfId="50243" applyFont="1" applyBorder="1" applyAlignment="1">
      <alignment horizontal="center"/>
    </xf>
    <xf numFmtId="0" fontId="51" fillId="0" borderId="62" xfId="50243" applyFont="1" applyBorder="1" applyAlignment="1">
      <alignment horizontal="center" wrapText="1"/>
    </xf>
    <xf numFmtId="3" fontId="14" fillId="0" borderId="65" xfId="50243" applyNumberFormat="1" applyBorder="1" applyAlignment="1">
      <alignment horizontal="center"/>
    </xf>
    <xf numFmtId="3" fontId="52" fillId="0" borderId="66" xfId="50243" applyNumberFormat="1" applyFont="1" applyBorder="1" applyAlignment="1">
      <alignment horizontal="center"/>
    </xf>
    <xf numFmtId="3" fontId="52" fillId="0" borderId="57" xfId="50243" applyNumberFormat="1" applyFont="1" applyBorder="1" applyAlignment="1">
      <alignment horizontal="center"/>
    </xf>
    <xf numFmtId="164" fontId="0" fillId="0" borderId="57" xfId="0" applyBorder="1"/>
    <xf numFmtId="164" fontId="0" fillId="0" borderId="48" xfId="0" applyBorder="1"/>
    <xf numFmtId="0" fontId="16" fillId="0" borderId="62" xfId="50243" applyFont="1" applyBorder="1" applyAlignment="1">
      <alignment horizontal="centerContinuous"/>
    </xf>
    <xf numFmtId="0" fontId="16" fillId="0" borderId="63" xfId="50243" applyFont="1" applyBorder="1" applyAlignment="1">
      <alignment horizontal="centerContinuous"/>
    </xf>
    <xf numFmtId="0" fontId="16" fillId="0" borderId="64" xfId="50243" applyFont="1" applyBorder="1" applyAlignment="1">
      <alignment horizontal="centerContinuous"/>
    </xf>
    <xf numFmtId="0" fontId="51" fillId="0" borderId="55" xfId="50243" applyFont="1" applyBorder="1" applyAlignment="1">
      <alignment horizontal="center" vertical="center" wrapText="1"/>
    </xf>
    <xf numFmtId="3" fontId="14" fillId="0" borderId="66" xfId="50243" applyNumberFormat="1" applyBorder="1" applyAlignment="1">
      <alignment horizontal="center"/>
    </xf>
    <xf numFmtId="3" fontId="14" fillId="0" borderId="64" xfId="50243" applyNumberFormat="1" applyBorder="1" applyAlignment="1">
      <alignment horizontal="center"/>
    </xf>
    <xf numFmtId="0" fontId="16" fillId="0" borderId="55" xfId="50243" applyFont="1" applyBorder="1" applyAlignment="1">
      <alignment horizontal="centerContinuous"/>
    </xf>
    <xf numFmtId="0" fontId="16" fillId="0" borderId="59" xfId="50243" applyFont="1" applyBorder="1" applyAlignment="1">
      <alignment horizontal="center"/>
    </xf>
    <xf numFmtId="164" fontId="0" fillId="0" borderId="0" xfId="0" applyAlignment="1">
      <alignment horizontal="center"/>
    </xf>
    <xf numFmtId="164" fontId="0" fillId="0" borderId="57" xfId="0" applyBorder="1" applyAlignment="1">
      <alignment horizontal="center"/>
    </xf>
    <xf numFmtId="3" fontId="54" fillId="0" borderId="48" xfId="50243" applyNumberFormat="1" applyFont="1" applyBorder="1" applyAlignment="1">
      <alignment horizontal="right"/>
    </xf>
    <xf numFmtId="164" fontId="53" fillId="0" borderId="59" xfId="0" applyFont="1" applyBorder="1"/>
    <xf numFmtId="0" fontId="16" fillId="0" borderId="67" xfId="50243" applyFont="1" applyBorder="1" applyAlignment="1">
      <alignment horizontal="centerContinuous"/>
    </xf>
    <xf numFmtId="164" fontId="0" fillId="0" borderId="32" xfId="0" applyBorder="1"/>
    <xf numFmtId="164" fontId="0" fillId="0" borderId="60" xfId="0" applyBorder="1"/>
    <xf numFmtId="0" fontId="54" fillId="0" borderId="0" xfId="50243" applyFont="1"/>
    <xf numFmtId="0" fontId="20" fillId="4" borderId="6" xfId="0" applyNumberFormat="1" applyFont="1" applyFill="1" applyBorder="1" applyAlignment="1">
      <alignment horizontal="left"/>
    </xf>
    <xf numFmtId="0" fontId="0" fillId="0" borderId="0" xfId="0" applyNumberFormat="1"/>
    <xf numFmtId="0" fontId="14" fillId="0" borderId="48" xfId="0" applyNumberFormat="1" applyFont="1" applyBorder="1"/>
    <xf numFmtId="0" fontId="16" fillId="0" borderId="49" xfId="0" applyNumberFormat="1" applyFont="1" applyBorder="1"/>
    <xf numFmtId="165" fontId="16" fillId="0" borderId="0" xfId="0" applyNumberFormat="1" applyFont="1" applyAlignment="1">
      <alignment horizontal="left"/>
    </xf>
    <xf numFmtId="164" fontId="16" fillId="0" borderId="0" xfId="0" applyFont="1" applyAlignment="1">
      <alignment horizontal="left"/>
    </xf>
    <xf numFmtId="164" fontId="15" fillId="0" borderId="48" xfId="0" applyFont="1" applyBorder="1" applyAlignment="1">
      <alignment horizontal="centerContinuous"/>
    </xf>
    <xf numFmtId="164" fontId="15" fillId="0" borderId="68" xfId="0" applyFont="1" applyBorder="1" applyAlignment="1">
      <alignment horizontal="centerContinuous"/>
    </xf>
    <xf numFmtId="164" fontId="16" fillId="0" borderId="69" xfId="0" applyFont="1" applyBorder="1" applyAlignment="1">
      <alignment horizontal="centerContinuous"/>
    </xf>
    <xf numFmtId="164" fontId="16" fillId="0" borderId="70" xfId="0" applyFont="1" applyBorder="1" applyAlignment="1">
      <alignment horizontal="centerContinuous"/>
    </xf>
    <xf numFmtId="164" fontId="16" fillId="0" borderId="71" xfId="0" applyFont="1" applyBorder="1" applyAlignment="1">
      <alignment horizontal="centerContinuous"/>
    </xf>
    <xf numFmtId="164" fontId="16" fillId="0" borderId="0" xfId="0" applyFont="1" applyAlignment="1">
      <alignment horizontal="center"/>
    </xf>
    <xf numFmtId="164" fontId="18" fillId="0" borderId="0" xfId="0" applyFont="1" applyAlignment="1">
      <alignment horizontal="center"/>
    </xf>
    <xf numFmtId="164" fontId="16" fillId="0" borderId="0" xfId="0" applyFont="1"/>
    <xf numFmtId="164" fontId="16" fillId="0" borderId="50" xfId="0" applyFont="1" applyBorder="1" applyAlignment="1">
      <alignment horizontal="center" wrapText="1"/>
    </xf>
    <xf numFmtId="164" fontId="16" fillId="0" borderId="0" xfId="0" applyFont="1" applyAlignment="1">
      <alignment horizontal="center" wrapText="1"/>
    </xf>
    <xf numFmtId="164" fontId="18" fillId="0" borderId="0" xfId="0" applyFont="1" applyAlignment="1">
      <alignment horizontal="center" wrapText="1"/>
    </xf>
    <xf numFmtId="49" fontId="14" fillId="2" borderId="0" xfId="0" applyNumberFormat="1" applyFont="1" applyFill="1" applyAlignment="1">
      <alignment horizontal="center"/>
    </xf>
    <xf numFmtId="49" fontId="14" fillId="2" borderId="0" xfId="0" applyNumberFormat="1" applyFont="1" applyFill="1" applyAlignment="1">
      <alignment horizontal="left"/>
    </xf>
    <xf numFmtId="164" fontId="14" fillId="2" borderId="0" xfId="0" applyFont="1" applyFill="1" applyAlignment="1">
      <alignment horizontal="center" wrapText="1"/>
    </xf>
    <xf numFmtId="164" fontId="14" fillId="2" borderId="73" xfId="0" applyFont="1" applyFill="1" applyBorder="1" applyAlignment="1">
      <alignment horizontal="center" wrapText="1"/>
    </xf>
    <xf numFmtId="164" fontId="14" fillId="0" borderId="48" xfId="0" applyFont="1" applyBorder="1" applyAlignment="1">
      <alignment horizontal="center" wrapText="1"/>
    </xf>
    <xf numFmtId="164" fontId="14" fillId="0" borderId="0" xfId="0" applyFont="1" applyAlignment="1">
      <alignment horizontal="center" wrapText="1"/>
    </xf>
    <xf numFmtId="0" fontId="14" fillId="0" borderId="0" xfId="0" applyNumberFormat="1" applyFont="1"/>
    <xf numFmtId="49" fontId="16" fillId="32" borderId="0" xfId="0" applyNumberFormat="1" applyFont="1" applyFill="1" applyAlignment="1" applyProtection="1">
      <alignment horizontal="left"/>
      <protection locked="0"/>
    </xf>
    <xf numFmtId="49" fontId="14" fillId="32" borderId="48" xfId="0" applyNumberFormat="1" applyFont="1" applyFill="1" applyBorder="1" applyAlignment="1" applyProtection="1">
      <alignment horizontal="center"/>
      <protection locked="0"/>
    </xf>
    <xf numFmtId="49" fontId="14" fillId="9" borderId="48" xfId="0" applyNumberFormat="1" applyFont="1" applyFill="1" applyBorder="1" applyAlignment="1" applyProtection="1">
      <alignment horizontal="center"/>
      <protection locked="0"/>
    </xf>
    <xf numFmtId="1" fontId="14" fillId="37" borderId="0" xfId="0" applyNumberFormat="1" applyFont="1" applyFill="1" applyAlignment="1" applyProtection="1">
      <alignment horizontal="center"/>
      <protection locked="0"/>
    </xf>
    <xf numFmtId="49" fontId="14" fillId="0" borderId="0" xfId="0" applyNumberFormat="1" applyFont="1" applyAlignment="1">
      <alignment horizontal="center"/>
    </xf>
    <xf numFmtId="49" fontId="14" fillId="0" borderId="0" xfId="0" applyNumberFormat="1" applyFont="1" applyAlignment="1">
      <alignment horizontal="left"/>
    </xf>
    <xf numFmtId="0" fontId="16" fillId="0" borderId="0" xfId="0" applyNumberFormat="1" applyFont="1"/>
    <xf numFmtId="0" fontId="14" fillId="0" borderId="9" xfId="0" applyNumberFormat="1" applyFont="1" applyBorder="1"/>
    <xf numFmtId="0" fontId="14" fillId="0" borderId="10" xfId="0" applyNumberFormat="1" applyFont="1" applyBorder="1"/>
    <xf numFmtId="164" fontId="16" fillId="0" borderId="69" xfId="4" applyFont="1" applyBorder="1" applyAlignment="1">
      <alignment horizontal="centerContinuous" wrapText="1"/>
    </xf>
    <xf numFmtId="164" fontId="16" fillId="0" borderId="71" xfId="4" applyFont="1" applyBorder="1" applyAlignment="1">
      <alignment horizontal="centerContinuous" wrapText="1"/>
    </xf>
    <xf numFmtId="164" fontId="16" fillId="0" borderId="70" xfId="4" applyFont="1" applyBorder="1" applyAlignment="1">
      <alignment horizontal="centerContinuous" wrapText="1"/>
    </xf>
    <xf numFmtId="164" fontId="15" fillId="0" borderId="5" xfId="0" applyFont="1" applyBorder="1" applyAlignment="1">
      <alignment horizontal="centerContinuous"/>
    </xf>
    <xf numFmtId="49" fontId="44" fillId="9" borderId="0" xfId="0" applyNumberFormat="1" applyFont="1" applyFill="1" applyAlignment="1" applyProtection="1">
      <alignment horizontal="left"/>
      <protection locked="0"/>
    </xf>
    <xf numFmtId="164" fontId="14" fillId="40" borderId="0" xfId="0" applyFont="1" applyFill="1" applyAlignment="1">
      <alignment horizontal="center"/>
    </xf>
    <xf numFmtId="164" fontId="14" fillId="40" borderId="0" xfId="0" applyFont="1" applyFill="1" applyAlignment="1">
      <alignment horizontal="left"/>
    </xf>
    <xf numFmtId="164" fontId="16" fillId="40" borderId="0" xfId="0" applyFont="1" applyFill="1" applyAlignment="1">
      <alignment horizontal="left"/>
    </xf>
    <xf numFmtId="164" fontId="14" fillId="42" borderId="48" xfId="0" applyFont="1" applyFill="1" applyBorder="1" applyAlignment="1">
      <alignment horizontal="center"/>
    </xf>
    <xf numFmtId="164" fontId="14" fillId="42" borderId="0" xfId="0" applyFont="1" applyFill="1" applyAlignment="1">
      <alignment horizontal="left"/>
    </xf>
    <xf numFmtId="164" fontId="16" fillId="42" borderId="0" xfId="0" applyFont="1" applyFill="1" applyAlignment="1">
      <alignment horizontal="left"/>
    </xf>
    <xf numFmtId="164" fontId="14" fillId="42" borderId="0" xfId="0" applyFont="1" applyFill="1" applyAlignment="1">
      <alignment horizontal="center"/>
    </xf>
    <xf numFmtId="164" fontId="44" fillId="42" borderId="0" xfId="0" applyFont="1" applyFill="1" applyAlignment="1">
      <alignment horizontal="left"/>
    </xf>
    <xf numFmtId="164" fontId="14" fillId="30" borderId="0" xfId="0" applyFont="1" applyFill="1" applyAlignment="1">
      <alignment horizontal="left"/>
    </xf>
    <xf numFmtId="164" fontId="14" fillId="43" borderId="0" xfId="0" applyFont="1" applyFill="1" applyAlignment="1">
      <alignment horizontal="center"/>
    </xf>
    <xf numFmtId="164" fontId="14" fillId="43" borderId="0" xfId="0" applyFont="1" applyFill="1" applyAlignment="1">
      <alignment horizontal="left"/>
    </xf>
    <xf numFmtId="164" fontId="16" fillId="43" borderId="0" xfId="0" applyFont="1" applyFill="1" applyAlignment="1">
      <alignment horizontal="left"/>
    </xf>
    <xf numFmtId="164" fontId="44" fillId="43" borderId="0" xfId="0" applyFont="1" applyFill="1" applyAlignment="1">
      <alignment horizontal="left"/>
    </xf>
    <xf numFmtId="164" fontId="14" fillId="44" borderId="0" xfId="0" applyFont="1" applyFill="1" applyAlignment="1">
      <alignment horizontal="center"/>
    </xf>
    <xf numFmtId="164" fontId="14" fillId="44" borderId="0" xfId="0" applyFont="1" applyFill="1" applyAlignment="1">
      <alignment horizontal="left"/>
    </xf>
    <xf numFmtId="164" fontId="44" fillId="44" borderId="0" xfId="0" applyFont="1" applyFill="1" applyAlignment="1">
      <alignment horizontal="left"/>
    </xf>
    <xf numFmtId="164" fontId="16" fillId="44" borderId="0" xfId="0" applyFont="1" applyFill="1" applyAlignment="1">
      <alignment horizontal="left"/>
    </xf>
    <xf numFmtId="164" fontId="55" fillId="44" borderId="0" xfId="0" applyFont="1" applyFill="1" applyAlignment="1">
      <alignment horizontal="left"/>
    </xf>
    <xf numFmtId="164" fontId="14" fillId="44" borderId="48" xfId="0" applyFont="1" applyFill="1" applyBorder="1" applyAlignment="1">
      <alignment horizontal="center"/>
    </xf>
    <xf numFmtId="164" fontId="14" fillId="44" borderId="24" xfId="0" applyFont="1" applyFill="1" applyBorder="1" applyAlignment="1">
      <alignment horizontal="center"/>
    </xf>
    <xf numFmtId="164" fontId="14" fillId="45" borderId="48" xfId="0" applyFont="1" applyFill="1" applyBorder="1" applyAlignment="1">
      <alignment horizontal="center"/>
    </xf>
    <xf numFmtId="164" fontId="14" fillId="45" borderId="0" xfId="0" applyFont="1" applyFill="1" applyAlignment="1">
      <alignment horizontal="left"/>
    </xf>
    <xf numFmtId="164" fontId="16" fillId="45" borderId="0" xfId="0" applyFont="1" applyFill="1" applyAlignment="1">
      <alignment horizontal="left"/>
    </xf>
    <xf numFmtId="164" fontId="14" fillId="45" borderId="0" xfId="0" applyFont="1" applyFill="1" applyAlignment="1">
      <alignment horizontal="center"/>
    </xf>
    <xf numFmtId="164" fontId="44" fillId="45" borderId="0" xfId="0" applyFont="1" applyFill="1" applyAlignment="1">
      <alignment horizontal="left"/>
    </xf>
    <xf numFmtId="164" fontId="14" fillId="33" borderId="0" xfId="0" applyFont="1" applyFill="1" applyAlignment="1">
      <alignment horizontal="left"/>
    </xf>
    <xf numFmtId="164" fontId="16" fillId="46" borderId="0" xfId="0" applyFont="1" applyFill="1" applyAlignment="1">
      <alignment horizontal="left"/>
    </xf>
    <xf numFmtId="164" fontId="14" fillId="33" borderId="0" xfId="0" applyFont="1" applyFill="1" applyAlignment="1">
      <alignment horizontal="center"/>
    </xf>
    <xf numFmtId="164" fontId="14" fillId="40" borderId="48" xfId="0" applyFont="1" applyFill="1" applyBorder="1" applyAlignment="1">
      <alignment horizontal="center"/>
    </xf>
    <xf numFmtId="164" fontId="14" fillId="34" borderId="0" xfId="0" applyFont="1" applyFill="1" applyAlignment="1">
      <alignment horizontal="left"/>
    </xf>
    <xf numFmtId="164" fontId="14" fillId="34" borderId="0" xfId="0" applyFont="1" applyFill="1" applyAlignment="1">
      <alignment horizontal="center"/>
    </xf>
    <xf numFmtId="164" fontId="16" fillId="42" borderId="0" xfId="0" applyFont="1" applyFill="1" applyAlignment="1">
      <alignment horizontal="center"/>
    </xf>
    <xf numFmtId="164" fontId="14" fillId="47" borderId="0" xfId="0" applyFont="1" applyFill="1" applyAlignment="1">
      <alignment horizontal="center"/>
    </xf>
    <xf numFmtId="164" fontId="14" fillId="48" borderId="48" xfId="0" applyFont="1" applyFill="1" applyBorder="1" applyAlignment="1">
      <alignment horizontal="center"/>
    </xf>
    <xf numFmtId="164" fontId="14" fillId="48" borderId="0" xfId="0" applyFont="1" applyFill="1" applyAlignment="1">
      <alignment horizontal="left"/>
    </xf>
    <xf numFmtId="164" fontId="16" fillId="48" borderId="0" xfId="0" applyFont="1" applyFill="1" applyAlignment="1">
      <alignment horizontal="left"/>
    </xf>
    <xf numFmtId="164" fontId="14" fillId="48" borderId="0" xfId="0" applyFont="1" applyFill="1" applyAlignment="1">
      <alignment horizontal="center"/>
    </xf>
    <xf numFmtId="164" fontId="44" fillId="48" borderId="0" xfId="0" applyFont="1" applyFill="1" applyAlignment="1">
      <alignment horizontal="left"/>
    </xf>
    <xf numFmtId="164" fontId="14" fillId="41" borderId="0" xfId="0" applyFont="1" applyFill="1" applyAlignment="1">
      <alignment horizontal="left"/>
    </xf>
    <xf numFmtId="164" fontId="14" fillId="41" borderId="0" xfId="0" applyFont="1" applyFill="1" applyAlignment="1">
      <alignment horizontal="center"/>
    </xf>
    <xf numFmtId="164" fontId="14" fillId="43" borderId="48" xfId="0" applyFont="1" applyFill="1" applyBorder="1" applyAlignment="1">
      <alignment horizontal="center"/>
    </xf>
    <xf numFmtId="164" fontId="44" fillId="43" borderId="0" xfId="0" applyFont="1" applyFill="1" applyAlignment="1">
      <alignment horizontal="center"/>
    </xf>
    <xf numFmtId="164" fontId="14" fillId="43" borderId="24" xfId="0" applyFont="1" applyFill="1" applyBorder="1" applyAlignment="1">
      <alignment horizontal="center"/>
    </xf>
    <xf numFmtId="164" fontId="14" fillId="49" borderId="0" xfId="0" applyFont="1" applyFill="1" applyAlignment="1">
      <alignment horizontal="center"/>
    </xf>
    <xf numFmtId="164" fontId="14" fillId="49" borderId="0" xfId="0" applyFont="1" applyFill="1" applyAlignment="1">
      <alignment horizontal="left"/>
    </xf>
    <xf numFmtId="164" fontId="16" fillId="49" borderId="0" xfId="0" applyFont="1" applyFill="1" applyAlignment="1">
      <alignment horizontal="left"/>
    </xf>
    <xf numFmtId="164" fontId="56" fillId="49" borderId="0" xfId="0" applyFont="1" applyFill="1" applyAlignment="1">
      <alignment horizontal="left"/>
    </xf>
    <xf numFmtId="164" fontId="14" fillId="49" borderId="48" xfId="0" applyFont="1" applyFill="1" applyBorder="1" applyAlignment="1">
      <alignment horizontal="center"/>
    </xf>
    <xf numFmtId="164" fontId="44" fillId="49" borderId="0" xfId="0" applyFont="1" applyFill="1" applyAlignment="1">
      <alignment horizontal="left"/>
    </xf>
    <xf numFmtId="164" fontId="44" fillId="49" borderId="0" xfId="0" applyFont="1" applyFill="1" applyAlignment="1">
      <alignment horizontal="center"/>
    </xf>
    <xf numFmtId="164" fontId="14" fillId="50" borderId="48" xfId="0" applyFont="1" applyFill="1" applyBorder="1" applyAlignment="1">
      <alignment horizontal="center"/>
    </xf>
    <xf numFmtId="164" fontId="14" fillId="50" borderId="0" xfId="0" applyFont="1" applyFill="1" applyAlignment="1">
      <alignment horizontal="left"/>
    </xf>
    <xf numFmtId="164" fontId="16" fillId="50" borderId="0" xfId="0" applyFont="1" applyFill="1" applyAlignment="1">
      <alignment horizontal="left"/>
    </xf>
    <xf numFmtId="164" fontId="14" fillId="50" borderId="0" xfId="0" applyFont="1" applyFill="1" applyAlignment="1">
      <alignment horizontal="center"/>
    </xf>
    <xf numFmtId="164" fontId="44" fillId="50" borderId="0" xfId="0" applyFont="1" applyFill="1" applyAlignment="1">
      <alignment horizontal="left"/>
    </xf>
    <xf numFmtId="164" fontId="14" fillId="42" borderId="76" xfId="0" applyFont="1" applyFill="1" applyBorder="1" applyAlignment="1">
      <alignment horizontal="left"/>
    </xf>
    <xf numFmtId="164" fontId="16" fillId="42" borderId="76" xfId="0" applyFont="1" applyFill="1" applyBorder="1" applyAlignment="1">
      <alignment horizontal="left"/>
    </xf>
    <xf numFmtId="164" fontId="14" fillId="42" borderId="76" xfId="0" applyFont="1" applyFill="1" applyBorder="1" applyAlignment="1">
      <alignment horizontal="center"/>
    </xf>
    <xf numFmtId="164" fontId="56" fillId="48" borderId="0" xfId="0" applyFont="1" applyFill="1" applyAlignment="1">
      <alignment horizontal="left"/>
    </xf>
    <xf numFmtId="164" fontId="57" fillId="48" borderId="0" xfId="0" applyFont="1" applyFill="1" applyAlignment="1">
      <alignment horizontal="left"/>
    </xf>
    <xf numFmtId="164" fontId="56" fillId="43" borderId="0" xfId="0" applyFont="1" applyFill="1" applyAlignment="1">
      <alignment horizontal="left"/>
    </xf>
    <xf numFmtId="164" fontId="57" fillId="43" borderId="0" xfId="0" applyFont="1" applyFill="1" applyAlignment="1">
      <alignment horizontal="left"/>
    </xf>
    <xf numFmtId="164" fontId="48" fillId="43" borderId="0" xfId="0" applyFont="1" applyFill="1" applyAlignment="1">
      <alignment horizontal="left"/>
    </xf>
    <xf numFmtId="164" fontId="14" fillId="35" borderId="0" xfId="0" applyFont="1" applyFill="1" applyAlignment="1">
      <alignment horizontal="left"/>
    </xf>
    <xf numFmtId="164" fontId="14" fillId="52" borderId="0" xfId="0" applyFont="1" applyFill="1" applyAlignment="1">
      <alignment horizontal="left"/>
    </xf>
    <xf numFmtId="164" fontId="57" fillId="49" borderId="0" xfId="0" applyFont="1" applyFill="1" applyAlignment="1">
      <alignment horizontal="left"/>
    </xf>
    <xf numFmtId="164" fontId="14" fillId="49" borderId="24" xfId="0" applyFont="1" applyFill="1" applyBorder="1" applyAlignment="1">
      <alignment horizontal="center"/>
    </xf>
    <xf numFmtId="164" fontId="14" fillId="53" borderId="0" xfId="0" applyFont="1" applyFill="1" applyAlignment="1">
      <alignment horizontal="left"/>
    </xf>
    <xf numFmtId="164" fontId="58" fillId="51" borderId="0" xfId="0" applyFont="1" applyFill="1" applyAlignment="1">
      <alignment horizontal="left"/>
    </xf>
    <xf numFmtId="164" fontId="14" fillId="46" borderId="0" xfId="0" applyFont="1" applyFill="1" applyAlignment="1">
      <alignment horizontal="left"/>
    </xf>
    <xf numFmtId="164" fontId="14" fillId="46" borderId="0" xfId="0" applyFont="1" applyFill="1" applyAlignment="1">
      <alignment horizontal="center"/>
    </xf>
    <xf numFmtId="164" fontId="14" fillId="52" borderId="0" xfId="0" applyFont="1" applyFill="1" applyAlignment="1">
      <alignment horizontal="center"/>
    </xf>
    <xf numFmtId="164" fontId="57" fillId="44" borderId="0" xfId="0" applyFont="1" applyFill="1" applyAlignment="1">
      <alignment horizontal="left"/>
    </xf>
    <xf numFmtId="164" fontId="56" fillId="44" borderId="0" xfId="0" applyFont="1" applyFill="1" applyAlignment="1">
      <alignment horizontal="left"/>
    </xf>
    <xf numFmtId="164" fontId="56" fillId="50" borderId="0" xfId="0" applyFont="1" applyFill="1" applyAlignment="1">
      <alignment horizontal="left"/>
    </xf>
    <xf numFmtId="164" fontId="57" fillId="50" borderId="0" xfId="0" applyFont="1" applyFill="1" applyAlignment="1">
      <alignment horizontal="left"/>
    </xf>
    <xf numFmtId="164" fontId="14" fillId="36" borderId="0" xfId="0" applyFont="1" applyFill="1" applyAlignment="1">
      <alignment horizontal="left"/>
    </xf>
    <xf numFmtId="164" fontId="14" fillId="36" borderId="0" xfId="0" applyFont="1" applyFill="1" applyAlignment="1">
      <alignment horizontal="center"/>
    </xf>
    <xf numFmtId="164" fontId="43" fillId="50" borderId="0" xfId="0" applyFont="1" applyFill="1" applyAlignment="1">
      <alignment horizontal="left"/>
    </xf>
    <xf numFmtId="164" fontId="44" fillId="45" borderId="0" xfId="0" applyFont="1" applyFill="1" applyAlignment="1">
      <alignment horizontal="center"/>
    </xf>
    <xf numFmtId="164" fontId="16" fillId="55" borderId="50" xfId="0" applyFont="1" applyFill="1" applyBorder="1" applyAlignment="1">
      <alignment horizontal="center" wrapText="1"/>
    </xf>
    <xf numFmtId="164" fontId="0" fillId="0" borderId="0" xfId="0" pivotButton="1"/>
    <xf numFmtId="164" fontId="0" fillId="0" borderId="0" xfId="0" applyAlignment="1">
      <alignment horizontal="left"/>
    </xf>
    <xf numFmtId="164" fontId="0" fillId="0" borderId="0" xfId="0" applyAlignment="1">
      <alignment horizontal="left" indent="1"/>
    </xf>
    <xf numFmtId="164" fontId="60" fillId="0" borderId="0" xfId="0" applyFont="1"/>
    <xf numFmtId="164" fontId="0" fillId="5" borderId="0" xfId="0" applyFill="1"/>
    <xf numFmtId="164" fontId="0" fillId="0" borderId="78" xfId="0" applyBorder="1"/>
    <xf numFmtId="0" fontId="0" fillId="5" borderId="81" xfId="0" applyNumberFormat="1" applyFill="1" applyBorder="1"/>
    <xf numFmtId="0" fontId="0" fillId="0" borderId="81" xfId="0" applyNumberFormat="1" applyBorder="1"/>
    <xf numFmtId="0" fontId="0" fillId="5" borderId="86" xfId="0" applyNumberFormat="1" applyFill="1" applyBorder="1"/>
    <xf numFmtId="0" fontId="0" fillId="0" borderId="87" xfId="0" applyNumberFormat="1" applyBorder="1"/>
    <xf numFmtId="164" fontId="0" fillId="5" borderId="88" xfId="0" applyFill="1" applyBorder="1"/>
    <xf numFmtId="164" fontId="0" fillId="0" borderId="84" xfId="0" applyBorder="1"/>
    <xf numFmtId="164" fontId="0" fillId="5" borderId="89" xfId="0" applyFill="1" applyBorder="1"/>
    <xf numFmtId="0" fontId="0" fillId="5" borderId="90" xfId="0" applyNumberFormat="1" applyFill="1" applyBorder="1"/>
    <xf numFmtId="0" fontId="0" fillId="0" borderId="91" xfId="0" applyNumberFormat="1" applyBorder="1"/>
    <xf numFmtId="0" fontId="0" fillId="5" borderId="95" xfId="0" applyNumberFormat="1" applyFill="1" applyBorder="1"/>
    <xf numFmtId="164" fontId="0" fillId="0" borderId="77" xfId="0" applyBorder="1"/>
    <xf numFmtId="164" fontId="0" fillId="0" borderId="79" xfId="0" applyBorder="1"/>
    <xf numFmtId="164" fontId="0" fillId="0" borderId="80" xfId="0" applyBorder="1"/>
    <xf numFmtId="164" fontId="0" fillId="0" borderId="85" xfId="0" applyBorder="1"/>
    <xf numFmtId="164" fontId="0" fillId="0" borderId="76" xfId="0" applyBorder="1"/>
    <xf numFmtId="0" fontId="0" fillId="5" borderId="87" xfId="0" applyNumberFormat="1" applyFill="1" applyBorder="1"/>
    <xf numFmtId="0" fontId="0" fillId="5" borderId="91" xfId="0" applyNumberFormat="1" applyFill="1" applyBorder="1"/>
    <xf numFmtId="164" fontId="0" fillId="5" borderId="84" xfId="0" applyFill="1" applyBorder="1"/>
    <xf numFmtId="164" fontId="0" fillId="0" borderId="82" xfId="0" applyBorder="1"/>
    <xf numFmtId="164" fontId="0" fillId="0" borderId="83" xfId="0" applyBorder="1"/>
    <xf numFmtId="0" fontId="0" fillId="5" borderId="92" xfId="0" applyNumberFormat="1" applyFill="1" applyBorder="1"/>
    <xf numFmtId="0" fontId="0" fillId="0" borderId="93" xfId="0" applyNumberFormat="1" applyBorder="1"/>
    <xf numFmtId="0" fontId="0" fillId="5" borderId="94" xfId="0" applyNumberFormat="1" applyFill="1" applyBorder="1"/>
    <xf numFmtId="0" fontId="0" fillId="5" borderId="93" xfId="0" applyNumberFormat="1" applyFill="1" applyBorder="1"/>
    <xf numFmtId="0" fontId="0" fillId="0" borderId="95" xfId="0" applyNumberFormat="1" applyBorder="1"/>
    <xf numFmtId="164" fontId="0" fillId="5" borderId="85" xfId="0" applyFill="1" applyBorder="1"/>
    <xf numFmtId="164" fontId="0" fillId="5" borderId="96" xfId="0" applyFill="1" applyBorder="1"/>
    <xf numFmtId="164" fontId="60" fillId="0" borderId="0" xfId="0" applyFont="1" applyAlignment="1">
      <alignment horizontal="left"/>
    </xf>
    <xf numFmtId="0" fontId="0" fillId="5" borderId="96" xfId="0" applyNumberFormat="1" applyFill="1" applyBorder="1"/>
    <xf numFmtId="0" fontId="0" fillId="0" borderId="97" xfId="0" applyNumberFormat="1" applyBorder="1"/>
    <xf numFmtId="0" fontId="0" fillId="5" borderId="98" xfId="0" applyNumberFormat="1" applyFill="1" applyBorder="1"/>
    <xf numFmtId="0" fontId="0" fillId="5" borderId="97" xfId="0" applyNumberFormat="1" applyFill="1" applyBorder="1"/>
    <xf numFmtId="164" fontId="16" fillId="0" borderId="68" xfId="1" applyNumberFormat="1" applyFont="1" applyFill="1" applyBorder="1" applyAlignment="1">
      <alignment horizontal="right"/>
    </xf>
    <xf numFmtId="3" fontId="14" fillId="0" borderId="25" xfId="1" applyNumberFormat="1" applyFont="1" applyFill="1" applyBorder="1" applyAlignment="1">
      <alignment horizontal="right"/>
    </xf>
    <xf numFmtId="0" fontId="14" fillId="0" borderId="0" xfId="1" applyNumberFormat="1" applyFont="1" applyFill="1" applyBorder="1" applyAlignment="1">
      <alignment horizontal="right"/>
    </xf>
    <xf numFmtId="2" fontId="16" fillId="0" borderId="1" xfId="1" applyNumberFormat="1" applyFont="1" applyFill="1" applyBorder="1" applyAlignment="1">
      <alignment horizontal="right"/>
    </xf>
    <xf numFmtId="3" fontId="14" fillId="0" borderId="71" xfId="1" applyNumberFormat="1" applyFont="1" applyFill="1" applyBorder="1" applyAlignment="1">
      <alignment horizontal="right"/>
    </xf>
    <xf numFmtId="49" fontId="14" fillId="8" borderId="0" xfId="0" applyNumberFormat="1" applyFont="1" applyFill="1" applyAlignment="1" applyProtection="1">
      <alignment horizontal="center"/>
      <protection locked="0"/>
    </xf>
    <xf numFmtId="49" fontId="14" fillId="8" borderId="0" xfId="0" applyNumberFormat="1" applyFont="1" applyFill="1" applyAlignment="1" applyProtection="1">
      <alignment horizontal="left"/>
      <protection locked="0"/>
    </xf>
    <xf numFmtId="49" fontId="16" fillId="8" borderId="0" xfId="0" applyNumberFormat="1" applyFont="1" applyFill="1" applyAlignment="1" applyProtection="1">
      <alignment horizontal="left"/>
      <protection locked="0"/>
    </xf>
    <xf numFmtId="1" fontId="14" fillId="8" borderId="0" xfId="0" applyNumberFormat="1" applyFont="1" applyFill="1" applyAlignment="1" applyProtection="1">
      <alignment horizontal="center"/>
      <protection locked="0"/>
    </xf>
    <xf numFmtId="49" fontId="44" fillId="56" borderId="0" xfId="0" applyNumberFormat="1" applyFont="1" applyFill="1" applyAlignment="1" applyProtection="1">
      <alignment horizontal="left"/>
      <protection locked="0"/>
    </xf>
    <xf numFmtId="49" fontId="16" fillId="56" borderId="0" xfId="0" applyNumberFormat="1" applyFont="1" applyFill="1" applyAlignment="1" applyProtection="1">
      <alignment horizontal="left"/>
      <protection locked="0"/>
    </xf>
    <xf numFmtId="49" fontId="44" fillId="8" borderId="0" xfId="0" applyNumberFormat="1" applyFont="1" applyFill="1" applyAlignment="1" applyProtection="1">
      <alignment horizontal="left"/>
      <protection locked="0"/>
    </xf>
    <xf numFmtId="1" fontId="44" fillId="8" borderId="0" xfId="0" applyNumberFormat="1" applyFont="1" applyFill="1" applyAlignment="1" applyProtection="1">
      <alignment horizontal="left"/>
      <protection locked="0"/>
    </xf>
    <xf numFmtId="1" fontId="61" fillId="8" borderId="0" xfId="0" applyNumberFormat="1" applyFont="1" applyFill="1" applyAlignment="1" applyProtection="1">
      <alignment horizontal="center"/>
      <protection locked="0"/>
    </xf>
    <xf numFmtId="164" fontId="14" fillId="8" borderId="0" xfId="0" applyFont="1" applyFill="1" applyAlignment="1" applyProtection="1">
      <alignment horizontal="center"/>
      <protection locked="0"/>
    </xf>
    <xf numFmtId="49" fontId="14" fillId="56" borderId="0" xfId="0" applyNumberFormat="1" applyFont="1" applyFill="1" applyAlignment="1" applyProtection="1">
      <alignment horizontal="left"/>
      <protection locked="0"/>
    </xf>
    <xf numFmtId="3" fontId="16" fillId="8" borderId="0" xfId="0" applyNumberFormat="1" applyFont="1" applyFill="1" applyAlignment="1" applyProtection="1">
      <alignment horizontal="left"/>
      <protection locked="0"/>
    </xf>
    <xf numFmtId="3" fontId="14" fillId="8" borderId="0" xfId="0" applyNumberFormat="1" applyFont="1" applyFill="1" applyAlignment="1" applyProtection="1">
      <alignment horizontal="left"/>
      <protection locked="0"/>
    </xf>
    <xf numFmtId="37" fontId="14" fillId="8" borderId="0" xfId="0" applyNumberFormat="1" applyFont="1" applyFill="1" applyAlignment="1" applyProtection="1">
      <alignment horizontal="left"/>
      <protection locked="0"/>
    </xf>
    <xf numFmtId="3" fontId="14" fillId="56" borderId="0" xfId="0" applyNumberFormat="1" applyFont="1" applyFill="1" applyAlignment="1" applyProtection="1">
      <alignment horizontal="left"/>
      <protection locked="0"/>
    </xf>
    <xf numFmtId="49" fontId="44" fillId="57" borderId="0" xfId="0" applyNumberFormat="1" applyFont="1" applyFill="1" applyAlignment="1" applyProtection="1">
      <alignment horizontal="left"/>
      <protection locked="0"/>
    </xf>
    <xf numFmtId="164" fontId="14" fillId="33" borderId="0" xfId="0" applyFont="1" applyFill="1" applyAlignment="1" applyProtection="1">
      <alignment horizontal="center"/>
      <protection locked="0"/>
    </xf>
    <xf numFmtId="1" fontId="44" fillId="13" borderId="0" xfId="0" applyNumberFormat="1" applyFont="1" applyFill="1" applyAlignment="1" applyProtection="1">
      <alignment horizontal="center"/>
      <protection locked="0"/>
    </xf>
    <xf numFmtId="1" fontId="14" fillId="13" borderId="0" xfId="0" applyNumberFormat="1" applyFont="1" applyFill="1" applyAlignment="1" applyProtection="1">
      <alignment horizontal="center"/>
      <protection locked="0"/>
    </xf>
    <xf numFmtId="49" fontId="44" fillId="16" borderId="0" xfId="0" applyNumberFormat="1" applyFont="1" applyFill="1" applyAlignment="1" applyProtection="1">
      <alignment horizontal="left"/>
      <protection locked="0"/>
    </xf>
    <xf numFmtId="1" fontId="14" fillId="16" borderId="0" xfId="0" applyNumberFormat="1" applyFont="1" applyFill="1" applyAlignment="1" applyProtection="1">
      <alignment horizontal="center"/>
      <protection locked="0"/>
    </xf>
    <xf numFmtId="1" fontId="44" fillId="58" borderId="0" xfId="0" applyNumberFormat="1" applyFont="1" applyFill="1" applyAlignment="1" applyProtection="1">
      <alignment horizontal="center"/>
      <protection locked="0"/>
    </xf>
    <xf numFmtId="164" fontId="43" fillId="40" borderId="0" xfId="0" applyFont="1" applyFill="1" applyAlignment="1">
      <alignment horizontal="left"/>
    </xf>
    <xf numFmtId="164" fontId="62" fillId="59" borderId="0" xfId="0" applyFont="1" applyFill="1" applyAlignment="1" applyProtection="1">
      <alignment horizontal="left"/>
      <protection locked="0"/>
    </xf>
    <xf numFmtId="1" fontId="14" fillId="60" borderId="0" xfId="0" applyNumberFormat="1" applyFont="1" applyFill="1" applyAlignment="1" applyProtection="1">
      <alignment horizontal="center"/>
      <protection locked="0"/>
    </xf>
    <xf numFmtId="1" fontId="44" fillId="59" borderId="0" xfId="0" applyNumberFormat="1" applyFont="1" applyFill="1" applyAlignment="1" applyProtection="1">
      <alignment horizontal="center"/>
      <protection locked="0"/>
    </xf>
    <xf numFmtId="164" fontId="63" fillId="43" borderId="0" xfId="0" applyFont="1" applyFill="1" applyAlignment="1">
      <alignment horizontal="left"/>
    </xf>
    <xf numFmtId="164" fontId="64" fillId="61" borderId="0" xfId="0" applyFont="1" applyFill="1" applyAlignment="1" applyProtection="1">
      <alignment horizontal="left"/>
      <protection locked="0"/>
    </xf>
    <xf numFmtId="1" fontId="55" fillId="9" borderId="0" xfId="0" applyNumberFormat="1" applyFont="1" applyFill="1" applyAlignment="1" applyProtection="1">
      <alignment horizontal="center"/>
      <protection locked="0"/>
    </xf>
    <xf numFmtId="164" fontId="63" fillId="49" borderId="0" xfId="0" applyFont="1" applyFill="1" applyAlignment="1">
      <alignment horizontal="left"/>
    </xf>
    <xf numFmtId="1" fontId="55" fillId="61" borderId="0" xfId="0" applyNumberFormat="1" applyFont="1" applyFill="1" applyAlignment="1" applyProtection="1">
      <alignment horizontal="center"/>
      <protection locked="0"/>
    </xf>
    <xf numFmtId="49" fontId="14" fillId="52" borderId="0" xfId="0" applyNumberFormat="1" applyFont="1" applyFill="1" applyAlignment="1" applyProtection="1">
      <alignment horizontal="left"/>
      <protection locked="0"/>
    </xf>
    <xf numFmtId="1" fontId="14" fillId="52" borderId="0" xfId="0" applyNumberFormat="1" applyFont="1" applyFill="1" applyAlignment="1" applyProtection="1">
      <alignment horizontal="center"/>
      <protection locked="0"/>
    </xf>
    <xf numFmtId="164" fontId="62" fillId="37" borderId="0" xfId="0" applyFont="1" applyFill="1" applyAlignment="1" applyProtection="1">
      <alignment horizontal="left"/>
      <protection locked="0"/>
    </xf>
    <xf numFmtId="1" fontId="44" fillId="32" borderId="0" xfId="0" applyNumberFormat="1" applyFont="1" applyFill="1" applyAlignment="1" applyProtection="1">
      <alignment horizontal="center"/>
      <protection locked="0"/>
    </xf>
    <xf numFmtId="49" fontId="16" fillId="12" borderId="0" xfId="0" applyNumberFormat="1" applyFont="1" applyFill="1" applyAlignment="1" applyProtection="1">
      <alignment horizontal="left"/>
      <protection locked="0"/>
    </xf>
    <xf numFmtId="164" fontId="16" fillId="60" borderId="0" xfId="0" applyFont="1" applyFill="1" applyAlignment="1" applyProtection="1">
      <alignment horizontal="left"/>
      <protection locked="0"/>
    </xf>
    <xf numFmtId="49" fontId="16" fillId="57" borderId="0" xfId="0" applyNumberFormat="1" applyFont="1" applyFill="1" applyAlignment="1" applyProtection="1">
      <alignment horizontal="left"/>
      <protection locked="0"/>
    </xf>
    <xf numFmtId="49" fontId="16" fillId="10" borderId="0" xfId="0" applyNumberFormat="1" applyFont="1" applyFill="1" applyAlignment="1" applyProtection="1">
      <alignment horizontal="left"/>
      <protection locked="0"/>
    </xf>
    <xf numFmtId="164" fontId="65" fillId="58" borderId="0" xfId="0" applyFont="1" applyFill="1" applyAlignment="1" applyProtection="1">
      <alignment horizontal="left"/>
      <protection locked="0"/>
    </xf>
    <xf numFmtId="164" fontId="65" fillId="61" borderId="0" xfId="0" applyFont="1" applyFill="1" applyAlignment="1" applyProtection="1">
      <alignment horizontal="left"/>
      <protection locked="0"/>
    </xf>
    <xf numFmtId="164" fontId="66" fillId="61" borderId="0" xfId="0" applyFont="1" applyFill="1" applyAlignment="1" applyProtection="1">
      <alignment horizontal="left"/>
      <protection locked="0"/>
    </xf>
    <xf numFmtId="164" fontId="65" fillId="37" borderId="0" xfId="0" applyFont="1" applyFill="1" applyAlignment="1" applyProtection="1">
      <alignment horizontal="left"/>
      <protection locked="0"/>
    </xf>
    <xf numFmtId="168" fontId="14" fillId="39" borderId="72" xfId="0" applyNumberFormat="1" applyFont="1" applyFill="1" applyBorder="1"/>
    <xf numFmtId="168" fontId="14" fillId="29" borderId="72" xfId="0" applyNumberFormat="1" applyFont="1" applyFill="1" applyBorder="1" applyAlignment="1">
      <alignment horizontal="center" vertical="top"/>
    </xf>
    <xf numFmtId="168" fontId="14" fillId="38" borderId="72" xfId="0" applyNumberFormat="1" applyFont="1" applyFill="1" applyBorder="1" applyProtection="1">
      <protection locked="0"/>
    </xf>
    <xf numFmtId="168" fontId="14" fillId="29" borderId="0" xfId="0" applyNumberFormat="1" applyFont="1" applyFill="1" applyAlignment="1" applyProtection="1">
      <alignment horizontal="center" vertical="top"/>
      <protection locked="0"/>
    </xf>
    <xf numFmtId="168" fontId="14" fillId="29" borderId="72" xfId="0" applyNumberFormat="1" applyFont="1" applyFill="1" applyBorder="1" applyAlignment="1" applyProtection="1">
      <alignment horizontal="center" vertical="top"/>
      <protection locked="0"/>
    </xf>
    <xf numFmtId="168" fontId="14" fillId="0" borderId="0" xfId="0" applyNumberFormat="1" applyFont="1"/>
    <xf numFmtId="168" fontId="14" fillId="0" borderId="0" xfId="0" applyNumberFormat="1" applyFont="1" applyAlignment="1">
      <alignment horizontal="center"/>
    </xf>
    <xf numFmtId="37" fontId="14" fillId="38" borderId="72" xfId="0" applyNumberFormat="1" applyFont="1" applyFill="1" applyBorder="1" applyProtection="1">
      <protection locked="0"/>
    </xf>
    <xf numFmtId="37" fontId="14" fillId="29" borderId="72" xfId="0" applyNumberFormat="1" applyFont="1" applyFill="1" applyBorder="1" applyAlignment="1" applyProtection="1">
      <alignment horizontal="center" vertical="top"/>
      <protection locked="0"/>
    </xf>
    <xf numFmtId="37" fontId="14" fillId="0" borderId="0" xfId="0" applyNumberFormat="1" applyFont="1"/>
    <xf numFmtId="37" fontId="14" fillId="39" borderId="72" xfId="0" applyNumberFormat="1" applyFont="1" applyFill="1" applyBorder="1" applyProtection="1">
      <protection locked="0"/>
    </xf>
    <xf numFmtId="3" fontId="14" fillId="29" borderId="7" xfId="0" applyNumberFormat="1" applyFont="1" applyFill="1" applyBorder="1" applyProtection="1">
      <protection locked="0"/>
    </xf>
    <xf numFmtId="3" fontId="14" fillId="29" borderId="74" xfId="0" applyNumberFormat="1" applyFont="1" applyFill="1" applyBorder="1" applyProtection="1">
      <protection locked="0"/>
    </xf>
    <xf numFmtId="3" fontId="14" fillId="29" borderId="75" xfId="0" applyNumberFormat="1" applyFont="1" applyFill="1" applyBorder="1" applyProtection="1">
      <protection locked="0"/>
    </xf>
    <xf numFmtId="37" fontId="14" fillId="0" borderId="72" xfId="0" applyNumberFormat="1" applyFont="1" applyBorder="1" applyAlignment="1">
      <alignment horizontal="center" vertical="top"/>
    </xf>
    <xf numFmtId="37" fontId="58" fillId="51" borderId="72" xfId="0" applyNumberFormat="1" applyFont="1" applyFill="1" applyBorder="1" applyAlignment="1" applyProtection="1">
      <alignment horizontal="center" vertical="top"/>
      <protection locked="0"/>
    </xf>
    <xf numFmtId="37" fontId="59" fillId="54" borderId="72" xfId="0" applyNumberFormat="1" applyFont="1" applyFill="1" applyBorder="1" applyAlignment="1" applyProtection="1">
      <alignment horizontal="center" vertical="top"/>
      <protection locked="0"/>
    </xf>
    <xf numFmtId="37" fontId="14" fillId="38" borderId="68" xfId="0" applyNumberFormat="1" applyFont="1" applyFill="1" applyBorder="1" applyProtection="1">
      <protection locked="0"/>
    </xf>
    <xf numFmtId="164" fontId="14" fillId="38" borderId="72" xfId="0" applyFont="1" applyFill="1" applyBorder="1" applyProtection="1">
      <protection locked="0"/>
    </xf>
    <xf numFmtId="164" fontId="14" fillId="29" borderId="72" xfId="0" applyFont="1" applyFill="1" applyBorder="1" applyAlignment="1" applyProtection="1">
      <alignment horizontal="center" vertical="top"/>
      <protection locked="0"/>
    </xf>
    <xf numFmtId="164" fontId="14" fillId="0" borderId="0" xfId="0" applyFont="1" applyProtection="1">
      <protection locked="0"/>
    </xf>
    <xf numFmtId="164" fontId="0" fillId="0" borderId="0" xfId="0" applyProtection="1">
      <protection locked="0"/>
    </xf>
    <xf numFmtId="0" fontId="14" fillId="0" borderId="0" xfId="0" applyNumberFormat="1" applyFont="1" applyProtection="1">
      <protection locked="0"/>
    </xf>
    <xf numFmtId="164" fontId="14" fillId="39" borderId="72" xfId="0" applyFont="1" applyFill="1" applyBorder="1" applyProtection="1">
      <protection locked="0"/>
    </xf>
    <xf numFmtId="49" fontId="44" fillId="13" borderId="0" xfId="0" applyNumberFormat="1" applyFont="1" applyFill="1" applyAlignment="1" applyProtection="1">
      <alignment horizontal="left"/>
      <protection locked="0"/>
    </xf>
    <xf numFmtId="164" fontId="14" fillId="45" borderId="0" xfId="0" applyFont="1" applyFill="1" applyAlignment="1" applyProtection="1">
      <alignment horizontal="center"/>
      <protection locked="0"/>
    </xf>
    <xf numFmtId="164" fontId="14" fillId="0" borderId="72" xfId="0" applyFont="1" applyBorder="1" applyAlignment="1" applyProtection="1">
      <alignment horizontal="center" vertical="top"/>
      <protection locked="0"/>
    </xf>
    <xf numFmtId="49" fontId="14" fillId="32" borderId="0" xfId="0" applyNumberFormat="1" applyFont="1" applyFill="1" applyAlignment="1" applyProtection="1">
      <alignment horizontal="center"/>
      <protection locked="0"/>
    </xf>
    <xf numFmtId="0" fontId="16" fillId="29" borderId="0" xfId="0" applyNumberFormat="1" applyFont="1" applyFill="1" applyProtection="1">
      <protection locked="0"/>
    </xf>
    <xf numFmtId="164" fontId="14" fillId="38" borderId="68" xfId="0" applyFont="1" applyFill="1" applyBorder="1" applyProtection="1">
      <protection locked="0"/>
    </xf>
    <xf numFmtId="164" fontId="14" fillId="38" borderId="72" xfId="0" applyFont="1" applyFill="1" applyBorder="1" applyAlignment="1" applyProtection="1">
      <alignment horizontal="center" vertical="top"/>
      <protection locked="0"/>
    </xf>
    <xf numFmtId="49" fontId="16" fillId="9" borderId="0" xfId="0" applyNumberFormat="1" applyFont="1" applyFill="1" applyAlignment="1" applyProtection="1">
      <alignment horizontal="left"/>
      <protection locked="0"/>
    </xf>
    <xf numFmtId="0" fontId="14" fillId="38" borderId="72" xfId="0" applyNumberFormat="1" applyFont="1" applyFill="1" applyBorder="1" applyProtection="1">
      <protection locked="0"/>
    </xf>
    <xf numFmtId="1" fontId="14" fillId="65" borderId="0" xfId="0" applyNumberFormat="1" applyFont="1" applyFill="1" applyAlignment="1" applyProtection="1">
      <alignment horizontal="center"/>
      <protection locked="0"/>
    </xf>
    <xf numFmtId="1" fontId="46" fillId="8" borderId="0" xfId="0" applyNumberFormat="1" applyFont="1" applyFill="1" applyAlignment="1" applyProtection="1">
      <alignment horizontal="center"/>
      <protection locked="0"/>
    </xf>
    <xf numFmtId="49" fontId="46" fillId="8" borderId="0" xfId="0" applyNumberFormat="1" applyFont="1" applyFill="1" applyAlignment="1" applyProtection="1">
      <alignment horizontal="center"/>
      <protection locked="0"/>
    </xf>
    <xf numFmtId="164" fontId="55" fillId="8" borderId="0" xfId="0" applyFont="1" applyFill="1" applyAlignment="1" applyProtection="1">
      <alignment horizontal="center"/>
      <protection locked="0"/>
    </xf>
    <xf numFmtId="1" fontId="55" fillId="8" borderId="0" xfId="0" applyNumberFormat="1" applyFont="1" applyFill="1" applyAlignment="1" applyProtection="1">
      <alignment horizontal="center"/>
      <protection locked="0"/>
    </xf>
    <xf numFmtId="49" fontId="16" fillId="65" borderId="0" xfId="0" applyNumberFormat="1" applyFont="1" applyFill="1" applyAlignment="1" applyProtection="1">
      <alignment horizontal="left"/>
      <protection locked="0"/>
    </xf>
    <xf numFmtId="49" fontId="45" fillId="8" borderId="0" xfId="0" applyNumberFormat="1" applyFont="1" applyFill="1" applyAlignment="1" applyProtection="1">
      <alignment horizontal="left"/>
      <protection locked="0"/>
    </xf>
    <xf numFmtId="49" fontId="44" fillId="66" borderId="0" xfId="0" applyNumberFormat="1" applyFont="1" applyFill="1" applyAlignment="1" applyProtection="1">
      <alignment horizontal="left"/>
      <protection locked="0"/>
    </xf>
    <xf numFmtId="49" fontId="45" fillId="66" borderId="0" xfId="0" applyNumberFormat="1" applyFont="1" applyFill="1" applyAlignment="1" applyProtection="1">
      <alignment horizontal="left"/>
      <protection locked="0"/>
    </xf>
    <xf numFmtId="49" fontId="55" fillId="56" borderId="0" xfId="0" applyNumberFormat="1" applyFont="1" applyFill="1" applyAlignment="1" applyProtection="1">
      <alignment horizontal="left"/>
      <protection locked="0"/>
    </xf>
    <xf numFmtId="49" fontId="16" fillId="40" borderId="0" xfId="0" applyNumberFormat="1" applyFont="1" applyFill="1" applyAlignment="1" applyProtection="1">
      <alignment horizontal="left"/>
      <protection locked="0"/>
    </xf>
    <xf numFmtId="3" fontId="45" fillId="8" borderId="0" xfId="0" applyNumberFormat="1" applyFont="1" applyFill="1" applyAlignment="1" applyProtection="1">
      <alignment horizontal="left"/>
      <protection locked="0"/>
    </xf>
    <xf numFmtId="164" fontId="45" fillId="66" borderId="0" xfId="0" applyFont="1" applyFill="1" applyAlignment="1">
      <alignment horizontal="left"/>
    </xf>
    <xf numFmtId="49" fontId="55" fillId="8" borderId="0" xfId="0" applyNumberFormat="1" applyFont="1" applyFill="1" applyAlignment="1" applyProtection="1">
      <alignment horizontal="left"/>
      <protection locked="0"/>
    </xf>
    <xf numFmtId="164" fontId="46" fillId="64" borderId="99" xfId="0" applyFont="1" applyFill="1" applyBorder="1" applyAlignment="1" applyProtection="1">
      <alignment horizontal="center"/>
      <protection locked="0"/>
    </xf>
    <xf numFmtId="164" fontId="46" fillId="64" borderId="0" xfId="0" applyFont="1" applyFill="1" applyAlignment="1" applyProtection="1">
      <alignment horizontal="left"/>
      <protection locked="0"/>
    </xf>
    <xf numFmtId="164" fontId="45" fillId="64" borderId="0" xfId="0" applyFont="1" applyFill="1" applyAlignment="1" applyProtection="1">
      <alignment horizontal="left"/>
      <protection locked="0"/>
    </xf>
    <xf numFmtId="164" fontId="46" fillId="64" borderId="0" xfId="0" applyFont="1" applyFill="1" applyAlignment="1" applyProtection="1">
      <alignment horizontal="center"/>
      <protection locked="0"/>
    </xf>
    <xf numFmtId="164" fontId="44" fillId="64" borderId="0" xfId="0" applyFont="1" applyFill="1" applyAlignment="1" applyProtection="1">
      <alignment horizontal="left"/>
      <protection locked="0"/>
    </xf>
    <xf numFmtId="49" fontId="45" fillId="12" borderId="0" xfId="0" applyNumberFormat="1" applyFont="1" applyFill="1" applyAlignment="1" applyProtection="1">
      <alignment horizontal="left"/>
      <protection locked="0"/>
    </xf>
    <xf numFmtId="164" fontId="46" fillId="67" borderId="0" xfId="0" applyFont="1" applyFill="1" applyAlignment="1">
      <alignment horizontal="center"/>
    </xf>
    <xf numFmtId="164" fontId="46" fillId="67" borderId="0" xfId="0" applyFont="1" applyFill="1" applyAlignment="1">
      <alignment horizontal="left"/>
    </xf>
    <xf numFmtId="164" fontId="45" fillId="67" borderId="0" xfId="0" applyFont="1" applyFill="1" applyAlignment="1">
      <alignment horizontal="left"/>
    </xf>
    <xf numFmtId="164" fontId="46" fillId="67" borderId="0" xfId="0" applyFont="1" applyFill="1" applyAlignment="1" applyProtection="1">
      <alignment horizontal="center"/>
      <protection locked="0"/>
    </xf>
    <xf numFmtId="164" fontId="44" fillId="67" borderId="0" xfId="0" applyFont="1" applyFill="1" applyAlignment="1">
      <alignment horizontal="left"/>
    </xf>
    <xf numFmtId="164" fontId="55" fillId="67" borderId="0" xfId="0" applyFont="1" applyFill="1" applyAlignment="1">
      <alignment horizontal="left"/>
    </xf>
    <xf numFmtId="164" fontId="55" fillId="60" borderId="0" xfId="0" applyFont="1" applyFill="1" applyAlignment="1" applyProtection="1">
      <alignment horizontal="left"/>
      <protection locked="0"/>
    </xf>
    <xf numFmtId="164" fontId="55" fillId="67" borderId="0" xfId="0" applyFont="1" applyFill="1" applyAlignment="1">
      <alignment horizontal="center"/>
    </xf>
    <xf numFmtId="164" fontId="55" fillId="67" borderId="0" xfId="0" applyFont="1" applyFill="1" applyAlignment="1" applyProtection="1">
      <alignment horizontal="center"/>
      <protection locked="0"/>
    </xf>
    <xf numFmtId="164" fontId="46" fillId="68" borderId="0" xfId="0" applyFont="1" applyFill="1" applyAlignment="1">
      <alignment horizontal="center"/>
    </xf>
    <xf numFmtId="164" fontId="46" fillId="68" borderId="0" xfId="0" applyFont="1" applyFill="1" applyAlignment="1" applyProtection="1">
      <alignment horizontal="center"/>
      <protection locked="0"/>
    </xf>
    <xf numFmtId="49" fontId="45" fillId="13" borderId="0" xfId="0" applyNumberFormat="1" applyFont="1" applyFill="1" applyAlignment="1" applyProtection="1">
      <alignment horizontal="left"/>
      <protection locked="0"/>
    </xf>
    <xf numFmtId="164" fontId="46" fillId="69" borderId="0" xfId="0" applyFont="1" applyFill="1" applyAlignment="1">
      <alignment horizontal="center"/>
    </xf>
    <xf numFmtId="49" fontId="45" fillId="69" borderId="0" xfId="0" applyNumberFormat="1" applyFont="1" applyFill="1" applyAlignment="1" applyProtection="1">
      <alignment horizontal="left"/>
      <protection locked="0"/>
    </xf>
    <xf numFmtId="49" fontId="44" fillId="69" borderId="0" xfId="0" applyNumberFormat="1" applyFont="1" applyFill="1" applyAlignment="1" applyProtection="1">
      <alignment horizontal="left"/>
      <protection locked="0"/>
    </xf>
    <xf numFmtId="1" fontId="14" fillId="69" borderId="0" xfId="0" applyNumberFormat="1" applyFont="1" applyFill="1" applyAlignment="1" applyProtection="1">
      <alignment horizontal="center"/>
      <protection locked="0"/>
    </xf>
    <xf numFmtId="49" fontId="16" fillId="69" borderId="0" xfId="0" applyNumberFormat="1" applyFont="1" applyFill="1" applyAlignment="1" applyProtection="1">
      <alignment horizontal="left"/>
      <protection locked="0"/>
    </xf>
    <xf numFmtId="164" fontId="14" fillId="69" borderId="0" xfId="0" applyFont="1" applyFill="1" applyAlignment="1" applyProtection="1">
      <alignment horizontal="center"/>
      <protection locked="0"/>
    </xf>
    <xf numFmtId="164" fontId="46" fillId="66" borderId="0" xfId="0" applyFont="1" applyFill="1" applyAlignment="1">
      <alignment horizontal="center"/>
    </xf>
    <xf numFmtId="164" fontId="46" fillId="66" borderId="0" xfId="0" applyFont="1" applyFill="1" applyAlignment="1" applyProtection="1">
      <alignment horizontal="center"/>
      <protection locked="0"/>
    </xf>
    <xf numFmtId="164" fontId="46" fillId="66" borderId="0" xfId="0" applyFont="1" applyFill="1" applyAlignment="1">
      <alignment horizontal="left"/>
    </xf>
    <xf numFmtId="164" fontId="45" fillId="70" borderId="0" xfId="0" applyFont="1" applyFill="1" applyAlignment="1">
      <alignment horizontal="left"/>
    </xf>
    <xf numFmtId="164" fontId="46" fillId="70" borderId="0" xfId="0" applyFont="1" applyFill="1" applyAlignment="1">
      <alignment horizontal="center"/>
    </xf>
    <xf numFmtId="164" fontId="46" fillId="70" borderId="0" xfId="0" applyFont="1" applyFill="1" applyAlignment="1" applyProtection="1">
      <alignment horizontal="center"/>
      <protection locked="0"/>
    </xf>
    <xf numFmtId="164" fontId="44" fillId="70" borderId="0" xfId="0" applyFont="1" applyFill="1" applyAlignment="1">
      <alignment horizontal="left"/>
    </xf>
    <xf numFmtId="49" fontId="16" fillId="16" borderId="0" xfId="0" applyNumberFormat="1" applyFont="1" applyFill="1" applyAlignment="1" applyProtection="1">
      <alignment horizontal="left"/>
      <protection locked="0"/>
    </xf>
    <xf numFmtId="164" fontId="16" fillId="67" borderId="0" xfId="0" applyFont="1" applyFill="1" applyAlignment="1" applyProtection="1">
      <alignment horizontal="center"/>
      <protection locked="0"/>
    </xf>
    <xf numFmtId="164" fontId="45" fillId="71" borderId="0" xfId="0" applyFont="1" applyFill="1" applyAlignment="1">
      <alignment horizontal="left"/>
    </xf>
    <xf numFmtId="164" fontId="46" fillId="71" borderId="0" xfId="0" applyFont="1" applyFill="1" applyAlignment="1">
      <alignment horizontal="center"/>
    </xf>
    <xf numFmtId="164" fontId="46" fillId="71" borderId="0" xfId="0" applyFont="1" applyFill="1" applyAlignment="1" applyProtection="1">
      <alignment horizontal="center"/>
      <protection locked="0"/>
    </xf>
    <xf numFmtId="164" fontId="56" fillId="71" borderId="0" xfId="0" applyFont="1" applyFill="1" applyAlignment="1">
      <alignment horizontal="left"/>
    </xf>
    <xf numFmtId="49" fontId="45" fillId="72" borderId="0" xfId="0" applyNumberFormat="1" applyFont="1" applyFill="1" applyAlignment="1" applyProtection="1">
      <alignment horizontal="left"/>
      <protection locked="0"/>
    </xf>
    <xf numFmtId="1" fontId="46" fillId="72" borderId="0" xfId="0" applyNumberFormat="1" applyFont="1" applyFill="1" applyAlignment="1" applyProtection="1">
      <alignment horizontal="center"/>
      <protection locked="0"/>
    </xf>
    <xf numFmtId="1" fontId="46" fillId="68" borderId="0" xfId="0" applyNumberFormat="1" applyFont="1" applyFill="1" applyAlignment="1" applyProtection="1">
      <alignment horizontal="center"/>
      <protection locked="0"/>
    </xf>
    <xf numFmtId="49" fontId="44" fillId="72" borderId="0" xfId="0" applyNumberFormat="1" applyFont="1" applyFill="1" applyAlignment="1" applyProtection="1">
      <alignment horizontal="left"/>
      <protection locked="0"/>
    </xf>
    <xf numFmtId="1" fontId="44" fillId="68" borderId="0" xfId="0" applyNumberFormat="1" applyFont="1" applyFill="1" applyAlignment="1" applyProtection="1">
      <alignment horizontal="center"/>
      <protection locked="0"/>
    </xf>
    <xf numFmtId="164" fontId="45" fillId="73" borderId="0" xfId="0" applyFont="1" applyFill="1" applyAlignment="1">
      <alignment horizontal="left"/>
    </xf>
    <xf numFmtId="164" fontId="46" fillId="73" borderId="0" xfId="0" applyFont="1" applyFill="1" applyAlignment="1">
      <alignment horizontal="center"/>
    </xf>
    <xf numFmtId="164" fontId="46" fillId="73" borderId="0" xfId="0" applyFont="1" applyFill="1" applyAlignment="1" applyProtection="1">
      <alignment horizontal="center"/>
      <protection locked="0"/>
    </xf>
    <xf numFmtId="164" fontId="44" fillId="73" borderId="0" xfId="0" applyFont="1" applyFill="1" applyAlignment="1">
      <alignment horizontal="left"/>
    </xf>
    <xf numFmtId="49" fontId="55" fillId="10" borderId="0" xfId="0" applyNumberFormat="1" applyFont="1" applyFill="1" applyAlignment="1" applyProtection="1">
      <alignment horizontal="left"/>
      <protection locked="0"/>
    </xf>
    <xf numFmtId="164" fontId="55" fillId="73" borderId="0" xfId="0" applyFont="1" applyFill="1" applyAlignment="1">
      <alignment horizontal="center"/>
    </xf>
    <xf numFmtId="164" fontId="55" fillId="73" borderId="0" xfId="0" applyFont="1" applyFill="1" applyAlignment="1" applyProtection="1">
      <alignment horizontal="center"/>
      <protection locked="0"/>
    </xf>
    <xf numFmtId="164" fontId="55" fillId="50" borderId="0" xfId="0" applyFont="1" applyFill="1" applyAlignment="1">
      <alignment horizontal="left"/>
    </xf>
    <xf numFmtId="164" fontId="46" fillId="64" borderId="0" xfId="0" applyFont="1" applyFill="1" applyAlignment="1">
      <alignment horizontal="center"/>
    </xf>
    <xf numFmtId="164" fontId="45" fillId="64" borderId="0" xfId="0" applyFont="1" applyFill="1" applyAlignment="1">
      <alignment horizontal="left"/>
    </xf>
    <xf numFmtId="164" fontId="44" fillId="64" borderId="0" xfId="0" applyFont="1" applyFill="1" applyAlignment="1">
      <alignment horizontal="left"/>
    </xf>
    <xf numFmtId="164" fontId="46" fillId="64" borderId="0" xfId="0" applyFont="1" applyFill="1" applyAlignment="1">
      <alignment horizontal="left"/>
    </xf>
    <xf numFmtId="164" fontId="56" fillId="70" borderId="0" xfId="0" applyFont="1" applyFill="1" applyAlignment="1">
      <alignment horizontal="left"/>
    </xf>
    <xf numFmtId="164" fontId="57" fillId="70" borderId="0" xfId="0" applyFont="1" applyFill="1" applyAlignment="1">
      <alignment horizontal="left"/>
    </xf>
    <xf numFmtId="164" fontId="66" fillId="58" borderId="0" xfId="0" applyFont="1" applyFill="1" applyAlignment="1" applyProtection="1">
      <alignment horizontal="left"/>
      <protection locked="0"/>
    </xf>
    <xf numFmtId="164" fontId="64" fillId="58" borderId="0" xfId="0" applyFont="1" applyFill="1" applyAlignment="1" applyProtection="1">
      <alignment horizontal="left"/>
      <protection locked="0"/>
    </xf>
    <xf numFmtId="164" fontId="55" fillId="70" borderId="0" xfId="0" applyFont="1" applyFill="1" applyAlignment="1">
      <alignment horizontal="center"/>
    </xf>
    <xf numFmtId="164" fontId="55" fillId="70" borderId="0" xfId="0" applyFont="1" applyFill="1" applyAlignment="1" applyProtection="1">
      <alignment horizontal="center"/>
      <protection locked="0"/>
    </xf>
    <xf numFmtId="164" fontId="56" fillId="67" borderId="0" xfId="0" applyFont="1" applyFill="1" applyAlignment="1">
      <alignment horizontal="left"/>
    </xf>
    <xf numFmtId="164" fontId="57" fillId="67" borderId="0" xfId="0" applyFont="1" applyFill="1" applyAlignment="1">
      <alignment horizontal="left"/>
    </xf>
    <xf numFmtId="164" fontId="56" fillId="67" borderId="0" xfId="0" applyFont="1" applyFill="1" applyAlignment="1" applyProtection="1">
      <alignment horizontal="left"/>
      <protection locked="0"/>
    </xf>
    <xf numFmtId="1" fontId="14" fillId="67" borderId="0" xfId="0" applyNumberFormat="1" applyFont="1" applyFill="1" applyAlignment="1" applyProtection="1">
      <alignment horizontal="center"/>
      <protection locked="0"/>
    </xf>
    <xf numFmtId="164" fontId="66" fillId="59" borderId="0" xfId="0" applyFont="1" applyFill="1" applyAlignment="1" applyProtection="1">
      <alignment horizontal="left"/>
      <protection locked="0"/>
    </xf>
    <xf numFmtId="164" fontId="68" fillId="67" borderId="0" xfId="0" applyFont="1" applyFill="1" applyAlignment="1">
      <alignment horizontal="left"/>
    </xf>
    <xf numFmtId="164" fontId="14" fillId="71" borderId="0" xfId="0" applyFont="1" applyFill="1" applyAlignment="1" applyProtection="1">
      <alignment horizontal="center"/>
      <protection locked="0"/>
    </xf>
    <xf numFmtId="164" fontId="63" fillId="71" borderId="0" xfId="0" applyFont="1" applyFill="1" applyAlignment="1">
      <alignment horizontal="left"/>
    </xf>
    <xf numFmtId="164" fontId="16" fillId="71" borderId="0" xfId="0" applyFont="1" applyFill="1" applyAlignment="1">
      <alignment horizontal="left"/>
    </xf>
    <xf numFmtId="164" fontId="46" fillId="74" borderId="0" xfId="0" applyFont="1" applyFill="1" applyAlignment="1">
      <alignment horizontal="center"/>
    </xf>
    <xf numFmtId="164" fontId="57" fillId="71" borderId="0" xfId="0" applyFont="1" applyFill="1" applyAlignment="1">
      <alignment horizontal="left"/>
    </xf>
    <xf numFmtId="164" fontId="69" fillId="71" borderId="0" xfId="0" applyFont="1" applyFill="1" applyAlignment="1" applyProtection="1">
      <alignment horizontal="left"/>
      <protection locked="0"/>
    </xf>
    <xf numFmtId="1" fontId="14" fillId="71" borderId="0" xfId="0" applyNumberFormat="1" applyFont="1" applyFill="1" applyAlignment="1" applyProtection="1">
      <alignment horizontal="center"/>
      <protection locked="0"/>
    </xf>
    <xf numFmtId="164" fontId="44" fillId="71" borderId="0" xfId="0" applyFont="1" applyFill="1" applyAlignment="1">
      <alignment horizontal="center"/>
    </xf>
    <xf numFmtId="164" fontId="45" fillId="71" borderId="0" xfId="0" applyFont="1" applyFill="1" applyAlignment="1">
      <alignment horizontal="center"/>
    </xf>
    <xf numFmtId="164" fontId="57" fillId="68" borderId="0" xfId="0" applyFont="1" applyFill="1" applyAlignment="1">
      <alignment horizontal="left"/>
    </xf>
    <xf numFmtId="164" fontId="14" fillId="68" borderId="0" xfId="0" applyFont="1" applyFill="1" applyAlignment="1" applyProtection="1">
      <alignment horizontal="center"/>
      <protection locked="0"/>
    </xf>
    <xf numFmtId="164" fontId="45" fillId="68" borderId="0" xfId="0" applyFont="1" applyFill="1" applyAlignment="1">
      <alignment horizontal="left"/>
    </xf>
    <xf numFmtId="164" fontId="44" fillId="68" borderId="0" xfId="0" applyFont="1" applyFill="1" applyAlignment="1">
      <alignment horizontal="left"/>
    </xf>
    <xf numFmtId="164" fontId="66" fillId="37" borderId="0" xfId="0" applyFont="1" applyFill="1" applyAlignment="1" applyProtection="1">
      <alignment horizontal="left"/>
      <protection locked="0"/>
    </xf>
    <xf numFmtId="164" fontId="56" fillId="68" borderId="0" xfId="0" applyFont="1" applyFill="1" applyAlignment="1" applyProtection="1">
      <alignment horizontal="left"/>
      <protection locked="0"/>
    </xf>
    <xf numFmtId="1" fontId="14" fillId="68" borderId="0" xfId="0" applyNumberFormat="1" applyFont="1" applyFill="1" applyAlignment="1" applyProtection="1">
      <alignment horizontal="center"/>
      <protection locked="0"/>
    </xf>
    <xf numFmtId="164" fontId="64" fillId="37" borderId="0" xfId="0" applyFont="1" applyFill="1" applyAlignment="1" applyProtection="1">
      <alignment horizontal="left"/>
      <protection locked="0"/>
    </xf>
    <xf numFmtId="164" fontId="55" fillId="68" borderId="0" xfId="0" applyFont="1" applyFill="1" applyAlignment="1">
      <alignment horizontal="center"/>
    </xf>
    <xf numFmtId="164" fontId="55" fillId="68" borderId="0" xfId="0" applyFont="1" applyFill="1" applyAlignment="1" applyProtection="1">
      <alignment horizontal="center"/>
      <protection locked="0"/>
    </xf>
    <xf numFmtId="164" fontId="56" fillId="68" borderId="0" xfId="0" applyFont="1" applyFill="1" applyAlignment="1">
      <alignment horizontal="left"/>
    </xf>
    <xf numFmtId="164" fontId="56" fillId="73" borderId="0" xfId="0" applyFont="1" applyFill="1" applyAlignment="1">
      <alignment horizontal="left"/>
    </xf>
    <xf numFmtId="164" fontId="57" fillId="73" borderId="0" xfId="0" applyFont="1" applyFill="1" applyAlignment="1">
      <alignment horizontal="left"/>
    </xf>
    <xf numFmtId="164" fontId="45" fillId="73" borderId="0" xfId="0" applyFont="1" applyFill="1" applyAlignment="1" applyProtection="1">
      <alignment horizontal="center"/>
      <protection locked="0"/>
    </xf>
    <xf numFmtId="164" fontId="70" fillId="73" borderId="0" xfId="0" applyFont="1" applyFill="1" applyAlignment="1">
      <alignment horizontal="left"/>
    </xf>
    <xf numFmtId="164" fontId="46" fillId="69" borderId="0" xfId="0" applyFont="1" applyFill="1" applyAlignment="1">
      <alignment horizontal="left"/>
    </xf>
    <xf numFmtId="164" fontId="46" fillId="69" borderId="0" xfId="0" applyFont="1" applyFill="1" applyAlignment="1" applyProtection="1">
      <alignment horizontal="center"/>
      <protection locked="0"/>
    </xf>
    <xf numFmtId="164" fontId="44" fillId="69" borderId="0" xfId="0" applyFont="1" applyFill="1" applyAlignment="1">
      <alignment horizontal="center"/>
    </xf>
    <xf numFmtId="1" fontId="14" fillId="50" borderId="0" xfId="0" applyNumberFormat="1" applyFont="1" applyFill="1" applyAlignment="1">
      <alignment horizontal="center"/>
    </xf>
    <xf numFmtId="1" fontId="14" fillId="50" borderId="0" xfId="0" applyNumberFormat="1" applyFont="1" applyFill="1" applyAlignment="1" applyProtection="1">
      <alignment horizontal="center"/>
      <protection locked="0"/>
    </xf>
    <xf numFmtId="1" fontId="55" fillId="50" borderId="0" xfId="0" applyNumberFormat="1" applyFont="1" applyFill="1" applyAlignment="1">
      <alignment horizontal="center"/>
    </xf>
    <xf numFmtId="1" fontId="55" fillId="50" borderId="0" xfId="0" applyNumberFormat="1" applyFont="1" applyFill="1" applyAlignment="1" applyProtection="1">
      <alignment horizontal="center"/>
      <protection locked="0"/>
    </xf>
    <xf numFmtId="1" fontId="14" fillId="0" borderId="0" xfId="0" applyNumberFormat="1" applyFont="1" applyAlignment="1">
      <alignment horizontal="left"/>
    </xf>
    <xf numFmtId="2" fontId="14" fillId="0" borderId="0" xfId="0" applyNumberFormat="1" applyFont="1" applyAlignment="1">
      <alignment horizontal="center"/>
    </xf>
    <xf numFmtId="49" fontId="55" fillId="12" borderId="0" xfId="0" applyNumberFormat="1" applyFont="1" applyFill="1" applyAlignment="1" applyProtection="1">
      <alignment horizontal="left"/>
      <protection locked="0"/>
    </xf>
    <xf numFmtId="164" fontId="55" fillId="42" borderId="0" xfId="0" applyFont="1" applyFill="1" applyAlignment="1">
      <alignment horizontal="left"/>
    </xf>
    <xf numFmtId="164" fontId="55" fillId="42" borderId="0" xfId="0" applyFont="1" applyFill="1" applyAlignment="1">
      <alignment horizontal="center"/>
    </xf>
    <xf numFmtId="164" fontId="71" fillId="75" borderId="59" xfId="0" applyFont="1" applyFill="1" applyBorder="1" applyAlignment="1">
      <alignment horizontal="center"/>
    </xf>
    <xf numFmtId="164" fontId="71" fillId="75" borderId="59" xfId="0" applyFont="1" applyFill="1" applyBorder="1" applyAlignment="1">
      <alignment horizontal="left" wrapText="1"/>
    </xf>
    <xf numFmtId="164" fontId="71" fillId="75" borderId="68" xfId="0" applyFont="1" applyFill="1" applyBorder="1" applyAlignment="1">
      <alignment horizontal="center"/>
    </xf>
    <xf numFmtId="37" fontId="16" fillId="0" borderId="0" xfId="0" applyNumberFormat="1" applyFont="1"/>
    <xf numFmtId="1" fontId="14" fillId="0" borderId="0" xfId="0" applyNumberFormat="1" applyFont="1"/>
    <xf numFmtId="49" fontId="44" fillId="32" borderId="0" xfId="0" applyNumberFormat="1" applyFont="1" applyFill="1" applyAlignment="1" applyProtection="1">
      <alignment horizontal="left"/>
      <protection locked="0"/>
    </xf>
    <xf numFmtId="1" fontId="16" fillId="0" borderId="0" xfId="0" applyNumberFormat="1" applyFont="1"/>
    <xf numFmtId="49" fontId="14" fillId="0" borderId="0" xfId="0" applyNumberFormat="1" applyFont="1"/>
    <xf numFmtId="2" fontId="14" fillId="0" borderId="0" xfId="0" applyNumberFormat="1" applyFont="1" applyAlignment="1">
      <alignment horizontal="left"/>
    </xf>
    <xf numFmtId="164" fontId="14" fillId="0" borderId="10" xfId="0" applyFont="1" applyBorder="1"/>
    <xf numFmtId="37" fontId="14" fillId="0" borderId="9" xfId="0" applyNumberFormat="1" applyFont="1" applyBorder="1"/>
    <xf numFmtId="0" fontId="15" fillId="0" borderId="0" xfId="50243" applyFont="1" applyAlignment="1">
      <alignment horizontal="center"/>
    </xf>
    <xf numFmtId="164" fontId="13" fillId="0" borderId="0" xfId="0" applyFont="1" applyAlignment="1">
      <alignment vertical="top" wrapText="1"/>
    </xf>
    <xf numFmtId="0" fontId="50" fillId="0" borderId="0" xfId="50243" applyFont="1" applyAlignment="1">
      <alignment horizontal="center"/>
    </xf>
    <xf numFmtId="0" fontId="13" fillId="0" borderId="0" xfId="1" applyNumberFormat="1" applyFont="1" applyFill="1" applyAlignment="1">
      <alignment vertical="top" wrapText="1"/>
    </xf>
    <xf numFmtId="49" fontId="16" fillId="3" borderId="48" xfId="0" applyNumberFormat="1" applyFont="1" applyFill="1" applyBorder="1" applyAlignment="1">
      <alignment horizontal="left"/>
    </xf>
    <xf numFmtId="49" fontId="16" fillId="3" borderId="0" xfId="0" applyNumberFormat="1" applyFont="1" applyFill="1" applyAlignment="1">
      <alignment horizontal="left"/>
    </xf>
    <xf numFmtId="164" fontId="0" fillId="5" borderId="81" xfId="0" applyNumberFormat="1" applyFill="1" applyBorder="1"/>
    <xf numFmtId="164" fontId="0" fillId="0" borderId="81" xfId="0" applyNumberFormat="1" applyBorder="1"/>
    <xf numFmtId="164" fontId="0" fillId="5" borderId="92" xfId="0" applyNumberFormat="1" applyFill="1" applyBorder="1"/>
    <xf numFmtId="164" fontId="0" fillId="0" borderId="93" xfId="0" applyNumberFormat="1" applyBorder="1"/>
    <xf numFmtId="164" fontId="0" fillId="5" borderId="86" xfId="0" applyNumberFormat="1" applyFill="1" applyBorder="1"/>
    <xf numFmtId="164" fontId="0" fillId="0" borderId="87" xfId="0" applyNumberFormat="1" applyBorder="1"/>
    <xf numFmtId="164" fontId="0" fillId="5" borderId="94" xfId="0" applyNumberFormat="1" applyFill="1" applyBorder="1"/>
    <xf numFmtId="164" fontId="0" fillId="5" borderId="93" xfId="0" applyNumberFormat="1" applyFill="1" applyBorder="1"/>
    <xf numFmtId="164" fontId="0" fillId="5" borderId="87" xfId="0" applyNumberFormat="1" applyFill="1" applyBorder="1"/>
  </cellXfs>
  <cellStyles count="50251">
    <cellStyle name="20% - Accent1 2" xfId="3784" xr:uid="{00000000-0005-0000-0000-000000000000}"/>
    <cellStyle name="20% - Accent2 2" xfId="3785" xr:uid="{00000000-0005-0000-0000-000001000000}"/>
    <cellStyle name="20% - Accent3 2" xfId="3786" xr:uid="{00000000-0005-0000-0000-000002000000}"/>
    <cellStyle name="20% - Accent4 2" xfId="3787" xr:uid="{00000000-0005-0000-0000-000003000000}"/>
    <cellStyle name="20% - Accent5 2" xfId="3788" xr:uid="{00000000-0005-0000-0000-000004000000}"/>
    <cellStyle name="20% - Accent6 2" xfId="3789" xr:uid="{00000000-0005-0000-0000-000005000000}"/>
    <cellStyle name="40% - Accent1 2" xfId="3790" xr:uid="{00000000-0005-0000-0000-000006000000}"/>
    <cellStyle name="40% - Accent2 2" xfId="3791" xr:uid="{00000000-0005-0000-0000-000007000000}"/>
    <cellStyle name="40% - Accent3 2" xfId="3792" xr:uid="{00000000-0005-0000-0000-000008000000}"/>
    <cellStyle name="40% - Accent4 2" xfId="3793" xr:uid="{00000000-0005-0000-0000-000009000000}"/>
    <cellStyle name="40% - Accent5 2" xfId="3794" xr:uid="{00000000-0005-0000-0000-00000A000000}"/>
    <cellStyle name="40% - Accent6 2" xfId="3795" xr:uid="{00000000-0005-0000-0000-00000B000000}"/>
    <cellStyle name="60% - Accent1 2" xfId="3796" xr:uid="{00000000-0005-0000-0000-00000C000000}"/>
    <cellStyle name="60% - Accent2 2" xfId="3797" xr:uid="{00000000-0005-0000-0000-00000D000000}"/>
    <cellStyle name="60% - Accent3 2" xfId="3798" xr:uid="{00000000-0005-0000-0000-00000E000000}"/>
    <cellStyle name="60% - Accent4 2" xfId="3799" xr:uid="{00000000-0005-0000-0000-00000F000000}"/>
    <cellStyle name="60% - Accent5 2" xfId="3800" xr:uid="{00000000-0005-0000-0000-000010000000}"/>
    <cellStyle name="60% - Accent6 2" xfId="3801" xr:uid="{00000000-0005-0000-0000-000011000000}"/>
    <cellStyle name="Accent1 2" xfId="3802" xr:uid="{00000000-0005-0000-0000-000012000000}"/>
    <cellStyle name="Accent2 2" xfId="3803" xr:uid="{00000000-0005-0000-0000-000013000000}"/>
    <cellStyle name="Accent3 2" xfId="3804" xr:uid="{00000000-0005-0000-0000-000014000000}"/>
    <cellStyle name="Accent4 2" xfId="3805" xr:uid="{00000000-0005-0000-0000-000015000000}"/>
    <cellStyle name="Accent5 2" xfId="3806" xr:uid="{00000000-0005-0000-0000-000016000000}"/>
    <cellStyle name="Accent6 2" xfId="3807" xr:uid="{00000000-0005-0000-0000-000017000000}"/>
    <cellStyle name="Bad 2" xfId="3808" xr:uid="{00000000-0005-0000-0000-000018000000}"/>
    <cellStyle name="CalcNumNew" xfId="50250" xr:uid="{F2106E89-6CAC-4FBC-A0DA-384BF7764A83}"/>
    <cellStyle name="CalcNumOld" xfId="50249" xr:uid="{B58188B4-4A9E-4A33-98E8-281E0E22CFD5}"/>
    <cellStyle name="CalcPctNew" xfId="50248" xr:uid="{48D70A2E-9979-46C0-937D-2AF493CAE207}"/>
    <cellStyle name="CalcPctOld" xfId="50247" xr:uid="{ECCD27AA-D542-47C5-BCFC-3D0AC8B36162}"/>
    <cellStyle name="Calculation 2" xfId="3809" xr:uid="{00000000-0005-0000-0000-000019000000}"/>
    <cellStyle name="Calculation 3" xfId="3833" xr:uid="{00000000-0005-0000-0000-00001A000000}"/>
    <cellStyle name="Check Cell 2" xfId="3810" xr:uid="{00000000-0005-0000-0000-00001B000000}"/>
    <cellStyle name="Comma 2" xfId="1" xr:uid="{00000000-0005-0000-0000-00001C000000}"/>
    <cellStyle name="Comma 2 2" xfId="113" xr:uid="{00000000-0005-0000-0000-00001D000000}"/>
    <cellStyle name="Comma 2 3" xfId="90" xr:uid="{00000000-0005-0000-0000-00001E000000}"/>
    <cellStyle name="Comma 2 4" xfId="3811" xr:uid="{00000000-0005-0000-0000-00001F000000}"/>
    <cellStyle name="Comma 3" xfId="6" xr:uid="{00000000-0005-0000-0000-000020000000}"/>
    <cellStyle name="Comma 3 2" xfId="9" xr:uid="{00000000-0005-0000-0000-000021000000}"/>
    <cellStyle name="Comma 3 3" xfId="75" xr:uid="{00000000-0005-0000-0000-000022000000}"/>
    <cellStyle name="Comma 4" xfId="64" xr:uid="{00000000-0005-0000-0000-000023000000}"/>
    <cellStyle name="Comma 5" xfId="76" xr:uid="{00000000-0005-0000-0000-000024000000}"/>
    <cellStyle name="Comma 5 10" xfId="199" xr:uid="{00000000-0005-0000-0000-000025000000}"/>
    <cellStyle name="Comma 5 10 10" xfId="13029" xr:uid="{00000000-0005-0000-0000-000026000000}"/>
    <cellStyle name="Comma 5 10 10 2" xfId="37903" xr:uid="{00000000-0005-0000-0000-000027000000}"/>
    <cellStyle name="Comma 5 10 11" xfId="25462" xr:uid="{00000000-0005-0000-0000-000028000000}"/>
    <cellStyle name="Comma 5 10 2" xfId="566" xr:uid="{00000000-0005-0000-0000-000029000000}"/>
    <cellStyle name="Comma 5 10 2 2" xfId="1277" xr:uid="{00000000-0005-0000-0000-00002A000000}"/>
    <cellStyle name="Comma 5 10 2 2 2" xfId="9381" xr:uid="{00000000-0005-0000-0000-00002B000000}"/>
    <cellStyle name="Comma 5 10 2 2 2 2" xfId="21824" xr:uid="{00000000-0005-0000-0000-00002C000000}"/>
    <cellStyle name="Comma 5 10 2 2 2 2 2" xfId="46698" xr:uid="{00000000-0005-0000-0000-00002D000000}"/>
    <cellStyle name="Comma 5 10 2 2 2 3" xfId="34265" xr:uid="{00000000-0005-0000-0000-00002E000000}"/>
    <cellStyle name="Comma 5 10 2 2 3" xfId="4363" xr:uid="{00000000-0005-0000-0000-00002F000000}"/>
    <cellStyle name="Comma 5 10 2 2 3 2" xfId="16817" xr:uid="{00000000-0005-0000-0000-000030000000}"/>
    <cellStyle name="Comma 5 10 2 2 3 2 2" xfId="41691" xr:uid="{00000000-0005-0000-0000-000031000000}"/>
    <cellStyle name="Comma 5 10 2 2 3 3" xfId="29258" xr:uid="{00000000-0005-0000-0000-000032000000}"/>
    <cellStyle name="Comma 5 10 2 2 4" xfId="14077" xr:uid="{00000000-0005-0000-0000-000033000000}"/>
    <cellStyle name="Comma 5 10 2 2 4 2" xfId="38951" xr:uid="{00000000-0005-0000-0000-000034000000}"/>
    <cellStyle name="Comma 5 10 2 2 5" xfId="26510" xr:uid="{00000000-0005-0000-0000-000035000000}"/>
    <cellStyle name="Comma 5 10 2 3" xfId="5422" xr:uid="{00000000-0005-0000-0000-000036000000}"/>
    <cellStyle name="Comma 5 10 2 3 2" xfId="10438" xr:uid="{00000000-0005-0000-0000-000037000000}"/>
    <cellStyle name="Comma 5 10 2 3 2 2" xfId="22881" xr:uid="{00000000-0005-0000-0000-000038000000}"/>
    <cellStyle name="Comma 5 10 2 3 2 2 2" xfId="47755" xr:uid="{00000000-0005-0000-0000-000039000000}"/>
    <cellStyle name="Comma 5 10 2 3 2 3" xfId="35322" xr:uid="{00000000-0005-0000-0000-00003A000000}"/>
    <cellStyle name="Comma 5 10 2 3 3" xfId="17874" xr:uid="{00000000-0005-0000-0000-00003B000000}"/>
    <cellStyle name="Comma 5 10 2 3 3 2" xfId="42748" xr:uid="{00000000-0005-0000-0000-00003C000000}"/>
    <cellStyle name="Comma 5 10 2 3 4" xfId="30315" xr:uid="{00000000-0005-0000-0000-00003D000000}"/>
    <cellStyle name="Comma 5 10 2 4" xfId="8497" xr:uid="{00000000-0005-0000-0000-00003E000000}"/>
    <cellStyle name="Comma 5 10 2 4 2" xfId="20941" xr:uid="{00000000-0005-0000-0000-00003F000000}"/>
    <cellStyle name="Comma 5 10 2 4 2 2" xfId="45815" xr:uid="{00000000-0005-0000-0000-000040000000}"/>
    <cellStyle name="Comma 5 10 2 4 3" xfId="33382" xr:uid="{00000000-0005-0000-0000-000041000000}"/>
    <cellStyle name="Comma 5 10 2 5" xfId="11892" xr:uid="{00000000-0005-0000-0000-000042000000}"/>
    <cellStyle name="Comma 5 10 2 5 2" xfId="24326" xr:uid="{00000000-0005-0000-0000-000043000000}"/>
    <cellStyle name="Comma 5 10 2 5 2 2" xfId="49200" xr:uid="{00000000-0005-0000-0000-000044000000}"/>
    <cellStyle name="Comma 5 10 2 5 3" xfId="36767" xr:uid="{00000000-0005-0000-0000-000045000000}"/>
    <cellStyle name="Comma 5 10 2 6" xfId="6974" xr:uid="{00000000-0005-0000-0000-000046000000}"/>
    <cellStyle name="Comma 5 10 2 6 2" xfId="19423" xr:uid="{00000000-0005-0000-0000-000047000000}"/>
    <cellStyle name="Comma 5 10 2 6 2 2" xfId="44297" xr:uid="{00000000-0005-0000-0000-000048000000}"/>
    <cellStyle name="Comma 5 10 2 6 3" xfId="31864" xr:uid="{00000000-0005-0000-0000-000049000000}"/>
    <cellStyle name="Comma 5 10 2 7" xfId="3428" xr:uid="{00000000-0005-0000-0000-00004A000000}"/>
    <cellStyle name="Comma 5 10 2 7 2" xfId="15934" xr:uid="{00000000-0005-0000-0000-00004B000000}"/>
    <cellStyle name="Comma 5 10 2 7 2 2" xfId="40808" xr:uid="{00000000-0005-0000-0000-00004C000000}"/>
    <cellStyle name="Comma 5 10 2 7 3" xfId="28367" xr:uid="{00000000-0005-0000-0000-00004D000000}"/>
    <cellStyle name="Comma 5 10 2 8" xfId="13376" xr:uid="{00000000-0005-0000-0000-00004E000000}"/>
    <cellStyle name="Comma 5 10 2 8 2" xfId="38250" xr:uid="{00000000-0005-0000-0000-00004F000000}"/>
    <cellStyle name="Comma 5 10 2 9" xfId="25809" xr:uid="{00000000-0005-0000-0000-000050000000}"/>
    <cellStyle name="Comma 5 10 3" xfId="1625" xr:uid="{00000000-0005-0000-0000-000051000000}"/>
    <cellStyle name="Comma 5 10 3 2" xfId="4758" xr:uid="{00000000-0005-0000-0000-000052000000}"/>
    <cellStyle name="Comma 5 10 3 2 2" xfId="9775" xr:uid="{00000000-0005-0000-0000-000053000000}"/>
    <cellStyle name="Comma 5 10 3 2 2 2" xfId="22218" xr:uid="{00000000-0005-0000-0000-000054000000}"/>
    <cellStyle name="Comma 5 10 3 2 2 2 2" xfId="47092" xr:uid="{00000000-0005-0000-0000-000055000000}"/>
    <cellStyle name="Comma 5 10 3 2 2 3" xfId="34659" xr:uid="{00000000-0005-0000-0000-000056000000}"/>
    <cellStyle name="Comma 5 10 3 2 3" xfId="17211" xr:uid="{00000000-0005-0000-0000-000057000000}"/>
    <cellStyle name="Comma 5 10 3 2 3 2" xfId="42085" xr:uid="{00000000-0005-0000-0000-000058000000}"/>
    <cellStyle name="Comma 5 10 3 2 4" xfId="29652" xr:uid="{00000000-0005-0000-0000-000059000000}"/>
    <cellStyle name="Comma 5 10 3 3" xfId="5771" xr:uid="{00000000-0005-0000-0000-00005A000000}"/>
    <cellStyle name="Comma 5 10 3 3 2" xfId="10786" xr:uid="{00000000-0005-0000-0000-00005B000000}"/>
    <cellStyle name="Comma 5 10 3 3 2 2" xfId="23229" xr:uid="{00000000-0005-0000-0000-00005C000000}"/>
    <cellStyle name="Comma 5 10 3 3 2 2 2" xfId="48103" xr:uid="{00000000-0005-0000-0000-00005D000000}"/>
    <cellStyle name="Comma 5 10 3 3 2 3" xfId="35670" xr:uid="{00000000-0005-0000-0000-00005E000000}"/>
    <cellStyle name="Comma 5 10 3 3 3" xfId="18222" xr:uid="{00000000-0005-0000-0000-00005F000000}"/>
    <cellStyle name="Comma 5 10 3 3 3 2" xfId="43096" xr:uid="{00000000-0005-0000-0000-000060000000}"/>
    <cellStyle name="Comma 5 10 3 3 4" xfId="30663" xr:uid="{00000000-0005-0000-0000-000061000000}"/>
    <cellStyle name="Comma 5 10 3 4" xfId="8865" xr:uid="{00000000-0005-0000-0000-000062000000}"/>
    <cellStyle name="Comma 5 10 3 4 2" xfId="21308" xr:uid="{00000000-0005-0000-0000-000063000000}"/>
    <cellStyle name="Comma 5 10 3 4 2 2" xfId="46182" xr:uid="{00000000-0005-0000-0000-000064000000}"/>
    <cellStyle name="Comma 5 10 3 4 3" xfId="33749" xr:uid="{00000000-0005-0000-0000-000065000000}"/>
    <cellStyle name="Comma 5 10 3 5" xfId="12240" xr:uid="{00000000-0005-0000-0000-000066000000}"/>
    <cellStyle name="Comma 5 10 3 5 2" xfId="24674" xr:uid="{00000000-0005-0000-0000-000067000000}"/>
    <cellStyle name="Comma 5 10 3 5 2 2" xfId="49548" xr:uid="{00000000-0005-0000-0000-000068000000}"/>
    <cellStyle name="Comma 5 10 3 5 3" xfId="37115" xr:uid="{00000000-0005-0000-0000-000069000000}"/>
    <cellStyle name="Comma 5 10 3 6" xfId="7369" xr:uid="{00000000-0005-0000-0000-00006A000000}"/>
    <cellStyle name="Comma 5 10 3 6 2" xfId="19817" xr:uid="{00000000-0005-0000-0000-00006B000000}"/>
    <cellStyle name="Comma 5 10 3 6 2 2" xfId="44691" xr:uid="{00000000-0005-0000-0000-00006C000000}"/>
    <cellStyle name="Comma 5 10 3 6 3" xfId="32258" xr:uid="{00000000-0005-0000-0000-00006D000000}"/>
    <cellStyle name="Comma 5 10 3 7" xfId="3847" xr:uid="{00000000-0005-0000-0000-00006E000000}"/>
    <cellStyle name="Comma 5 10 3 7 2" xfId="16301" xr:uid="{00000000-0005-0000-0000-00006F000000}"/>
    <cellStyle name="Comma 5 10 3 7 2 2" xfId="41175" xr:uid="{00000000-0005-0000-0000-000070000000}"/>
    <cellStyle name="Comma 5 10 3 7 3" xfId="28742" xr:uid="{00000000-0005-0000-0000-000071000000}"/>
    <cellStyle name="Comma 5 10 3 8" xfId="14425" xr:uid="{00000000-0005-0000-0000-000072000000}"/>
    <cellStyle name="Comma 5 10 3 8 2" xfId="39299" xr:uid="{00000000-0005-0000-0000-000073000000}"/>
    <cellStyle name="Comma 5 10 3 9" xfId="26858" xr:uid="{00000000-0005-0000-0000-000074000000}"/>
    <cellStyle name="Comma 5 10 4" xfId="2117" xr:uid="{00000000-0005-0000-0000-000075000000}"/>
    <cellStyle name="Comma 5 10 4 2" xfId="6156" xr:uid="{00000000-0005-0000-0000-000076000000}"/>
    <cellStyle name="Comma 5 10 4 2 2" xfId="11171" xr:uid="{00000000-0005-0000-0000-000077000000}"/>
    <cellStyle name="Comma 5 10 4 2 2 2" xfId="23614" xr:uid="{00000000-0005-0000-0000-000078000000}"/>
    <cellStyle name="Comma 5 10 4 2 2 2 2" xfId="48488" xr:uid="{00000000-0005-0000-0000-000079000000}"/>
    <cellStyle name="Comma 5 10 4 2 2 3" xfId="36055" xr:uid="{00000000-0005-0000-0000-00007A000000}"/>
    <cellStyle name="Comma 5 10 4 2 3" xfId="18607" xr:uid="{00000000-0005-0000-0000-00007B000000}"/>
    <cellStyle name="Comma 5 10 4 2 3 2" xfId="43481" xr:uid="{00000000-0005-0000-0000-00007C000000}"/>
    <cellStyle name="Comma 5 10 4 2 4" xfId="31048" xr:uid="{00000000-0005-0000-0000-00007D000000}"/>
    <cellStyle name="Comma 5 10 4 3" xfId="12625" xr:uid="{00000000-0005-0000-0000-00007E000000}"/>
    <cellStyle name="Comma 5 10 4 3 2" xfId="25059" xr:uid="{00000000-0005-0000-0000-00007F000000}"/>
    <cellStyle name="Comma 5 10 4 3 2 2" xfId="49933" xr:uid="{00000000-0005-0000-0000-000080000000}"/>
    <cellStyle name="Comma 5 10 4 3 3" xfId="37500" xr:uid="{00000000-0005-0000-0000-000081000000}"/>
    <cellStyle name="Comma 5 10 4 4" xfId="9066" xr:uid="{00000000-0005-0000-0000-000082000000}"/>
    <cellStyle name="Comma 5 10 4 4 2" xfId="21509" xr:uid="{00000000-0005-0000-0000-000083000000}"/>
    <cellStyle name="Comma 5 10 4 4 2 2" xfId="46383" xr:uid="{00000000-0005-0000-0000-000084000000}"/>
    <cellStyle name="Comma 5 10 4 4 3" xfId="33950" xr:uid="{00000000-0005-0000-0000-000085000000}"/>
    <cellStyle name="Comma 5 10 4 5" xfId="4048" xr:uid="{00000000-0005-0000-0000-000086000000}"/>
    <cellStyle name="Comma 5 10 4 5 2" xfId="16502" xr:uid="{00000000-0005-0000-0000-000087000000}"/>
    <cellStyle name="Comma 5 10 4 5 2 2" xfId="41376" xr:uid="{00000000-0005-0000-0000-000088000000}"/>
    <cellStyle name="Comma 5 10 4 5 3" xfId="28943" xr:uid="{00000000-0005-0000-0000-000089000000}"/>
    <cellStyle name="Comma 5 10 4 6" xfId="14810" xr:uid="{00000000-0005-0000-0000-00008A000000}"/>
    <cellStyle name="Comma 5 10 4 6 2" xfId="39684" xr:uid="{00000000-0005-0000-0000-00008B000000}"/>
    <cellStyle name="Comma 5 10 4 7" xfId="27243" xr:uid="{00000000-0005-0000-0000-00008C000000}"/>
    <cellStyle name="Comma 5 10 5" xfId="967" xr:uid="{00000000-0005-0000-0000-00008D000000}"/>
    <cellStyle name="Comma 5 10 5 2" xfId="10126" xr:uid="{00000000-0005-0000-0000-00008E000000}"/>
    <cellStyle name="Comma 5 10 5 2 2" xfId="22569" xr:uid="{00000000-0005-0000-0000-00008F000000}"/>
    <cellStyle name="Comma 5 10 5 2 2 2" xfId="47443" xr:uid="{00000000-0005-0000-0000-000090000000}"/>
    <cellStyle name="Comma 5 10 5 2 3" xfId="35010" xr:uid="{00000000-0005-0000-0000-000091000000}"/>
    <cellStyle name="Comma 5 10 5 3" xfId="5110" xr:uid="{00000000-0005-0000-0000-000092000000}"/>
    <cellStyle name="Comma 5 10 5 3 2" xfId="17562" xr:uid="{00000000-0005-0000-0000-000093000000}"/>
    <cellStyle name="Comma 5 10 5 3 2 2" xfId="42436" xr:uid="{00000000-0005-0000-0000-000094000000}"/>
    <cellStyle name="Comma 5 10 5 3 3" xfId="30003" xr:uid="{00000000-0005-0000-0000-000095000000}"/>
    <cellStyle name="Comma 5 10 5 4" xfId="13767" xr:uid="{00000000-0005-0000-0000-000096000000}"/>
    <cellStyle name="Comma 5 10 5 4 2" xfId="38641" xr:uid="{00000000-0005-0000-0000-000097000000}"/>
    <cellStyle name="Comma 5 10 5 5" xfId="26200" xr:uid="{00000000-0005-0000-0000-000098000000}"/>
    <cellStyle name="Comma 5 10 6" xfId="8182" xr:uid="{00000000-0005-0000-0000-000099000000}"/>
    <cellStyle name="Comma 5 10 6 2" xfId="20626" xr:uid="{00000000-0005-0000-0000-00009A000000}"/>
    <cellStyle name="Comma 5 10 6 2 2" xfId="45500" xr:uid="{00000000-0005-0000-0000-00009B000000}"/>
    <cellStyle name="Comma 5 10 6 3" xfId="33067" xr:uid="{00000000-0005-0000-0000-00009C000000}"/>
    <cellStyle name="Comma 5 10 7" xfId="11582" xr:uid="{00000000-0005-0000-0000-00009D000000}"/>
    <cellStyle name="Comma 5 10 7 2" xfId="24016" xr:uid="{00000000-0005-0000-0000-00009E000000}"/>
    <cellStyle name="Comma 5 10 7 2 2" xfId="48890" xr:uid="{00000000-0005-0000-0000-00009F000000}"/>
    <cellStyle name="Comma 5 10 7 3" xfId="36457" xr:uid="{00000000-0005-0000-0000-0000A0000000}"/>
    <cellStyle name="Comma 5 10 8" xfId="6659" xr:uid="{00000000-0005-0000-0000-0000A1000000}"/>
    <cellStyle name="Comma 5 10 8 2" xfId="19108" xr:uid="{00000000-0005-0000-0000-0000A2000000}"/>
    <cellStyle name="Comma 5 10 8 2 2" xfId="43982" xr:uid="{00000000-0005-0000-0000-0000A3000000}"/>
    <cellStyle name="Comma 5 10 8 3" xfId="31549" xr:uid="{00000000-0005-0000-0000-0000A4000000}"/>
    <cellStyle name="Comma 5 10 9" xfId="3113" xr:uid="{00000000-0005-0000-0000-0000A5000000}"/>
    <cellStyle name="Comma 5 10 9 2" xfId="15619" xr:uid="{00000000-0005-0000-0000-0000A6000000}"/>
    <cellStyle name="Comma 5 10 9 2 2" xfId="40493" xr:uid="{00000000-0005-0000-0000-0000A7000000}"/>
    <cellStyle name="Comma 5 10 9 3" xfId="28052" xr:uid="{00000000-0005-0000-0000-0000A8000000}"/>
    <cellStyle name="Comma 5 11" xfId="534" xr:uid="{00000000-0005-0000-0000-0000A9000000}"/>
    <cellStyle name="Comma 5 11 2" xfId="1276" xr:uid="{00000000-0005-0000-0000-0000AA000000}"/>
    <cellStyle name="Comma 5 11 2 2" xfId="9380" xr:uid="{00000000-0005-0000-0000-0000AB000000}"/>
    <cellStyle name="Comma 5 11 2 2 2" xfId="21823" xr:uid="{00000000-0005-0000-0000-0000AC000000}"/>
    <cellStyle name="Comma 5 11 2 2 2 2" xfId="46697" xr:uid="{00000000-0005-0000-0000-0000AD000000}"/>
    <cellStyle name="Comma 5 11 2 2 3" xfId="34264" xr:uid="{00000000-0005-0000-0000-0000AE000000}"/>
    <cellStyle name="Comma 5 11 2 3" xfId="4362" xr:uid="{00000000-0005-0000-0000-0000AF000000}"/>
    <cellStyle name="Comma 5 11 2 3 2" xfId="16816" xr:uid="{00000000-0005-0000-0000-0000B0000000}"/>
    <cellStyle name="Comma 5 11 2 3 2 2" xfId="41690" xr:uid="{00000000-0005-0000-0000-0000B1000000}"/>
    <cellStyle name="Comma 5 11 2 3 3" xfId="29257" xr:uid="{00000000-0005-0000-0000-0000B2000000}"/>
    <cellStyle name="Comma 5 11 2 4" xfId="14076" xr:uid="{00000000-0005-0000-0000-0000B3000000}"/>
    <cellStyle name="Comma 5 11 2 4 2" xfId="38950" xr:uid="{00000000-0005-0000-0000-0000B4000000}"/>
    <cellStyle name="Comma 5 11 2 5" xfId="26509" xr:uid="{00000000-0005-0000-0000-0000B5000000}"/>
    <cellStyle name="Comma 5 11 3" xfId="5421" xr:uid="{00000000-0005-0000-0000-0000B6000000}"/>
    <cellStyle name="Comma 5 11 3 2" xfId="10437" xr:uid="{00000000-0005-0000-0000-0000B7000000}"/>
    <cellStyle name="Comma 5 11 3 2 2" xfId="22880" xr:uid="{00000000-0005-0000-0000-0000B8000000}"/>
    <cellStyle name="Comma 5 11 3 2 2 2" xfId="47754" xr:uid="{00000000-0005-0000-0000-0000B9000000}"/>
    <cellStyle name="Comma 5 11 3 2 3" xfId="35321" xr:uid="{00000000-0005-0000-0000-0000BA000000}"/>
    <cellStyle name="Comma 5 11 3 3" xfId="17873" xr:uid="{00000000-0005-0000-0000-0000BB000000}"/>
    <cellStyle name="Comma 5 11 3 3 2" xfId="42747" xr:uid="{00000000-0005-0000-0000-0000BC000000}"/>
    <cellStyle name="Comma 5 11 3 4" xfId="30314" xr:uid="{00000000-0005-0000-0000-0000BD000000}"/>
    <cellStyle name="Comma 5 11 4" xfId="8496" xr:uid="{00000000-0005-0000-0000-0000BE000000}"/>
    <cellStyle name="Comma 5 11 4 2" xfId="20940" xr:uid="{00000000-0005-0000-0000-0000BF000000}"/>
    <cellStyle name="Comma 5 11 4 2 2" xfId="45814" xr:uid="{00000000-0005-0000-0000-0000C0000000}"/>
    <cellStyle name="Comma 5 11 4 3" xfId="33381" xr:uid="{00000000-0005-0000-0000-0000C1000000}"/>
    <cellStyle name="Comma 5 11 5" xfId="11891" xr:uid="{00000000-0005-0000-0000-0000C2000000}"/>
    <cellStyle name="Comma 5 11 5 2" xfId="24325" xr:uid="{00000000-0005-0000-0000-0000C3000000}"/>
    <cellStyle name="Comma 5 11 5 2 2" xfId="49199" xr:uid="{00000000-0005-0000-0000-0000C4000000}"/>
    <cellStyle name="Comma 5 11 5 3" xfId="36766" xr:uid="{00000000-0005-0000-0000-0000C5000000}"/>
    <cellStyle name="Comma 5 11 6" xfId="6973" xr:uid="{00000000-0005-0000-0000-0000C6000000}"/>
    <cellStyle name="Comma 5 11 6 2" xfId="19422" xr:uid="{00000000-0005-0000-0000-0000C7000000}"/>
    <cellStyle name="Comma 5 11 6 2 2" xfId="44296" xr:uid="{00000000-0005-0000-0000-0000C8000000}"/>
    <cellStyle name="Comma 5 11 6 3" xfId="31863" xr:uid="{00000000-0005-0000-0000-0000C9000000}"/>
    <cellStyle name="Comma 5 11 7" xfId="3427" xr:uid="{00000000-0005-0000-0000-0000CA000000}"/>
    <cellStyle name="Comma 5 11 7 2" xfId="15933" xr:uid="{00000000-0005-0000-0000-0000CB000000}"/>
    <cellStyle name="Comma 5 11 7 2 2" xfId="40807" xr:uid="{00000000-0005-0000-0000-0000CC000000}"/>
    <cellStyle name="Comma 5 11 7 3" xfId="28366" xr:uid="{00000000-0005-0000-0000-0000CD000000}"/>
    <cellStyle name="Comma 5 11 8" xfId="13344" xr:uid="{00000000-0005-0000-0000-0000CE000000}"/>
    <cellStyle name="Comma 5 11 8 2" xfId="38218" xr:uid="{00000000-0005-0000-0000-0000CF000000}"/>
    <cellStyle name="Comma 5 11 9" xfId="25777" xr:uid="{00000000-0005-0000-0000-0000D0000000}"/>
    <cellStyle name="Comma 5 12" xfId="1624" xr:uid="{00000000-0005-0000-0000-0000D1000000}"/>
    <cellStyle name="Comma 5 12 2" xfId="4726" xr:uid="{00000000-0005-0000-0000-0000D2000000}"/>
    <cellStyle name="Comma 5 12 2 2" xfId="9743" xr:uid="{00000000-0005-0000-0000-0000D3000000}"/>
    <cellStyle name="Comma 5 12 2 2 2" xfId="22186" xr:uid="{00000000-0005-0000-0000-0000D4000000}"/>
    <cellStyle name="Comma 5 12 2 2 2 2" xfId="47060" xr:uid="{00000000-0005-0000-0000-0000D5000000}"/>
    <cellStyle name="Comma 5 12 2 2 3" xfId="34627" xr:uid="{00000000-0005-0000-0000-0000D6000000}"/>
    <cellStyle name="Comma 5 12 2 3" xfId="17179" xr:uid="{00000000-0005-0000-0000-0000D7000000}"/>
    <cellStyle name="Comma 5 12 2 3 2" xfId="42053" xr:uid="{00000000-0005-0000-0000-0000D8000000}"/>
    <cellStyle name="Comma 5 12 2 4" xfId="29620" xr:uid="{00000000-0005-0000-0000-0000D9000000}"/>
    <cellStyle name="Comma 5 12 3" xfId="5770" xr:uid="{00000000-0005-0000-0000-0000DA000000}"/>
    <cellStyle name="Comma 5 12 3 2" xfId="10785" xr:uid="{00000000-0005-0000-0000-0000DB000000}"/>
    <cellStyle name="Comma 5 12 3 2 2" xfId="23228" xr:uid="{00000000-0005-0000-0000-0000DC000000}"/>
    <cellStyle name="Comma 5 12 3 2 2 2" xfId="48102" xr:uid="{00000000-0005-0000-0000-0000DD000000}"/>
    <cellStyle name="Comma 5 12 3 2 3" xfId="35669" xr:uid="{00000000-0005-0000-0000-0000DE000000}"/>
    <cellStyle name="Comma 5 12 3 3" xfId="18221" xr:uid="{00000000-0005-0000-0000-0000DF000000}"/>
    <cellStyle name="Comma 5 12 3 3 2" xfId="43095" xr:uid="{00000000-0005-0000-0000-0000E0000000}"/>
    <cellStyle name="Comma 5 12 3 4" xfId="30662" xr:uid="{00000000-0005-0000-0000-0000E1000000}"/>
    <cellStyle name="Comma 5 12 4" xfId="8001" xr:uid="{00000000-0005-0000-0000-0000E2000000}"/>
    <cellStyle name="Comma 5 12 4 2" xfId="20447" xr:uid="{00000000-0005-0000-0000-0000E3000000}"/>
    <cellStyle name="Comma 5 12 4 2 2" xfId="45321" xr:uid="{00000000-0005-0000-0000-0000E4000000}"/>
    <cellStyle name="Comma 5 12 4 3" xfId="32888" xr:uid="{00000000-0005-0000-0000-0000E5000000}"/>
    <cellStyle name="Comma 5 12 5" xfId="12239" xr:uid="{00000000-0005-0000-0000-0000E6000000}"/>
    <cellStyle name="Comma 5 12 5 2" xfId="24673" xr:uid="{00000000-0005-0000-0000-0000E7000000}"/>
    <cellStyle name="Comma 5 12 5 2 2" xfId="49547" xr:uid="{00000000-0005-0000-0000-0000E8000000}"/>
    <cellStyle name="Comma 5 12 5 3" xfId="37114" xr:uid="{00000000-0005-0000-0000-0000E9000000}"/>
    <cellStyle name="Comma 5 12 6" xfId="7337" xr:uid="{00000000-0005-0000-0000-0000EA000000}"/>
    <cellStyle name="Comma 5 12 6 2" xfId="19785" xr:uid="{00000000-0005-0000-0000-0000EB000000}"/>
    <cellStyle name="Comma 5 12 6 2 2" xfId="44659" xr:uid="{00000000-0005-0000-0000-0000EC000000}"/>
    <cellStyle name="Comma 5 12 6 3" xfId="32226" xr:uid="{00000000-0005-0000-0000-0000ED000000}"/>
    <cellStyle name="Comma 5 12 7" xfId="2922" xr:uid="{00000000-0005-0000-0000-0000EE000000}"/>
    <cellStyle name="Comma 5 12 7 2" xfId="15440" xr:uid="{00000000-0005-0000-0000-0000EF000000}"/>
    <cellStyle name="Comma 5 12 7 2 2" xfId="40314" xr:uid="{00000000-0005-0000-0000-0000F0000000}"/>
    <cellStyle name="Comma 5 12 7 3" xfId="27873" xr:uid="{00000000-0005-0000-0000-0000F1000000}"/>
    <cellStyle name="Comma 5 12 8" xfId="14424" xr:uid="{00000000-0005-0000-0000-0000F2000000}"/>
    <cellStyle name="Comma 5 12 8 2" xfId="39298" xr:uid="{00000000-0005-0000-0000-0000F3000000}"/>
    <cellStyle name="Comma 5 12 9" xfId="26857" xr:uid="{00000000-0005-0000-0000-0000F4000000}"/>
    <cellStyle name="Comma 5 13" xfId="2046" xr:uid="{00000000-0005-0000-0000-0000F5000000}"/>
    <cellStyle name="Comma 5 13 2" xfId="6124" xr:uid="{00000000-0005-0000-0000-0000F6000000}"/>
    <cellStyle name="Comma 5 13 2 2" xfId="11139" xr:uid="{00000000-0005-0000-0000-0000F7000000}"/>
    <cellStyle name="Comma 5 13 2 2 2" xfId="23582" xr:uid="{00000000-0005-0000-0000-0000F8000000}"/>
    <cellStyle name="Comma 5 13 2 2 2 2" xfId="48456" xr:uid="{00000000-0005-0000-0000-0000F9000000}"/>
    <cellStyle name="Comma 5 13 2 2 3" xfId="36023" xr:uid="{00000000-0005-0000-0000-0000FA000000}"/>
    <cellStyle name="Comma 5 13 2 3" xfId="18575" xr:uid="{00000000-0005-0000-0000-0000FB000000}"/>
    <cellStyle name="Comma 5 13 2 3 2" xfId="43449" xr:uid="{00000000-0005-0000-0000-0000FC000000}"/>
    <cellStyle name="Comma 5 13 2 4" xfId="31016" xr:uid="{00000000-0005-0000-0000-0000FD000000}"/>
    <cellStyle name="Comma 5 13 3" xfId="12593" xr:uid="{00000000-0005-0000-0000-0000FE000000}"/>
    <cellStyle name="Comma 5 13 3 2" xfId="25027" xr:uid="{00000000-0005-0000-0000-0000FF000000}"/>
    <cellStyle name="Comma 5 13 3 2 2" xfId="49901" xr:uid="{00000000-0005-0000-0000-000000010000}"/>
    <cellStyle name="Comma 5 13 3 3" xfId="37468" xr:uid="{00000000-0005-0000-0000-000001010000}"/>
    <cellStyle name="Comma 5 13 4" xfId="8887" xr:uid="{00000000-0005-0000-0000-000002010000}"/>
    <cellStyle name="Comma 5 13 4 2" xfId="21330" xr:uid="{00000000-0005-0000-0000-000003010000}"/>
    <cellStyle name="Comma 5 13 4 2 2" xfId="46204" xr:uid="{00000000-0005-0000-0000-000004010000}"/>
    <cellStyle name="Comma 5 13 4 3" xfId="33771" xr:uid="{00000000-0005-0000-0000-000005010000}"/>
    <cellStyle name="Comma 5 13 5" xfId="3869" xr:uid="{00000000-0005-0000-0000-000006010000}"/>
    <cellStyle name="Comma 5 13 5 2" xfId="16323" xr:uid="{00000000-0005-0000-0000-000007010000}"/>
    <cellStyle name="Comma 5 13 5 2 2" xfId="41197" xr:uid="{00000000-0005-0000-0000-000008010000}"/>
    <cellStyle name="Comma 5 13 5 3" xfId="28764" xr:uid="{00000000-0005-0000-0000-000009010000}"/>
    <cellStyle name="Comma 5 13 6" xfId="14778" xr:uid="{00000000-0005-0000-0000-00000A010000}"/>
    <cellStyle name="Comma 5 13 6 2" xfId="39652" xr:uid="{00000000-0005-0000-0000-00000B010000}"/>
    <cellStyle name="Comma 5 13 7" xfId="27211" xr:uid="{00000000-0005-0000-0000-00000C010000}"/>
    <cellStyle name="Comma 5 14" xfId="935" xr:uid="{00000000-0005-0000-0000-00000D010000}"/>
    <cellStyle name="Comma 5 14 2" xfId="11550" xr:uid="{00000000-0005-0000-0000-00000E010000}"/>
    <cellStyle name="Comma 5 14 2 2" xfId="23984" xr:uid="{00000000-0005-0000-0000-00000F010000}"/>
    <cellStyle name="Comma 5 14 2 2 2" xfId="48858" xr:uid="{00000000-0005-0000-0000-000010010000}"/>
    <cellStyle name="Comma 5 14 2 3" xfId="36425" xr:uid="{00000000-0005-0000-0000-000011010000}"/>
    <cellStyle name="Comma 5 14 3" xfId="10094" xr:uid="{00000000-0005-0000-0000-000012010000}"/>
    <cellStyle name="Comma 5 14 3 2" xfId="22537" xr:uid="{00000000-0005-0000-0000-000013010000}"/>
    <cellStyle name="Comma 5 14 3 2 2" xfId="47411" xr:uid="{00000000-0005-0000-0000-000014010000}"/>
    <cellStyle name="Comma 5 14 3 3" xfId="34978" xr:uid="{00000000-0005-0000-0000-000015010000}"/>
    <cellStyle name="Comma 5 14 4" xfId="5078" xr:uid="{00000000-0005-0000-0000-000016010000}"/>
    <cellStyle name="Comma 5 14 4 2" xfId="17530" xr:uid="{00000000-0005-0000-0000-000017010000}"/>
    <cellStyle name="Comma 5 14 4 2 2" xfId="42404" xr:uid="{00000000-0005-0000-0000-000018010000}"/>
    <cellStyle name="Comma 5 14 4 3" xfId="29971" xr:uid="{00000000-0005-0000-0000-000019010000}"/>
    <cellStyle name="Comma 5 14 5" xfId="13735" xr:uid="{00000000-0005-0000-0000-00001A010000}"/>
    <cellStyle name="Comma 5 14 5 2" xfId="38609" xr:uid="{00000000-0005-0000-0000-00001B010000}"/>
    <cellStyle name="Comma 5 14 6" xfId="26168" xr:uid="{00000000-0005-0000-0000-00001C010000}"/>
    <cellStyle name="Comma 5 15" xfId="895" xr:uid="{00000000-0005-0000-0000-00001D010000}"/>
    <cellStyle name="Comma 5 15 2" xfId="7689" xr:uid="{00000000-0005-0000-0000-00001E010000}"/>
    <cellStyle name="Comma 5 15 2 2" xfId="20135" xr:uid="{00000000-0005-0000-0000-00001F010000}"/>
    <cellStyle name="Comma 5 15 2 2 2" xfId="45009" xr:uid="{00000000-0005-0000-0000-000020010000}"/>
    <cellStyle name="Comma 5 15 2 3" xfId="32576" xr:uid="{00000000-0005-0000-0000-000021010000}"/>
    <cellStyle name="Comma 5 15 3" xfId="13695" xr:uid="{00000000-0005-0000-0000-000022010000}"/>
    <cellStyle name="Comma 5 15 3 2" xfId="38569" xr:uid="{00000000-0005-0000-0000-000023010000}"/>
    <cellStyle name="Comma 5 15 4" xfId="26128" xr:uid="{00000000-0005-0000-0000-000024010000}"/>
    <cellStyle name="Comma 5 16" xfId="11510" xr:uid="{00000000-0005-0000-0000-000025010000}"/>
    <cellStyle name="Comma 5 16 2" xfId="23944" xr:uid="{00000000-0005-0000-0000-000026010000}"/>
    <cellStyle name="Comma 5 16 2 2" xfId="48818" xr:uid="{00000000-0005-0000-0000-000027010000}"/>
    <cellStyle name="Comma 5 16 3" xfId="36385" xr:uid="{00000000-0005-0000-0000-000028010000}"/>
    <cellStyle name="Comma 5 17" xfId="6481" xr:uid="{00000000-0005-0000-0000-000029010000}"/>
    <cellStyle name="Comma 5 17 2" xfId="18930" xr:uid="{00000000-0005-0000-0000-00002A010000}"/>
    <cellStyle name="Comma 5 17 2 2" xfId="43804" xr:uid="{00000000-0005-0000-0000-00002B010000}"/>
    <cellStyle name="Comma 5 17 3" xfId="31371" xr:uid="{00000000-0005-0000-0000-00002C010000}"/>
    <cellStyle name="Comma 5 18" xfId="2608" xr:uid="{00000000-0005-0000-0000-00002D010000}"/>
    <cellStyle name="Comma 5 18 2" xfId="15128" xr:uid="{00000000-0005-0000-0000-00002E010000}"/>
    <cellStyle name="Comma 5 18 2 2" xfId="40002" xr:uid="{00000000-0005-0000-0000-00002F010000}"/>
    <cellStyle name="Comma 5 18 3" xfId="27561" xr:uid="{00000000-0005-0000-0000-000030010000}"/>
    <cellStyle name="Comma 5 19" xfId="12943" xr:uid="{00000000-0005-0000-0000-000031010000}"/>
    <cellStyle name="Comma 5 19 2" xfId="37817" xr:uid="{00000000-0005-0000-0000-000032010000}"/>
    <cellStyle name="Comma 5 2" xfId="77" xr:uid="{00000000-0005-0000-0000-000033010000}"/>
    <cellStyle name="Comma 5 2 10" xfId="535" xr:uid="{00000000-0005-0000-0000-000034010000}"/>
    <cellStyle name="Comma 5 2 10 2" xfId="1278" xr:uid="{00000000-0005-0000-0000-000035010000}"/>
    <cellStyle name="Comma 5 2 10 2 2" xfId="9382" xr:uid="{00000000-0005-0000-0000-000036010000}"/>
    <cellStyle name="Comma 5 2 10 2 2 2" xfId="21825" xr:uid="{00000000-0005-0000-0000-000037010000}"/>
    <cellStyle name="Comma 5 2 10 2 2 2 2" xfId="46699" xr:uid="{00000000-0005-0000-0000-000038010000}"/>
    <cellStyle name="Comma 5 2 10 2 2 3" xfId="34266" xr:uid="{00000000-0005-0000-0000-000039010000}"/>
    <cellStyle name="Comma 5 2 10 2 3" xfId="4364" xr:uid="{00000000-0005-0000-0000-00003A010000}"/>
    <cellStyle name="Comma 5 2 10 2 3 2" xfId="16818" xr:uid="{00000000-0005-0000-0000-00003B010000}"/>
    <cellStyle name="Comma 5 2 10 2 3 2 2" xfId="41692" xr:uid="{00000000-0005-0000-0000-00003C010000}"/>
    <cellStyle name="Comma 5 2 10 2 3 3" xfId="29259" xr:uid="{00000000-0005-0000-0000-00003D010000}"/>
    <cellStyle name="Comma 5 2 10 2 4" xfId="14078" xr:uid="{00000000-0005-0000-0000-00003E010000}"/>
    <cellStyle name="Comma 5 2 10 2 4 2" xfId="38952" xr:uid="{00000000-0005-0000-0000-00003F010000}"/>
    <cellStyle name="Comma 5 2 10 2 5" xfId="26511" xr:uid="{00000000-0005-0000-0000-000040010000}"/>
    <cellStyle name="Comma 5 2 10 3" xfId="5423" xr:uid="{00000000-0005-0000-0000-000041010000}"/>
    <cellStyle name="Comma 5 2 10 3 2" xfId="10439" xr:uid="{00000000-0005-0000-0000-000042010000}"/>
    <cellStyle name="Comma 5 2 10 3 2 2" xfId="22882" xr:uid="{00000000-0005-0000-0000-000043010000}"/>
    <cellStyle name="Comma 5 2 10 3 2 2 2" xfId="47756" xr:uid="{00000000-0005-0000-0000-000044010000}"/>
    <cellStyle name="Comma 5 2 10 3 2 3" xfId="35323" xr:uid="{00000000-0005-0000-0000-000045010000}"/>
    <cellStyle name="Comma 5 2 10 3 3" xfId="17875" xr:uid="{00000000-0005-0000-0000-000046010000}"/>
    <cellStyle name="Comma 5 2 10 3 3 2" xfId="42749" xr:uid="{00000000-0005-0000-0000-000047010000}"/>
    <cellStyle name="Comma 5 2 10 3 4" xfId="30316" xr:uid="{00000000-0005-0000-0000-000048010000}"/>
    <cellStyle name="Comma 5 2 10 4" xfId="8498" xr:uid="{00000000-0005-0000-0000-000049010000}"/>
    <cellStyle name="Comma 5 2 10 4 2" xfId="20942" xr:uid="{00000000-0005-0000-0000-00004A010000}"/>
    <cellStyle name="Comma 5 2 10 4 2 2" xfId="45816" xr:uid="{00000000-0005-0000-0000-00004B010000}"/>
    <cellStyle name="Comma 5 2 10 4 3" xfId="33383" xr:uid="{00000000-0005-0000-0000-00004C010000}"/>
    <cellStyle name="Comma 5 2 10 5" xfId="11893" xr:uid="{00000000-0005-0000-0000-00004D010000}"/>
    <cellStyle name="Comma 5 2 10 5 2" xfId="24327" xr:uid="{00000000-0005-0000-0000-00004E010000}"/>
    <cellStyle name="Comma 5 2 10 5 2 2" xfId="49201" xr:uid="{00000000-0005-0000-0000-00004F010000}"/>
    <cellStyle name="Comma 5 2 10 5 3" xfId="36768" xr:uid="{00000000-0005-0000-0000-000050010000}"/>
    <cellStyle name="Comma 5 2 10 6" xfId="6975" xr:uid="{00000000-0005-0000-0000-000051010000}"/>
    <cellStyle name="Comma 5 2 10 6 2" xfId="19424" xr:uid="{00000000-0005-0000-0000-000052010000}"/>
    <cellStyle name="Comma 5 2 10 6 2 2" xfId="44298" xr:uid="{00000000-0005-0000-0000-000053010000}"/>
    <cellStyle name="Comma 5 2 10 6 3" xfId="31865" xr:uid="{00000000-0005-0000-0000-000054010000}"/>
    <cellStyle name="Comma 5 2 10 7" xfId="3429" xr:uid="{00000000-0005-0000-0000-000055010000}"/>
    <cellStyle name="Comma 5 2 10 7 2" xfId="15935" xr:uid="{00000000-0005-0000-0000-000056010000}"/>
    <cellStyle name="Comma 5 2 10 7 2 2" xfId="40809" xr:uid="{00000000-0005-0000-0000-000057010000}"/>
    <cellStyle name="Comma 5 2 10 7 3" xfId="28368" xr:uid="{00000000-0005-0000-0000-000058010000}"/>
    <cellStyle name="Comma 5 2 10 8" xfId="13345" xr:uid="{00000000-0005-0000-0000-000059010000}"/>
    <cellStyle name="Comma 5 2 10 8 2" xfId="38219" xr:uid="{00000000-0005-0000-0000-00005A010000}"/>
    <cellStyle name="Comma 5 2 10 9" xfId="25778" xr:uid="{00000000-0005-0000-0000-00005B010000}"/>
    <cellStyle name="Comma 5 2 11" xfId="1626" xr:uid="{00000000-0005-0000-0000-00005C010000}"/>
    <cellStyle name="Comma 5 2 11 2" xfId="4727" xr:uid="{00000000-0005-0000-0000-00005D010000}"/>
    <cellStyle name="Comma 5 2 11 2 2" xfId="9744" xr:uid="{00000000-0005-0000-0000-00005E010000}"/>
    <cellStyle name="Comma 5 2 11 2 2 2" xfId="22187" xr:uid="{00000000-0005-0000-0000-00005F010000}"/>
    <cellStyle name="Comma 5 2 11 2 2 2 2" xfId="47061" xr:uid="{00000000-0005-0000-0000-000060010000}"/>
    <cellStyle name="Comma 5 2 11 2 2 3" xfId="34628" xr:uid="{00000000-0005-0000-0000-000061010000}"/>
    <cellStyle name="Comma 5 2 11 2 3" xfId="17180" xr:uid="{00000000-0005-0000-0000-000062010000}"/>
    <cellStyle name="Comma 5 2 11 2 3 2" xfId="42054" xr:uid="{00000000-0005-0000-0000-000063010000}"/>
    <cellStyle name="Comma 5 2 11 2 4" xfId="29621" xr:uid="{00000000-0005-0000-0000-000064010000}"/>
    <cellStyle name="Comma 5 2 11 3" xfId="5772" xr:uid="{00000000-0005-0000-0000-000065010000}"/>
    <cellStyle name="Comma 5 2 11 3 2" xfId="10787" xr:uid="{00000000-0005-0000-0000-000066010000}"/>
    <cellStyle name="Comma 5 2 11 3 2 2" xfId="23230" xr:uid="{00000000-0005-0000-0000-000067010000}"/>
    <cellStyle name="Comma 5 2 11 3 2 2 2" xfId="48104" xr:uid="{00000000-0005-0000-0000-000068010000}"/>
    <cellStyle name="Comma 5 2 11 3 2 3" xfId="35671" xr:uid="{00000000-0005-0000-0000-000069010000}"/>
    <cellStyle name="Comma 5 2 11 3 3" xfId="18223" xr:uid="{00000000-0005-0000-0000-00006A010000}"/>
    <cellStyle name="Comma 5 2 11 3 3 2" xfId="43097" xr:uid="{00000000-0005-0000-0000-00006B010000}"/>
    <cellStyle name="Comma 5 2 11 3 4" xfId="30664" xr:uid="{00000000-0005-0000-0000-00006C010000}"/>
    <cellStyle name="Comma 5 2 11 4" xfId="8002" xr:uid="{00000000-0005-0000-0000-00006D010000}"/>
    <cellStyle name="Comma 5 2 11 4 2" xfId="20448" xr:uid="{00000000-0005-0000-0000-00006E010000}"/>
    <cellStyle name="Comma 5 2 11 4 2 2" xfId="45322" xr:uid="{00000000-0005-0000-0000-00006F010000}"/>
    <cellStyle name="Comma 5 2 11 4 3" xfId="32889" xr:uid="{00000000-0005-0000-0000-000070010000}"/>
    <cellStyle name="Comma 5 2 11 5" xfId="12241" xr:uid="{00000000-0005-0000-0000-000071010000}"/>
    <cellStyle name="Comma 5 2 11 5 2" xfId="24675" xr:uid="{00000000-0005-0000-0000-000072010000}"/>
    <cellStyle name="Comma 5 2 11 5 2 2" xfId="49549" xr:uid="{00000000-0005-0000-0000-000073010000}"/>
    <cellStyle name="Comma 5 2 11 5 3" xfId="37116" xr:uid="{00000000-0005-0000-0000-000074010000}"/>
    <cellStyle name="Comma 5 2 11 6" xfId="7338" xr:uid="{00000000-0005-0000-0000-000075010000}"/>
    <cellStyle name="Comma 5 2 11 6 2" xfId="19786" xr:uid="{00000000-0005-0000-0000-000076010000}"/>
    <cellStyle name="Comma 5 2 11 6 2 2" xfId="44660" xr:uid="{00000000-0005-0000-0000-000077010000}"/>
    <cellStyle name="Comma 5 2 11 6 3" xfId="32227" xr:uid="{00000000-0005-0000-0000-000078010000}"/>
    <cellStyle name="Comma 5 2 11 7" xfId="2923" xr:uid="{00000000-0005-0000-0000-000079010000}"/>
    <cellStyle name="Comma 5 2 11 7 2" xfId="15441" xr:uid="{00000000-0005-0000-0000-00007A010000}"/>
    <cellStyle name="Comma 5 2 11 7 2 2" xfId="40315" xr:uid="{00000000-0005-0000-0000-00007B010000}"/>
    <cellStyle name="Comma 5 2 11 7 3" xfId="27874" xr:uid="{00000000-0005-0000-0000-00007C010000}"/>
    <cellStyle name="Comma 5 2 11 8" xfId="14426" xr:uid="{00000000-0005-0000-0000-00007D010000}"/>
    <cellStyle name="Comma 5 2 11 8 2" xfId="39300" xr:uid="{00000000-0005-0000-0000-00007E010000}"/>
    <cellStyle name="Comma 5 2 11 9" xfId="26859" xr:uid="{00000000-0005-0000-0000-00007F010000}"/>
    <cellStyle name="Comma 5 2 12" xfId="2047" xr:uid="{00000000-0005-0000-0000-000080010000}"/>
    <cellStyle name="Comma 5 2 12 2" xfId="6125" xr:uid="{00000000-0005-0000-0000-000081010000}"/>
    <cellStyle name="Comma 5 2 12 2 2" xfId="11140" xr:uid="{00000000-0005-0000-0000-000082010000}"/>
    <cellStyle name="Comma 5 2 12 2 2 2" xfId="23583" xr:uid="{00000000-0005-0000-0000-000083010000}"/>
    <cellStyle name="Comma 5 2 12 2 2 2 2" xfId="48457" xr:uid="{00000000-0005-0000-0000-000084010000}"/>
    <cellStyle name="Comma 5 2 12 2 2 3" xfId="36024" xr:uid="{00000000-0005-0000-0000-000085010000}"/>
    <cellStyle name="Comma 5 2 12 2 3" xfId="18576" xr:uid="{00000000-0005-0000-0000-000086010000}"/>
    <cellStyle name="Comma 5 2 12 2 3 2" xfId="43450" xr:uid="{00000000-0005-0000-0000-000087010000}"/>
    <cellStyle name="Comma 5 2 12 2 4" xfId="31017" xr:uid="{00000000-0005-0000-0000-000088010000}"/>
    <cellStyle name="Comma 5 2 12 3" xfId="12594" xr:uid="{00000000-0005-0000-0000-000089010000}"/>
    <cellStyle name="Comma 5 2 12 3 2" xfId="25028" xr:uid="{00000000-0005-0000-0000-00008A010000}"/>
    <cellStyle name="Comma 5 2 12 3 2 2" xfId="49902" xr:uid="{00000000-0005-0000-0000-00008B010000}"/>
    <cellStyle name="Comma 5 2 12 3 3" xfId="37469" xr:uid="{00000000-0005-0000-0000-00008C010000}"/>
    <cellStyle name="Comma 5 2 12 4" xfId="8888" xr:uid="{00000000-0005-0000-0000-00008D010000}"/>
    <cellStyle name="Comma 5 2 12 4 2" xfId="21331" xr:uid="{00000000-0005-0000-0000-00008E010000}"/>
    <cellStyle name="Comma 5 2 12 4 2 2" xfId="46205" xr:uid="{00000000-0005-0000-0000-00008F010000}"/>
    <cellStyle name="Comma 5 2 12 4 3" xfId="33772" xr:uid="{00000000-0005-0000-0000-000090010000}"/>
    <cellStyle name="Comma 5 2 12 5" xfId="3870" xr:uid="{00000000-0005-0000-0000-000091010000}"/>
    <cellStyle name="Comma 5 2 12 5 2" xfId="16324" xr:uid="{00000000-0005-0000-0000-000092010000}"/>
    <cellStyle name="Comma 5 2 12 5 2 2" xfId="41198" xr:uid="{00000000-0005-0000-0000-000093010000}"/>
    <cellStyle name="Comma 5 2 12 5 3" xfId="28765" xr:uid="{00000000-0005-0000-0000-000094010000}"/>
    <cellStyle name="Comma 5 2 12 6" xfId="14779" xr:uid="{00000000-0005-0000-0000-000095010000}"/>
    <cellStyle name="Comma 5 2 12 6 2" xfId="39653" xr:uid="{00000000-0005-0000-0000-000096010000}"/>
    <cellStyle name="Comma 5 2 12 7" xfId="27212" xr:uid="{00000000-0005-0000-0000-000097010000}"/>
    <cellStyle name="Comma 5 2 13" xfId="936" xr:uid="{00000000-0005-0000-0000-000098010000}"/>
    <cellStyle name="Comma 5 2 13 2" xfId="11551" xr:uid="{00000000-0005-0000-0000-000099010000}"/>
    <cellStyle name="Comma 5 2 13 2 2" xfId="23985" xr:uid="{00000000-0005-0000-0000-00009A010000}"/>
    <cellStyle name="Comma 5 2 13 2 2 2" xfId="48859" xr:uid="{00000000-0005-0000-0000-00009B010000}"/>
    <cellStyle name="Comma 5 2 13 2 3" xfId="36426" xr:uid="{00000000-0005-0000-0000-00009C010000}"/>
    <cellStyle name="Comma 5 2 13 3" xfId="10095" xr:uid="{00000000-0005-0000-0000-00009D010000}"/>
    <cellStyle name="Comma 5 2 13 3 2" xfId="22538" xr:uid="{00000000-0005-0000-0000-00009E010000}"/>
    <cellStyle name="Comma 5 2 13 3 2 2" xfId="47412" xr:uid="{00000000-0005-0000-0000-00009F010000}"/>
    <cellStyle name="Comma 5 2 13 3 3" xfId="34979" xr:uid="{00000000-0005-0000-0000-0000A0010000}"/>
    <cellStyle name="Comma 5 2 13 4" xfId="5079" xr:uid="{00000000-0005-0000-0000-0000A1010000}"/>
    <cellStyle name="Comma 5 2 13 4 2" xfId="17531" xr:uid="{00000000-0005-0000-0000-0000A2010000}"/>
    <cellStyle name="Comma 5 2 13 4 2 2" xfId="42405" xr:uid="{00000000-0005-0000-0000-0000A3010000}"/>
    <cellStyle name="Comma 5 2 13 4 3" xfId="29972" xr:uid="{00000000-0005-0000-0000-0000A4010000}"/>
    <cellStyle name="Comma 5 2 13 5" xfId="13736" xr:uid="{00000000-0005-0000-0000-0000A5010000}"/>
    <cellStyle name="Comma 5 2 13 5 2" xfId="38610" xr:uid="{00000000-0005-0000-0000-0000A6010000}"/>
    <cellStyle name="Comma 5 2 13 6" xfId="26169" xr:uid="{00000000-0005-0000-0000-0000A7010000}"/>
    <cellStyle name="Comma 5 2 14" xfId="896" xr:uid="{00000000-0005-0000-0000-0000A8010000}"/>
    <cellStyle name="Comma 5 2 14 2" xfId="7690" xr:uid="{00000000-0005-0000-0000-0000A9010000}"/>
    <cellStyle name="Comma 5 2 14 2 2" xfId="20136" xr:uid="{00000000-0005-0000-0000-0000AA010000}"/>
    <cellStyle name="Comma 5 2 14 2 2 2" xfId="45010" xr:uid="{00000000-0005-0000-0000-0000AB010000}"/>
    <cellStyle name="Comma 5 2 14 2 3" xfId="32577" xr:uid="{00000000-0005-0000-0000-0000AC010000}"/>
    <cellStyle name="Comma 5 2 14 3" xfId="13696" xr:uid="{00000000-0005-0000-0000-0000AD010000}"/>
    <cellStyle name="Comma 5 2 14 3 2" xfId="38570" xr:uid="{00000000-0005-0000-0000-0000AE010000}"/>
    <cellStyle name="Comma 5 2 14 4" xfId="26129" xr:uid="{00000000-0005-0000-0000-0000AF010000}"/>
    <cellStyle name="Comma 5 2 15" xfId="11511" xr:uid="{00000000-0005-0000-0000-0000B0010000}"/>
    <cellStyle name="Comma 5 2 15 2" xfId="23945" xr:uid="{00000000-0005-0000-0000-0000B1010000}"/>
    <cellStyle name="Comma 5 2 15 2 2" xfId="48819" xr:uid="{00000000-0005-0000-0000-0000B2010000}"/>
    <cellStyle name="Comma 5 2 15 3" xfId="36386" xr:uid="{00000000-0005-0000-0000-0000B3010000}"/>
    <cellStyle name="Comma 5 2 16" xfId="6482" xr:uid="{00000000-0005-0000-0000-0000B4010000}"/>
    <cellStyle name="Comma 5 2 16 2" xfId="18931" xr:uid="{00000000-0005-0000-0000-0000B5010000}"/>
    <cellStyle name="Comma 5 2 16 2 2" xfId="43805" xr:uid="{00000000-0005-0000-0000-0000B6010000}"/>
    <cellStyle name="Comma 5 2 16 3" xfId="31372" xr:uid="{00000000-0005-0000-0000-0000B7010000}"/>
    <cellStyle name="Comma 5 2 17" xfId="2609" xr:uid="{00000000-0005-0000-0000-0000B8010000}"/>
    <cellStyle name="Comma 5 2 17 2" xfId="15129" xr:uid="{00000000-0005-0000-0000-0000B9010000}"/>
    <cellStyle name="Comma 5 2 17 2 2" xfId="40003" xr:uid="{00000000-0005-0000-0000-0000BA010000}"/>
    <cellStyle name="Comma 5 2 17 3" xfId="27562" xr:uid="{00000000-0005-0000-0000-0000BB010000}"/>
    <cellStyle name="Comma 5 2 18" xfId="12944" xr:uid="{00000000-0005-0000-0000-0000BC010000}"/>
    <cellStyle name="Comma 5 2 18 2" xfId="37818" xr:uid="{00000000-0005-0000-0000-0000BD010000}"/>
    <cellStyle name="Comma 5 2 19" xfId="25377" xr:uid="{00000000-0005-0000-0000-0000BE010000}"/>
    <cellStyle name="Comma 5 2 2" xfId="124" xr:uid="{00000000-0005-0000-0000-0000BF010000}"/>
    <cellStyle name="Comma 5 2 2 10" xfId="948" xr:uid="{00000000-0005-0000-0000-0000C0010000}"/>
    <cellStyle name="Comma 5 2 2 10 2" xfId="11563" xr:uid="{00000000-0005-0000-0000-0000C1010000}"/>
    <cellStyle name="Comma 5 2 2 10 2 2" xfId="23997" xr:uid="{00000000-0005-0000-0000-0000C2010000}"/>
    <cellStyle name="Comma 5 2 2 10 2 2 2" xfId="48871" xr:uid="{00000000-0005-0000-0000-0000C3010000}"/>
    <cellStyle name="Comma 5 2 2 10 2 3" xfId="36438" xr:uid="{00000000-0005-0000-0000-0000C4010000}"/>
    <cellStyle name="Comma 5 2 2 10 3" xfId="10107" xr:uid="{00000000-0005-0000-0000-0000C5010000}"/>
    <cellStyle name="Comma 5 2 2 10 3 2" xfId="22550" xr:uid="{00000000-0005-0000-0000-0000C6010000}"/>
    <cellStyle name="Comma 5 2 2 10 3 2 2" xfId="47424" xr:uid="{00000000-0005-0000-0000-0000C7010000}"/>
    <cellStyle name="Comma 5 2 2 10 3 3" xfId="34991" xr:uid="{00000000-0005-0000-0000-0000C8010000}"/>
    <cellStyle name="Comma 5 2 2 10 4" xfId="5091" xr:uid="{00000000-0005-0000-0000-0000C9010000}"/>
    <cellStyle name="Comma 5 2 2 10 4 2" xfId="17543" xr:uid="{00000000-0005-0000-0000-0000CA010000}"/>
    <cellStyle name="Comma 5 2 2 10 4 2 2" xfId="42417" xr:uid="{00000000-0005-0000-0000-0000CB010000}"/>
    <cellStyle name="Comma 5 2 2 10 4 3" xfId="29984" xr:uid="{00000000-0005-0000-0000-0000CC010000}"/>
    <cellStyle name="Comma 5 2 2 10 5" xfId="13748" xr:uid="{00000000-0005-0000-0000-0000CD010000}"/>
    <cellStyle name="Comma 5 2 2 10 5 2" xfId="38622" xr:uid="{00000000-0005-0000-0000-0000CE010000}"/>
    <cellStyle name="Comma 5 2 2 10 6" xfId="26181" xr:uid="{00000000-0005-0000-0000-0000CF010000}"/>
    <cellStyle name="Comma 5 2 2 11" xfId="918" xr:uid="{00000000-0005-0000-0000-0000D0010000}"/>
    <cellStyle name="Comma 5 2 2 11 2" xfId="7715" xr:uid="{00000000-0005-0000-0000-0000D1010000}"/>
    <cellStyle name="Comma 5 2 2 11 2 2" xfId="20161" xr:uid="{00000000-0005-0000-0000-0000D2010000}"/>
    <cellStyle name="Comma 5 2 2 11 2 2 2" xfId="45035" xr:uid="{00000000-0005-0000-0000-0000D3010000}"/>
    <cellStyle name="Comma 5 2 2 11 2 3" xfId="32602" xr:uid="{00000000-0005-0000-0000-0000D4010000}"/>
    <cellStyle name="Comma 5 2 2 11 3" xfId="13718" xr:uid="{00000000-0005-0000-0000-0000D5010000}"/>
    <cellStyle name="Comma 5 2 2 11 3 2" xfId="38592" xr:uid="{00000000-0005-0000-0000-0000D6010000}"/>
    <cellStyle name="Comma 5 2 2 11 4" xfId="26151" xr:uid="{00000000-0005-0000-0000-0000D7010000}"/>
    <cellStyle name="Comma 5 2 2 12" xfId="11533" xr:uid="{00000000-0005-0000-0000-0000D8010000}"/>
    <cellStyle name="Comma 5 2 2 12 2" xfId="23967" xr:uid="{00000000-0005-0000-0000-0000D9010000}"/>
    <cellStyle name="Comma 5 2 2 12 2 2" xfId="48841" xr:uid="{00000000-0005-0000-0000-0000DA010000}"/>
    <cellStyle name="Comma 5 2 2 12 3" xfId="36408" xr:uid="{00000000-0005-0000-0000-0000DB010000}"/>
    <cellStyle name="Comma 5 2 2 13" xfId="6495" xr:uid="{00000000-0005-0000-0000-0000DC010000}"/>
    <cellStyle name="Comma 5 2 2 13 2" xfId="18944" xr:uid="{00000000-0005-0000-0000-0000DD010000}"/>
    <cellStyle name="Comma 5 2 2 13 2 2" xfId="43818" xr:uid="{00000000-0005-0000-0000-0000DE010000}"/>
    <cellStyle name="Comma 5 2 2 13 3" xfId="31385" xr:uid="{00000000-0005-0000-0000-0000DF010000}"/>
    <cellStyle name="Comma 5 2 2 14" xfId="2636" xr:uid="{00000000-0005-0000-0000-0000E0010000}"/>
    <cellStyle name="Comma 5 2 2 14 2" xfId="15154" xr:uid="{00000000-0005-0000-0000-0000E1010000}"/>
    <cellStyle name="Comma 5 2 2 14 2 2" xfId="40028" xr:uid="{00000000-0005-0000-0000-0000E2010000}"/>
    <cellStyle name="Comma 5 2 2 14 3" xfId="27587" xr:uid="{00000000-0005-0000-0000-0000E3010000}"/>
    <cellStyle name="Comma 5 2 2 15" xfId="12956" xr:uid="{00000000-0005-0000-0000-0000E4010000}"/>
    <cellStyle name="Comma 5 2 2 15 2" xfId="37830" xr:uid="{00000000-0005-0000-0000-0000E5010000}"/>
    <cellStyle name="Comma 5 2 2 16" xfId="25389" xr:uid="{00000000-0005-0000-0000-0000E6010000}"/>
    <cellStyle name="Comma 5 2 2 2" xfId="150" xr:uid="{00000000-0005-0000-0000-0000E7010000}"/>
    <cellStyle name="Comma 5 2 2 2 10" xfId="11665" xr:uid="{00000000-0005-0000-0000-0000E8010000}"/>
    <cellStyle name="Comma 5 2 2 2 10 2" xfId="24099" xr:uid="{00000000-0005-0000-0000-0000E9010000}"/>
    <cellStyle name="Comma 5 2 2 2 10 2 2" xfId="48973" xr:uid="{00000000-0005-0000-0000-0000EA010000}"/>
    <cellStyle name="Comma 5 2 2 2 10 3" xfId="36540" xr:uid="{00000000-0005-0000-0000-0000EB010000}"/>
    <cellStyle name="Comma 5 2 2 2 11" xfId="6525" xr:uid="{00000000-0005-0000-0000-0000EC010000}"/>
    <cellStyle name="Comma 5 2 2 2 11 2" xfId="18974" xr:uid="{00000000-0005-0000-0000-0000ED010000}"/>
    <cellStyle name="Comma 5 2 2 2 11 2 2" xfId="43848" xr:uid="{00000000-0005-0000-0000-0000EE010000}"/>
    <cellStyle name="Comma 5 2 2 2 11 3" xfId="31415" xr:uid="{00000000-0005-0000-0000-0000EF010000}"/>
    <cellStyle name="Comma 5 2 2 2 12" xfId="2693" xr:uid="{00000000-0005-0000-0000-0000F0010000}"/>
    <cellStyle name="Comma 5 2 2 2 12 2" xfId="15211" xr:uid="{00000000-0005-0000-0000-0000F1010000}"/>
    <cellStyle name="Comma 5 2 2 2 12 2 2" xfId="40085" xr:uid="{00000000-0005-0000-0000-0000F2010000}"/>
    <cellStyle name="Comma 5 2 2 2 12 3" xfId="27644" xr:uid="{00000000-0005-0000-0000-0000F3010000}"/>
    <cellStyle name="Comma 5 2 2 2 13" xfId="12980" xr:uid="{00000000-0005-0000-0000-0000F4010000}"/>
    <cellStyle name="Comma 5 2 2 2 13 2" xfId="37854" xr:uid="{00000000-0005-0000-0000-0000F5010000}"/>
    <cellStyle name="Comma 5 2 2 2 14" xfId="25413" xr:uid="{00000000-0005-0000-0000-0000F6010000}"/>
    <cellStyle name="Comma 5 2 2 2 2" xfId="503" xr:uid="{00000000-0005-0000-0000-0000F7010000}"/>
    <cellStyle name="Comma 5 2 2 2 2 10" xfId="2897" xr:uid="{00000000-0005-0000-0000-0000F8010000}"/>
    <cellStyle name="Comma 5 2 2 2 2 10 2" xfId="15415" xr:uid="{00000000-0005-0000-0000-0000F9010000}"/>
    <cellStyle name="Comma 5 2 2 2 2 10 2 2" xfId="40289" xr:uid="{00000000-0005-0000-0000-0000FA010000}"/>
    <cellStyle name="Comma 5 2 2 2 2 10 3" xfId="27848" xr:uid="{00000000-0005-0000-0000-0000FB010000}"/>
    <cellStyle name="Comma 5 2 2 2 2 11" xfId="13316" xr:uid="{00000000-0005-0000-0000-0000FC010000}"/>
    <cellStyle name="Comma 5 2 2 2 2 11 2" xfId="38190" xr:uid="{00000000-0005-0000-0000-0000FD010000}"/>
    <cellStyle name="Comma 5 2 2 2 2 12" xfId="25749" xr:uid="{00000000-0005-0000-0000-0000FE010000}"/>
    <cellStyle name="Comma 5 2 2 2 2 2" xfId="862" xr:uid="{00000000-0005-0000-0000-0000FF010000}"/>
    <cellStyle name="Comma 5 2 2 2 2 2 2" xfId="1281" xr:uid="{00000000-0005-0000-0000-000000020000}"/>
    <cellStyle name="Comma 5 2 2 2 2 2 2 2" xfId="9353" xr:uid="{00000000-0005-0000-0000-000001020000}"/>
    <cellStyle name="Comma 5 2 2 2 2 2 2 2 2" xfId="21796" xr:uid="{00000000-0005-0000-0000-000002020000}"/>
    <cellStyle name="Comma 5 2 2 2 2 2 2 2 2 2" xfId="46670" xr:uid="{00000000-0005-0000-0000-000003020000}"/>
    <cellStyle name="Comma 5 2 2 2 2 2 2 2 3" xfId="34237" xr:uid="{00000000-0005-0000-0000-000004020000}"/>
    <cellStyle name="Comma 5 2 2 2 2 2 2 3" xfId="4335" xr:uid="{00000000-0005-0000-0000-000005020000}"/>
    <cellStyle name="Comma 5 2 2 2 2 2 2 3 2" xfId="16789" xr:uid="{00000000-0005-0000-0000-000006020000}"/>
    <cellStyle name="Comma 5 2 2 2 2 2 2 3 2 2" xfId="41663" xr:uid="{00000000-0005-0000-0000-000007020000}"/>
    <cellStyle name="Comma 5 2 2 2 2 2 2 3 3" xfId="29230" xr:uid="{00000000-0005-0000-0000-000008020000}"/>
    <cellStyle name="Comma 5 2 2 2 2 2 2 4" xfId="14081" xr:uid="{00000000-0005-0000-0000-000009020000}"/>
    <cellStyle name="Comma 5 2 2 2 2 2 2 4 2" xfId="38955" xr:uid="{00000000-0005-0000-0000-00000A020000}"/>
    <cellStyle name="Comma 5 2 2 2 2 2 2 5" xfId="26514" xr:uid="{00000000-0005-0000-0000-00000B020000}"/>
    <cellStyle name="Comma 5 2 2 2 2 2 3" xfId="5426" xr:uid="{00000000-0005-0000-0000-00000C020000}"/>
    <cellStyle name="Comma 5 2 2 2 2 2 3 2" xfId="10442" xr:uid="{00000000-0005-0000-0000-00000D020000}"/>
    <cellStyle name="Comma 5 2 2 2 2 2 3 2 2" xfId="22885" xr:uid="{00000000-0005-0000-0000-00000E020000}"/>
    <cellStyle name="Comma 5 2 2 2 2 2 3 2 2 2" xfId="47759" xr:uid="{00000000-0005-0000-0000-00000F020000}"/>
    <cellStyle name="Comma 5 2 2 2 2 2 3 2 3" xfId="35326" xr:uid="{00000000-0005-0000-0000-000010020000}"/>
    <cellStyle name="Comma 5 2 2 2 2 2 3 3" xfId="17878" xr:uid="{00000000-0005-0000-0000-000011020000}"/>
    <cellStyle name="Comma 5 2 2 2 2 2 3 3 2" xfId="42752" xr:uid="{00000000-0005-0000-0000-000012020000}"/>
    <cellStyle name="Comma 5 2 2 2 2 2 3 4" xfId="30319" xr:uid="{00000000-0005-0000-0000-000013020000}"/>
    <cellStyle name="Comma 5 2 2 2 2 2 4" xfId="8469" xr:uid="{00000000-0005-0000-0000-000014020000}"/>
    <cellStyle name="Comma 5 2 2 2 2 2 4 2" xfId="20913" xr:uid="{00000000-0005-0000-0000-000015020000}"/>
    <cellStyle name="Comma 5 2 2 2 2 2 4 2 2" xfId="45787" xr:uid="{00000000-0005-0000-0000-000016020000}"/>
    <cellStyle name="Comma 5 2 2 2 2 2 4 3" xfId="33354" xr:uid="{00000000-0005-0000-0000-000017020000}"/>
    <cellStyle name="Comma 5 2 2 2 2 2 5" xfId="11896" xr:uid="{00000000-0005-0000-0000-000018020000}"/>
    <cellStyle name="Comma 5 2 2 2 2 2 5 2" xfId="24330" xr:uid="{00000000-0005-0000-0000-000019020000}"/>
    <cellStyle name="Comma 5 2 2 2 2 2 5 2 2" xfId="49204" xr:uid="{00000000-0005-0000-0000-00001A020000}"/>
    <cellStyle name="Comma 5 2 2 2 2 2 5 3" xfId="36771" xr:uid="{00000000-0005-0000-0000-00001B020000}"/>
    <cellStyle name="Comma 5 2 2 2 2 2 6" xfId="6946" xr:uid="{00000000-0005-0000-0000-00001C020000}"/>
    <cellStyle name="Comma 5 2 2 2 2 2 6 2" xfId="19395" xr:uid="{00000000-0005-0000-0000-00001D020000}"/>
    <cellStyle name="Comma 5 2 2 2 2 2 6 2 2" xfId="44269" xr:uid="{00000000-0005-0000-0000-00001E020000}"/>
    <cellStyle name="Comma 5 2 2 2 2 2 6 3" xfId="31836" xr:uid="{00000000-0005-0000-0000-00001F020000}"/>
    <cellStyle name="Comma 5 2 2 2 2 2 7" xfId="3400" xr:uid="{00000000-0005-0000-0000-000020020000}"/>
    <cellStyle name="Comma 5 2 2 2 2 2 7 2" xfId="15906" xr:uid="{00000000-0005-0000-0000-000021020000}"/>
    <cellStyle name="Comma 5 2 2 2 2 2 7 2 2" xfId="40780" xr:uid="{00000000-0005-0000-0000-000022020000}"/>
    <cellStyle name="Comma 5 2 2 2 2 2 7 3" xfId="28339" xr:uid="{00000000-0005-0000-0000-000023020000}"/>
    <cellStyle name="Comma 5 2 2 2 2 2 8" xfId="13663" xr:uid="{00000000-0005-0000-0000-000024020000}"/>
    <cellStyle name="Comma 5 2 2 2 2 2 8 2" xfId="38537" xr:uid="{00000000-0005-0000-0000-000025020000}"/>
    <cellStyle name="Comma 5 2 2 2 2 2 9" xfId="26096" xr:uid="{00000000-0005-0000-0000-000026020000}"/>
    <cellStyle name="Comma 5 2 2 2 2 3" xfId="1629" xr:uid="{00000000-0005-0000-0000-000027020000}"/>
    <cellStyle name="Comma 5 2 2 2 2 3 2" xfId="4367" xr:uid="{00000000-0005-0000-0000-000028020000}"/>
    <cellStyle name="Comma 5 2 2 2 2 3 2 2" xfId="9385" xr:uid="{00000000-0005-0000-0000-000029020000}"/>
    <cellStyle name="Comma 5 2 2 2 2 3 2 2 2" xfId="21828" xr:uid="{00000000-0005-0000-0000-00002A020000}"/>
    <cellStyle name="Comma 5 2 2 2 2 3 2 2 2 2" xfId="46702" xr:uid="{00000000-0005-0000-0000-00002B020000}"/>
    <cellStyle name="Comma 5 2 2 2 2 3 2 2 3" xfId="34269" xr:uid="{00000000-0005-0000-0000-00002C020000}"/>
    <cellStyle name="Comma 5 2 2 2 2 3 2 3" xfId="16821" xr:uid="{00000000-0005-0000-0000-00002D020000}"/>
    <cellStyle name="Comma 5 2 2 2 2 3 2 3 2" xfId="41695" xr:uid="{00000000-0005-0000-0000-00002E020000}"/>
    <cellStyle name="Comma 5 2 2 2 2 3 2 4" xfId="29262" xr:uid="{00000000-0005-0000-0000-00002F020000}"/>
    <cellStyle name="Comma 5 2 2 2 2 3 3" xfId="5775" xr:uid="{00000000-0005-0000-0000-000030020000}"/>
    <cellStyle name="Comma 5 2 2 2 2 3 3 2" xfId="10790" xr:uid="{00000000-0005-0000-0000-000031020000}"/>
    <cellStyle name="Comma 5 2 2 2 2 3 3 2 2" xfId="23233" xr:uid="{00000000-0005-0000-0000-000032020000}"/>
    <cellStyle name="Comma 5 2 2 2 2 3 3 2 2 2" xfId="48107" xr:uid="{00000000-0005-0000-0000-000033020000}"/>
    <cellStyle name="Comma 5 2 2 2 2 3 3 2 3" xfId="35674" xr:uid="{00000000-0005-0000-0000-000034020000}"/>
    <cellStyle name="Comma 5 2 2 2 2 3 3 3" xfId="18226" xr:uid="{00000000-0005-0000-0000-000035020000}"/>
    <cellStyle name="Comma 5 2 2 2 2 3 3 3 2" xfId="43100" xr:uid="{00000000-0005-0000-0000-000036020000}"/>
    <cellStyle name="Comma 5 2 2 2 2 3 3 4" xfId="30667" xr:uid="{00000000-0005-0000-0000-000037020000}"/>
    <cellStyle name="Comma 5 2 2 2 2 3 4" xfId="8501" xr:uid="{00000000-0005-0000-0000-000038020000}"/>
    <cellStyle name="Comma 5 2 2 2 2 3 4 2" xfId="20945" xr:uid="{00000000-0005-0000-0000-000039020000}"/>
    <cellStyle name="Comma 5 2 2 2 2 3 4 2 2" xfId="45819" xr:uid="{00000000-0005-0000-0000-00003A020000}"/>
    <cellStyle name="Comma 5 2 2 2 2 3 4 3" xfId="33386" xr:uid="{00000000-0005-0000-0000-00003B020000}"/>
    <cellStyle name="Comma 5 2 2 2 2 3 5" xfId="12244" xr:uid="{00000000-0005-0000-0000-00003C020000}"/>
    <cellStyle name="Comma 5 2 2 2 2 3 5 2" xfId="24678" xr:uid="{00000000-0005-0000-0000-00003D020000}"/>
    <cellStyle name="Comma 5 2 2 2 2 3 5 2 2" xfId="49552" xr:uid="{00000000-0005-0000-0000-00003E020000}"/>
    <cellStyle name="Comma 5 2 2 2 2 3 5 3" xfId="37119" xr:uid="{00000000-0005-0000-0000-00003F020000}"/>
    <cellStyle name="Comma 5 2 2 2 2 3 6" xfId="6978" xr:uid="{00000000-0005-0000-0000-000040020000}"/>
    <cellStyle name="Comma 5 2 2 2 2 3 6 2" xfId="19427" xr:uid="{00000000-0005-0000-0000-000041020000}"/>
    <cellStyle name="Comma 5 2 2 2 2 3 6 2 2" xfId="44301" xr:uid="{00000000-0005-0000-0000-000042020000}"/>
    <cellStyle name="Comma 5 2 2 2 2 3 6 3" xfId="31868" xr:uid="{00000000-0005-0000-0000-000043020000}"/>
    <cellStyle name="Comma 5 2 2 2 2 3 7" xfId="3432" xr:uid="{00000000-0005-0000-0000-000044020000}"/>
    <cellStyle name="Comma 5 2 2 2 2 3 7 2" xfId="15938" xr:uid="{00000000-0005-0000-0000-000045020000}"/>
    <cellStyle name="Comma 5 2 2 2 2 3 7 2 2" xfId="40812" xr:uid="{00000000-0005-0000-0000-000046020000}"/>
    <cellStyle name="Comma 5 2 2 2 2 3 7 3" xfId="28371" xr:uid="{00000000-0005-0000-0000-000047020000}"/>
    <cellStyle name="Comma 5 2 2 2 2 3 8" xfId="14429" xr:uid="{00000000-0005-0000-0000-000048020000}"/>
    <cellStyle name="Comma 5 2 2 2 2 3 8 2" xfId="39303" xr:uid="{00000000-0005-0000-0000-000049020000}"/>
    <cellStyle name="Comma 5 2 2 2 2 3 9" xfId="26862" xr:uid="{00000000-0005-0000-0000-00004A020000}"/>
    <cellStyle name="Comma 5 2 2 2 2 4" xfId="2421" xr:uid="{00000000-0005-0000-0000-00004B020000}"/>
    <cellStyle name="Comma 5 2 2 2 2 4 2" xfId="5045" xr:uid="{00000000-0005-0000-0000-00004C020000}"/>
    <cellStyle name="Comma 5 2 2 2 2 4 2 2" xfId="10062" xr:uid="{00000000-0005-0000-0000-00004D020000}"/>
    <cellStyle name="Comma 5 2 2 2 2 4 2 2 2" xfId="22505" xr:uid="{00000000-0005-0000-0000-00004E020000}"/>
    <cellStyle name="Comma 5 2 2 2 2 4 2 2 2 2" xfId="47379" xr:uid="{00000000-0005-0000-0000-00004F020000}"/>
    <cellStyle name="Comma 5 2 2 2 2 4 2 2 3" xfId="34946" xr:uid="{00000000-0005-0000-0000-000050020000}"/>
    <cellStyle name="Comma 5 2 2 2 2 4 2 3" xfId="17498" xr:uid="{00000000-0005-0000-0000-000051020000}"/>
    <cellStyle name="Comma 5 2 2 2 2 4 2 3 2" xfId="42372" xr:uid="{00000000-0005-0000-0000-000052020000}"/>
    <cellStyle name="Comma 5 2 2 2 2 4 2 4" xfId="29939" xr:uid="{00000000-0005-0000-0000-000053020000}"/>
    <cellStyle name="Comma 5 2 2 2 2 4 3" xfId="6443" xr:uid="{00000000-0005-0000-0000-000054020000}"/>
    <cellStyle name="Comma 5 2 2 2 2 4 3 2" xfId="11458" xr:uid="{00000000-0005-0000-0000-000055020000}"/>
    <cellStyle name="Comma 5 2 2 2 2 4 3 2 2" xfId="23901" xr:uid="{00000000-0005-0000-0000-000056020000}"/>
    <cellStyle name="Comma 5 2 2 2 2 4 3 2 2 2" xfId="48775" xr:uid="{00000000-0005-0000-0000-000057020000}"/>
    <cellStyle name="Comma 5 2 2 2 2 4 3 2 3" xfId="36342" xr:uid="{00000000-0005-0000-0000-000058020000}"/>
    <cellStyle name="Comma 5 2 2 2 2 4 3 3" xfId="18894" xr:uid="{00000000-0005-0000-0000-000059020000}"/>
    <cellStyle name="Comma 5 2 2 2 2 4 3 3 2" xfId="43768" xr:uid="{00000000-0005-0000-0000-00005A020000}"/>
    <cellStyle name="Comma 5 2 2 2 2 4 3 4" xfId="31335" xr:uid="{00000000-0005-0000-0000-00005B020000}"/>
    <cellStyle name="Comma 5 2 2 2 2 4 4" xfId="8150" xr:uid="{00000000-0005-0000-0000-00005C020000}"/>
    <cellStyle name="Comma 5 2 2 2 2 4 4 2" xfId="20596" xr:uid="{00000000-0005-0000-0000-00005D020000}"/>
    <cellStyle name="Comma 5 2 2 2 2 4 4 2 2" xfId="45470" xr:uid="{00000000-0005-0000-0000-00005E020000}"/>
    <cellStyle name="Comma 5 2 2 2 2 4 4 3" xfId="33037" xr:uid="{00000000-0005-0000-0000-00005F020000}"/>
    <cellStyle name="Comma 5 2 2 2 2 4 5" xfId="12912" xr:uid="{00000000-0005-0000-0000-000060020000}"/>
    <cellStyle name="Comma 5 2 2 2 2 4 5 2" xfId="25346" xr:uid="{00000000-0005-0000-0000-000061020000}"/>
    <cellStyle name="Comma 5 2 2 2 2 4 5 2 2" xfId="50220" xr:uid="{00000000-0005-0000-0000-000062020000}"/>
    <cellStyle name="Comma 5 2 2 2 2 4 5 3" xfId="37787" xr:uid="{00000000-0005-0000-0000-000063020000}"/>
    <cellStyle name="Comma 5 2 2 2 2 4 6" xfId="7656" xr:uid="{00000000-0005-0000-0000-000064020000}"/>
    <cellStyle name="Comma 5 2 2 2 2 4 6 2" xfId="20104" xr:uid="{00000000-0005-0000-0000-000065020000}"/>
    <cellStyle name="Comma 5 2 2 2 2 4 6 2 2" xfId="44978" xr:uid="{00000000-0005-0000-0000-000066020000}"/>
    <cellStyle name="Comma 5 2 2 2 2 4 6 3" xfId="32545" xr:uid="{00000000-0005-0000-0000-000067020000}"/>
    <cellStyle name="Comma 5 2 2 2 2 4 7" xfId="3080" xr:uid="{00000000-0005-0000-0000-000068020000}"/>
    <cellStyle name="Comma 5 2 2 2 2 4 7 2" xfId="15589" xr:uid="{00000000-0005-0000-0000-000069020000}"/>
    <cellStyle name="Comma 5 2 2 2 2 4 7 2 2" xfId="40463" xr:uid="{00000000-0005-0000-0000-00006A020000}"/>
    <cellStyle name="Comma 5 2 2 2 2 4 7 3" xfId="28022" xr:uid="{00000000-0005-0000-0000-00006B020000}"/>
    <cellStyle name="Comma 5 2 2 2 2 4 8" xfId="15097" xr:uid="{00000000-0005-0000-0000-00006C020000}"/>
    <cellStyle name="Comma 5 2 2 2 2 4 8 2" xfId="39971" xr:uid="{00000000-0005-0000-0000-00006D020000}"/>
    <cellStyle name="Comma 5 2 2 2 2 4 9" xfId="27530" xr:uid="{00000000-0005-0000-0000-00006E020000}"/>
    <cellStyle name="Comma 5 2 2 2 2 5" xfId="1254" xr:uid="{00000000-0005-0000-0000-00006F020000}"/>
    <cellStyle name="Comma 5 2 2 2 2 5 2" xfId="9036" xr:uid="{00000000-0005-0000-0000-000070020000}"/>
    <cellStyle name="Comma 5 2 2 2 2 5 2 2" xfId="21479" xr:uid="{00000000-0005-0000-0000-000071020000}"/>
    <cellStyle name="Comma 5 2 2 2 2 5 2 2 2" xfId="46353" xr:uid="{00000000-0005-0000-0000-000072020000}"/>
    <cellStyle name="Comma 5 2 2 2 2 5 2 3" xfId="33920" xr:uid="{00000000-0005-0000-0000-000073020000}"/>
    <cellStyle name="Comma 5 2 2 2 2 5 3" xfId="4018" xr:uid="{00000000-0005-0000-0000-000074020000}"/>
    <cellStyle name="Comma 5 2 2 2 2 5 3 2" xfId="16472" xr:uid="{00000000-0005-0000-0000-000075020000}"/>
    <cellStyle name="Comma 5 2 2 2 2 5 3 2 2" xfId="41346" xr:uid="{00000000-0005-0000-0000-000076020000}"/>
    <cellStyle name="Comma 5 2 2 2 2 5 3 3" xfId="28913" xr:uid="{00000000-0005-0000-0000-000077020000}"/>
    <cellStyle name="Comma 5 2 2 2 2 5 4" xfId="14054" xr:uid="{00000000-0005-0000-0000-000078020000}"/>
    <cellStyle name="Comma 5 2 2 2 2 5 4 2" xfId="38928" xr:uid="{00000000-0005-0000-0000-000079020000}"/>
    <cellStyle name="Comma 5 2 2 2 2 5 5" xfId="26487" xr:uid="{00000000-0005-0000-0000-00007A020000}"/>
    <cellStyle name="Comma 5 2 2 2 2 6" xfId="5399" xr:uid="{00000000-0005-0000-0000-00007B020000}"/>
    <cellStyle name="Comma 5 2 2 2 2 6 2" xfId="10415" xr:uid="{00000000-0005-0000-0000-00007C020000}"/>
    <cellStyle name="Comma 5 2 2 2 2 6 2 2" xfId="22858" xr:uid="{00000000-0005-0000-0000-00007D020000}"/>
    <cellStyle name="Comma 5 2 2 2 2 6 2 2 2" xfId="47732" xr:uid="{00000000-0005-0000-0000-00007E020000}"/>
    <cellStyle name="Comma 5 2 2 2 2 6 2 3" xfId="35299" xr:uid="{00000000-0005-0000-0000-00007F020000}"/>
    <cellStyle name="Comma 5 2 2 2 2 6 3" xfId="17851" xr:uid="{00000000-0005-0000-0000-000080020000}"/>
    <cellStyle name="Comma 5 2 2 2 2 6 3 2" xfId="42725" xr:uid="{00000000-0005-0000-0000-000081020000}"/>
    <cellStyle name="Comma 5 2 2 2 2 6 4" xfId="30292" xr:uid="{00000000-0005-0000-0000-000082020000}"/>
    <cellStyle name="Comma 5 2 2 2 2 7" xfId="7976" xr:uid="{00000000-0005-0000-0000-000083020000}"/>
    <cellStyle name="Comma 5 2 2 2 2 7 2" xfId="20422" xr:uid="{00000000-0005-0000-0000-000084020000}"/>
    <cellStyle name="Comma 5 2 2 2 2 7 2 2" xfId="45296" xr:uid="{00000000-0005-0000-0000-000085020000}"/>
    <cellStyle name="Comma 5 2 2 2 2 7 3" xfId="32863" xr:uid="{00000000-0005-0000-0000-000086020000}"/>
    <cellStyle name="Comma 5 2 2 2 2 8" xfId="11869" xr:uid="{00000000-0005-0000-0000-000087020000}"/>
    <cellStyle name="Comma 5 2 2 2 2 8 2" xfId="24303" xr:uid="{00000000-0005-0000-0000-000088020000}"/>
    <cellStyle name="Comma 5 2 2 2 2 8 2 2" xfId="49177" xr:uid="{00000000-0005-0000-0000-000089020000}"/>
    <cellStyle name="Comma 5 2 2 2 2 8 3" xfId="36744" xr:uid="{00000000-0005-0000-0000-00008A020000}"/>
    <cellStyle name="Comma 5 2 2 2 2 9" xfId="6629" xr:uid="{00000000-0005-0000-0000-00008B020000}"/>
    <cellStyle name="Comma 5 2 2 2 2 9 2" xfId="19078" xr:uid="{00000000-0005-0000-0000-00008C020000}"/>
    <cellStyle name="Comma 5 2 2 2 2 9 2 2" xfId="43952" xr:uid="{00000000-0005-0000-0000-00008D020000}"/>
    <cellStyle name="Comma 5 2 2 2 2 9 3" xfId="31519" xr:uid="{00000000-0005-0000-0000-00008E020000}"/>
    <cellStyle name="Comma 5 2 2 2 3" xfId="396" xr:uid="{00000000-0005-0000-0000-00008F020000}"/>
    <cellStyle name="Comma 5 2 2 2 3 10" xfId="13212" xr:uid="{00000000-0005-0000-0000-000090020000}"/>
    <cellStyle name="Comma 5 2 2 2 3 10 2" xfId="38086" xr:uid="{00000000-0005-0000-0000-000091020000}"/>
    <cellStyle name="Comma 5 2 2 2 3 11" xfId="25645" xr:uid="{00000000-0005-0000-0000-000092020000}"/>
    <cellStyle name="Comma 5 2 2 2 3 2" xfId="756" xr:uid="{00000000-0005-0000-0000-000093020000}"/>
    <cellStyle name="Comma 5 2 2 2 3 2 2" xfId="1282" xr:uid="{00000000-0005-0000-0000-000094020000}"/>
    <cellStyle name="Comma 5 2 2 2 3 2 2 2" xfId="9386" xr:uid="{00000000-0005-0000-0000-000095020000}"/>
    <cellStyle name="Comma 5 2 2 2 3 2 2 2 2" xfId="21829" xr:uid="{00000000-0005-0000-0000-000096020000}"/>
    <cellStyle name="Comma 5 2 2 2 3 2 2 2 2 2" xfId="46703" xr:uid="{00000000-0005-0000-0000-000097020000}"/>
    <cellStyle name="Comma 5 2 2 2 3 2 2 2 3" xfId="34270" xr:uid="{00000000-0005-0000-0000-000098020000}"/>
    <cellStyle name="Comma 5 2 2 2 3 2 2 3" xfId="4368" xr:uid="{00000000-0005-0000-0000-000099020000}"/>
    <cellStyle name="Comma 5 2 2 2 3 2 2 3 2" xfId="16822" xr:uid="{00000000-0005-0000-0000-00009A020000}"/>
    <cellStyle name="Comma 5 2 2 2 3 2 2 3 2 2" xfId="41696" xr:uid="{00000000-0005-0000-0000-00009B020000}"/>
    <cellStyle name="Comma 5 2 2 2 3 2 2 3 3" xfId="29263" xr:uid="{00000000-0005-0000-0000-00009C020000}"/>
    <cellStyle name="Comma 5 2 2 2 3 2 2 4" xfId="14082" xr:uid="{00000000-0005-0000-0000-00009D020000}"/>
    <cellStyle name="Comma 5 2 2 2 3 2 2 4 2" xfId="38956" xr:uid="{00000000-0005-0000-0000-00009E020000}"/>
    <cellStyle name="Comma 5 2 2 2 3 2 2 5" xfId="26515" xr:uid="{00000000-0005-0000-0000-00009F020000}"/>
    <cellStyle name="Comma 5 2 2 2 3 2 3" xfId="5427" xr:uid="{00000000-0005-0000-0000-0000A0020000}"/>
    <cellStyle name="Comma 5 2 2 2 3 2 3 2" xfId="10443" xr:uid="{00000000-0005-0000-0000-0000A1020000}"/>
    <cellStyle name="Comma 5 2 2 2 3 2 3 2 2" xfId="22886" xr:uid="{00000000-0005-0000-0000-0000A2020000}"/>
    <cellStyle name="Comma 5 2 2 2 3 2 3 2 2 2" xfId="47760" xr:uid="{00000000-0005-0000-0000-0000A3020000}"/>
    <cellStyle name="Comma 5 2 2 2 3 2 3 2 3" xfId="35327" xr:uid="{00000000-0005-0000-0000-0000A4020000}"/>
    <cellStyle name="Comma 5 2 2 2 3 2 3 3" xfId="17879" xr:uid="{00000000-0005-0000-0000-0000A5020000}"/>
    <cellStyle name="Comma 5 2 2 2 3 2 3 3 2" xfId="42753" xr:uid="{00000000-0005-0000-0000-0000A6020000}"/>
    <cellStyle name="Comma 5 2 2 2 3 2 3 4" xfId="30320" xr:uid="{00000000-0005-0000-0000-0000A7020000}"/>
    <cellStyle name="Comma 5 2 2 2 3 2 4" xfId="8502" xr:uid="{00000000-0005-0000-0000-0000A8020000}"/>
    <cellStyle name="Comma 5 2 2 2 3 2 4 2" xfId="20946" xr:uid="{00000000-0005-0000-0000-0000A9020000}"/>
    <cellStyle name="Comma 5 2 2 2 3 2 4 2 2" xfId="45820" xr:uid="{00000000-0005-0000-0000-0000AA020000}"/>
    <cellStyle name="Comma 5 2 2 2 3 2 4 3" xfId="33387" xr:uid="{00000000-0005-0000-0000-0000AB020000}"/>
    <cellStyle name="Comma 5 2 2 2 3 2 5" xfId="11897" xr:uid="{00000000-0005-0000-0000-0000AC020000}"/>
    <cellStyle name="Comma 5 2 2 2 3 2 5 2" xfId="24331" xr:uid="{00000000-0005-0000-0000-0000AD020000}"/>
    <cellStyle name="Comma 5 2 2 2 3 2 5 2 2" xfId="49205" xr:uid="{00000000-0005-0000-0000-0000AE020000}"/>
    <cellStyle name="Comma 5 2 2 2 3 2 5 3" xfId="36772" xr:uid="{00000000-0005-0000-0000-0000AF020000}"/>
    <cellStyle name="Comma 5 2 2 2 3 2 6" xfId="6979" xr:uid="{00000000-0005-0000-0000-0000B0020000}"/>
    <cellStyle name="Comma 5 2 2 2 3 2 6 2" xfId="19428" xr:uid="{00000000-0005-0000-0000-0000B1020000}"/>
    <cellStyle name="Comma 5 2 2 2 3 2 6 2 2" xfId="44302" xr:uid="{00000000-0005-0000-0000-0000B2020000}"/>
    <cellStyle name="Comma 5 2 2 2 3 2 6 3" xfId="31869" xr:uid="{00000000-0005-0000-0000-0000B3020000}"/>
    <cellStyle name="Comma 5 2 2 2 3 2 7" xfId="3433" xr:uid="{00000000-0005-0000-0000-0000B4020000}"/>
    <cellStyle name="Comma 5 2 2 2 3 2 7 2" xfId="15939" xr:uid="{00000000-0005-0000-0000-0000B5020000}"/>
    <cellStyle name="Comma 5 2 2 2 3 2 7 2 2" xfId="40813" xr:uid="{00000000-0005-0000-0000-0000B6020000}"/>
    <cellStyle name="Comma 5 2 2 2 3 2 7 3" xfId="28372" xr:uid="{00000000-0005-0000-0000-0000B7020000}"/>
    <cellStyle name="Comma 5 2 2 2 3 2 8" xfId="13559" xr:uid="{00000000-0005-0000-0000-0000B8020000}"/>
    <cellStyle name="Comma 5 2 2 2 3 2 8 2" xfId="38433" xr:uid="{00000000-0005-0000-0000-0000B9020000}"/>
    <cellStyle name="Comma 5 2 2 2 3 2 9" xfId="25992" xr:uid="{00000000-0005-0000-0000-0000BA020000}"/>
    <cellStyle name="Comma 5 2 2 2 3 3" xfId="1630" xr:uid="{00000000-0005-0000-0000-0000BB020000}"/>
    <cellStyle name="Comma 5 2 2 2 3 3 2" xfId="4941" xr:uid="{00000000-0005-0000-0000-0000BC020000}"/>
    <cellStyle name="Comma 5 2 2 2 3 3 2 2" xfId="9958" xr:uid="{00000000-0005-0000-0000-0000BD020000}"/>
    <cellStyle name="Comma 5 2 2 2 3 3 2 2 2" xfId="22401" xr:uid="{00000000-0005-0000-0000-0000BE020000}"/>
    <cellStyle name="Comma 5 2 2 2 3 3 2 2 2 2" xfId="47275" xr:uid="{00000000-0005-0000-0000-0000BF020000}"/>
    <cellStyle name="Comma 5 2 2 2 3 3 2 2 3" xfId="34842" xr:uid="{00000000-0005-0000-0000-0000C0020000}"/>
    <cellStyle name="Comma 5 2 2 2 3 3 2 3" xfId="17394" xr:uid="{00000000-0005-0000-0000-0000C1020000}"/>
    <cellStyle name="Comma 5 2 2 2 3 3 2 3 2" xfId="42268" xr:uid="{00000000-0005-0000-0000-0000C2020000}"/>
    <cellStyle name="Comma 5 2 2 2 3 3 2 4" xfId="29835" xr:uid="{00000000-0005-0000-0000-0000C3020000}"/>
    <cellStyle name="Comma 5 2 2 2 3 3 3" xfId="5776" xr:uid="{00000000-0005-0000-0000-0000C4020000}"/>
    <cellStyle name="Comma 5 2 2 2 3 3 3 2" xfId="10791" xr:uid="{00000000-0005-0000-0000-0000C5020000}"/>
    <cellStyle name="Comma 5 2 2 2 3 3 3 2 2" xfId="23234" xr:uid="{00000000-0005-0000-0000-0000C6020000}"/>
    <cellStyle name="Comma 5 2 2 2 3 3 3 2 2 2" xfId="48108" xr:uid="{00000000-0005-0000-0000-0000C7020000}"/>
    <cellStyle name="Comma 5 2 2 2 3 3 3 2 3" xfId="35675" xr:uid="{00000000-0005-0000-0000-0000C8020000}"/>
    <cellStyle name="Comma 5 2 2 2 3 3 3 3" xfId="18227" xr:uid="{00000000-0005-0000-0000-0000C9020000}"/>
    <cellStyle name="Comma 5 2 2 2 3 3 3 3 2" xfId="43101" xr:uid="{00000000-0005-0000-0000-0000CA020000}"/>
    <cellStyle name="Comma 5 2 2 2 3 3 3 4" xfId="30668" xr:uid="{00000000-0005-0000-0000-0000CB020000}"/>
    <cellStyle name="Comma 5 2 2 2 3 3 4" xfId="8365" xr:uid="{00000000-0005-0000-0000-0000CC020000}"/>
    <cellStyle name="Comma 5 2 2 2 3 3 4 2" xfId="20809" xr:uid="{00000000-0005-0000-0000-0000CD020000}"/>
    <cellStyle name="Comma 5 2 2 2 3 3 4 2 2" xfId="45683" xr:uid="{00000000-0005-0000-0000-0000CE020000}"/>
    <cellStyle name="Comma 5 2 2 2 3 3 4 3" xfId="33250" xr:uid="{00000000-0005-0000-0000-0000CF020000}"/>
    <cellStyle name="Comma 5 2 2 2 3 3 5" xfId="12245" xr:uid="{00000000-0005-0000-0000-0000D0020000}"/>
    <cellStyle name="Comma 5 2 2 2 3 3 5 2" xfId="24679" xr:uid="{00000000-0005-0000-0000-0000D1020000}"/>
    <cellStyle name="Comma 5 2 2 2 3 3 5 2 2" xfId="49553" xr:uid="{00000000-0005-0000-0000-0000D2020000}"/>
    <cellStyle name="Comma 5 2 2 2 3 3 5 3" xfId="37120" xr:uid="{00000000-0005-0000-0000-0000D3020000}"/>
    <cellStyle name="Comma 5 2 2 2 3 3 6" xfId="7552" xr:uid="{00000000-0005-0000-0000-0000D4020000}"/>
    <cellStyle name="Comma 5 2 2 2 3 3 6 2" xfId="20000" xr:uid="{00000000-0005-0000-0000-0000D5020000}"/>
    <cellStyle name="Comma 5 2 2 2 3 3 6 2 2" xfId="44874" xr:uid="{00000000-0005-0000-0000-0000D6020000}"/>
    <cellStyle name="Comma 5 2 2 2 3 3 6 3" xfId="32441" xr:uid="{00000000-0005-0000-0000-0000D7020000}"/>
    <cellStyle name="Comma 5 2 2 2 3 3 7" xfId="3296" xr:uid="{00000000-0005-0000-0000-0000D8020000}"/>
    <cellStyle name="Comma 5 2 2 2 3 3 7 2" xfId="15802" xr:uid="{00000000-0005-0000-0000-0000D9020000}"/>
    <cellStyle name="Comma 5 2 2 2 3 3 7 2 2" xfId="40676" xr:uid="{00000000-0005-0000-0000-0000DA020000}"/>
    <cellStyle name="Comma 5 2 2 2 3 3 7 3" xfId="28235" xr:uid="{00000000-0005-0000-0000-0000DB020000}"/>
    <cellStyle name="Comma 5 2 2 2 3 3 8" xfId="14430" xr:uid="{00000000-0005-0000-0000-0000DC020000}"/>
    <cellStyle name="Comma 5 2 2 2 3 3 8 2" xfId="39304" xr:uid="{00000000-0005-0000-0000-0000DD020000}"/>
    <cellStyle name="Comma 5 2 2 2 3 3 9" xfId="26863" xr:uid="{00000000-0005-0000-0000-0000DE020000}"/>
    <cellStyle name="Comma 5 2 2 2 3 4" xfId="2314" xr:uid="{00000000-0005-0000-0000-0000DF020000}"/>
    <cellStyle name="Comma 5 2 2 2 3 4 2" xfId="6339" xr:uid="{00000000-0005-0000-0000-0000E0020000}"/>
    <cellStyle name="Comma 5 2 2 2 3 4 2 2" xfId="11354" xr:uid="{00000000-0005-0000-0000-0000E1020000}"/>
    <cellStyle name="Comma 5 2 2 2 3 4 2 2 2" xfId="23797" xr:uid="{00000000-0005-0000-0000-0000E2020000}"/>
    <cellStyle name="Comma 5 2 2 2 3 4 2 2 2 2" xfId="48671" xr:uid="{00000000-0005-0000-0000-0000E3020000}"/>
    <cellStyle name="Comma 5 2 2 2 3 4 2 2 3" xfId="36238" xr:uid="{00000000-0005-0000-0000-0000E4020000}"/>
    <cellStyle name="Comma 5 2 2 2 3 4 2 3" xfId="18790" xr:uid="{00000000-0005-0000-0000-0000E5020000}"/>
    <cellStyle name="Comma 5 2 2 2 3 4 2 3 2" xfId="43664" xr:uid="{00000000-0005-0000-0000-0000E6020000}"/>
    <cellStyle name="Comma 5 2 2 2 3 4 2 4" xfId="31231" xr:uid="{00000000-0005-0000-0000-0000E7020000}"/>
    <cellStyle name="Comma 5 2 2 2 3 4 3" xfId="12808" xr:uid="{00000000-0005-0000-0000-0000E8020000}"/>
    <cellStyle name="Comma 5 2 2 2 3 4 3 2" xfId="25242" xr:uid="{00000000-0005-0000-0000-0000E9020000}"/>
    <cellStyle name="Comma 5 2 2 2 3 4 3 2 2" xfId="50116" xr:uid="{00000000-0005-0000-0000-0000EA020000}"/>
    <cellStyle name="Comma 5 2 2 2 3 4 3 3" xfId="37683" xr:uid="{00000000-0005-0000-0000-0000EB020000}"/>
    <cellStyle name="Comma 5 2 2 2 3 4 4" xfId="9249" xr:uid="{00000000-0005-0000-0000-0000EC020000}"/>
    <cellStyle name="Comma 5 2 2 2 3 4 4 2" xfId="21692" xr:uid="{00000000-0005-0000-0000-0000ED020000}"/>
    <cellStyle name="Comma 5 2 2 2 3 4 4 2 2" xfId="46566" xr:uid="{00000000-0005-0000-0000-0000EE020000}"/>
    <cellStyle name="Comma 5 2 2 2 3 4 4 3" xfId="34133" xr:uid="{00000000-0005-0000-0000-0000EF020000}"/>
    <cellStyle name="Comma 5 2 2 2 3 4 5" xfId="4231" xr:uid="{00000000-0005-0000-0000-0000F0020000}"/>
    <cellStyle name="Comma 5 2 2 2 3 4 5 2" xfId="16685" xr:uid="{00000000-0005-0000-0000-0000F1020000}"/>
    <cellStyle name="Comma 5 2 2 2 3 4 5 2 2" xfId="41559" xr:uid="{00000000-0005-0000-0000-0000F2020000}"/>
    <cellStyle name="Comma 5 2 2 2 3 4 5 3" xfId="29126" xr:uid="{00000000-0005-0000-0000-0000F3020000}"/>
    <cellStyle name="Comma 5 2 2 2 3 4 6" xfId="14993" xr:uid="{00000000-0005-0000-0000-0000F4020000}"/>
    <cellStyle name="Comma 5 2 2 2 3 4 6 2" xfId="39867" xr:uid="{00000000-0005-0000-0000-0000F5020000}"/>
    <cellStyle name="Comma 5 2 2 2 3 4 7" xfId="27426" xr:uid="{00000000-0005-0000-0000-0000F6020000}"/>
    <cellStyle name="Comma 5 2 2 2 3 5" xfId="1150" xr:uid="{00000000-0005-0000-0000-0000F7020000}"/>
    <cellStyle name="Comma 5 2 2 2 3 5 2" xfId="10311" xr:uid="{00000000-0005-0000-0000-0000F8020000}"/>
    <cellStyle name="Comma 5 2 2 2 3 5 2 2" xfId="22754" xr:uid="{00000000-0005-0000-0000-0000F9020000}"/>
    <cellStyle name="Comma 5 2 2 2 3 5 2 2 2" xfId="47628" xr:uid="{00000000-0005-0000-0000-0000FA020000}"/>
    <cellStyle name="Comma 5 2 2 2 3 5 2 3" xfId="35195" xr:uid="{00000000-0005-0000-0000-0000FB020000}"/>
    <cellStyle name="Comma 5 2 2 2 3 5 3" xfId="5295" xr:uid="{00000000-0005-0000-0000-0000FC020000}"/>
    <cellStyle name="Comma 5 2 2 2 3 5 3 2" xfId="17747" xr:uid="{00000000-0005-0000-0000-0000FD020000}"/>
    <cellStyle name="Comma 5 2 2 2 3 5 3 2 2" xfId="42621" xr:uid="{00000000-0005-0000-0000-0000FE020000}"/>
    <cellStyle name="Comma 5 2 2 2 3 5 3 3" xfId="30188" xr:uid="{00000000-0005-0000-0000-0000FF020000}"/>
    <cellStyle name="Comma 5 2 2 2 3 5 4" xfId="13950" xr:uid="{00000000-0005-0000-0000-000000030000}"/>
    <cellStyle name="Comma 5 2 2 2 3 5 4 2" xfId="38824" xr:uid="{00000000-0005-0000-0000-000001030000}"/>
    <cellStyle name="Comma 5 2 2 2 3 5 5" xfId="26383" xr:uid="{00000000-0005-0000-0000-000002030000}"/>
    <cellStyle name="Comma 5 2 2 2 3 6" xfId="7872" xr:uid="{00000000-0005-0000-0000-000003030000}"/>
    <cellStyle name="Comma 5 2 2 2 3 6 2" xfId="20318" xr:uid="{00000000-0005-0000-0000-000004030000}"/>
    <cellStyle name="Comma 5 2 2 2 3 6 2 2" xfId="45192" xr:uid="{00000000-0005-0000-0000-000005030000}"/>
    <cellStyle name="Comma 5 2 2 2 3 6 3" xfId="32759" xr:uid="{00000000-0005-0000-0000-000006030000}"/>
    <cellStyle name="Comma 5 2 2 2 3 7" xfId="11765" xr:uid="{00000000-0005-0000-0000-000007030000}"/>
    <cellStyle name="Comma 5 2 2 2 3 7 2" xfId="24199" xr:uid="{00000000-0005-0000-0000-000008030000}"/>
    <cellStyle name="Comma 5 2 2 2 3 7 2 2" xfId="49073" xr:uid="{00000000-0005-0000-0000-000009030000}"/>
    <cellStyle name="Comma 5 2 2 2 3 7 3" xfId="36640" xr:uid="{00000000-0005-0000-0000-00000A030000}"/>
    <cellStyle name="Comma 5 2 2 2 3 8" xfId="6842" xr:uid="{00000000-0005-0000-0000-00000B030000}"/>
    <cellStyle name="Comma 5 2 2 2 3 8 2" xfId="19291" xr:uid="{00000000-0005-0000-0000-00000C030000}"/>
    <cellStyle name="Comma 5 2 2 2 3 8 2 2" xfId="44165" xr:uid="{00000000-0005-0000-0000-00000D030000}"/>
    <cellStyle name="Comma 5 2 2 2 3 8 3" xfId="31732" xr:uid="{00000000-0005-0000-0000-00000E030000}"/>
    <cellStyle name="Comma 5 2 2 2 3 9" xfId="2793" xr:uid="{00000000-0005-0000-0000-00000F030000}"/>
    <cellStyle name="Comma 5 2 2 2 3 9 2" xfId="15311" xr:uid="{00000000-0005-0000-0000-000010030000}"/>
    <cellStyle name="Comma 5 2 2 2 3 9 2 2" xfId="40185" xr:uid="{00000000-0005-0000-0000-000011030000}"/>
    <cellStyle name="Comma 5 2 2 2 3 9 3" xfId="27744" xr:uid="{00000000-0005-0000-0000-000012030000}"/>
    <cellStyle name="Comma 5 2 2 2 4" xfId="294" xr:uid="{00000000-0005-0000-0000-000013030000}"/>
    <cellStyle name="Comma 5 2 2 2 4 2" xfId="1280" xr:uid="{00000000-0005-0000-0000-000014030000}"/>
    <cellStyle name="Comma 5 2 2 2 4 2 2" xfId="9149" xr:uid="{00000000-0005-0000-0000-000015030000}"/>
    <cellStyle name="Comma 5 2 2 2 4 2 2 2" xfId="21592" xr:uid="{00000000-0005-0000-0000-000016030000}"/>
    <cellStyle name="Comma 5 2 2 2 4 2 2 2 2" xfId="46466" xr:uid="{00000000-0005-0000-0000-000017030000}"/>
    <cellStyle name="Comma 5 2 2 2 4 2 2 3" xfId="34033" xr:uid="{00000000-0005-0000-0000-000018030000}"/>
    <cellStyle name="Comma 5 2 2 2 4 2 3" xfId="4131" xr:uid="{00000000-0005-0000-0000-000019030000}"/>
    <cellStyle name="Comma 5 2 2 2 4 2 3 2" xfId="16585" xr:uid="{00000000-0005-0000-0000-00001A030000}"/>
    <cellStyle name="Comma 5 2 2 2 4 2 3 2 2" xfId="41459" xr:uid="{00000000-0005-0000-0000-00001B030000}"/>
    <cellStyle name="Comma 5 2 2 2 4 2 3 3" xfId="29026" xr:uid="{00000000-0005-0000-0000-00001C030000}"/>
    <cellStyle name="Comma 5 2 2 2 4 2 4" xfId="14080" xr:uid="{00000000-0005-0000-0000-00001D030000}"/>
    <cellStyle name="Comma 5 2 2 2 4 2 4 2" xfId="38954" xr:uid="{00000000-0005-0000-0000-00001E030000}"/>
    <cellStyle name="Comma 5 2 2 2 4 2 5" xfId="26513" xr:uid="{00000000-0005-0000-0000-00001F030000}"/>
    <cellStyle name="Comma 5 2 2 2 4 3" xfId="5425" xr:uid="{00000000-0005-0000-0000-000020030000}"/>
    <cellStyle name="Comma 5 2 2 2 4 3 2" xfId="10441" xr:uid="{00000000-0005-0000-0000-000021030000}"/>
    <cellStyle name="Comma 5 2 2 2 4 3 2 2" xfId="22884" xr:uid="{00000000-0005-0000-0000-000022030000}"/>
    <cellStyle name="Comma 5 2 2 2 4 3 2 2 2" xfId="47758" xr:uid="{00000000-0005-0000-0000-000023030000}"/>
    <cellStyle name="Comma 5 2 2 2 4 3 2 3" xfId="35325" xr:uid="{00000000-0005-0000-0000-000024030000}"/>
    <cellStyle name="Comma 5 2 2 2 4 3 3" xfId="17877" xr:uid="{00000000-0005-0000-0000-000025030000}"/>
    <cellStyle name="Comma 5 2 2 2 4 3 3 2" xfId="42751" xr:uid="{00000000-0005-0000-0000-000026030000}"/>
    <cellStyle name="Comma 5 2 2 2 4 3 4" xfId="30318" xr:uid="{00000000-0005-0000-0000-000027030000}"/>
    <cellStyle name="Comma 5 2 2 2 4 4" xfId="8265" xr:uid="{00000000-0005-0000-0000-000028030000}"/>
    <cellStyle name="Comma 5 2 2 2 4 4 2" xfId="20709" xr:uid="{00000000-0005-0000-0000-000029030000}"/>
    <cellStyle name="Comma 5 2 2 2 4 4 2 2" xfId="45583" xr:uid="{00000000-0005-0000-0000-00002A030000}"/>
    <cellStyle name="Comma 5 2 2 2 4 4 3" xfId="33150" xr:uid="{00000000-0005-0000-0000-00002B030000}"/>
    <cellStyle name="Comma 5 2 2 2 4 5" xfId="11895" xr:uid="{00000000-0005-0000-0000-00002C030000}"/>
    <cellStyle name="Comma 5 2 2 2 4 5 2" xfId="24329" xr:uid="{00000000-0005-0000-0000-00002D030000}"/>
    <cellStyle name="Comma 5 2 2 2 4 5 2 2" xfId="49203" xr:uid="{00000000-0005-0000-0000-00002E030000}"/>
    <cellStyle name="Comma 5 2 2 2 4 5 3" xfId="36770" xr:uid="{00000000-0005-0000-0000-00002F030000}"/>
    <cellStyle name="Comma 5 2 2 2 4 6" xfId="6742" xr:uid="{00000000-0005-0000-0000-000030030000}"/>
    <cellStyle name="Comma 5 2 2 2 4 6 2" xfId="19191" xr:uid="{00000000-0005-0000-0000-000031030000}"/>
    <cellStyle name="Comma 5 2 2 2 4 6 2 2" xfId="44065" xr:uid="{00000000-0005-0000-0000-000032030000}"/>
    <cellStyle name="Comma 5 2 2 2 4 6 3" xfId="31632" xr:uid="{00000000-0005-0000-0000-000033030000}"/>
    <cellStyle name="Comma 5 2 2 2 4 7" xfId="3196" xr:uid="{00000000-0005-0000-0000-000034030000}"/>
    <cellStyle name="Comma 5 2 2 2 4 7 2" xfId="15702" xr:uid="{00000000-0005-0000-0000-000035030000}"/>
    <cellStyle name="Comma 5 2 2 2 4 7 2 2" xfId="40576" xr:uid="{00000000-0005-0000-0000-000036030000}"/>
    <cellStyle name="Comma 5 2 2 2 4 7 3" xfId="28135" xr:uid="{00000000-0005-0000-0000-000037030000}"/>
    <cellStyle name="Comma 5 2 2 2 4 8" xfId="13112" xr:uid="{00000000-0005-0000-0000-000038030000}"/>
    <cellStyle name="Comma 5 2 2 2 4 8 2" xfId="37986" xr:uid="{00000000-0005-0000-0000-000039030000}"/>
    <cellStyle name="Comma 5 2 2 2 4 9" xfId="25545" xr:uid="{00000000-0005-0000-0000-00003A030000}"/>
    <cellStyle name="Comma 5 2 2 2 5" xfId="655" xr:uid="{00000000-0005-0000-0000-00003B030000}"/>
    <cellStyle name="Comma 5 2 2 2 5 2" xfId="1628" xr:uid="{00000000-0005-0000-0000-00003C030000}"/>
    <cellStyle name="Comma 5 2 2 2 5 2 2" xfId="9384" xr:uid="{00000000-0005-0000-0000-00003D030000}"/>
    <cellStyle name="Comma 5 2 2 2 5 2 2 2" xfId="21827" xr:uid="{00000000-0005-0000-0000-00003E030000}"/>
    <cellStyle name="Comma 5 2 2 2 5 2 2 2 2" xfId="46701" xr:uid="{00000000-0005-0000-0000-00003F030000}"/>
    <cellStyle name="Comma 5 2 2 2 5 2 2 3" xfId="34268" xr:uid="{00000000-0005-0000-0000-000040030000}"/>
    <cellStyle name="Comma 5 2 2 2 5 2 3" xfId="4366" xr:uid="{00000000-0005-0000-0000-000041030000}"/>
    <cellStyle name="Comma 5 2 2 2 5 2 3 2" xfId="16820" xr:uid="{00000000-0005-0000-0000-000042030000}"/>
    <cellStyle name="Comma 5 2 2 2 5 2 3 2 2" xfId="41694" xr:uid="{00000000-0005-0000-0000-000043030000}"/>
    <cellStyle name="Comma 5 2 2 2 5 2 3 3" xfId="29261" xr:uid="{00000000-0005-0000-0000-000044030000}"/>
    <cellStyle name="Comma 5 2 2 2 5 2 4" xfId="14428" xr:uid="{00000000-0005-0000-0000-000045030000}"/>
    <cellStyle name="Comma 5 2 2 2 5 2 4 2" xfId="39302" xr:uid="{00000000-0005-0000-0000-000046030000}"/>
    <cellStyle name="Comma 5 2 2 2 5 2 5" xfId="26861" xr:uid="{00000000-0005-0000-0000-000047030000}"/>
    <cellStyle name="Comma 5 2 2 2 5 3" xfId="5774" xr:uid="{00000000-0005-0000-0000-000048030000}"/>
    <cellStyle name="Comma 5 2 2 2 5 3 2" xfId="10789" xr:uid="{00000000-0005-0000-0000-000049030000}"/>
    <cellStyle name="Comma 5 2 2 2 5 3 2 2" xfId="23232" xr:uid="{00000000-0005-0000-0000-00004A030000}"/>
    <cellStyle name="Comma 5 2 2 2 5 3 2 2 2" xfId="48106" xr:uid="{00000000-0005-0000-0000-00004B030000}"/>
    <cellStyle name="Comma 5 2 2 2 5 3 2 3" xfId="35673" xr:uid="{00000000-0005-0000-0000-00004C030000}"/>
    <cellStyle name="Comma 5 2 2 2 5 3 3" xfId="18225" xr:uid="{00000000-0005-0000-0000-00004D030000}"/>
    <cellStyle name="Comma 5 2 2 2 5 3 3 2" xfId="43099" xr:uid="{00000000-0005-0000-0000-00004E030000}"/>
    <cellStyle name="Comma 5 2 2 2 5 3 4" xfId="30666" xr:uid="{00000000-0005-0000-0000-00004F030000}"/>
    <cellStyle name="Comma 5 2 2 2 5 4" xfId="8500" xr:uid="{00000000-0005-0000-0000-000050030000}"/>
    <cellStyle name="Comma 5 2 2 2 5 4 2" xfId="20944" xr:uid="{00000000-0005-0000-0000-000051030000}"/>
    <cellStyle name="Comma 5 2 2 2 5 4 2 2" xfId="45818" xr:uid="{00000000-0005-0000-0000-000052030000}"/>
    <cellStyle name="Comma 5 2 2 2 5 4 3" xfId="33385" xr:uid="{00000000-0005-0000-0000-000053030000}"/>
    <cellStyle name="Comma 5 2 2 2 5 5" xfId="12243" xr:uid="{00000000-0005-0000-0000-000054030000}"/>
    <cellStyle name="Comma 5 2 2 2 5 5 2" xfId="24677" xr:uid="{00000000-0005-0000-0000-000055030000}"/>
    <cellStyle name="Comma 5 2 2 2 5 5 2 2" xfId="49551" xr:uid="{00000000-0005-0000-0000-000056030000}"/>
    <cellStyle name="Comma 5 2 2 2 5 5 3" xfId="37118" xr:uid="{00000000-0005-0000-0000-000057030000}"/>
    <cellStyle name="Comma 5 2 2 2 5 6" xfId="6977" xr:uid="{00000000-0005-0000-0000-000058030000}"/>
    <cellStyle name="Comma 5 2 2 2 5 6 2" xfId="19426" xr:uid="{00000000-0005-0000-0000-000059030000}"/>
    <cellStyle name="Comma 5 2 2 2 5 6 2 2" xfId="44300" xr:uid="{00000000-0005-0000-0000-00005A030000}"/>
    <cellStyle name="Comma 5 2 2 2 5 6 3" xfId="31867" xr:uid="{00000000-0005-0000-0000-00005B030000}"/>
    <cellStyle name="Comma 5 2 2 2 5 7" xfId="3431" xr:uid="{00000000-0005-0000-0000-00005C030000}"/>
    <cellStyle name="Comma 5 2 2 2 5 7 2" xfId="15937" xr:uid="{00000000-0005-0000-0000-00005D030000}"/>
    <cellStyle name="Comma 5 2 2 2 5 7 2 2" xfId="40811" xr:uid="{00000000-0005-0000-0000-00005E030000}"/>
    <cellStyle name="Comma 5 2 2 2 5 7 3" xfId="28370" xr:uid="{00000000-0005-0000-0000-00005F030000}"/>
    <cellStyle name="Comma 5 2 2 2 5 8" xfId="13459" xr:uid="{00000000-0005-0000-0000-000060030000}"/>
    <cellStyle name="Comma 5 2 2 2 5 8 2" xfId="38333" xr:uid="{00000000-0005-0000-0000-000061030000}"/>
    <cellStyle name="Comma 5 2 2 2 5 9" xfId="25892" xr:uid="{00000000-0005-0000-0000-000062030000}"/>
    <cellStyle name="Comma 5 2 2 2 6" xfId="2212" xr:uid="{00000000-0005-0000-0000-000063030000}"/>
    <cellStyle name="Comma 5 2 2 2 6 2" xfId="4841" xr:uid="{00000000-0005-0000-0000-000064030000}"/>
    <cellStyle name="Comma 5 2 2 2 6 2 2" xfId="9858" xr:uid="{00000000-0005-0000-0000-000065030000}"/>
    <cellStyle name="Comma 5 2 2 2 6 2 2 2" xfId="22301" xr:uid="{00000000-0005-0000-0000-000066030000}"/>
    <cellStyle name="Comma 5 2 2 2 6 2 2 2 2" xfId="47175" xr:uid="{00000000-0005-0000-0000-000067030000}"/>
    <cellStyle name="Comma 5 2 2 2 6 2 2 3" xfId="34742" xr:uid="{00000000-0005-0000-0000-000068030000}"/>
    <cellStyle name="Comma 5 2 2 2 6 2 3" xfId="17294" xr:uid="{00000000-0005-0000-0000-000069030000}"/>
    <cellStyle name="Comma 5 2 2 2 6 2 3 2" xfId="42168" xr:uid="{00000000-0005-0000-0000-00006A030000}"/>
    <cellStyle name="Comma 5 2 2 2 6 2 4" xfId="29735" xr:uid="{00000000-0005-0000-0000-00006B030000}"/>
    <cellStyle name="Comma 5 2 2 2 6 3" xfId="6239" xr:uid="{00000000-0005-0000-0000-00006C030000}"/>
    <cellStyle name="Comma 5 2 2 2 6 3 2" xfId="11254" xr:uid="{00000000-0005-0000-0000-00006D030000}"/>
    <cellStyle name="Comma 5 2 2 2 6 3 2 2" xfId="23697" xr:uid="{00000000-0005-0000-0000-00006E030000}"/>
    <cellStyle name="Comma 5 2 2 2 6 3 2 2 2" xfId="48571" xr:uid="{00000000-0005-0000-0000-00006F030000}"/>
    <cellStyle name="Comma 5 2 2 2 6 3 2 3" xfId="36138" xr:uid="{00000000-0005-0000-0000-000070030000}"/>
    <cellStyle name="Comma 5 2 2 2 6 3 3" xfId="18690" xr:uid="{00000000-0005-0000-0000-000071030000}"/>
    <cellStyle name="Comma 5 2 2 2 6 3 3 2" xfId="43564" xr:uid="{00000000-0005-0000-0000-000072030000}"/>
    <cellStyle name="Comma 5 2 2 2 6 3 4" xfId="31131" xr:uid="{00000000-0005-0000-0000-000073030000}"/>
    <cellStyle name="Comma 5 2 2 2 6 4" xfId="8046" xr:uid="{00000000-0005-0000-0000-000074030000}"/>
    <cellStyle name="Comma 5 2 2 2 6 4 2" xfId="20492" xr:uid="{00000000-0005-0000-0000-000075030000}"/>
    <cellStyle name="Comma 5 2 2 2 6 4 2 2" xfId="45366" xr:uid="{00000000-0005-0000-0000-000076030000}"/>
    <cellStyle name="Comma 5 2 2 2 6 4 3" xfId="32933" xr:uid="{00000000-0005-0000-0000-000077030000}"/>
    <cellStyle name="Comma 5 2 2 2 6 5" xfId="12708" xr:uid="{00000000-0005-0000-0000-000078030000}"/>
    <cellStyle name="Comma 5 2 2 2 6 5 2" xfId="25142" xr:uid="{00000000-0005-0000-0000-000079030000}"/>
    <cellStyle name="Comma 5 2 2 2 6 5 2 2" xfId="50016" xr:uid="{00000000-0005-0000-0000-00007A030000}"/>
    <cellStyle name="Comma 5 2 2 2 6 5 3" xfId="37583" xr:uid="{00000000-0005-0000-0000-00007B030000}"/>
    <cellStyle name="Comma 5 2 2 2 6 6" xfId="7452" xr:uid="{00000000-0005-0000-0000-00007C030000}"/>
    <cellStyle name="Comma 5 2 2 2 6 6 2" xfId="19900" xr:uid="{00000000-0005-0000-0000-00007D030000}"/>
    <cellStyle name="Comma 5 2 2 2 6 6 2 2" xfId="44774" xr:uid="{00000000-0005-0000-0000-00007E030000}"/>
    <cellStyle name="Comma 5 2 2 2 6 6 3" xfId="32341" xr:uid="{00000000-0005-0000-0000-00007F030000}"/>
    <cellStyle name="Comma 5 2 2 2 6 7" xfId="2973" xr:uid="{00000000-0005-0000-0000-000080030000}"/>
    <cellStyle name="Comma 5 2 2 2 6 7 2" xfId="15485" xr:uid="{00000000-0005-0000-0000-000081030000}"/>
    <cellStyle name="Comma 5 2 2 2 6 7 2 2" xfId="40359" xr:uid="{00000000-0005-0000-0000-000082030000}"/>
    <cellStyle name="Comma 5 2 2 2 6 7 3" xfId="27918" xr:uid="{00000000-0005-0000-0000-000083030000}"/>
    <cellStyle name="Comma 5 2 2 2 6 8" xfId="14893" xr:uid="{00000000-0005-0000-0000-000084030000}"/>
    <cellStyle name="Comma 5 2 2 2 6 8 2" xfId="39767" xr:uid="{00000000-0005-0000-0000-000085030000}"/>
    <cellStyle name="Comma 5 2 2 2 6 9" xfId="27326" xr:uid="{00000000-0005-0000-0000-000086030000}"/>
    <cellStyle name="Comma 5 2 2 2 7" xfId="1050" xr:uid="{00000000-0005-0000-0000-000087030000}"/>
    <cellStyle name="Comma 5 2 2 2 7 2" xfId="8932" xr:uid="{00000000-0005-0000-0000-000088030000}"/>
    <cellStyle name="Comma 5 2 2 2 7 2 2" xfId="21375" xr:uid="{00000000-0005-0000-0000-000089030000}"/>
    <cellStyle name="Comma 5 2 2 2 7 2 2 2" xfId="46249" xr:uid="{00000000-0005-0000-0000-00008A030000}"/>
    <cellStyle name="Comma 5 2 2 2 7 2 3" xfId="33816" xr:uid="{00000000-0005-0000-0000-00008B030000}"/>
    <cellStyle name="Comma 5 2 2 2 7 3" xfId="3914" xr:uid="{00000000-0005-0000-0000-00008C030000}"/>
    <cellStyle name="Comma 5 2 2 2 7 3 2" xfId="16368" xr:uid="{00000000-0005-0000-0000-00008D030000}"/>
    <cellStyle name="Comma 5 2 2 2 7 3 2 2" xfId="41242" xr:uid="{00000000-0005-0000-0000-00008E030000}"/>
    <cellStyle name="Comma 5 2 2 2 7 3 3" xfId="28809" xr:uid="{00000000-0005-0000-0000-00008F030000}"/>
    <cellStyle name="Comma 5 2 2 2 7 4" xfId="13850" xr:uid="{00000000-0005-0000-0000-000090030000}"/>
    <cellStyle name="Comma 5 2 2 2 7 4 2" xfId="38724" xr:uid="{00000000-0005-0000-0000-000091030000}"/>
    <cellStyle name="Comma 5 2 2 2 7 5" xfId="26283" xr:uid="{00000000-0005-0000-0000-000092030000}"/>
    <cellStyle name="Comma 5 2 2 2 8" xfId="5195" xr:uid="{00000000-0005-0000-0000-000093030000}"/>
    <cellStyle name="Comma 5 2 2 2 8 2" xfId="10211" xr:uid="{00000000-0005-0000-0000-000094030000}"/>
    <cellStyle name="Comma 5 2 2 2 8 2 2" xfId="22654" xr:uid="{00000000-0005-0000-0000-000095030000}"/>
    <cellStyle name="Comma 5 2 2 2 8 2 2 2" xfId="47528" xr:uid="{00000000-0005-0000-0000-000096030000}"/>
    <cellStyle name="Comma 5 2 2 2 8 2 3" xfId="35095" xr:uid="{00000000-0005-0000-0000-000097030000}"/>
    <cellStyle name="Comma 5 2 2 2 8 3" xfId="17647" xr:uid="{00000000-0005-0000-0000-000098030000}"/>
    <cellStyle name="Comma 5 2 2 2 8 3 2" xfId="42521" xr:uid="{00000000-0005-0000-0000-000099030000}"/>
    <cellStyle name="Comma 5 2 2 2 8 4" xfId="30088" xr:uid="{00000000-0005-0000-0000-00009A030000}"/>
    <cellStyle name="Comma 5 2 2 2 9" xfId="7772" xr:uid="{00000000-0005-0000-0000-00009B030000}"/>
    <cellStyle name="Comma 5 2 2 2 9 2" xfId="20218" xr:uid="{00000000-0005-0000-0000-00009C030000}"/>
    <cellStyle name="Comma 5 2 2 2 9 2 2" xfId="45092" xr:uid="{00000000-0005-0000-0000-00009D030000}"/>
    <cellStyle name="Comma 5 2 2 2 9 3" xfId="32659" xr:uid="{00000000-0005-0000-0000-00009E030000}"/>
    <cellStyle name="Comma 5 2 2 3" xfId="180" xr:uid="{00000000-0005-0000-0000-00009F030000}"/>
    <cellStyle name="Comma 5 2 2 3 10" xfId="6568" xr:uid="{00000000-0005-0000-0000-0000A0030000}"/>
    <cellStyle name="Comma 5 2 2 3 10 2" xfId="19017" xr:uid="{00000000-0005-0000-0000-0000A1030000}"/>
    <cellStyle name="Comma 5 2 2 3 10 2 2" xfId="43891" xr:uid="{00000000-0005-0000-0000-0000A2030000}"/>
    <cellStyle name="Comma 5 2 2 3 10 3" xfId="31458" xr:uid="{00000000-0005-0000-0000-0000A3030000}"/>
    <cellStyle name="Comma 5 2 2 3 11" xfId="2736" xr:uid="{00000000-0005-0000-0000-0000A4030000}"/>
    <cellStyle name="Comma 5 2 2 3 11 2" xfId="15254" xr:uid="{00000000-0005-0000-0000-0000A5030000}"/>
    <cellStyle name="Comma 5 2 2 3 11 2 2" xfId="40128" xr:uid="{00000000-0005-0000-0000-0000A6030000}"/>
    <cellStyle name="Comma 5 2 2 3 11 3" xfId="27687" xr:uid="{00000000-0005-0000-0000-0000A7030000}"/>
    <cellStyle name="Comma 5 2 2 3 12" xfId="13010" xr:uid="{00000000-0005-0000-0000-0000A8030000}"/>
    <cellStyle name="Comma 5 2 2 3 12 2" xfId="37884" xr:uid="{00000000-0005-0000-0000-0000A9030000}"/>
    <cellStyle name="Comma 5 2 2 3 13" xfId="25443" xr:uid="{00000000-0005-0000-0000-0000AA030000}"/>
    <cellStyle name="Comma 5 2 2 3 2" xfId="441" xr:uid="{00000000-0005-0000-0000-0000AB030000}"/>
    <cellStyle name="Comma 5 2 2 3 2 10" xfId="13255" xr:uid="{00000000-0005-0000-0000-0000AC030000}"/>
    <cellStyle name="Comma 5 2 2 3 2 10 2" xfId="38129" xr:uid="{00000000-0005-0000-0000-0000AD030000}"/>
    <cellStyle name="Comma 5 2 2 3 2 11" xfId="25688" xr:uid="{00000000-0005-0000-0000-0000AE030000}"/>
    <cellStyle name="Comma 5 2 2 3 2 2" xfId="801" xr:uid="{00000000-0005-0000-0000-0000AF030000}"/>
    <cellStyle name="Comma 5 2 2 3 2 2 2" xfId="1284" xr:uid="{00000000-0005-0000-0000-0000B0030000}"/>
    <cellStyle name="Comma 5 2 2 3 2 2 2 2" xfId="9388" xr:uid="{00000000-0005-0000-0000-0000B1030000}"/>
    <cellStyle name="Comma 5 2 2 3 2 2 2 2 2" xfId="21831" xr:uid="{00000000-0005-0000-0000-0000B2030000}"/>
    <cellStyle name="Comma 5 2 2 3 2 2 2 2 2 2" xfId="46705" xr:uid="{00000000-0005-0000-0000-0000B3030000}"/>
    <cellStyle name="Comma 5 2 2 3 2 2 2 2 3" xfId="34272" xr:uid="{00000000-0005-0000-0000-0000B4030000}"/>
    <cellStyle name="Comma 5 2 2 3 2 2 2 3" xfId="4370" xr:uid="{00000000-0005-0000-0000-0000B5030000}"/>
    <cellStyle name="Comma 5 2 2 3 2 2 2 3 2" xfId="16824" xr:uid="{00000000-0005-0000-0000-0000B6030000}"/>
    <cellStyle name="Comma 5 2 2 3 2 2 2 3 2 2" xfId="41698" xr:uid="{00000000-0005-0000-0000-0000B7030000}"/>
    <cellStyle name="Comma 5 2 2 3 2 2 2 3 3" xfId="29265" xr:uid="{00000000-0005-0000-0000-0000B8030000}"/>
    <cellStyle name="Comma 5 2 2 3 2 2 2 4" xfId="14084" xr:uid="{00000000-0005-0000-0000-0000B9030000}"/>
    <cellStyle name="Comma 5 2 2 3 2 2 2 4 2" xfId="38958" xr:uid="{00000000-0005-0000-0000-0000BA030000}"/>
    <cellStyle name="Comma 5 2 2 3 2 2 2 5" xfId="26517" xr:uid="{00000000-0005-0000-0000-0000BB030000}"/>
    <cellStyle name="Comma 5 2 2 3 2 2 3" xfId="5429" xr:uid="{00000000-0005-0000-0000-0000BC030000}"/>
    <cellStyle name="Comma 5 2 2 3 2 2 3 2" xfId="10445" xr:uid="{00000000-0005-0000-0000-0000BD030000}"/>
    <cellStyle name="Comma 5 2 2 3 2 2 3 2 2" xfId="22888" xr:uid="{00000000-0005-0000-0000-0000BE030000}"/>
    <cellStyle name="Comma 5 2 2 3 2 2 3 2 2 2" xfId="47762" xr:uid="{00000000-0005-0000-0000-0000BF030000}"/>
    <cellStyle name="Comma 5 2 2 3 2 2 3 2 3" xfId="35329" xr:uid="{00000000-0005-0000-0000-0000C0030000}"/>
    <cellStyle name="Comma 5 2 2 3 2 2 3 3" xfId="17881" xr:uid="{00000000-0005-0000-0000-0000C1030000}"/>
    <cellStyle name="Comma 5 2 2 3 2 2 3 3 2" xfId="42755" xr:uid="{00000000-0005-0000-0000-0000C2030000}"/>
    <cellStyle name="Comma 5 2 2 3 2 2 3 4" xfId="30322" xr:uid="{00000000-0005-0000-0000-0000C3030000}"/>
    <cellStyle name="Comma 5 2 2 3 2 2 4" xfId="8504" xr:uid="{00000000-0005-0000-0000-0000C4030000}"/>
    <cellStyle name="Comma 5 2 2 3 2 2 4 2" xfId="20948" xr:uid="{00000000-0005-0000-0000-0000C5030000}"/>
    <cellStyle name="Comma 5 2 2 3 2 2 4 2 2" xfId="45822" xr:uid="{00000000-0005-0000-0000-0000C6030000}"/>
    <cellStyle name="Comma 5 2 2 3 2 2 4 3" xfId="33389" xr:uid="{00000000-0005-0000-0000-0000C7030000}"/>
    <cellStyle name="Comma 5 2 2 3 2 2 5" xfId="11899" xr:uid="{00000000-0005-0000-0000-0000C8030000}"/>
    <cellStyle name="Comma 5 2 2 3 2 2 5 2" xfId="24333" xr:uid="{00000000-0005-0000-0000-0000C9030000}"/>
    <cellStyle name="Comma 5 2 2 3 2 2 5 2 2" xfId="49207" xr:uid="{00000000-0005-0000-0000-0000CA030000}"/>
    <cellStyle name="Comma 5 2 2 3 2 2 5 3" xfId="36774" xr:uid="{00000000-0005-0000-0000-0000CB030000}"/>
    <cellStyle name="Comma 5 2 2 3 2 2 6" xfId="6981" xr:uid="{00000000-0005-0000-0000-0000CC030000}"/>
    <cellStyle name="Comma 5 2 2 3 2 2 6 2" xfId="19430" xr:uid="{00000000-0005-0000-0000-0000CD030000}"/>
    <cellStyle name="Comma 5 2 2 3 2 2 6 2 2" xfId="44304" xr:uid="{00000000-0005-0000-0000-0000CE030000}"/>
    <cellStyle name="Comma 5 2 2 3 2 2 6 3" xfId="31871" xr:uid="{00000000-0005-0000-0000-0000CF030000}"/>
    <cellStyle name="Comma 5 2 2 3 2 2 7" xfId="3435" xr:uid="{00000000-0005-0000-0000-0000D0030000}"/>
    <cellStyle name="Comma 5 2 2 3 2 2 7 2" xfId="15941" xr:uid="{00000000-0005-0000-0000-0000D1030000}"/>
    <cellStyle name="Comma 5 2 2 3 2 2 7 2 2" xfId="40815" xr:uid="{00000000-0005-0000-0000-0000D2030000}"/>
    <cellStyle name="Comma 5 2 2 3 2 2 7 3" xfId="28374" xr:uid="{00000000-0005-0000-0000-0000D3030000}"/>
    <cellStyle name="Comma 5 2 2 3 2 2 8" xfId="13602" xr:uid="{00000000-0005-0000-0000-0000D4030000}"/>
    <cellStyle name="Comma 5 2 2 3 2 2 8 2" xfId="38476" xr:uid="{00000000-0005-0000-0000-0000D5030000}"/>
    <cellStyle name="Comma 5 2 2 3 2 2 9" xfId="26035" xr:uid="{00000000-0005-0000-0000-0000D6030000}"/>
    <cellStyle name="Comma 5 2 2 3 2 3" xfId="1632" xr:uid="{00000000-0005-0000-0000-0000D7030000}"/>
    <cellStyle name="Comma 5 2 2 3 2 3 2" xfId="4984" xr:uid="{00000000-0005-0000-0000-0000D8030000}"/>
    <cellStyle name="Comma 5 2 2 3 2 3 2 2" xfId="10001" xr:uid="{00000000-0005-0000-0000-0000D9030000}"/>
    <cellStyle name="Comma 5 2 2 3 2 3 2 2 2" xfId="22444" xr:uid="{00000000-0005-0000-0000-0000DA030000}"/>
    <cellStyle name="Comma 5 2 2 3 2 3 2 2 2 2" xfId="47318" xr:uid="{00000000-0005-0000-0000-0000DB030000}"/>
    <cellStyle name="Comma 5 2 2 3 2 3 2 2 3" xfId="34885" xr:uid="{00000000-0005-0000-0000-0000DC030000}"/>
    <cellStyle name="Comma 5 2 2 3 2 3 2 3" xfId="17437" xr:uid="{00000000-0005-0000-0000-0000DD030000}"/>
    <cellStyle name="Comma 5 2 2 3 2 3 2 3 2" xfId="42311" xr:uid="{00000000-0005-0000-0000-0000DE030000}"/>
    <cellStyle name="Comma 5 2 2 3 2 3 2 4" xfId="29878" xr:uid="{00000000-0005-0000-0000-0000DF030000}"/>
    <cellStyle name="Comma 5 2 2 3 2 3 3" xfId="5778" xr:uid="{00000000-0005-0000-0000-0000E0030000}"/>
    <cellStyle name="Comma 5 2 2 3 2 3 3 2" xfId="10793" xr:uid="{00000000-0005-0000-0000-0000E1030000}"/>
    <cellStyle name="Comma 5 2 2 3 2 3 3 2 2" xfId="23236" xr:uid="{00000000-0005-0000-0000-0000E2030000}"/>
    <cellStyle name="Comma 5 2 2 3 2 3 3 2 2 2" xfId="48110" xr:uid="{00000000-0005-0000-0000-0000E3030000}"/>
    <cellStyle name="Comma 5 2 2 3 2 3 3 2 3" xfId="35677" xr:uid="{00000000-0005-0000-0000-0000E4030000}"/>
    <cellStyle name="Comma 5 2 2 3 2 3 3 3" xfId="18229" xr:uid="{00000000-0005-0000-0000-0000E5030000}"/>
    <cellStyle name="Comma 5 2 2 3 2 3 3 3 2" xfId="43103" xr:uid="{00000000-0005-0000-0000-0000E6030000}"/>
    <cellStyle name="Comma 5 2 2 3 2 3 3 4" xfId="30670" xr:uid="{00000000-0005-0000-0000-0000E7030000}"/>
    <cellStyle name="Comma 5 2 2 3 2 3 4" xfId="8408" xr:uid="{00000000-0005-0000-0000-0000E8030000}"/>
    <cellStyle name="Comma 5 2 2 3 2 3 4 2" xfId="20852" xr:uid="{00000000-0005-0000-0000-0000E9030000}"/>
    <cellStyle name="Comma 5 2 2 3 2 3 4 2 2" xfId="45726" xr:uid="{00000000-0005-0000-0000-0000EA030000}"/>
    <cellStyle name="Comma 5 2 2 3 2 3 4 3" xfId="33293" xr:uid="{00000000-0005-0000-0000-0000EB030000}"/>
    <cellStyle name="Comma 5 2 2 3 2 3 5" xfId="12247" xr:uid="{00000000-0005-0000-0000-0000EC030000}"/>
    <cellStyle name="Comma 5 2 2 3 2 3 5 2" xfId="24681" xr:uid="{00000000-0005-0000-0000-0000ED030000}"/>
    <cellStyle name="Comma 5 2 2 3 2 3 5 2 2" xfId="49555" xr:uid="{00000000-0005-0000-0000-0000EE030000}"/>
    <cellStyle name="Comma 5 2 2 3 2 3 5 3" xfId="37122" xr:uid="{00000000-0005-0000-0000-0000EF030000}"/>
    <cellStyle name="Comma 5 2 2 3 2 3 6" xfId="7595" xr:uid="{00000000-0005-0000-0000-0000F0030000}"/>
    <cellStyle name="Comma 5 2 2 3 2 3 6 2" xfId="20043" xr:uid="{00000000-0005-0000-0000-0000F1030000}"/>
    <cellStyle name="Comma 5 2 2 3 2 3 6 2 2" xfId="44917" xr:uid="{00000000-0005-0000-0000-0000F2030000}"/>
    <cellStyle name="Comma 5 2 2 3 2 3 6 3" xfId="32484" xr:uid="{00000000-0005-0000-0000-0000F3030000}"/>
    <cellStyle name="Comma 5 2 2 3 2 3 7" xfId="3339" xr:uid="{00000000-0005-0000-0000-0000F4030000}"/>
    <cellStyle name="Comma 5 2 2 3 2 3 7 2" xfId="15845" xr:uid="{00000000-0005-0000-0000-0000F5030000}"/>
    <cellStyle name="Comma 5 2 2 3 2 3 7 2 2" xfId="40719" xr:uid="{00000000-0005-0000-0000-0000F6030000}"/>
    <cellStyle name="Comma 5 2 2 3 2 3 7 3" xfId="28278" xr:uid="{00000000-0005-0000-0000-0000F7030000}"/>
    <cellStyle name="Comma 5 2 2 3 2 3 8" xfId="14432" xr:uid="{00000000-0005-0000-0000-0000F8030000}"/>
    <cellStyle name="Comma 5 2 2 3 2 3 8 2" xfId="39306" xr:uid="{00000000-0005-0000-0000-0000F9030000}"/>
    <cellStyle name="Comma 5 2 2 3 2 3 9" xfId="26865" xr:uid="{00000000-0005-0000-0000-0000FA030000}"/>
    <cellStyle name="Comma 5 2 2 3 2 4" xfId="2359" xr:uid="{00000000-0005-0000-0000-0000FB030000}"/>
    <cellStyle name="Comma 5 2 2 3 2 4 2" xfId="6382" xr:uid="{00000000-0005-0000-0000-0000FC030000}"/>
    <cellStyle name="Comma 5 2 2 3 2 4 2 2" xfId="11397" xr:uid="{00000000-0005-0000-0000-0000FD030000}"/>
    <cellStyle name="Comma 5 2 2 3 2 4 2 2 2" xfId="23840" xr:uid="{00000000-0005-0000-0000-0000FE030000}"/>
    <cellStyle name="Comma 5 2 2 3 2 4 2 2 2 2" xfId="48714" xr:uid="{00000000-0005-0000-0000-0000FF030000}"/>
    <cellStyle name="Comma 5 2 2 3 2 4 2 2 3" xfId="36281" xr:uid="{00000000-0005-0000-0000-000000040000}"/>
    <cellStyle name="Comma 5 2 2 3 2 4 2 3" xfId="18833" xr:uid="{00000000-0005-0000-0000-000001040000}"/>
    <cellStyle name="Comma 5 2 2 3 2 4 2 3 2" xfId="43707" xr:uid="{00000000-0005-0000-0000-000002040000}"/>
    <cellStyle name="Comma 5 2 2 3 2 4 2 4" xfId="31274" xr:uid="{00000000-0005-0000-0000-000003040000}"/>
    <cellStyle name="Comma 5 2 2 3 2 4 3" xfId="12851" xr:uid="{00000000-0005-0000-0000-000004040000}"/>
    <cellStyle name="Comma 5 2 2 3 2 4 3 2" xfId="25285" xr:uid="{00000000-0005-0000-0000-000005040000}"/>
    <cellStyle name="Comma 5 2 2 3 2 4 3 2 2" xfId="50159" xr:uid="{00000000-0005-0000-0000-000006040000}"/>
    <cellStyle name="Comma 5 2 2 3 2 4 3 3" xfId="37726" xr:uid="{00000000-0005-0000-0000-000007040000}"/>
    <cellStyle name="Comma 5 2 2 3 2 4 4" xfId="9292" xr:uid="{00000000-0005-0000-0000-000008040000}"/>
    <cellStyle name="Comma 5 2 2 3 2 4 4 2" xfId="21735" xr:uid="{00000000-0005-0000-0000-000009040000}"/>
    <cellStyle name="Comma 5 2 2 3 2 4 4 2 2" xfId="46609" xr:uid="{00000000-0005-0000-0000-00000A040000}"/>
    <cellStyle name="Comma 5 2 2 3 2 4 4 3" xfId="34176" xr:uid="{00000000-0005-0000-0000-00000B040000}"/>
    <cellStyle name="Comma 5 2 2 3 2 4 5" xfId="4274" xr:uid="{00000000-0005-0000-0000-00000C040000}"/>
    <cellStyle name="Comma 5 2 2 3 2 4 5 2" xfId="16728" xr:uid="{00000000-0005-0000-0000-00000D040000}"/>
    <cellStyle name="Comma 5 2 2 3 2 4 5 2 2" xfId="41602" xr:uid="{00000000-0005-0000-0000-00000E040000}"/>
    <cellStyle name="Comma 5 2 2 3 2 4 5 3" xfId="29169" xr:uid="{00000000-0005-0000-0000-00000F040000}"/>
    <cellStyle name="Comma 5 2 2 3 2 4 6" xfId="15036" xr:uid="{00000000-0005-0000-0000-000010040000}"/>
    <cellStyle name="Comma 5 2 2 3 2 4 6 2" xfId="39910" xr:uid="{00000000-0005-0000-0000-000011040000}"/>
    <cellStyle name="Comma 5 2 2 3 2 4 7" xfId="27469" xr:uid="{00000000-0005-0000-0000-000012040000}"/>
    <cellStyle name="Comma 5 2 2 3 2 5" xfId="1193" xr:uid="{00000000-0005-0000-0000-000013040000}"/>
    <cellStyle name="Comma 5 2 2 3 2 5 2" xfId="10354" xr:uid="{00000000-0005-0000-0000-000014040000}"/>
    <cellStyle name="Comma 5 2 2 3 2 5 2 2" xfId="22797" xr:uid="{00000000-0005-0000-0000-000015040000}"/>
    <cellStyle name="Comma 5 2 2 3 2 5 2 2 2" xfId="47671" xr:uid="{00000000-0005-0000-0000-000016040000}"/>
    <cellStyle name="Comma 5 2 2 3 2 5 2 3" xfId="35238" xr:uid="{00000000-0005-0000-0000-000017040000}"/>
    <cellStyle name="Comma 5 2 2 3 2 5 3" xfId="5338" xr:uid="{00000000-0005-0000-0000-000018040000}"/>
    <cellStyle name="Comma 5 2 2 3 2 5 3 2" xfId="17790" xr:uid="{00000000-0005-0000-0000-000019040000}"/>
    <cellStyle name="Comma 5 2 2 3 2 5 3 2 2" xfId="42664" xr:uid="{00000000-0005-0000-0000-00001A040000}"/>
    <cellStyle name="Comma 5 2 2 3 2 5 3 3" xfId="30231" xr:uid="{00000000-0005-0000-0000-00001B040000}"/>
    <cellStyle name="Comma 5 2 2 3 2 5 4" xfId="13993" xr:uid="{00000000-0005-0000-0000-00001C040000}"/>
    <cellStyle name="Comma 5 2 2 3 2 5 4 2" xfId="38867" xr:uid="{00000000-0005-0000-0000-00001D040000}"/>
    <cellStyle name="Comma 5 2 2 3 2 5 5" xfId="26426" xr:uid="{00000000-0005-0000-0000-00001E040000}"/>
    <cellStyle name="Comma 5 2 2 3 2 6" xfId="7915" xr:uid="{00000000-0005-0000-0000-00001F040000}"/>
    <cellStyle name="Comma 5 2 2 3 2 6 2" xfId="20361" xr:uid="{00000000-0005-0000-0000-000020040000}"/>
    <cellStyle name="Comma 5 2 2 3 2 6 2 2" xfId="45235" xr:uid="{00000000-0005-0000-0000-000021040000}"/>
    <cellStyle name="Comma 5 2 2 3 2 6 3" xfId="32802" xr:uid="{00000000-0005-0000-0000-000022040000}"/>
    <cellStyle name="Comma 5 2 2 3 2 7" xfId="11808" xr:uid="{00000000-0005-0000-0000-000023040000}"/>
    <cellStyle name="Comma 5 2 2 3 2 7 2" xfId="24242" xr:uid="{00000000-0005-0000-0000-000024040000}"/>
    <cellStyle name="Comma 5 2 2 3 2 7 2 2" xfId="49116" xr:uid="{00000000-0005-0000-0000-000025040000}"/>
    <cellStyle name="Comma 5 2 2 3 2 7 3" xfId="36683" xr:uid="{00000000-0005-0000-0000-000026040000}"/>
    <cellStyle name="Comma 5 2 2 3 2 8" xfId="6885" xr:uid="{00000000-0005-0000-0000-000027040000}"/>
    <cellStyle name="Comma 5 2 2 3 2 8 2" xfId="19334" xr:uid="{00000000-0005-0000-0000-000028040000}"/>
    <cellStyle name="Comma 5 2 2 3 2 8 2 2" xfId="44208" xr:uid="{00000000-0005-0000-0000-000029040000}"/>
    <cellStyle name="Comma 5 2 2 3 2 8 3" xfId="31775" xr:uid="{00000000-0005-0000-0000-00002A040000}"/>
    <cellStyle name="Comma 5 2 2 3 2 9" xfId="2836" xr:uid="{00000000-0005-0000-0000-00002B040000}"/>
    <cellStyle name="Comma 5 2 2 3 2 9 2" xfId="15354" xr:uid="{00000000-0005-0000-0000-00002C040000}"/>
    <cellStyle name="Comma 5 2 2 3 2 9 2 2" xfId="40228" xr:uid="{00000000-0005-0000-0000-00002D040000}"/>
    <cellStyle name="Comma 5 2 2 3 2 9 3" xfId="27787" xr:uid="{00000000-0005-0000-0000-00002E040000}"/>
    <cellStyle name="Comma 5 2 2 3 3" xfId="339" xr:uid="{00000000-0005-0000-0000-00002F040000}"/>
    <cellStyle name="Comma 5 2 2 3 3 2" xfId="1283" xr:uid="{00000000-0005-0000-0000-000030040000}"/>
    <cellStyle name="Comma 5 2 2 3 3 2 2" xfId="9192" xr:uid="{00000000-0005-0000-0000-000031040000}"/>
    <cellStyle name="Comma 5 2 2 3 3 2 2 2" xfId="21635" xr:uid="{00000000-0005-0000-0000-000032040000}"/>
    <cellStyle name="Comma 5 2 2 3 3 2 2 2 2" xfId="46509" xr:uid="{00000000-0005-0000-0000-000033040000}"/>
    <cellStyle name="Comma 5 2 2 3 3 2 2 3" xfId="34076" xr:uid="{00000000-0005-0000-0000-000034040000}"/>
    <cellStyle name="Comma 5 2 2 3 3 2 3" xfId="4174" xr:uid="{00000000-0005-0000-0000-000035040000}"/>
    <cellStyle name="Comma 5 2 2 3 3 2 3 2" xfId="16628" xr:uid="{00000000-0005-0000-0000-000036040000}"/>
    <cellStyle name="Comma 5 2 2 3 3 2 3 2 2" xfId="41502" xr:uid="{00000000-0005-0000-0000-000037040000}"/>
    <cellStyle name="Comma 5 2 2 3 3 2 3 3" xfId="29069" xr:uid="{00000000-0005-0000-0000-000038040000}"/>
    <cellStyle name="Comma 5 2 2 3 3 2 4" xfId="14083" xr:uid="{00000000-0005-0000-0000-000039040000}"/>
    <cellStyle name="Comma 5 2 2 3 3 2 4 2" xfId="38957" xr:uid="{00000000-0005-0000-0000-00003A040000}"/>
    <cellStyle name="Comma 5 2 2 3 3 2 5" xfId="26516" xr:uid="{00000000-0005-0000-0000-00003B040000}"/>
    <cellStyle name="Comma 5 2 2 3 3 3" xfId="5428" xr:uid="{00000000-0005-0000-0000-00003C040000}"/>
    <cellStyle name="Comma 5 2 2 3 3 3 2" xfId="10444" xr:uid="{00000000-0005-0000-0000-00003D040000}"/>
    <cellStyle name="Comma 5 2 2 3 3 3 2 2" xfId="22887" xr:uid="{00000000-0005-0000-0000-00003E040000}"/>
    <cellStyle name="Comma 5 2 2 3 3 3 2 2 2" xfId="47761" xr:uid="{00000000-0005-0000-0000-00003F040000}"/>
    <cellStyle name="Comma 5 2 2 3 3 3 2 3" xfId="35328" xr:uid="{00000000-0005-0000-0000-000040040000}"/>
    <cellStyle name="Comma 5 2 2 3 3 3 3" xfId="17880" xr:uid="{00000000-0005-0000-0000-000041040000}"/>
    <cellStyle name="Comma 5 2 2 3 3 3 3 2" xfId="42754" xr:uid="{00000000-0005-0000-0000-000042040000}"/>
    <cellStyle name="Comma 5 2 2 3 3 3 4" xfId="30321" xr:uid="{00000000-0005-0000-0000-000043040000}"/>
    <cellStyle name="Comma 5 2 2 3 3 4" xfId="8308" xr:uid="{00000000-0005-0000-0000-000044040000}"/>
    <cellStyle name="Comma 5 2 2 3 3 4 2" xfId="20752" xr:uid="{00000000-0005-0000-0000-000045040000}"/>
    <cellStyle name="Comma 5 2 2 3 3 4 2 2" xfId="45626" xr:uid="{00000000-0005-0000-0000-000046040000}"/>
    <cellStyle name="Comma 5 2 2 3 3 4 3" xfId="33193" xr:uid="{00000000-0005-0000-0000-000047040000}"/>
    <cellStyle name="Comma 5 2 2 3 3 5" xfId="11898" xr:uid="{00000000-0005-0000-0000-000048040000}"/>
    <cellStyle name="Comma 5 2 2 3 3 5 2" xfId="24332" xr:uid="{00000000-0005-0000-0000-000049040000}"/>
    <cellStyle name="Comma 5 2 2 3 3 5 2 2" xfId="49206" xr:uid="{00000000-0005-0000-0000-00004A040000}"/>
    <cellStyle name="Comma 5 2 2 3 3 5 3" xfId="36773" xr:uid="{00000000-0005-0000-0000-00004B040000}"/>
    <cellStyle name="Comma 5 2 2 3 3 6" xfId="6785" xr:uid="{00000000-0005-0000-0000-00004C040000}"/>
    <cellStyle name="Comma 5 2 2 3 3 6 2" xfId="19234" xr:uid="{00000000-0005-0000-0000-00004D040000}"/>
    <cellStyle name="Comma 5 2 2 3 3 6 2 2" xfId="44108" xr:uid="{00000000-0005-0000-0000-00004E040000}"/>
    <cellStyle name="Comma 5 2 2 3 3 6 3" xfId="31675" xr:uid="{00000000-0005-0000-0000-00004F040000}"/>
    <cellStyle name="Comma 5 2 2 3 3 7" xfId="3239" xr:uid="{00000000-0005-0000-0000-000050040000}"/>
    <cellStyle name="Comma 5 2 2 3 3 7 2" xfId="15745" xr:uid="{00000000-0005-0000-0000-000051040000}"/>
    <cellStyle name="Comma 5 2 2 3 3 7 2 2" xfId="40619" xr:uid="{00000000-0005-0000-0000-000052040000}"/>
    <cellStyle name="Comma 5 2 2 3 3 7 3" xfId="28178" xr:uid="{00000000-0005-0000-0000-000053040000}"/>
    <cellStyle name="Comma 5 2 2 3 3 8" xfId="13155" xr:uid="{00000000-0005-0000-0000-000054040000}"/>
    <cellStyle name="Comma 5 2 2 3 3 8 2" xfId="38029" xr:uid="{00000000-0005-0000-0000-000055040000}"/>
    <cellStyle name="Comma 5 2 2 3 3 9" xfId="25588" xr:uid="{00000000-0005-0000-0000-000056040000}"/>
    <cellStyle name="Comma 5 2 2 3 4" xfId="699" xr:uid="{00000000-0005-0000-0000-000057040000}"/>
    <cellStyle name="Comma 5 2 2 3 4 2" xfId="1631" xr:uid="{00000000-0005-0000-0000-000058040000}"/>
    <cellStyle name="Comma 5 2 2 3 4 2 2" xfId="9387" xr:uid="{00000000-0005-0000-0000-000059040000}"/>
    <cellStyle name="Comma 5 2 2 3 4 2 2 2" xfId="21830" xr:uid="{00000000-0005-0000-0000-00005A040000}"/>
    <cellStyle name="Comma 5 2 2 3 4 2 2 2 2" xfId="46704" xr:uid="{00000000-0005-0000-0000-00005B040000}"/>
    <cellStyle name="Comma 5 2 2 3 4 2 2 3" xfId="34271" xr:uid="{00000000-0005-0000-0000-00005C040000}"/>
    <cellStyle name="Comma 5 2 2 3 4 2 3" xfId="4369" xr:uid="{00000000-0005-0000-0000-00005D040000}"/>
    <cellStyle name="Comma 5 2 2 3 4 2 3 2" xfId="16823" xr:uid="{00000000-0005-0000-0000-00005E040000}"/>
    <cellStyle name="Comma 5 2 2 3 4 2 3 2 2" xfId="41697" xr:uid="{00000000-0005-0000-0000-00005F040000}"/>
    <cellStyle name="Comma 5 2 2 3 4 2 3 3" xfId="29264" xr:uid="{00000000-0005-0000-0000-000060040000}"/>
    <cellStyle name="Comma 5 2 2 3 4 2 4" xfId="14431" xr:uid="{00000000-0005-0000-0000-000061040000}"/>
    <cellStyle name="Comma 5 2 2 3 4 2 4 2" xfId="39305" xr:uid="{00000000-0005-0000-0000-000062040000}"/>
    <cellStyle name="Comma 5 2 2 3 4 2 5" xfId="26864" xr:uid="{00000000-0005-0000-0000-000063040000}"/>
    <cellStyle name="Comma 5 2 2 3 4 3" xfId="5777" xr:uid="{00000000-0005-0000-0000-000064040000}"/>
    <cellStyle name="Comma 5 2 2 3 4 3 2" xfId="10792" xr:uid="{00000000-0005-0000-0000-000065040000}"/>
    <cellStyle name="Comma 5 2 2 3 4 3 2 2" xfId="23235" xr:uid="{00000000-0005-0000-0000-000066040000}"/>
    <cellStyle name="Comma 5 2 2 3 4 3 2 2 2" xfId="48109" xr:uid="{00000000-0005-0000-0000-000067040000}"/>
    <cellStyle name="Comma 5 2 2 3 4 3 2 3" xfId="35676" xr:uid="{00000000-0005-0000-0000-000068040000}"/>
    <cellStyle name="Comma 5 2 2 3 4 3 3" xfId="18228" xr:uid="{00000000-0005-0000-0000-000069040000}"/>
    <cellStyle name="Comma 5 2 2 3 4 3 3 2" xfId="43102" xr:uid="{00000000-0005-0000-0000-00006A040000}"/>
    <cellStyle name="Comma 5 2 2 3 4 3 4" xfId="30669" xr:uid="{00000000-0005-0000-0000-00006B040000}"/>
    <cellStyle name="Comma 5 2 2 3 4 4" xfId="8503" xr:uid="{00000000-0005-0000-0000-00006C040000}"/>
    <cellStyle name="Comma 5 2 2 3 4 4 2" xfId="20947" xr:uid="{00000000-0005-0000-0000-00006D040000}"/>
    <cellStyle name="Comma 5 2 2 3 4 4 2 2" xfId="45821" xr:uid="{00000000-0005-0000-0000-00006E040000}"/>
    <cellStyle name="Comma 5 2 2 3 4 4 3" xfId="33388" xr:uid="{00000000-0005-0000-0000-00006F040000}"/>
    <cellStyle name="Comma 5 2 2 3 4 5" xfId="12246" xr:uid="{00000000-0005-0000-0000-000070040000}"/>
    <cellStyle name="Comma 5 2 2 3 4 5 2" xfId="24680" xr:uid="{00000000-0005-0000-0000-000071040000}"/>
    <cellStyle name="Comma 5 2 2 3 4 5 2 2" xfId="49554" xr:uid="{00000000-0005-0000-0000-000072040000}"/>
    <cellStyle name="Comma 5 2 2 3 4 5 3" xfId="37121" xr:uid="{00000000-0005-0000-0000-000073040000}"/>
    <cellStyle name="Comma 5 2 2 3 4 6" xfId="6980" xr:uid="{00000000-0005-0000-0000-000074040000}"/>
    <cellStyle name="Comma 5 2 2 3 4 6 2" xfId="19429" xr:uid="{00000000-0005-0000-0000-000075040000}"/>
    <cellStyle name="Comma 5 2 2 3 4 6 2 2" xfId="44303" xr:uid="{00000000-0005-0000-0000-000076040000}"/>
    <cellStyle name="Comma 5 2 2 3 4 6 3" xfId="31870" xr:uid="{00000000-0005-0000-0000-000077040000}"/>
    <cellStyle name="Comma 5 2 2 3 4 7" xfId="3434" xr:uid="{00000000-0005-0000-0000-000078040000}"/>
    <cellStyle name="Comma 5 2 2 3 4 7 2" xfId="15940" xr:uid="{00000000-0005-0000-0000-000079040000}"/>
    <cellStyle name="Comma 5 2 2 3 4 7 2 2" xfId="40814" xr:uid="{00000000-0005-0000-0000-00007A040000}"/>
    <cellStyle name="Comma 5 2 2 3 4 7 3" xfId="28373" xr:uid="{00000000-0005-0000-0000-00007B040000}"/>
    <cellStyle name="Comma 5 2 2 3 4 8" xfId="13502" xr:uid="{00000000-0005-0000-0000-00007C040000}"/>
    <cellStyle name="Comma 5 2 2 3 4 8 2" xfId="38376" xr:uid="{00000000-0005-0000-0000-00007D040000}"/>
    <cellStyle name="Comma 5 2 2 3 4 9" xfId="25935" xr:uid="{00000000-0005-0000-0000-00007E040000}"/>
    <cellStyle name="Comma 5 2 2 3 5" xfId="2257" xr:uid="{00000000-0005-0000-0000-00007F040000}"/>
    <cellStyle name="Comma 5 2 2 3 5 2" xfId="4884" xr:uid="{00000000-0005-0000-0000-000080040000}"/>
    <cellStyle name="Comma 5 2 2 3 5 2 2" xfId="9901" xr:uid="{00000000-0005-0000-0000-000081040000}"/>
    <cellStyle name="Comma 5 2 2 3 5 2 2 2" xfId="22344" xr:uid="{00000000-0005-0000-0000-000082040000}"/>
    <cellStyle name="Comma 5 2 2 3 5 2 2 2 2" xfId="47218" xr:uid="{00000000-0005-0000-0000-000083040000}"/>
    <cellStyle name="Comma 5 2 2 3 5 2 2 3" xfId="34785" xr:uid="{00000000-0005-0000-0000-000084040000}"/>
    <cellStyle name="Comma 5 2 2 3 5 2 3" xfId="17337" xr:uid="{00000000-0005-0000-0000-000085040000}"/>
    <cellStyle name="Comma 5 2 2 3 5 2 3 2" xfId="42211" xr:uid="{00000000-0005-0000-0000-000086040000}"/>
    <cellStyle name="Comma 5 2 2 3 5 2 4" xfId="29778" xr:uid="{00000000-0005-0000-0000-000087040000}"/>
    <cellStyle name="Comma 5 2 2 3 5 3" xfId="6282" xr:uid="{00000000-0005-0000-0000-000088040000}"/>
    <cellStyle name="Comma 5 2 2 3 5 3 2" xfId="11297" xr:uid="{00000000-0005-0000-0000-000089040000}"/>
    <cellStyle name="Comma 5 2 2 3 5 3 2 2" xfId="23740" xr:uid="{00000000-0005-0000-0000-00008A040000}"/>
    <cellStyle name="Comma 5 2 2 3 5 3 2 2 2" xfId="48614" xr:uid="{00000000-0005-0000-0000-00008B040000}"/>
    <cellStyle name="Comma 5 2 2 3 5 3 2 3" xfId="36181" xr:uid="{00000000-0005-0000-0000-00008C040000}"/>
    <cellStyle name="Comma 5 2 2 3 5 3 3" xfId="18733" xr:uid="{00000000-0005-0000-0000-00008D040000}"/>
    <cellStyle name="Comma 5 2 2 3 5 3 3 2" xfId="43607" xr:uid="{00000000-0005-0000-0000-00008E040000}"/>
    <cellStyle name="Comma 5 2 2 3 5 3 4" xfId="31174" xr:uid="{00000000-0005-0000-0000-00008F040000}"/>
    <cellStyle name="Comma 5 2 2 3 5 4" xfId="8089" xr:uid="{00000000-0005-0000-0000-000090040000}"/>
    <cellStyle name="Comma 5 2 2 3 5 4 2" xfId="20535" xr:uid="{00000000-0005-0000-0000-000091040000}"/>
    <cellStyle name="Comma 5 2 2 3 5 4 2 2" xfId="45409" xr:uid="{00000000-0005-0000-0000-000092040000}"/>
    <cellStyle name="Comma 5 2 2 3 5 4 3" xfId="32976" xr:uid="{00000000-0005-0000-0000-000093040000}"/>
    <cellStyle name="Comma 5 2 2 3 5 5" xfId="12751" xr:uid="{00000000-0005-0000-0000-000094040000}"/>
    <cellStyle name="Comma 5 2 2 3 5 5 2" xfId="25185" xr:uid="{00000000-0005-0000-0000-000095040000}"/>
    <cellStyle name="Comma 5 2 2 3 5 5 2 2" xfId="50059" xr:uid="{00000000-0005-0000-0000-000096040000}"/>
    <cellStyle name="Comma 5 2 2 3 5 5 3" xfId="37626" xr:uid="{00000000-0005-0000-0000-000097040000}"/>
    <cellStyle name="Comma 5 2 2 3 5 6" xfId="7495" xr:uid="{00000000-0005-0000-0000-000098040000}"/>
    <cellStyle name="Comma 5 2 2 3 5 6 2" xfId="19943" xr:uid="{00000000-0005-0000-0000-000099040000}"/>
    <cellStyle name="Comma 5 2 2 3 5 6 2 2" xfId="44817" xr:uid="{00000000-0005-0000-0000-00009A040000}"/>
    <cellStyle name="Comma 5 2 2 3 5 6 3" xfId="32384" xr:uid="{00000000-0005-0000-0000-00009B040000}"/>
    <cellStyle name="Comma 5 2 2 3 5 7" xfId="3019" xr:uid="{00000000-0005-0000-0000-00009C040000}"/>
    <cellStyle name="Comma 5 2 2 3 5 7 2" xfId="15528" xr:uid="{00000000-0005-0000-0000-00009D040000}"/>
    <cellStyle name="Comma 5 2 2 3 5 7 2 2" xfId="40402" xr:uid="{00000000-0005-0000-0000-00009E040000}"/>
    <cellStyle name="Comma 5 2 2 3 5 7 3" xfId="27961" xr:uid="{00000000-0005-0000-0000-00009F040000}"/>
    <cellStyle name="Comma 5 2 2 3 5 8" xfId="14936" xr:uid="{00000000-0005-0000-0000-0000A0040000}"/>
    <cellStyle name="Comma 5 2 2 3 5 8 2" xfId="39810" xr:uid="{00000000-0005-0000-0000-0000A1040000}"/>
    <cellStyle name="Comma 5 2 2 3 5 9" xfId="27369" xr:uid="{00000000-0005-0000-0000-0000A2040000}"/>
    <cellStyle name="Comma 5 2 2 3 6" xfId="1093" xr:uid="{00000000-0005-0000-0000-0000A3040000}"/>
    <cellStyle name="Comma 5 2 2 3 6 2" xfId="8975" xr:uid="{00000000-0005-0000-0000-0000A4040000}"/>
    <cellStyle name="Comma 5 2 2 3 6 2 2" xfId="21418" xr:uid="{00000000-0005-0000-0000-0000A5040000}"/>
    <cellStyle name="Comma 5 2 2 3 6 2 2 2" xfId="46292" xr:uid="{00000000-0005-0000-0000-0000A6040000}"/>
    <cellStyle name="Comma 5 2 2 3 6 2 3" xfId="33859" xr:uid="{00000000-0005-0000-0000-0000A7040000}"/>
    <cellStyle name="Comma 5 2 2 3 6 3" xfId="3957" xr:uid="{00000000-0005-0000-0000-0000A8040000}"/>
    <cellStyle name="Comma 5 2 2 3 6 3 2" xfId="16411" xr:uid="{00000000-0005-0000-0000-0000A9040000}"/>
    <cellStyle name="Comma 5 2 2 3 6 3 2 2" xfId="41285" xr:uid="{00000000-0005-0000-0000-0000AA040000}"/>
    <cellStyle name="Comma 5 2 2 3 6 3 3" xfId="28852" xr:uid="{00000000-0005-0000-0000-0000AB040000}"/>
    <cellStyle name="Comma 5 2 2 3 6 4" xfId="13893" xr:uid="{00000000-0005-0000-0000-0000AC040000}"/>
    <cellStyle name="Comma 5 2 2 3 6 4 2" xfId="38767" xr:uid="{00000000-0005-0000-0000-0000AD040000}"/>
    <cellStyle name="Comma 5 2 2 3 6 5" xfId="26326" xr:uid="{00000000-0005-0000-0000-0000AE040000}"/>
    <cellStyle name="Comma 5 2 2 3 7" xfId="5238" xr:uid="{00000000-0005-0000-0000-0000AF040000}"/>
    <cellStyle name="Comma 5 2 2 3 7 2" xfId="10254" xr:uid="{00000000-0005-0000-0000-0000B0040000}"/>
    <cellStyle name="Comma 5 2 2 3 7 2 2" xfId="22697" xr:uid="{00000000-0005-0000-0000-0000B1040000}"/>
    <cellStyle name="Comma 5 2 2 3 7 2 2 2" xfId="47571" xr:uid="{00000000-0005-0000-0000-0000B2040000}"/>
    <cellStyle name="Comma 5 2 2 3 7 2 3" xfId="35138" xr:uid="{00000000-0005-0000-0000-0000B3040000}"/>
    <cellStyle name="Comma 5 2 2 3 7 3" xfId="17690" xr:uid="{00000000-0005-0000-0000-0000B4040000}"/>
    <cellStyle name="Comma 5 2 2 3 7 3 2" xfId="42564" xr:uid="{00000000-0005-0000-0000-0000B5040000}"/>
    <cellStyle name="Comma 5 2 2 3 7 4" xfId="30131" xr:uid="{00000000-0005-0000-0000-0000B6040000}"/>
    <cellStyle name="Comma 5 2 2 3 8" xfId="7815" xr:uid="{00000000-0005-0000-0000-0000B7040000}"/>
    <cellStyle name="Comma 5 2 2 3 8 2" xfId="20261" xr:uid="{00000000-0005-0000-0000-0000B8040000}"/>
    <cellStyle name="Comma 5 2 2 3 8 2 2" xfId="45135" xr:uid="{00000000-0005-0000-0000-0000B9040000}"/>
    <cellStyle name="Comma 5 2 2 3 8 3" xfId="32702" xr:uid="{00000000-0005-0000-0000-0000BA040000}"/>
    <cellStyle name="Comma 5 2 2 3 9" xfId="11708" xr:uid="{00000000-0005-0000-0000-0000BB040000}"/>
    <cellStyle name="Comma 5 2 2 3 9 2" xfId="24142" xr:uid="{00000000-0005-0000-0000-0000BC040000}"/>
    <cellStyle name="Comma 5 2 2 3 9 2 2" xfId="49016" xr:uid="{00000000-0005-0000-0000-0000BD040000}"/>
    <cellStyle name="Comma 5 2 2 3 9 3" xfId="36583" xr:uid="{00000000-0005-0000-0000-0000BE040000}"/>
    <cellStyle name="Comma 5 2 2 4" xfId="260" xr:uid="{00000000-0005-0000-0000-0000BF040000}"/>
    <cellStyle name="Comma 5 2 2 4 10" xfId="6600" xr:uid="{00000000-0005-0000-0000-0000C0040000}"/>
    <cellStyle name="Comma 5 2 2 4 10 2" xfId="19049" xr:uid="{00000000-0005-0000-0000-0000C1040000}"/>
    <cellStyle name="Comma 5 2 2 4 10 2 2" xfId="43923" xr:uid="{00000000-0005-0000-0000-0000C2040000}"/>
    <cellStyle name="Comma 5 2 2 4 10 3" xfId="31490" xr:uid="{00000000-0005-0000-0000-0000C3040000}"/>
    <cellStyle name="Comma 5 2 2 4 11" xfId="2663" xr:uid="{00000000-0005-0000-0000-0000C4040000}"/>
    <cellStyle name="Comma 5 2 2 4 11 2" xfId="15181" xr:uid="{00000000-0005-0000-0000-0000C5040000}"/>
    <cellStyle name="Comma 5 2 2 4 11 2 2" xfId="40055" xr:uid="{00000000-0005-0000-0000-0000C6040000}"/>
    <cellStyle name="Comma 5 2 2 4 11 3" xfId="27614" xr:uid="{00000000-0005-0000-0000-0000C7040000}"/>
    <cellStyle name="Comma 5 2 2 4 12" xfId="13082" xr:uid="{00000000-0005-0000-0000-0000C8040000}"/>
    <cellStyle name="Comma 5 2 2 4 12 2" xfId="37956" xr:uid="{00000000-0005-0000-0000-0000C9040000}"/>
    <cellStyle name="Comma 5 2 2 4 13" xfId="25515" xr:uid="{00000000-0005-0000-0000-0000CA040000}"/>
    <cellStyle name="Comma 5 2 2 4 2" xfId="474" xr:uid="{00000000-0005-0000-0000-0000CB040000}"/>
    <cellStyle name="Comma 5 2 2 4 2 10" xfId="13287" xr:uid="{00000000-0005-0000-0000-0000CC040000}"/>
    <cellStyle name="Comma 5 2 2 4 2 10 2" xfId="38161" xr:uid="{00000000-0005-0000-0000-0000CD040000}"/>
    <cellStyle name="Comma 5 2 2 4 2 11" xfId="25720" xr:uid="{00000000-0005-0000-0000-0000CE040000}"/>
    <cellStyle name="Comma 5 2 2 4 2 2" xfId="833" xr:uid="{00000000-0005-0000-0000-0000CF040000}"/>
    <cellStyle name="Comma 5 2 2 4 2 2 2" xfId="1286" xr:uid="{00000000-0005-0000-0000-0000D0040000}"/>
    <cellStyle name="Comma 5 2 2 4 2 2 2 2" xfId="9390" xr:uid="{00000000-0005-0000-0000-0000D1040000}"/>
    <cellStyle name="Comma 5 2 2 4 2 2 2 2 2" xfId="21833" xr:uid="{00000000-0005-0000-0000-0000D2040000}"/>
    <cellStyle name="Comma 5 2 2 4 2 2 2 2 2 2" xfId="46707" xr:uid="{00000000-0005-0000-0000-0000D3040000}"/>
    <cellStyle name="Comma 5 2 2 4 2 2 2 2 3" xfId="34274" xr:uid="{00000000-0005-0000-0000-0000D4040000}"/>
    <cellStyle name="Comma 5 2 2 4 2 2 2 3" xfId="4372" xr:uid="{00000000-0005-0000-0000-0000D5040000}"/>
    <cellStyle name="Comma 5 2 2 4 2 2 2 3 2" xfId="16826" xr:uid="{00000000-0005-0000-0000-0000D6040000}"/>
    <cellStyle name="Comma 5 2 2 4 2 2 2 3 2 2" xfId="41700" xr:uid="{00000000-0005-0000-0000-0000D7040000}"/>
    <cellStyle name="Comma 5 2 2 4 2 2 2 3 3" xfId="29267" xr:uid="{00000000-0005-0000-0000-0000D8040000}"/>
    <cellStyle name="Comma 5 2 2 4 2 2 2 4" xfId="14086" xr:uid="{00000000-0005-0000-0000-0000D9040000}"/>
    <cellStyle name="Comma 5 2 2 4 2 2 2 4 2" xfId="38960" xr:uid="{00000000-0005-0000-0000-0000DA040000}"/>
    <cellStyle name="Comma 5 2 2 4 2 2 2 5" xfId="26519" xr:uid="{00000000-0005-0000-0000-0000DB040000}"/>
    <cellStyle name="Comma 5 2 2 4 2 2 3" xfId="5431" xr:uid="{00000000-0005-0000-0000-0000DC040000}"/>
    <cellStyle name="Comma 5 2 2 4 2 2 3 2" xfId="10447" xr:uid="{00000000-0005-0000-0000-0000DD040000}"/>
    <cellStyle name="Comma 5 2 2 4 2 2 3 2 2" xfId="22890" xr:uid="{00000000-0005-0000-0000-0000DE040000}"/>
    <cellStyle name="Comma 5 2 2 4 2 2 3 2 2 2" xfId="47764" xr:uid="{00000000-0005-0000-0000-0000DF040000}"/>
    <cellStyle name="Comma 5 2 2 4 2 2 3 2 3" xfId="35331" xr:uid="{00000000-0005-0000-0000-0000E0040000}"/>
    <cellStyle name="Comma 5 2 2 4 2 2 3 3" xfId="17883" xr:uid="{00000000-0005-0000-0000-0000E1040000}"/>
    <cellStyle name="Comma 5 2 2 4 2 2 3 3 2" xfId="42757" xr:uid="{00000000-0005-0000-0000-0000E2040000}"/>
    <cellStyle name="Comma 5 2 2 4 2 2 3 4" xfId="30324" xr:uid="{00000000-0005-0000-0000-0000E3040000}"/>
    <cellStyle name="Comma 5 2 2 4 2 2 4" xfId="8506" xr:uid="{00000000-0005-0000-0000-0000E4040000}"/>
    <cellStyle name="Comma 5 2 2 4 2 2 4 2" xfId="20950" xr:uid="{00000000-0005-0000-0000-0000E5040000}"/>
    <cellStyle name="Comma 5 2 2 4 2 2 4 2 2" xfId="45824" xr:uid="{00000000-0005-0000-0000-0000E6040000}"/>
    <cellStyle name="Comma 5 2 2 4 2 2 4 3" xfId="33391" xr:uid="{00000000-0005-0000-0000-0000E7040000}"/>
    <cellStyle name="Comma 5 2 2 4 2 2 5" xfId="11901" xr:uid="{00000000-0005-0000-0000-0000E8040000}"/>
    <cellStyle name="Comma 5 2 2 4 2 2 5 2" xfId="24335" xr:uid="{00000000-0005-0000-0000-0000E9040000}"/>
    <cellStyle name="Comma 5 2 2 4 2 2 5 2 2" xfId="49209" xr:uid="{00000000-0005-0000-0000-0000EA040000}"/>
    <cellStyle name="Comma 5 2 2 4 2 2 5 3" xfId="36776" xr:uid="{00000000-0005-0000-0000-0000EB040000}"/>
    <cellStyle name="Comma 5 2 2 4 2 2 6" xfId="6983" xr:uid="{00000000-0005-0000-0000-0000EC040000}"/>
    <cellStyle name="Comma 5 2 2 4 2 2 6 2" xfId="19432" xr:uid="{00000000-0005-0000-0000-0000ED040000}"/>
    <cellStyle name="Comma 5 2 2 4 2 2 6 2 2" xfId="44306" xr:uid="{00000000-0005-0000-0000-0000EE040000}"/>
    <cellStyle name="Comma 5 2 2 4 2 2 6 3" xfId="31873" xr:uid="{00000000-0005-0000-0000-0000EF040000}"/>
    <cellStyle name="Comma 5 2 2 4 2 2 7" xfId="3437" xr:uid="{00000000-0005-0000-0000-0000F0040000}"/>
    <cellStyle name="Comma 5 2 2 4 2 2 7 2" xfId="15943" xr:uid="{00000000-0005-0000-0000-0000F1040000}"/>
    <cellStyle name="Comma 5 2 2 4 2 2 7 2 2" xfId="40817" xr:uid="{00000000-0005-0000-0000-0000F2040000}"/>
    <cellStyle name="Comma 5 2 2 4 2 2 7 3" xfId="28376" xr:uid="{00000000-0005-0000-0000-0000F3040000}"/>
    <cellStyle name="Comma 5 2 2 4 2 2 8" xfId="13634" xr:uid="{00000000-0005-0000-0000-0000F4040000}"/>
    <cellStyle name="Comma 5 2 2 4 2 2 8 2" xfId="38508" xr:uid="{00000000-0005-0000-0000-0000F5040000}"/>
    <cellStyle name="Comma 5 2 2 4 2 2 9" xfId="26067" xr:uid="{00000000-0005-0000-0000-0000F6040000}"/>
    <cellStyle name="Comma 5 2 2 4 2 3" xfId="1634" xr:uid="{00000000-0005-0000-0000-0000F7040000}"/>
    <cellStyle name="Comma 5 2 2 4 2 3 2" xfId="5016" xr:uid="{00000000-0005-0000-0000-0000F8040000}"/>
    <cellStyle name="Comma 5 2 2 4 2 3 2 2" xfId="10033" xr:uid="{00000000-0005-0000-0000-0000F9040000}"/>
    <cellStyle name="Comma 5 2 2 4 2 3 2 2 2" xfId="22476" xr:uid="{00000000-0005-0000-0000-0000FA040000}"/>
    <cellStyle name="Comma 5 2 2 4 2 3 2 2 2 2" xfId="47350" xr:uid="{00000000-0005-0000-0000-0000FB040000}"/>
    <cellStyle name="Comma 5 2 2 4 2 3 2 2 3" xfId="34917" xr:uid="{00000000-0005-0000-0000-0000FC040000}"/>
    <cellStyle name="Comma 5 2 2 4 2 3 2 3" xfId="17469" xr:uid="{00000000-0005-0000-0000-0000FD040000}"/>
    <cellStyle name="Comma 5 2 2 4 2 3 2 3 2" xfId="42343" xr:uid="{00000000-0005-0000-0000-0000FE040000}"/>
    <cellStyle name="Comma 5 2 2 4 2 3 2 4" xfId="29910" xr:uid="{00000000-0005-0000-0000-0000FF040000}"/>
    <cellStyle name="Comma 5 2 2 4 2 3 3" xfId="5780" xr:uid="{00000000-0005-0000-0000-000000050000}"/>
    <cellStyle name="Comma 5 2 2 4 2 3 3 2" xfId="10795" xr:uid="{00000000-0005-0000-0000-000001050000}"/>
    <cellStyle name="Comma 5 2 2 4 2 3 3 2 2" xfId="23238" xr:uid="{00000000-0005-0000-0000-000002050000}"/>
    <cellStyle name="Comma 5 2 2 4 2 3 3 2 2 2" xfId="48112" xr:uid="{00000000-0005-0000-0000-000003050000}"/>
    <cellStyle name="Comma 5 2 2 4 2 3 3 2 3" xfId="35679" xr:uid="{00000000-0005-0000-0000-000004050000}"/>
    <cellStyle name="Comma 5 2 2 4 2 3 3 3" xfId="18231" xr:uid="{00000000-0005-0000-0000-000005050000}"/>
    <cellStyle name="Comma 5 2 2 4 2 3 3 3 2" xfId="43105" xr:uid="{00000000-0005-0000-0000-000006050000}"/>
    <cellStyle name="Comma 5 2 2 4 2 3 3 4" xfId="30672" xr:uid="{00000000-0005-0000-0000-000007050000}"/>
    <cellStyle name="Comma 5 2 2 4 2 3 4" xfId="8440" xr:uid="{00000000-0005-0000-0000-000008050000}"/>
    <cellStyle name="Comma 5 2 2 4 2 3 4 2" xfId="20884" xr:uid="{00000000-0005-0000-0000-000009050000}"/>
    <cellStyle name="Comma 5 2 2 4 2 3 4 2 2" xfId="45758" xr:uid="{00000000-0005-0000-0000-00000A050000}"/>
    <cellStyle name="Comma 5 2 2 4 2 3 4 3" xfId="33325" xr:uid="{00000000-0005-0000-0000-00000B050000}"/>
    <cellStyle name="Comma 5 2 2 4 2 3 5" xfId="12249" xr:uid="{00000000-0005-0000-0000-00000C050000}"/>
    <cellStyle name="Comma 5 2 2 4 2 3 5 2" xfId="24683" xr:uid="{00000000-0005-0000-0000-00000D050000}"/>
    <cellStyle name="Comma 5 2 2 4 2 3 5 2 2" xfId="49557" xr:uid="{00000000-0005-0000-0000-00000E050000}"/>
    <cellStyle name="Comma 5 2 2 4 2 3 5 3" xfId="37124" xr:uid="{00000000-0005-0000-0000-00000F050000}"/>
    <cellStyle name="Comma 5 2 2 4 2 3 6" xfId="7627" xr:uid="{00000000-0005-0000-0000-000010050000}"/>
    <cellStyle name="Comma 5 2 2 4 2 3 6 2" xfId="20075" xr:uid="{00000000-0005-0000-0000-000011050000}"/>
    <cellStyle name="Comma 5 2 2 4 2 3 6 2 2" xfId="44949" xr:uid="{00000000-0005-0000-0000-000012050000}"/>
    <cellStyle name="Comma 5 2 2 4 2 3 6 3" xfId="32516" xr:uid="{00000000-0005-0000-0000-000013050000}"/>
    <cellStyle name="Comma 5 2 2 4 2 3 7" xfId="3371" xr:uid="{00000000-0005-0000-0000-000014050000}"/>
    <cellStyle name="Comma 5 2 2 4 2 3 7 2" xfId="15877" xr:uid="{00000000-0005-0000-0000-000015050000}"/>
    <cellStyle name="Comma 5 2 2 4 2 3 7 2 2" xfId="40751" xr:uid="{00000000-0005-0000-0000-000016050000}"/>
    <cellStyle name="Comma 5 2 2 4 2 3 7 3" xfId="28310" xr:uid="{00000000-0005-0000-0000-000017050000}"/>
    <cellStyle name="Comma 5 2 2 4 2 3 8" xfId="14434" xr:uid="{00000000-0005-0000-0000-000018050000}"/>
    <cellStyle name="Comma 5 2 2 4 2 3 8 2" xfId="39308" xr:uid="{00000000-0005-0000-0000-000019050000}"/>
    <cellStyle name="Comma 5 2 2 4 2 3 9" xfId="26867" xr:uid="{00000000-0005-0000-0000-00001A050000}"/>
    <cellStyle name="Comma 5 2 2 4 2 4" xfId="2392" xr:uid="{00000000-0005-0000-0000-00001B050000}"/>
    <cellStyle name="Comma 5 2 2 4 2 4 2" xfId="6414" xr:uid="{00000000-0005-0000-0000-00001C050000}"/>
    <cellStyle name="Comma 5 2 2 4 2 4 2 2" xfId="11429" xr:uid="{00000000-0005-0000-0000-00001D050000}"/>
    <cellStyle name="Comma 5 2 2 4 2 4 2 2 2" xfId="23872" xr:uid="{00000000-0005-0000-0000-00001E050000}"/>
    <cellStyle name="Comma 5 2 2 4 2 4 2 2 2 2" xfId="48746" xr:uid="{00000000-0005-0000-0000-00001F050000}"/>
    <cellStyle name="Comma 5 2 2 4 2 4 2 2 3" xfId="36313" xr:uid="{00000000-0005-0000-0000-000020050000}"/>
    <cellStyle name="Comma 5 2 2 4 2 4 2 3" xfId="18865" xr:uid="{00000000-0005-0000-0000-000021050000}"/>
    <cellStyle name="Comma 5 2 2 4 2 4 2 3 2" xfId="43739" xr:uid="{00000000-0005-0000-0000-000022050000}"/>
    <cellStyle name="Comma 5 2 2 4 2 4 2 4" xfId="31306" xr:uid="{00000000-0005-0000-0000-000023050000}"/>
    <cellStyle name="Comma 5 2 2 4 2 4 3" xfId="12883" xr:uid="{00000000-0005-0000-0000-000024050000}"/>
    <cellStyle name="Comma 5 2 2 4 2 4 3 2" xfId="25317" xr:uid="{00000000-0005-0000-0000-000025050000}"/>
    <cellStyle name="Comma 5 2 2 4 2 4 3 2 2" xfId="50191" xr:uid="{00000000-0005-0000-0000-000026050000}"/>
    <cellStyle name="Comma 5 2 2 4 2 4 3 3" xfId="37758" xr:uid="{00000000-0005-0000-0000-000027050000}"/>
    <cellStyle name="Comma 5 2 2 4 2 4 4" xfId="9324" xr:uid="{00000000-0005-0000-0000-000028050000}"/>
    <cellStyle name="Comma 5 2 2 4 2 4 4 2" xfId="21767" xr:uid="{00000000-0005-0000-0000-000029050000}"/>
    <cellStyle name="Comma 5 2 2 4 2 4 4 2 2" xfId="46641" xr:uid="{00000000-0005-0000-0000-00002A050000}"/>
    <cellStyle name="Comma 5 2 2 4 2 4 4 3" xfId="34208" xr:uid="{00000000-0005-0000-0000-00002B050000}"/>
    <cellStyle name="Comma 5 2 2 4 2 4 5" xfId="4306" xr:uid="{00000000-0005-0000-0000-00002C050000}"/>
    <cellStyle name="Comma 5 2 2 4 2 4 5 2" xfId="16760" xr:uid="{00000000-0005-0000-0000-00002D050000}"/>
    <cellStyle name="Comma 5 2 2 4 2 4 5 2 2" xfId="41634" xr:uid="{00000000-0005-0000-0000-00002E050000}"/>
    <cellStyle name="Comma 5 2 2 4 2 4 5 3" xfId="29201" xr:uid="{00000000-0005-0000-0000-00002F050000}"/>
    <cellStyle name="Comma 5 2 2 4 2 4 6" xfId="15068" xr:uid="{00000000-0005-0000-0000-000030050000}"/>
    <cellStyle name="Comma 5 2 2 4 2 4 6 2" xfId="39942" xr:uid="{00000000-0005-0000-0000-000031050000}"/>
    <cellStyle name="Comma 5 2 2 4 2 4 7" xfId="27501" xr:uid="{00000000-0005-0000-0000-000032050000}"/>
    <cellStyle name="Comma 5 2 2 4 2 5" xfId="1225" xr:uid="{00000000-0005-0000-0000-000033050000}"/>
    <cellStyle name="Comma 5 2 2 4 2 5 2" xfId="10386" xr:uid="{00000000-0005-0000-0000-000034050000}"/>
    <cellStyle name="Comma 5 2 2 4 2 5 2 2" xfId="22829" xr:uid="{00000000-0005-0000-0000-000035050000}"/>
    <cellStyle name="Comma 5 2 2 4 2 5 2 2 2" xfId="47703" xr:uid="{00000000-0005-0000-0000-000036050000}"/>
    <cellStyle name="Comma 5 2 2 4 2 5 2 3" xfId="35270" xr:uid="{00000000-0005-0000-0000-000037050000}"/>
    <cellStyle name="Comma 5 2 2 4 2 5 3" xfId="5370" xr:uid="{00000000-0005-0000-0000-000038050000}"/>
    <cellStyle name="Comma 5 2 2 4 2 5 3 2" xfId="17822" xr:uid="{00000000-0005-0000-0000-000039050000}"/>
    <cellStyle name="Comma 5 2 2 4 2 5 3 2 2" xfId="42696" xr:uid="{00000000-0005-0000-0000-00003A050000}"/>
    <cellStyle name="Comma 5 2 2 4 2 5 3 3" xfId="30263" xr:uid="{00000000-0005-0000-0000-00003B050000}"/>
    <cellStyle name="Comma 5 2 2 4 2 5 4" xfId="14025" xr:uid="{00000000-0005-0000-0000-00003C050000}"/>
    <cellStyle name="Comma 5 2 2 4 2 5 4 2" xfId="38899" xr:uid="{00000000-0005-0000-0000-00003D050000}"/>
    <cellStyle name="Comma 5 2 2 4 2 5 5" xfId="26458" xr:uid="{00000000-0005-0000-0000-00003E050000}"/>
    <cellStyle name="Comma 5 2 2 4 2 6" xfId="7947" xr:uid="{00000000-0005-0000-0000-00003F050000}"/>
    <cellStyle name="Comma 5 2 2 4 2 6 2" xfId="20393" xr:uid="{00000000-0005-0000-0000-000040050000}"/>
    <cellStyle name="Comma 5 2 2 4 2 6 2 2" xfId="45267" xr:uid="{00000000-0005-0000-0000-000041050000}"/>
    <cellStyle name="Comma 5 2 2 4 2 6 3" xfId="32834" xr:uid="{00000000-0005-0000-0000-000042050000}"/>
    <cellStyle name="Comma 5 2 2 4 2 7" xfId="11840" xr:uid="{00000000-0005-0000-0000-000043050000}"/>
    <cellStyle name="Comma 5 2 2 4 2 7 2" xfId="24274" xr:uid="{00000000-0005-0000-0000-000044050000}"/>
    <cellStyle name="Comma 5 2 2 4 2 7 2 2" xfId="49148" xr:uid="{00000000-0005-0000-0000-000045050000}"/>
    <cellStyle name="Comma 5 2 2 4 2 7 3" xfId="36715" xr:uid="{00000000-0005-0000-0000-000046050000}"/>
    <cellStyle name="Comma 5 2 2 4 2 8" xfId="6917" xr:uid="{00000000-0005-0000-0000-000047050000}"/>
    <cellStyle name="Comma 5 2 2 4 2 8 2" xfId="19366" xr:uid="{00000000-0005-0000-0000-000048050000}"/>
    <cellStyle name="Comma 5 2 2 4 2 8 2 2" xfId="44240" xr:uid="{00000000-0005-0000-0000-000049050000}"/>
    <cellStyle name="Comma 5 2 2 4 2 8 3" xfId="31807" xr:uid="{00000000-0005-0000-0000-00004A050000}"/>
    <cellStyle name="Comma 5 2 2 4 2 9" xfId="2868" xr:uid="{00000000-0005-0000-0000-00004B050000}"/>
    <cellStyle name="Comma 5 2 2 4 2 9 2" xfId="15386" xr:uid="{00000000-0005-0000-0000-00004C050000}"/>
    <cellStyle name="Comma 5 2 2 4 2 9 2 2" xfId="40260" xr:uid="{00000000-0005-0000-0000-00004D050000}"/>
    <cellStyle name="Comma 5 2 2 4 2 9 3" xfId="27819" xr:uid="{00000000-0005-0000-0000-00004E050000}"/>
    <cellStyle name="Comma 5 2 2 4 3" xfId="622" xr:uid="{00000000-0005-0000-0000-00004F050000}"/>
    <cellStyle name="Comma 5 2 2 4 3 2" xfId="1285" xr:uid="{00000000-0005-0000-0000-000050050000}"/>
    <cellStyle name="Comma 5 2 2 4 3 2 2" xfId="9119" xr:uid="{00000000-0005-0000-0000-000051050000}"/>
    <cellStyle name="Comma 5 2 2 4 3 2 2 2" xfId="21562" xr:uid="{00000000-0005-0000-0000-000052050000}"/>
    <cellStyle name="Comma 5 2 2 4 3 2 2 2 2" xfId="46436" xr:uid="{00000000-0005-0000-0000-000053050000}"/>
    <cellStyle name="Comma 5 2 2 4 3 2 2 3" xfId="34003" xr:uid="{00000000-0005-0000-0000-000054050000}"/>
    <cellStyle name="Comma 5 2 2 4 3 2 3" xfId="4101" xr:uid="{00000000-0005-0000-0000-000055050000}"/>
    <cellStyle name="Comma 5 2 2 4 3 2 3 2" xfId="16555" xr:uid="{00000000-0005-0000-0000-000056050000}"/>
    <cellStyle name="Comma 5 2 2 4 3 2 3 2 2" xfId="41429" xr:uid="{00000000-0005-0000-0000-000057050000}"/>
    <cellStyle name="Comma 5 2 2 4 3 2 3 3" xfId="28996" xr:uid="{00000000-0005-0000-0000-000058050000}"/>
    <cellStyle name="Comma 5 2 2 4 3 2 4" xfId="14085" xr:uid="{00000000-0005-0000-0000-000059050000}"/>
    <cellStyle name="Comma 5 2 2 4 3 2 4 2" xfId="38959" xr:uid="{00000000-0005-0000-0000-00005A050000}"/>
    <cellStyle name="Comma 5 2 2 4 3 2 5" xfId="26518" xr:uid="{00000000-0005-0000-0000-00005B050000}"/>
    <cellStyle name="Comma 5 2 2 4 3 3" xfId="5430" xr:uid="{00000000-0005-0000-0000-00005C050000}"/>
    <cellStyle name="Comma 5 2 2 4 3 3 2" xfId="10446" xr:uid="{00000000-0005-0000-0000-00005D050000}"/>
    <cellStyle name="Comma 5 2 2 4 3 3 2 2" xfId="22889" xr:uid="{00000000-0005-0000-0000-00005E050000}"/>
    <cellStyle name="Comma 5 2 2 4 3 3 2 2 2" xfId="47763" xr:uid="{00000000-0005-0000-0000-00005F050000}"/>
    <cellStyle name="Comma 5 2 2 4 3 3 2 3" xfId="35330" xr:uid="{00000000-0005-0000-0000-000060050000}"/>
    <cellStyle name="Comma 5 2 2 4 3 3 3" xfId="17882" xr:uid="{00000000-0005-0000-0000-000061050000}"/>
    <cellStyle name="Comma 5 2 2 4 3 3 3 2" xfId="42756" xr:uid="{00000000-0005-0000-0000-000062050000}"/>
    <cellStyle name="Comma 5 2 2 4 3 3 4" xfId="30323" xr:uid="{00000000-0005-0000-0000-000063050000}"/>
    <cellStyle name="Comma 5 2 2 4 3 4" xfId="8235" xr:uid="{00000000-0005-0000-0000-000064050000}"/>
    <cellStyle name="Comma 5 2 2 4 3 4 2" xfId="20679" xr:uid="{00000000-0005-0000-0000-000065050000}"/>
    <cellStyle name="Comma 5 2 2 4 3 4 2 2" xfId="45553" xr:uid="{00000000-0005-0000-0000-000066050000}"/>
    <cellStyle name="Comma 5 2 2 4 3 4 3" xfId="33120" xr:uid="{00000000-0005-0000-0000-000067050000}"/>
    <cellStyle name="Comma 5 2 2 4 3 5" xfId="11900" xr:uid="{00000000-0005-0000-0000-000068050000}"/>
    <cellStyle name="Comma 5 2 2 4 3 5 2" xfId="24334" xr:uid="{00000000-0005-0000-0000-000069050000}"/>
    <cellStyle name="Comma 5 2 2 4 3 5 2 2" xfId="49208" xr:uid="{00000000-0005-0000-0000-00006A050000}"/>
    <cellStyle name="Comma 5 2 2 4 3 5 3" xfId="36775" xr:uid="{00000000-0005-0000-0000-00006B050000}"/>
    <cellStyle name="Comma 5 2 2 4 3 6" xfId="6712" xr:uid="{00000000-0005-0000-0000-00006C050000}"/>
    <cellStyle name="Comma 5 2 2 4 3 6 2" xfId="19161" xr:uid="{00000000-0005-0000-0000-00006D050000}"/>
    <cellStyle name="Comma 5 2 2 4 3 6 2 2" xfId="44035" xr:uid="{00000000-0005-0000-0000-00006E050000}"/>
    <cellStyle name="Comma 5 2 2 4 3 6 3" xfId="31602" xr:uid="{00000000-0005-0000-0000-00006F050000}"/>
    <cellStyle name="Comma 5 2 2 4 3 7" xfId="3166" xr:uid="{00000000-0005-0000-0000-000070050000}"/>
    <cellStyle name="Comma 5 2 2 4 3 7 2" xfId="15672" xr:uid="{00000000-0005-0000-0000-000071050000}"/>
    <cellStyle name="Comma 5 2 2 4 3 7 2 2" xfId="40546" xr:uid="{00000000-0005-0000-0000-000072050000}"/>
    <cellStyle name="Comma 5 2 2 4 3 7 3" xfId="28105" xr:uid="{00000000-0005-0000-0000-000073050000}"/>
    <cellStyle name="Comma 5 2 2 4 3 8" xfId="13429" xr:uid="{00000000-0005-0000-0000-000074050000}"/>
    <cellStyle name="Comma 5 2 2 4 3 8 2" xfId="38303" xr:uid="{00000000-0005-0000-0000-000075050000}"/>
    <cellStyle name="Comma 5 2 2 4 3 9" xfId="25862" xr:uid="{00000000-0005-0000-0000-000076050000}"/>
    <cellStyle name="Comma 5 2 2 4 4" xfId="1633" xr:uid="{00000000-0005-0000-0000-000077050000}"/>
    <cellStyle name="Comma 5 2 2 4 4 2" xfId="4371" xr:uid="{00000000-0005-0000-0000-000078050000}"/>
    <cellStyle name="Comma 5 2 2 4 4 2 2" xfId="9389" xr:uid="{00000000-0005-0000-0000-000079050000}"/>
    <cellStyle name="Comma 5 2 2 4 4 2 2 2" xfId="21832" xr:uid="{00000000-0005-0000-0000-00007A050000}"/>
    <cellStyle name="Comma 5 2 2 4 4 2 2 2 2" xfId="46706" xr:uid="{00000000-0005-0000-0000-00007B050000}"/>
    <cellStyle name="Comma 5 2 2 4 4 2 2 3" xfId="34273" xr:uid="{00000000-0005-0000-0000-00007C050000}"/>
    <cellStyle name="Comma 5 2 2 4 4 2 3" xfId="16825" xr:uid="{00000000-0005-0000-0000-00007D050000}"/>
    <cellStyle name="Comma 5 2 2 4 4 2 3 2" xfId="41699" xr:uid="{00000000-0005-0000-0000-00007E050000}"/>
    <cellStyle name="Comma 5 2 2 4 4 2 4" xfId="29266" xr:uid="{00000000-0005-0000-0000-00007F050000}"/>
    <cellStyle name="Comma 5 2 2 4 4 3" xfId="5779" xr:uid="{00000000-0005-0000-0000-000080050000}"/>
    <cellStyle name="Comma 5 2 2 4 4 3 2" xfId="10794" xr:uid="{00000000-0005-0000-0000-000081050000}"/>
    <cellStyle name="Comma 5 2 2 4 4 3 2 2" xfId="23237" xr:uid="{00000000-0005-0000-0000-000082050000}"/>
    <cellStyle name="Comma 5 2 2 4 4 3 2 2 2" xfId="48111" xr:uid="{00000000-0005-0000-0000-000083050000}"/>
    <cellStyle name="Comma 5 2 2 4 4 3 2 3" xfId="35678" xr:uid="{00000000-0005-0000-0000-000084050000}"/>
    <cellStyle name="Comma 5 2 2 4 4 3 3" xfId="18230" xr:uid="{00000000-0005-0000-0000-000085050000}"/>
    <cellStyle name="Comma 5 2 2 4 4 3 3 2" xfId="43104" xr:uid="{00000000-0005-0000-0000-000086050000}"/>
    <cellStyle name="Comma 5 2 2 4 4 3 4" xfId="30671" xr:uid="{00000000-0005-0000-0000-000087050000}"/>
    <cellStyle name="Comma 5 2 2 4 4 4" xfId="8505" xr:uid="{00000000-0005-0000-0000-000088050000}"/>
    <cellStyle name="Comma 5 2 2 4 4 4 2" xfId="20949" xr:uid="{00000000-0005-0000-0000-000089050000}"/>
    <cellStyle name="Comma 5 2 2 4 4 4 2 2" xfId="45823" xr:uid="{00000000-0005-0000-0000-00008A050000}"/>
    <cellStyle name="Comma 5 2 2 4 4 4 3" xfId="33390" xr:uid="{00000000-0005-0000-0000-00008B050000}"/>
    <cellStyle name="Comma 5 2 2 4 4 5" xfId="12248" xr:uid="{00000000-0005-0000-0000-00008C050000}"/>
    <cellStyle name="Comma 5 2 2 4 4 5 2" xfId="24682" xr:uid="{00000000-0005-0000-0000-00008D050000}"/>
    <cellStyle name="Comma 5 2 2 4 4 5 2 2" xfId="49556" xr:uid="{00000000-0005-0000-0000-00008E050000}"/>
    <cellStyle name="Comma 5 2 2 4 4 5 3" xfId="37123" xr:uid="{00000000-0005-0000-0000-00008F050000}"/>
    <cellStyle name="Comma 5 2 2 4 4 6" xfId="6982" xr:uid="{00000000-0005-0000-0000-000090050000}"/>
    <cellStyle name="Comma 5 2 2 4 4 6 2" xfId="19431" xr:uid="{00000000-0005-0000-0000-000091050000}"/>
    <cellStyle name="Comma 5 2 2 4 4 6 2 2" xfId="44305" xr:uid="{00000000-0005-0000-0000-000092050000}"/>
    <cellStyle name="Comma 5 2 2 4 4 6 3" xfId="31872" xr:uid="{00000000-0005-0000-0000-000093050000}"/>
    <cellStyle name="Comma 5 2 2 4 4 7" xfId="3436" xr:uid="{00000000-0005-0000-0000-000094050000}"/>
    <cellStyle name="Comma 5 2 2 4 4 7 2" xfId="15942" xr:uid="{00000000-0005-0000-0000-000095050000}"/>
    <cellStyle name="Comma 5 2 2 4 4 7 2 2" xfId="40816" xr:uid="{00000000-0005-0000-0000-000096050000}"/>
    <cellStyle name="Comma 5 2 2 4 4 7 3" xfId="28375" xr:uid="{00000000-0005-0000-0000-000097050000}"/>
    <cellStyle name="Comma 5 2 2 4 4 8" xfId="14433" xr:uid="{00000000-0005-0000-0000-000098050000}"/>
    <cellStyle name="Comma 5 2 2 4 4 8 2" xfId="39307" xr:uid="{00000000-0005-0000-0000-000099050000}"/>
    <cellStyle name="Comma 5 2 2 4 4 9" xfId="26866" xr:uid="{00000000-0005-0000-0000-00009A050000}"/>
    <cellStyle name="Comma 5 2 2 4 5" xfId="2178" xr:uid="{00000000-0005-0000-0000-00009B050000}"/>
    <cellStyle name="Comma 5 2 2 4 5 2" xfId="4811" xr:uid="{00000000-0005-0000-0000-00009C050000}"/>
    <cellStyle name="Comma 5 2 2 4 5 2 2" xfId="9828" xr:uid="{00000000-0005-0000-0000-00009D050000}"/>
    <cellStyle name="Comma 5 2 2 4 5 2 2 2" xfId="22271" xr:uid="{00000000-0005-0000-0000-00009E050000}"/>
    <cellStyle name="Comma 5 2 2 4 5 2 2 2 2" xfId="47145" xr:uid="{00000000-0005-0000-0000-00009F050000}"/>
    <cellStyle name="Comma 5 2 2 4 5 2 2 3" xfId="34712" xr:uid="{00000000-0005-0000-0000-0000A0050000}"/>
    <cellStyle name="Comma 5 2 2 4 5 2 3" xfId="17264" xr:uid="{00000000-0005-0000-0000-0000A1050000}"/>
    <cellStyle name="Comma 5 2 2 4 5 2 3 2" xfId="42138" xr:uid="{00000000-0005-0000-0000-0000A2050000}"/>
    <cellStyle name="Comma 5 2 2 4 5 2 4" xfId="29705" xr:uid="{00000000-0005-0000-0000-0000A3050000}"/>
    <cellStyle name="Comma 5 2 2 4 5 3" xfId="6209" xr:uid="{00000000-0005-0000-0000-0000A4050000}"/>
    <cellStyle name="Comma 5 2 2 4 5 3 2" xfId="11224" xr:uid="{00000000-0005-0000-0000-0000A5050000}"/>
    <cellStyle name="Comma 5 2 2 4 5 3 2 2" xfId="23667" xr:uid="{00000000-0005-0000-0000-0000A6050000}"/>
    <cellStyle name="Comma 5 2 2 4 5 3 2 2 2" xfId="48541" xr:uid="{00000000-0005-0000-0000-0000A7050000}"/>
    <cellStyle name="Comma 5 2 2 4 5 3 2 3" xfId="36108" xr:uid="{00000000-0005-0000-0000-0000A8050000}"/>
    <cellStyle name="Comma 5 2 2 4 5 3 3" xfId="18660" xr:uid="{00000000-0005-0000-0000-0000A9050000}"/>
    <cellStyle name="Comma 5 2 2 4 5 3 3 2" xfId="43534" xr:uid="{00000000-0005-0000-0000-0000AA050000}"/>
    <cellStyle name="Comma 5 2 2 4 5 3 4" xfId="31101" xr:uid="{00000000-0005-0000-0000-0000AB050000}"/>
    <cellStyle name="Comma 5 2 2 4 5 4" xfId="8121" xr:uid="{00000000-0005-0000-0000-0000AC050000}"/>
    <cellStyle name="Comma 5 2 2 4 5 4 2" xfId="20567" xr:uid="{00000000-0005-0000-0000-0000AD050000}"/>
    <cellStyle name="Comma 5 2 2 4 5 4 2 2" xfId="45441" xr:uid="{00000000-0005-0000-0000-0000AE050000}"/>
    <cellStyle name="Comma 5 2 2 4 5 4 3" xfId="33008" xr:uid="{00000000-0005-0000-0000-0000AF050000}"/>
    <cellStyle name="Comma 5 2 2 4 5 5" xfId="12678" xr:uid="{00000000-0005-0000-0000-0000B0050000}"/>
    <cellStyle name="Comma 5 2 2 4 5 5 2" xfId="25112" xr:uid="{00000000-0005-0000-0000-0000B1050000}"/>
    <cellStyle name="Comma 5 2 2 4 5 5 2 2" xfId="49986" xr:uid="{00000000-0005-0000-0000-0000B2050000}"/>
    <cellStyle name="Comma 5 2 2 4 5 5 3" xfId="37553" xr:uid="{00000000-0005-0000-0000-0000B3050000}"/>
    <cellStyle name="Comma 5 2 2 4 5 6" xfId="7422" xr:uid="{00000000-0005-0000-0000-0000B4050000}"/>
    <cellStyle name="Comma 5 2 2 4 5 6 2" xfId="19870" xr:uid="{00000000-0005-0000-0000-0000B5050000}"/>
    <cellStyle name="Comma 5 2 2 4 5 6 2 2" xfId="44744" xr:uid="{00000000-0005-0000-0000-0000B6050000}"/>
    <cellStyle name="Comma 5 2 2 4 5 6 3" xfId="32311" xr:uid="{00000000-0005-0000-0000-0000B7050000}"/>
    <cellStyle name="Comma 5 2 2 4 5 7" xfId="3051" xr:uid="{00000000-0005-0000-0000-0000B8050000}"/>
    <cellStyle name="Comma 5 2 2 4 5 7 2" xfId="15560" xr:uid="{00000000-0005-0000-0000-0000B9050000}"/>
    <cellStyle name="Comma 5 2 2 4 5 7 2 2" xfId="40434" xr:uid="{00000000-0005-0000-0000-0000BA050000}"/>
    <cellStyle name="Comma 5 2 2 4 5 7 3" xfId="27993" xr:uid="{00000000-0005-0000-0000-0000BB050000}"/>
    <cellStyle name="Comma 5 2 2 4 5 8" xfId="14863" xr:uid="{00000000-0005-0000-0000-0000BC050000}"/>
    <cellStyle name="Comma 5 2 2 4 5 8 2" xfId="39737" xr:uid="{00000000-0005-0000-0000-0000BD050000}"/>
    <cellStyle name="Comma 5 2 2 4 5 9" xfId="27296" xr:uid="{00000000-0005-0000-0000-0000BE050000}"/>
    <cellStyle name="Comma 5 2 2 4 6" xfId="1020" xr:uid="{00000000-0005-0000-0000-0000BF050000}"/>
    <cellStyle name="Comma 5 2 2 4 6 2" xfId="9007" xr:uid="{00000000-0005-0000-0000-0000C0050000}"/>
    <cellStyle name="Comma 5 2 2 4 6 2 2" xfId="21450" xr:uid="{00000000-0005-0000-0000-0000C1050000}"/>
    <cellStyle name="Comma 5 2 2 4 6 2 2 2" xfId="46324" xr:uid="{00000000-0005-0000-0000-0000C2050000}"/>
    <cellStyle name="Comma 5 2 2 4 6 2 3" xfId="33891" xr:uid="{00000000-0005-0000-0000-0000C3050000}"/>
    <cellStyle name="Comma 5 2 2 4 6 3" xfId="3989" xr:uid="{00000000-0005-0000-0000-0000C4050000}"/>
    <cellStyle name="Comma 5 2 2 4 6 3 2" xfId="16443" xr:uid="{00000000-0005-0000-0000-0000C5050000}"/>
    <cellStyle name="Comma 5 2 2 4 6 3 2 2" xfId="41317" xr:uid="{00000000-0005-0000-0000-0000C6050000}"/>
    <cellStyle name="Comma 5 2 2 4 6 3 3" xfId="28884" xr:uid="{00000000-0005-0000-0000-0000C7050000}"/>
    <cellStyle name="Comma 5 2 2 4 6 4" xfId="13820" xr:uid="{00000000-0005-0000-0000-0000C8050000}"/>
    <cellStyle name="Comma 5 2 2 4 6 4 2" xfId="38694" xr:uid="{00000000-0005-0000-0000-0000C9050000}"/>
    <cellStyle name="Comma 5 2 2 4 6 5" xfId="26253" xr:uid="{00000000-0005-0000-0000-0000CA050000}"/>
    <cellStyle name="Comma 5 2 2 4 7" xfId="5165" xr:uid="{00000000-0005-0000-0000-0000CB050000}"/>
    <cellStyle name="Comma 5 2 2 4 7 2" xfId="10181" xr:uid="{00000000-0005-0000-0000-0000CC050000}"/>
    <cellStyle name="Comma 5 2 2 4 7 2 2" xfId="22624" xr:uid="{00000000-0005-0000-0000-0000CD050000}"/>
    <cellStyle name="Comma 5 2 2 4 7 2 2 2" xfId="47498" xr:uid="{00000000-0005-0000-0000-0000CE050000}"/>
    <cellStyle name="Comma 5 2 2 4 7 2 3" xfId="35065" xr:uid="{00000000-0005-0000-0000-0000CF050000}"/>
    <cellStyle name="Comma 5 2 2 4 7 3" xfId="17617" xr:uid="{00000000-0005-0000-0000-0000D0050000}"/>
    <cellStyle name="Comma 5 2 2 4 7 3 2" xfId="42491" xr:uid="{00000000-0005-0000-0000-0000D1050000}"/>
    <cellStyle name="Comma 5 2 2 4 7 4" xfId="30058" xr:uid="{00000000-0005-0000-0000-0000D2050000}"/>
    <cellStyle name="Comma 5 2 2 4 8" xfId="7742" xr:uid="{00000000-0005-0000-0000-0000D3050000}"/>
    <cellStyle name="Comma 5 2 2 4 8 2" xfId="20188" xr:uid="{00000000-0005-0000-0000-0000D4050000}"/>
    <cellStyle name="Comma 5 2 2 4 8 2 2" xfId="45062" xr:uid="{00000000-0005-0000-0000-0000D5050000}"/>
    <cellStyle name="Comma 5 2 2 4 8 3" xfId="32629" xr:uid="{00000000-0005-0000-0000-0000D6050000}"/>
    <cellStyle name="Comma 5 2 2 4 9" xfId="11635" xr:uid="{00000000-0005-0000-0000-0000D7050000}"/>
    <cellStyle name="Comma 5 2 2 4 9 2" xfId="24069" xr:uid="{00000000-0005-0000-0000-0000D8050000}"/>
    <cellStyle name="Comma 5 2 2 4 9 2 2" xfId="48943" xr:uid="{00000000-0005-0000-0000-0000D9050000}"/>
    <cellStyle name="Comma 5 2 2 4 9 3" xfId="36510" xr:uid="{00000000-0005-0000-0000-0000DA050000}"/>
    <cellStyle name="Comma 5 2 2 5" xfId="366" xr:uid="{00000000-0005-0000-0000-0000DB050000}"/>
    <cellStyle name="Comma 5 2 2 5 10" xfId="13182" xr:uid="{00000000-0005-0000-0000-0000DC050000}"/>
    <cellStyle name="Comma 5 2 2 5 10 2" xfId="38056" xr:uid="{00000000-0005-0000-0000-0000DD050000}"/>
    <cellStyle name="Comma 5 2 2 5 11" xfId="25615" xr:uid="{00000000-0005-0000-0000-0000DE050000}"/>
    <cellStyle name="Comma 5 2 2 5 2" xfId="726" xr:uid="{00000000-0005-0000-0000-0000DF050000}"/>
    <cellStyle name="Comma 5 2 2 5 2 2" xfId="1287" xr:uid="{00000000-0005-0000-0000-0000E0050000}"/>
    <cellStyle name="Comma 5 2 2 5 2 2 2" xfId="9391" xr:uid="{00000000-0005-0000-0000-0000E1050000}"/>
    <cellStyle name="Comma 5 2 2 5 2 2 2 2" xfId="21834" xr:uid="{00000000-0005-0000-0000-0000E2050000}"/>
    <cellStyle name="Comma 5 2 2 5 2 2 2 2 2" xfId="46708" xr:uid="{00000000-0005-0000-0000-0000E3050000}"/>
    <cellStyle name="Comma 5 2 2 5 2 2 2 3" xfId="34275" xr:uid="{00000000-0005-0000-0000-0000E4050000}"/>
    <cellStyle name="Comma 5 2 2 5 2 2 3" xfId="4373" xr:uid="{00000000-0005-0000-0000-0000E5050000}"/>
    <cellStyle name="Comma 5 2 2 5 2 2 3 2" xfId="16827" xr:uid="{00000000-0005-0000-0000-0000E6050000}"/>
    <cellStyle name="Comma 5 2 2 5 2 2 3 2 2" xfId="41701" xr:uid="{00000000-0005-0000-0000-0000E7050000}"/>
    <cellStyle name="Comma 5 2 2 5 2 2 3 3" xfId="29268" xr:uid="{00000000-0005-0000-0000-0000E8050000}"/>
    <cellStyle name="Comma 5 2 2 5 2 2 4" xfId="14087" xr:uid="{00000000-0005-0000-0000-0000E9050000}"/>
    <cellStyle name="Comma 5 2 2 5 2 2 4 2" xfId="38961" xr:uid="{00000000-0005-0000-0000-0000EA050000}"/>
    <cellStyle name="Comma 5 2 2 5 2 2 5" xfId="26520" xr:uid="{00000000-0005-0000-0000-0000EB050000}"/>
    <cellStyle name="Comma 5 2 2 5 2 3" xfId="5432" xr:uid="{00000000-0005-0000-0000-0000EC050000}"/>
    <cellStyle name="Comma 5 2 2 5 2 3 2" xfId="10448" xr:uid="{00000000-0005-0000-0000-0000ED050000}"/>
    <cellStyle name="Comma 5 2 2 5 2 3 2 2" xfId="22891" xr:uid="{00000000-0005-0000-0000-0000EE050000}"/>
    <cellStyle name="Comma 5 2 2 5 2 3 2 2 2" xfId="47765" xr:uid="{00000000-0005-0000-0000-0000EF050000}"/>
    <cellStyle name="Comma 5 2 2 5 2 3 2 3" xfId="35332" xr:uid="{00000000-0005-0000-0000-0000F0050000}"/>
    <cellStyle name="Comma 5 2 2 5 2 3 3" xfId="17884" xr:uid="{00000000-0005-0000-0000-0000F1050000}"/>
    <cellStyle name="Comma 5 2 2 5 2 3 3 2" xfId="42758" xr:uid="{00000000-0005-0000-0000-0000F2050000}"/>
    <cellStyle name="Comma 5 2 2 5 2 3 4" xfId="30325" xr:uid="{00000000-0005-0000-0000-0000F3050000}"/>
    <cellStyle name="Comma 5 2 2 5 2 4" xfId="8507" xr:uid="{00000000-0005-0000-0000-0000F4050000}"/>
    <cellStyle name="Comma 5 2 2 5 2 4 2" xfId="20951" xr:uid="{00000000-0005-0000-0000-0000F5050000}"/>
    <cellStyle name="Comma 5 2 2 5 2 4 2 2" xfId="45825" xr:uid="{00000000-0005-0000-0000-0000F6050000}"/>
    <cellStyle name="Comma 5 2 2 5 2 4 3" xfId="33392" xr:uid="{00000000-0005-0000-0000-0000F7050000}"/>
    <cellStyle name="Comma 5 2 2 5 2 5" xfId="11902" xr:uid="{00000000-0005-0000-0000-0000F8050000}"/>
    <cellStyle name="Comma 5 2 2 5 2 5 2" xfId="24336" xr:uid="{00000000-0005-0000-0000-0000F9050000}"/>
    <cellStyle name="Comma 5 2 2 5 2 5 2 2" xfId="49210" xr:uid="{00000000-0005-0000-0000-0000FA050000}"/>
    <cellStyle name="Comma 5 2 2 5 2 5 3" xfId="36777" xr:uid="{00000000-0005-0000-0000-0000FB050000}"/>
    <cellStyle name="Comma 5 2 2 5 2 6" xfId="6984" xr:uid="{00000000-0005-0000-0000-0000FC050000}"/>
    <cellStyle name="Comma 5 2 2 5 2 6 2" xfId="19433" xr:uid="{00000000-0005-0000-0000-0000FD050000}"/>
    <cellStyle name="Comma 5 2 2 5 2 6 2 2" xfId="44307" xr:uid="{00000000-0005-0000-0000-0000FE050000}"/>
    <cellStyle name="Comma 5 2 2 5 2 6 3" xfId="31874" xr:uid="{00000000-0005-0000-0000-0000FF050000}"/>
    <cellStyle name="Comma 5 2 2 5 2 7" xfId="3438" xr:uid="{00000000-0005-0000-0000-000000060000}"/>
    <cellStyle name="Comma 5 2 2 5 2 7 2" xfId="15944" xr:uid="{00000000-0005-0000-0000-000001060000}"/>
    <cellStyle name="Comma 5 2 2 5 2 7 2 2" xfId="40818" xr:uid="{00000000-0005-0000-0000-000002060000}"/>
    <cellStyle name="Comma 5 2 2 5 2 7 3" xfId="28377" xr:uid="{00000000-0005-0000-0000-000003060000}"/>
    <cellStyle name="Comma 5 2 2 5 2 8" xfId="13529" xr:uid="{00000000-0005-0000-0000-000004060000}"/>
    <cellStyle name="Comma 5 2 2 5 2 8 2" xfId="38403" xr:uid="{00000000-0005-0000-0000-000005060000}"/>
    <cellStyle name="Comma 5 2 2 5 2 9" xfId="25962" xr:uid="{00000000-0005-0000-0000-000006060000}"/>
    <cellStyle name="Comma 5 2 2 5 3" xfId="1635" xr:uid="{00000000-0005-0000-0000-000007060000}"/>
    <cellStyle name="Comma 5 2 2 5 3 2" xfId="4911" xr:uid="{00000000-0005-0000-0000-000008060000}"/>
    <cellStyle name="Comma 5 2 2 5 3 2 2" xfId="9928" xr:uid="{00000000-0005-0000-0000-000009060000}"/>
    <cellStyle name="Comma 5 2 2 5 3 2 2 2" xfId="22371" xr:uid="{00000000-0005-0000-0000-00000A060000}"/>
    <cellStyle name="Comma 5 2 2 5 3 2 2 2 2" xfId="47245" xr:uid="{00000000-0005-0000-0000-00000B060000}"/>
    <cellStyle name="Comma 5 2 2 5 3 2 2 3" xfId="34812" xr:uid="{00000000-0005-0000-0000-00000C060000}"/>
    <cellStyle name="Comma 5 2 2 5 3 2 3" xfId="17364" xr:uid="{00000000-0005-0000-0000-00000D060000}"/>
    <cellStyle name="Comma 5 2 2 5 3 2 3 2" xfId="42238" xr:uid="{00000000-0005-0000-0000-00000E060000}"/>
    <cellStyle name="Comma 5 2 2 5 3 2 4" xfId="29805" xr:uid="{00000000-0005-0000-0000-00000F060000}"/>
    <cellStyle name="Comma 5 2 2 5 3 3" xfId="5781" xr:uid="{00000000-0005-0000-0000-000010060000}"/>
    <cellStyle name="Comma 5 2 2 5 3 3 2" xfId="10796" xr:uid="{00000000-0005-0000-0000-000011060000}"/>
    <cellStyle name="Comma 5 2 2 5 3 3 2 2" xfId="23239" xr:uid="{00000000-0005-0000-0000-000012060000}"/>
    <cellStyle name="Comma 5 2 2 5 3 3 2 2 2" xfId="48113" xr:uid="{00000000-0005-0000-0000-000013060000}"/>
    <cellStyle name="Comma 5 2 2 5 3 3 2 3" xfId="35680" xr:uid="{00000000-0005-0000-0000-000014060000}"/>
    <cellStyle name="Comma 5 2 2 5 3 3 3" xfId="18232" xr:uid="{00000000-0005-0000-0000-000015060000}"/>
    <cellStyle name="Comma 5 2 2 5 3 3 3 2" xfId="43106" xr:uid="{00000000-0005-0000-0000-000016060000}"/>
    <cellStyle name="Comma 5 2 2 5 3 3 4" xfId="30673" xr:uid="{00000000-0005-0000-0000-000017060000}"/>
    <cellStyle name="Comma 5 2 2 5 3 4" xfId="8335" xr:uid="{00000000-0005-0000-0000-000018060000}"/>
    <cellStyle name="Comma 5 2 2 5 3 4 2" xfId="20779" xr:uid="{00000000-0005-0000-0000-000019060000}"/>
    <cellStyle name="Comma 5 2 2 5 3 4 2 2" xfId="45653" xr:uid="{00000000-0005-0000-0000-00001A060000}"/>
    <cellStyle name="Comma 5 2 2 5 3 4 3" xfId="33220" xr:uid="{00000000-0005-0000-0000-00001B060000}"/>
    <cellStyle name="Comma 5 2 2 5 3 5" xfId="12250" xr:uid="{00000000-0005-0000-0000-00001C060000}"/>
    <cellStyle name="Comma 5 2 2 5 3 5 2" xfId="24684" xr:uid="{00000000-0005-0000-0000-00001D060000}"/>
    <cellStyle name="Comma 5 2 2 5 3 5 2 2" xfId="49558" xr:uid="{00000000-0005-0000-0000-00001E060000}"/>
    <cellStyle name="Comma 5 2 2 5 3 5 3" xfId="37125" xr:uid="{00000000-0005-0000-0000-00001F060000}"/>
    <cellStyle name="Comma 5 2 2 5 3 6" xfId="7522" xr:uid="{00000000-0005-0000-0000-000020060000}"/>
    <cellStyle name="Comma 5 2 2 5 3 6 2" xfId="19970" xr:uid="{00000000-0005-0000-0000-000021060000}"/>
    <cellStyle name="Comma 5 2 2 5 3 6 2 2" xfId="44844" xr:uid="{00000000-0005-0000-0000-000022060000}"/>
    <cellStyle name="Comma 5 2 2 5 3 6 3" xfId="32411" xr:uid="{00000000-0005-0000-0000-000023060000}"/>
    <cellStyle name="Comma 5 2 2 5 3 7" xfId="3266" xr:uid="{00000000-0005-0000-0000-000024060000}"/>
    <cellStyle name="Comma 5 2 2 5 3 7 2" xfId="15772" xr:uid="{00000000-0005-0000-0000-000025060000}"/>
    <cellStyle name="Comma 5 2 2 5 3 7 2 2" xfId="40646" xr:uid="{00000000-0005-0000-0000-000026060000}"/>
    <cellStyle name="Comma 5 2 2 5 3 7 3" xfId="28205" xr:uid="{00000000-0005-0000-0000-000027060000}"/>
    <cellStyle name="Comma 5 2 2 5 3 8" xfId="14435" xr:uid="{00000000-0005-0000-0000-000028060000}"/>
    <cellStyle name="Comma 5 2 2 5 3 8 2" xfId="39309" xr:uid="{00000000-0005-0000-0000-000029060000}"/>
    <cellStyle name="Comma 5 2 2 5 3 9" xfId="26868" xr:uid="{00000000-0005-0000-0000-00002A060000}"/>
    <cellStyle name="Comma 5 2 2 5 4" xfId="2284" xr:uid="{00000000-0005-0000-0000-00002B060000}"/>
    <cellStyle name="Comma 5 2 2 5 4 2" xfId="6309" xr:uid="{00000000-0005-0000-0000-00002C060000}"/>
    <cellStyle name="Comma 5 2 2 5 4 2 2" xfId="11324" xr:uid="{00000000-0005-0000-0000-00002D060000}"/>
    <cellStyle name="Comma 5 2 2 5 4 2 2 2" xfId="23767" xr:uid="{00000000-0005-0000-0000-00002E060000}"/>
    <cellStyle name="Comma 5 2 2 5 4 2 2 2 2" xfId="48641" xr:uid="{00000000-0005-0000-0000-00002F060000}"/>
    <cellStyle name="Comma 5 2 2 5 4 2 2 3" xfId="36208" xr:uid="{00000000-0005-0000-0000-000030060000}"/>
    <cellStyle name="Comma 5 2 2 5 4 2 3" xfId="18760" xr:uid="{00000000-0005-0000-0000-000031060000}"/>
    <cellStyle name="Comma 5 2 2 5 4 2 3 2" xfId="43634" xr:uid="{00000000-0005-0000-0000-000032060000}"/>
    <cellStyle name="Comma 5 2 2 5 4 2 4" xfId="31201" xr:uid="{00000000-0005-0000-0000-000033060000}"/>
    <cellStyle name="Comma 5 2 2 5 4 3" xfId="12778" xr:uid="{00000000-0005-0000-0000-000034060000}"/>
    <cellStyle name="Comma 5 2 2 5 4 3 2" xfId="25212" xr:uid="{00000000-0005-0000-0000-000035060000}"/>
    <cellStyle name="Comma 5 2 2 5 4 3 2 2" xfId="50086" xr:uid="{00000000-0005-0000-0000-000036060000}"/>
    <cellStyle name="Comma 5 2 2 5 4 3 3" xfId="37653" xr:uid="{00000000-0005-0000-0000-000037060000}"/>
    <cellStyle name="Comma 5 2 2 5 4 4" xfId="9219" xr:uid="{00000000-0005-0000-0000-000038060000}"/>
    <cellStyle name="Comma 5 2 2 5 4 4 2" xfId="21662" xr:uid="{00000000-0005-0000-0000-000039060000}"/>
    <cellStyle name="Comma 5 2 2 5 4 4 2 2" xfId="46536" xr:uid="{00000000-0005-0000-0000-00003A060000}"/>
    <cellStyle name="Comma 5 2 2 5 4 4 3" xfId="34103" xr:uid="{00000000-0005-0000-0000-00003B060000}"/>
    <cellStyle name="Comma 5 2 2 5 4 5" xfId="4201" xr:uid="{00000000-0005-0000-0000-00003C060000}"/>
    <cellStyle name="Comma 5 2 2 5 4 5 2" xfId="16655" xr:uid="{00000000-0005-0000-0000-00003D060000}"/>
    <cellStyle name="Comma 5 2 2 5 4 5 2 2" xfId="41529" xr:uid="{00000000-0005-0000-0000-00003E060000}"/>
    <cellStyle name="Comma 5 2 2 5 4 5 3" xfId="29096" xr:uid="{00000000-0005-0000-0000-00003F060000}"/>
    <cellStyle name="Comma 5 2 2 5 4 6" xfId="14963" xr:uid="{00000000-0005-0000-0000-000040060000}"/>
    <cellStyle name="Comma 5 2 2 5 4 6 2" xfId="39837" xr:uid="{00000000-0005-0000-0000-000041060000}"/>
    <cellStyle name="Comma 5 2 2 5 4 7" xfId="27396" xr:uid="{00000000-0005-0000-0000-000042060000}"/>
    <cellStyle name="Comma 5 2 2 5 5" xfId="1120" xr:uid="{00000000-0005-0000-0000-000043060000}"/>
    <cellStyle name="Comma 5 2 2 5 5 2" xfId="10281" xr:uid="{00000000-0005-0000-0000-000044060000}"/>
    <cellStyle name="Comma 5 2 2 5 5 2 2" xfId="22724" xr:uid="{00000000-0005-0000-0000-000045060000}"/>
    <cellStyle name="Comma 5 2 2 5 5 2 2 2" xfId="47598" xr:uid="{00000000-0005-0000-0000-000046060000}"/>
    <cellStyle name="Comma 5 2 2 5 5 2 3" xfId="35165" xr:uid="{00000000-0005-0000-0000-000047060000}"/>
    <cellStyle name="Comma 5 2 2 5 5 3" xfId="5265" xr:uid="{00000000-0005-0000-0000-000048060000}"/>
    <cellStyle name="Comma 5 2 2 5 5 3 2" xfId="17717" xr:uid="{00000000-0005-0000-0000-000049060000}"/>
    <cellStyle name="Comma 5 2 2 5 5 3 2 2" xfId="42591" xr:uid="{00000000-0005-0000-0000-00004A060000}"/>
    <cellStyle name="Comma 5 2 2 5 5 3 3" xfId="30158" xr:uid="{00000000-0005-0000-0000-00004B060000}"/>
    <cellStyle name="Comma 5 2 2 5 5 4" xfId="13920" xr:uid="{00000000-0005-0000-0000-00004C060000}"/>
    <cellStyle name="Comma 5 2 2 5 5 4 2" xfId="38794" xr:uid="{00000000-0005-0000-0000-00004D060000}"/>
    <cellStyle name="Comma 5 2 2 5 5 5" xfId="26353" xr:uid="{00000000-0005-0000-0000-00004E060000}"/>
    <cellStyle name="Comma 5 2 2 5 6" xfId="7842" xr:uid="{00000000-0005-0000-0000-00004F060000}"/>
    <cellStyle name="Comma 5 2 2 5 6 2" xfId="20288" xr:uid="{00000000-0005-0000-0000-000050060000}"/>
    <cellStyle name="Comma 5 2 2 5 6 2 2" xfId="45162" xr:uid="{00000000-0005-0000-0000-000051060000}"/>
    <cellStyle name="Comma 5 2 2 5 6 3" xfId="32729" xr:uid="{00000000-0005-0000-0000-000052060000}"/>
    <cellStyle name="Comma 5 2 2 5 7" xfId="11735" xr:uid="{00000000-0005-0000-0000-000053060000}"/>
    <cellStyle name="Comma 5 2 2 5 7 2" xfId="24169" xr:uid="{00000000-0005-0000-0000-000054060000}"/>
    <cellStyle name="Comma 5 2 2 5 7 2 2" xfId="49043" xr:uid="{00000000-0005-0000-0000-000055060000}"/>
    <cellStyle name="Comma 5 2 2 5 7 3" xfId="36610" xr:uid="{00000000-0005-0000-0000-000056060000}"/>
    <cellStyle name="Comma 5 2 2 5 8" xfId="6812" xr:uid="{00000000-0005-0000-0000-000057060000}"/>
    <cellStyle name="Comma 5 2 2 5 8 2" xfId="19261" xr:uid="{00000000-0005-0000-0000-000058060000}"/>
    <cellStyle name="Comma 5 2 2 5 8 2 2" xfId="44135" xr:uid="{00000000-0005-0000-0000-000059060000}"/>
    <cellStyle name="Comma 5 2 2 5 8 3" xfId="31702" xr:uid="{00000000-0005-0000-0000-00005A060000}"/>
    <cellStyle name="Comma 5 2 2 5 9" xfId="2763" xr:uid="{00000000-0005-0000-0000-00005B060000}"/>
    <cellStyle name="Comma 5 2 2 5 9 2" xfId="15281" xr:uid="{00000000-0005-0000-0000-00005C060000}"/>
    <cellStyle name="Comma 5 2 2 5 9 2 2" xfId="40155" xr:uid="{00000000-0005-0000-0000-00005D060000}"/>
    <cellStyle name="Comma 5 2 2 5 9 3" xfId="27714" xr:uid="{00000000-0005-0000-0000-00005E060000}"/>
    <cellStyle name="Comma 5 2 2 6" xfId="229" xr:uid="{00000000-0005-0000-0000-00005F060000}"/>
    <cellStyle name="Comma 5 2 2 6 10" xfId="13055" xr:uid="{00000000-0005-0000-0000-000060060000}"/>
    <cellStyle name="Comma 5 2 2 6 10 2" xfId="37929" xr:uid="{00000000-0005-0000-0000-000061060000}"/>
    <cellStyle name="Comma 5 2 2 6 11" xfId="25488" xr:uid="{00000000-0005-0000-0000-000062060000}"/>
    <cellStyle name="Comma 5 2 2 6 2" xfId="593" xr:uid="{00000000-0005-0000-0000-000063060000}"/>
    <cellStyle name="Comma 5 2 2 6 2 2" xfId="1288" xr:uid="{00000000-0005-0000-0000-000064060000}"/>
    <cellStyle name="Comma 5 2 2 6 2 2 2" xfId="9392" xr:uid="{00000000-0005-0000-0000-000065060000}"/>
    <cellStyle name="Comma 5 2 2 6 2 2 2 2" xfId="21835" xr:uid="{00000000-0005-0000-0000-000066060000}"/>
    <cellStyle name="Comma 5 2 2 6 2 2 2 2 2" xfId="46709" xr:uid="{00000000-0005-0000-0000-000067060000}"/>
    <cellStyle name="Comma 5 2 2 6 2 2 2 3" xfId="34276" xr:uid="{00000000-0005-0000-0000-000068060000}"/>
    <cellStyle name="Comma 5 2 2 6 2 2 3" xfId="4374" xr:uid="{00000000-0005-0000-0000-000069060000}"/>
    <cellStyle name="Comma 5 2 2 6 2 2 3 2" xfId="16828" xr:uid="{00000000-0005-0000-0000-00006A060000}"/>
    <cellStyle name="Comma 5 2 2 6 2 2 3 2 2" xfId="41702" xr:uid="{00000000-0005-0000-0000-00006B060000}"/>
    <cellStyle name="Comma 5 2 2 6 2 2 3 3" xfId="29269" xr:uid="{00000000-0005-0000-0000-00006C060000}"/>
    <cellStyle name="Comma 5 2 2 6 2 2 4" xfId="14088" xr:uid="{00000000-0005-0000-0000-00006D060000}"/>
    <cellStyle name="Comma 5 2 2 6 2 2 4 2" xfId="38962" xr:uid="{00000000-0005-0000-0000-00006E060000}"/>
    <cellStyle name="Comma 5 2 2 6 2 2 5" xfId="26521" xr:uid="{00000000-0005-0000-0000-00006F060000}"/>
    <cellStyle name="Comma 5 2 2 6 2 3" xfId="5433" xr:uid="{00000000-0005-0000-0000-000070060000}"/>
    <cellStyle name="Comma 5 2 2 6 2 3 2" xfId="10449" xr:uid="{00000000-0005-0000-0000-000071060000}"/>
    <cellStyle name="Comma 5 2 2 6 2 3 2 2" xfId="22892" xr:uid="{00000000-0005-0000-0000-000072060000}"/>
    <cellStyle name="Comma 5 2 2 6 2 3 2 2 2" xfId="47766" xr:uid="{00000000-0005-0000-0000-000073060000}"/>
    <cellStyle name="Comma 5 2 2 6 2 3 2 3" xfId="35333" xr:uid="{00000000-0005-0000-0000-000074060000}"/>
    <cellStyle name="Comma 5 2 2 6 2 3 3" xfId="17885" xr:uid="{00000000-0005-0000-0000-000075060000}"/>
    <cellStyle name="Comma 5 2 2 6 2 3 3 2" xfId="42759" xr:uid="{00000000-0005-0000-0000-000076060000}"/>
    <cellStyle name="Comma 5 2 2 6 2 3 4" xfId="30326" xr:uid="{00000000-0005-0000-0000-000077060000}"/>
    <cellStyle name="Comma 5 2 2 6 2 4" xfId="8508" xr:uid="{00000000-0005-0000-0000-000078060000}"/>
    <cellStyle name="Comma 5 2 2 6 2 4 2" xfId="20952" xr:uid="{00000000-0005-0000-0000-000079060000}"/>
    <cellStyle name="Comma 5 2 2 6 2 4 2 2" xfId="45826" xr:uid="{00000000-0005-0000-0000-00007A060000}"/>
    <cellStyle name="Comma 5 2 2 6 2 4 3" xfId="33393" xr:uid="{00000000-0005-0000-0000-00007B060000}"/>
    <cellStyle name="Comma 5 2 2 6 2 5" xfId="11903" xr:uid="{00000000-0005-0000-0000-00007C060000}"/>
    <cellStyle name="Comma 5 2 2 6 2 5 2" xfId="24337" xr:uid="{00000000-0005-0000-0000-00007D060000}"/>
    <cellStyle name="Comma 5 2 2 6 2 5 2 2" xfId="49211" xr:uid="{00000000-0005-0000-0000-00007E060000}"/>
    <cellStyle name="Comma 5 2 2 6 2 5 3" xfId="36778" xr:uid="{00000000-0005-0000-0000-00007F060000}"/>
    <cellStyle name="Comma 5 2 2 6 2 6" xfId="6985" xr:uid="{00000000-0005-0000-0000-000080060000}"/>
    <cellStyle name="Comma 5 2 2 6 2 6 2" xfId="19434" xr:uid="{00000000-0005-0000-0000-000081060000}"/>
    <cellStyle name="Comma 5 2 2 6 2 6 2 2" xfId="44308" xr:uid="{00000000-0005-0000-0000-000082060000}"/>
    <cellStyle name="Comma 5 2 2 6 2 6 3" xfId="31875" xr:uid="{00000000-0005-0000-0000-000083060000}"/>
    <cellStyle name="Comma 5 2 2 6 2 7" xfId="3439" xr:uid="{00000000-0005-0000-0000-000084060000}"/>
    <cellStyle name="Comma 5 2 2 6 2 7 2" xfId="15945" xr:uid="{00000000-0005-0000-0000-000085060000}"/>
    <cellStyle name="Comma 5 2 2 6 2 7 2 2" xfId="40819" xr:uid="{00000000-0005-0000-0000-000086060000}"/>
    <cellStyle name="Comma 5 2 2 6 2 7 3" xfId="28378" xr:uid="{00000000-0005-0000-0000-000087060000}"/>
    <cellStyle name="Comma 5 2 2 6 2 8" xfId="13402" xr:uid="{00000000-0005-0000-0000-000088060000}"/>
    <cellStyle name="Comma 5 2 2 6 2 8 2" xfId="38276" xr:uid="{00000000-0005-0000-0000-000089060000}"/>
    <cellStyle name="Comma 5 2 2 6 2 9" xfId="25835" xr:uid="{00000000-0005-0000-0000-00008A060000}"/>
    <cellStyle name="Comma 5 2 2 6 3" xfId="1636" xr:uid="{00000000-0005-0000-0000-00008B060000}"/>
    <cellStyle name="Comma 5 2 2 6 3 2" xfId="4784" xr:uid="{00000000-0005-0000-0000-00008C060000}"/>
    <cellStyle name="Comma 5 2 2 6 3 2 2" xfId="9801" xr:uid="{00000000-0005-0000-0000-00008D060000}"/>
    <cellStyle name="Comma 5 2 2 6 3 2 2 2" xfId="22244" xr:uid="{00000000-0005-0000-0000-00008E060000}"/>
    <cellStyle name="Comma 5 2 2 6 3 2 2 2 2" xfId="47118" xr:uid="{00000000-0005-0000-0000-00008F060000}"/>
    <cellStyle name="Comma 5 2 2 6 3 2 2 3" xfId="34685" xr:uid="{00000000-0005-0000-0000-000090060000}"/>
    <cellStyle name="Comma 5 2 2 6 3 2 3" xfId="17237" xr:uid="{00000000-0005-0000-0000-000091060000}"/>
    <cellStyle name="Comma 5 2 2 6 3 2 3 2" xfId="42111" xr:uid="{00000000-0005-0000-0000-000092060000}"/>
    <cellStyle name="Comma 5 2 2 6 3 2 4" xfId="29678" xr:uid="{00000000-0005-0000-0000-000093060000}"/>
    <cellStyle name="Comma 5 2 2 6 3 3" xfId="5782" xr:uid="{00000000-0005-0000-0000-000094060000}"/>
    <cellStyle name="Comma 5 2 2 6 3 3 2" xfId="10797" xr:uid="{00000000-0005-0000-0000-000095060000}"/>
    <cellStyle name="Comma 5 2 2 6 3 3 2 2" xfId="23240" xr:uid="{00000000-0005-0000-0000-000096060000}"/>
    <cellStyle name="Comma 5 2 2 6 3 3 2 2 2" xfId="48114" xr:uid="{00000000-0005-0000-0000-000097060000}"/>
    <cellStyle name="Comma 5 2 2 6 3 3 2 3" xfId="35681" xr:uid="{00000000-0005-0000-0000-000098060000}"/>
    <cellStyle name="Comma 5 2 2 6 3 3 3" xfId="18233" xr:uid="{00000000-0005-0000-0000-000099060000}"/>
    <cellStyle name="Comma 5 2 2 6 3 3 3 2" xfId="43107" xr:uid="{00000000-0005-0000-0000-00009A060000}"/>
    <cellStyle name="Comma 5 2 2 6 3 3 4" xfId="30674" xr:uid="{00000000-0005-0000-0000-00009B060000}"/>
    <cellStyle name="Comma 5 2 2 6 3 4" xfId="8856" xr:uid="{00000000-0005-0000-0000-00009C060000}"/>
    <cellStyle name="Comma 5 2 2 6 3 4 2" xfId="21299" xr:uid="{00000000-0005-0000-0000-00009D060000}"/>
    <cellStyle name="Comma 5 2 2 6 3 4 2 2" xfId="46173" xr:uid="{00000000-0005-0000-0000-00009E060000}"/>
    <cellStyle name="Comma 5 2 2 6 3 4 3" xfId="33740" xr:uid="{00000000-0005-0000-0000-00009F060000}"/>
    <cellStyle name="Comma 5 2 2 6 3 5" xfId="12251" xr:uid="{00000000-0005-0000-0000-0000A0060000}"/>
    <cellStyle name="Comma 5 2 2 6 3 5 2" xfId="24685" xr:uid="{00000000-0005-0000-0000-0000A1060000}"/>
    <cellStyle name="Comma 5 2 2 6 3 5 2 2" xfId="49559" xr:uid="{00000000-0005-0000-0000-0000A2060000}"/>
    <cellStyle name="Comma 5 2 2 6 3 5 3" xfId="37126" xr:uid="{00000000-0005-0000-0000-0000A3060000}"/>
    <cellStyle name="Comma 5 2 2 6 3 6" xfId="7395" xr:uid="{00000000-0005-0000-0000-0000A4060000}"/>
    <cellStyle name="Comma 5 2 2 6 3 6 2" xfId="19843" xr:uid="{00000000-0005-0000-0000-0000A5060000}"/>
    <cellStyle name="Comma 5 2 2 6 3 6 2 2" xfId="44717" xr:uid="{00000000-0005-0000-0000-0000A6060000}"/>
    <cellStyle name="Comma 5 2 2 6 3 6 3" xfId="32284" xr:uid="{00000000-0005-0000-0000-0000A7060000}"/>
    <cellStyle name="Comma 5 2 2 6 3 7" xfId="3838" xr:uid="{00000000-0005-0000-0000-0000A8060000}"/>
    <cellStyle name="Comma 5 2 2 6 3 7 2" xfId="16292" xr:uid="{00000000-0005-0000-0000-0000A9060000}"/>
    <cellStyle name="Comma 5 2 2 6 3 7 2 2" xfId="41166" xr:uid="{00000000-0005-0000-0000-0000AA060000}"/>
    <cellStyle name="Comma 5 2 2 6 3 7 3" xfId="28733" xr:uid="{00000000-0005-0000-0000-0000AB060000}"/>
    <cellStyle name="Comma 5 2 2 6 3 8" xfId="14436" xr:uid="{00000000-0005-0000-0000-0000AC060000}"/>
    <cellStyle name="Comma 5 2 2 6 3 8 2" xfId="39310" xr:uid="{00000000-0005-0000-0000-0000AD060000}"/>
    <cellStyle name="Comma 5 2 2 6 3 9" xfId="26869" xr:uid="{00000000-0005-0000-0000-0000AE060000}"/>
    <cellStyle name="Comma 5 2 2 6 4" xfId="2147" xr:uid="{00000000-0005-0000-0000-0000AF060000}"/>
    <cellStyle name="Comma 5 2 2 6 4 2" xfId="6182" xr:uid="{00000000-0005-0000-0000-0000B0060000}"/>
    <cellStyle name="Comma 5 2 2 6 4 2 2" xfId="11197" xr:uid="{00000000-0005-0000-0000-0000B1060000}"/>
    <cellStyle name="Comma 5 2 2 6 4 2 2 2" xfId="23640" xr:uid="{00000000-0005-0000-0000-0000B2060000}"/>
    <cellStyle name="Comma 5 2 2 6 4 2 2 2 2" xfId="48514" xr:uid="{00000000-0005-0000-0000-0000B3060000}"/>
    <cellStyle name="Comma 5 2 2 6 4 2 2 3" xfId="36081" xr:uid="{00000000-0005-0000-0000-0000B4060000}"/>
    <cellStyle name="Comma 5 2 2 6 4 2 3" xfId="18633" xr:uid="{00000000-0005-0000-0000-0000B5060000}"/>
    <cellStyle name="Comma 5 2 2 6 4 2 3 2" xfId="43507" xr:uid="{00000000-0005-0000-0000-0000B6060000}"/>
    <cellStyle name="Comma 5 2 2 6 4 2 4" xfId="31074" xr:uid="{00000000-0005-0000-0000-0000B7060000}"/>
    <cellStyle name="Comma 5 2 2 6 4 3" xfId="12651" xr:uid="{00000000-0005-0000-0000-0000B8060000}"/>
    <cellStyle name="Comma 5 2 2 6 4 3 2" xfId="25085" xr:uid="{00000000-0005-0000-0000-0000B9060000}"/>
    <cellStyle name="Comma 5 2 2 6 4 3 2 2" xfId="49959" xr:uid="{00000000-0005-0000-0000-0000BA060000}"/>
    <cellStyle name="Comma 5 2 2 6 4 3 3" xfId="37526" xr:uid="{00000000-0005-0000-0000-0000BB060000}"/>
    <cellStyle name="Comma 5 2 2 6 4 4" xfId="9092" xr:uid="{00000000-0005-0000-0000-0000BC060000}"/>
    <cellStyle name="Comma 5 2 2 6 4 4 2" xfId="21535" xr:uid="{00000000-0005-0000-0000-0000BD060000}"/>
    <cellStyle name="Comma 5 2 2 6 4 4 2 2" xfId="46409" xr:uid="{00000000-0005-0000-0000-0000BE060000}"/>
    <cellStyle name="Comma 5 2 2 6 4 4 3" xfId="33976" xr:uid="{00000000-0005-0000-0000-0000BF060000}"/>
    <cellStyle name="Comma 5 2 2 6 4 5" xfId="4074" xr:uid="{00000000-0005-0000-0000-0000C0060000}"/>
    <cellStyle name="Comma 5 2 2 6 4 5 2" xfId="16528" xr:uid="{00000000-0005-0000-0000-0000C1060000}"/>
    <cellStyle name="Comma 5 2 2 6 4 5 2 2" xfId="41402" xr:uid="{00000000-0005-0000-0000-0000C2060000}"/>
    <cellStyle name="Comma 5 2 2 6 4 5 3" xfId="28969" xr:uid="{00000000-0005-0000-0000-0000C3060000}"/>
    <cellStyle name="Comma 5 2 2 6 4 6" xfId="14836" xr:uid="{00000000-0005-0000-0000-0000C4060000}"/>
    <cellStyle name="Comma 5 2 2 6 4 6 2" xfId="39710" xr:uid="{00000000-0005-0000-0000-0000C5060000}"/>
    <cellStyle name="Comma 5 2 2 6 4 7" xfId="27269" xr:uid="{00000000-0005-0000-0000-0000C6060000}"/>
    <cellStyle name="Comma 5 2 2 6 5" xfId="993" xr:uid="{00000000-0005-0000-0000-0000C7060000}"/>
    <cellStyle name="Comma 5 2 2 6 5 2" xfId="10152" xr:uid="{00000000-0005-0000-0000-0000C8060000}"/>
    <cellStyle name="Comma 5 2 2 6 5 2 2" xfId="22595" xr:uid="{00000000-0005-0000-0000-0000C9060000}"/>
    <cellStyle name="Comma 5 2 2 6 5 2 2 2" xfId="47469" xr:uid="{00000000-0005-0000-0000-0000CA060000}"/>
    <cellStyle name="Comma 5 2 2 6 5 2 3" xfId="35036" xr:uid="{00000000-0005-0000-0000-0000CB060000}"/>
    <cellStyle name="Comma 5 2 2 6 5 3" xfId="5136" xr:uid="{00000000-0005-0000-0000-0000CC060000}"/>
    <cellStyle name="Comma 5 2 2 6 5 3 2" xfId="17588" xr:uid="{00000000-0005-0000-0000-0000CD060000}"/>
    <cellStyle name="Comma 5 2 2 6 5 3 2 2" xfId="42462" xr:uid="{00000000-0005-0000-0000-0000CE060000}"/>
    <cellStyle name="Comma 5 2 2 6 5 3 3" xfId="30029" xr:uid="{00000000-0005-0000-0000-0000CF060000}"/>
    <cellStyle name="Comma 5 2 2 6 5 4" xfId="13793" xr:uid="{00000000-0005-0000-0000-0000D0060000}"/>
    <cellStyle name="Comma 5 2 2 6 5 4 2" xfId="38667" xr:uid="{00000000-0005-0000-0000-0000D1060000}"/>
    <cellStyle name="Comma 5 2 2 6 5 5" xfId="26226" xr:uid="{00000000-0005-0000-0000-0000D2060000}"/>
    <cellStyle name="Comma 5 2 2 6 6" xfId="8208" xr:uid="{00000000-0005-0000-0000-0000D3060000}"/>
    <cellStyle name="Comma 5 2 2 6 6 2" xfId="20652" xr:uid="{00000000-0005-0000-0000-0000D4060000}"/>
    <cellStyle name="Comma 5 2 2 6 6 2 2" xfId="45526" xr:uid="{00000000-0005-0000-0000-0000D5060000}"/>
    <cellStyle name="Comma 5 2 2 6 6 3" xfId="33093" xr:uid="{00000000-0005-0000-0000-0000D6060000}"/>
    <cellStyle name="Comma 5 2 2 6 7" xfId="11608" xr:uid="{00000000-0005-0000-0000-0000D7060000}"/>
    <cellStyle name="Comma 5 2 2 6 7 2" xfId="24042" xr:uid="{00000000-0005-0000-0000-0000D8060000}"/>
    <cellStyle name="Comma 5 2 2 6 7 2 2" xfId="48916" xr:uid="{00000000-0005-0000-0000-0000D9060000}"/>
    <cellStyle name="Comma 5 2 2 6 7 3" xfId="36483" xr:uid="{00000000-0005-0000-0000-0000DA060000}"/>
    <cellStyle name="Comma 5 2 2 6 8" xfId="6685" xr:uid="{00000000-0005-0000-0000-0000DB060000}"/>
    <cellStyle name="Comma 5 2 2 6 8 2" xfId="19134" xr:uid="{00000000-0005-0000-0000-0000DC060000}"/>
    <cellStyle name="Comma 5 2 2 6 8 2 2" xfId="44008" xr:uid="{00000000-0005-0000-0000-0000DD060000}"/>
    <cellStyle name="Comma 5 2 2 6 8 3" xfId="31575" xr:uid="{00000000-0005-0000-0000-0000DE060000}"/>
    <cellStyle name="Comma 5 2 2 6 9" xfId="3139" xr:uid="{00000000-0005-0000-0000-0000DF060000}"/>
    <cellStyle name="Comma 5 2 2 6 9 2" xfId="15645" xr:uid="{00000000-0005-0000-0000-0000E0060000}"/>
    <cellStyle name="Comma 5 2 2 6 9 2 2" xfId="40519" xr:uid="{00000000-0005-0000-0000-0000E1060000}"/>
    <cellStyle name="Comma 5 2 2 6 9 3" xfId="28078" xr:uid="{00000000-0005-0000-0000-0000E2060000}"/>
    <cellStyle name="Comma 5 2 2 7" xfId="547" xr:uid="{00000000-0005-0000-0000-0000E3060000}"/>
    <cellStyle name="Comma 5 2 2 7 2" xfId="1279" xr:uid="{00000000-0005-0000-0000-0000E4060000}"/>
    <cellStyle name="Comma 5 2 2 7 2 2" xfId="9383" xr:uid="{00000000-0005-0000-0000-0000E5060000}"/>
    <cellStyle name="Comma 5 2 2 7 2 2 2" xfId="21826" xr:uid="{00000000-0005-0000-0000-0000E6060000}"/>
    <cellStyle name="Comma 5 2 2 7 2 2 2 2" xfId="46700" xr:uid="{00000000-0005-0000-0000-0000E7060000}"/>
    <cellStyle name="Comma 5 2 2 7 2 2 3" xfId="34267" xr:uid="{00000000-0005-0000-0000-0000E8060000}"/>
    <cellStyle name="Comma 5 2 2 7 2 3" xfId="4365" xr:uid="{00000000-0005-0000-0000-0000E9060000}"/>
    <cellStyle name="Comma 5 2 2 7 2 3 2" xfId="16819" xr:uid="{00000000-0005-0000-0000-0000EA060000}"/>
    <cellStyle name="Comma 5 2 2 7 2 3 2 2" xfId="41693" xr:uid="{00000000-0005-0000-0000-0000EB060000}"/>
    <cellStyle name="Comma 5 2 2 7 2 3 3" xfId="29260" xr:uid="{00000000-0005-0000-0000-0000EC060000}"/>
    <cellStyle name="Comma 5 2 2 7 2 4" xfId="14079" xr:uid="{00000000-0005-0000-0000-0000ED060000}"/>
    <cellStyle name="Comma 5 2 2 7 2 4 2" xfId="38953" xr:uid="{00000000-0005-0000-0000-0000EE060000}"/>
    <cellStyle name="Comma 5 2 2 7 2 5" xfId="26512" xr:uid="{00000000-0005-0000-0000-0000EF060000}"/>
    <cellStyle name="Comma 5 2 2 7 3" xfId="5424" xr:uid="{00000000-0005-0000-0000-0000F0060000}"/>
    <cellStyle name="Comma 5 2 2 7 3 2" xfId="10440" xr:uid="{00000000-0005-0000-0000-0000F1060000}"/>
    <cellStyle name="Comma 5 2 2 7 3 2 2" xfId="22883" xr:uid="{00000000-0005-0000-0000-0000F2060000}"/>
    <cellStyle name="Comma 5 2 2 7 3 2 2 2" xfId="47757" xr:uid="{00000000-0005-0000-0000-0000F3060000}"/>
    <cellStyle name="Comma 5 2 2 7 3 2 3" xfId="35324" xr:uid="{00000000-0005-0000-0000-0000F4060000}"/>
    <cellStyle name="Comma 5 2 2 7 3 3" xfId="17876" xr:uid="{00000000-0005-0000-0000-0000F5060000}"/>
    <cellStyle name="Comma 5 2 2 7 3 3 2" xfId="42750" xr:uid="{00000000-0005-0000-0000-0000F6060000}"/>
    <cellStyle name="Comma 5 2 2 7 3 4" xfId="30317" xr:uid="{00000000-0005-0000-0000-0000F7060000}"/>
    <cellStyle name="Comma 5 2 2 7 4" xfId="8499" xr:uid="{00000000-0005-0000-0000-0000F8060000}"/>
    <cellStyle name="Comma 5 2 2 7 4 2" xfId="20943" xr:uid="{00000000-0005-0000-0000-0000F9060000}"/>
    <cellStyle name="Comma 5 2 2 7 4 2 2" xfId="45817" xr:uid="{00000000-0005-0000-0000-0000FA060000}"/>
    <cellStyle name="Comma 5 2 2 7 4 3" xfId="33384" xr:uid="{00000000-0005-0000-0000-0000FB060000}"/>
    <cellStyle name="Comma 5 2 2 7 5" xfId="11894" xr:uid="{00000000-0005-0000-0000-0000FC060000}"/>
    <cellStyle name="Comma 5 2 2 7 5 2" xfId="24328" xr:uid="{00000000-0005-0000-0000-0000FD060000}"/>
    <cellStyle name="Comma 5 2 2 7 5 2 2" xfId="49202" xr:uid="{00000000-0005-0000-0000-0000FE060000}"/>
    <cellStyle name="Comma 5 2 2 7 5 3" xfId="36769" xr:uid="{00000000-0005-0000-0000-0000FF060000}"/>
    <cellStyle name="Comma 5 2 2 7 6" xfId="6976" xr:uid="{00000000-0005-0000-0000-000000070000}"/>
    <cellStyle name="Comma 5 2 2 7 6 2" xfId="19425" xr:uid="{00000000-0005-0000-0000-000001070000}"/>
    <cellStyle name="Comma 5 2 2 7 6 2 2" xfId="44299" xr:uid="{00000000-0005-0000-0000-000002070000}"/>
    <cellStyle name="Comma 5 2 2 7 6 3" xfId="31866" xr:uid="{00000000-0005-0000-0000-000003070000}"/>
    <cellStyle name="Comma 5 2 2 7 7" xfId="3430" xr:uid="{00000000-0005-0000-0000-000004070000}"/>
    <cellStyle name="Comma 5 2 2 7 7 2" xfId="15936" xr:uid="{00000000-0005-0000-0000-000005070000}"/>
    <cellStyle name="Comma 5 2 2 7 7 2 2" xfId="40810" xr:uid="{00000000-0005-0000-0000-000006070000}"/>
    <cellStyle name="Comma 5 2 2 7 7 3" xfId="28369" xr:uid="{00000000-0005-0000-0000-000007070000}"/>
    <cellStyle name="Comma 5 2 2 7 8" xfId="13357" xr:uid="{00000000-0005-0000-0000-000008070000}"/>
    <cellStyle name="Comma 5 2 2 7 8 2" xfId="38231" xr:uid="{00000000-0005-0000-0000-000009070000}"/>
    <cellStyle name="Comma 5 2 2 7 9" xfId="25790" xr:uid="{00000000-0005-0000-0000-00000A070000}"/>
    <cellStyle name="Comma 5 2 2 8" xfId="1627" xr:uid="{00000000-0005-0000-0000-00000B070000}"/>
    <cellStyle name="Comma 5 2 2 8 2" xfId="4739" xr:uid="{00000000-0005-0000-0000-00000C070000}"/>
    <cellStyle name="Comma 5 2 2 8 2 2" xfId="9756" xr:uid="{00000000-0005-0000-0000-00000D070000}"/>
    <cellStyle name="Comma 5 2 2 8 2 2 2" xfId="22199" xr:uid="{00000000-0005-0000-0000-00000E070000}"/>
    <cellStyle name="Comma 5 2 2 8 2 2 2 2" xfId="47073" xr:uid="{00000000-0005-0000-0000-00000F070000}"/>
    <cellStyle name="Comma 5 2 2 8 2 2 3" xfId="34640" xr:uid="{00000000-0005-0000-0000-000010070000}"/>
    <cellStyle name="Comma 5 2 2 8 2 3" xfId="17192" xr:uid="{00000000-0005-0000-0000-000011070000}"/>
    <cellStyle name="Comma 5 2 2 8 2 3 2" xfId="42066" xr:uid="{00000000-0005-0000-0000-000012070000}"/>
    <cellStyle name="Comma 5 2 2 8 2 4" xfId="29633" xr:uid="{00000000-0005-0000-0000-000013070000}"/>
    <cellStyle name="Comma 5 2 2 8 3" xfId="5773" xr:uid="{00000000-0005-0000-0000-000014070000}"/>
    <cellStyle name="Comma 5 2 2 8 3 2" xfId="10788" xr:uid="{00000000-0005-0000-0000-000015070000}"/>
    <cellStyle name="Comma 5 2 2 8 3 2 2" xfId="23231" xr:uid="{00000000-0005-0000-0000-000016070000}"/>
    <cellStyle name="Comma 5 2 2 8 3 2 2 2" xfId="48105" xr:uid="{00000000-0005-0000-0000-000017070000}"/>
    <cellStyle name="Comma 5 2 2 8 3 2 3" xfId="35672" xr:uid="{00000000-0005-0000-0000-000018070000}"/>
    <cellStyle name="Comma 5 2 2 8 3 3" xfId="18224" xr:uid="{00000000-0005-0000-0000-000019070000}"/>
    <cellStyle name="Comma 5 2 2 8 3 3 2" xfId="43098" xr:uid="{00000000-0005-0000-0000-00001A070000}"/>
    <cellStyle name="Comma 5 2 2 8 3 4" xfId="30665" xr:uid="{00000000-0005-0000-0000-00001B070000}"/>
    <cellStyle name="Comma 5 2 2 8 4" xfId="8015" xr:uid="{00000000-0005-0000-0000-00001C070000}"/>
    <cellStyle name="Comma 5 2 2 8 4 2" xfId="20461" xr:uid="{00000000-0005-0000-0000-00001D070000}"/>
    <cellStyle name="Comma 5 2 2 8 4 2 2" xfId="45335" xr:uid="{00000000-0005-0000-0000-00001E070000}"/>
    <cellStyle name="Comma 5 2 2 8 4 3" xfId="32902" xr:uid="{00000000-0005-0000-0000-00001F070000}"/>
    <cellStyle name="Comma 5 2 2 8 5" xfId="12242" xr:uid="{00000000-0005-0000-0000-000020070000}"/>
    <cellStyle name="Comma 5 2 2 8 5 2" xfId="24676" xr:uid="{00000000-0005-0000-0000-000021070000}"/>
    <cellStyle name="Comma 5 2 2 8 5 2 2" xfId="49550" xr:uid="{00000000-0005-0000-0000-000022070000}"/>
    <cellStyle name="Comma 5 2 2 8 5 3" xfId="37117" xr:uid="{00000000-0005-0000-0000-000023070000}"/>
    <cellStyle name="Comma 5 2 2 8 6" xfId="7350" xr:uid="{00000000-0005-0000-0000-000024070000}"/>
    <cellStyle name="Comma 5 2 2 8 6 2" xfId="19798" xr:uid="{00000000-0005-0000-0000-000025070000}"/>
    <cellStyle name="Comma 5 2 2 8 6 2 2" xfId="44672" xr:uid="{00000000-0005-0000-0000-000026070000}"/>
    <cellStyle name="Comma 5 2 2 8 6 3" xfId="32239" xr:uid="{00000000-0005-0000-0000-000027070000}"/>
    <cellStyle name="Comma 5 2 2 8 7" xfId="2939" xr:uid="{00000000-0005-0000-0000-000028070000}"/>
    <cellStyle name="Comma 5 2 2 8 7 2" xfId="15454" xr:uid="{00000000-0005-0000-0000-000029070000}"/>
    <cellStyle name="Comma 5 2 2 8 7 2 2" xfId="40328" xr:uid="{00000000-0005-0000-0000-00002A070000}"/>
    <cellStyle name="Comma 5 2 2 8 7 3" xfId="27887" xr:uid="{00000000-0005-0000-0000-00002B070000}"/>
    <cellStyle name="Comma 5 2 2 8 8" xfId="14427" xr:uid="{00000000-0005-0000-0000-00002C070000}"/>
    <cellStyle name="Comma 5 2 2 8 8 2" xfId="39301" xr:uid="{00000000-0005-0000-0000-00002D070000}"/>
    <cellStyle name="Comma 5 2 2 8 9" xfId="26860" xr:uid="{00000000-0005-0000-0000-00002E070000}"/>
    <cellStyle name="Comma 5 2 2 9" xfId="2096" xr:uid="{00000000-0005-0000-0000-00002F070000}"/>
    <cellStyle name="Comma 5 2 2 9 2" xfId="6137" xr:uid="{00000000-0005-0000-0000-000030070000}"/>
    <cellStyle name="Comma 5 2 2 9 2 2" xfId="11152" xr:uid="{00000000-0005-0000-0000-000031070000}"/>
    <cellStyle name="Comma 5 2 2 9 2 2 2" xfId="23595" xr:uid="{00000000-0005-0000-0000-000032070000}"/>
    <cellStyle name="Comma 5 2 2 9 2 2 2 2" xfId="48469" xr:uid="{00000000-0005-0000-0000-000033070000}"/>
    <cellStyle name="Comma 5 2 2 9 2 2 3" xfId="36036" xr:uid="{00000000-0005-0000-0000-000034070000}"/>
    <cellStyle name="Comma 5 2 2 9 2 3" xfId="18588" xr:uid="{00000000-0005-0000-0000-000035070000}"/>
    <cellStyle name="Comma 5 2 2 9 2 3 2" xfId="43462" xr:uid="{00000000-0005-0000-0000-000036070000}"/>
    <cellStyle name="Comma 5 2 2 9 2 4" xfId="31029" xr:uid="{00000000-0005-0000-0000-000037070000}"/>
    <cellStyle name="Comma 5 2 2 9 3" xfId="12606" xr:uid="{00000000-0005-0000-0000-000038070000}"/>
    <cellStyle name="Comma 5 2 2 9 3 2" xfId="25040" xr:uid="{00000000-0005-0000-0000-000039070000}"/>
    <cellStyle name="Comma 5 2 2 9 3 2 2" xfId="49914" xr:uid="{00000000-0005-0000-0000-00003A070000}"/>
    <cellStyle name="Comma 5 2 2 9 3 3" xfId="37481" xr:uid="{00000000-0005-0000-0000-00003B070000}"/>
    <cellStyle name="Comma 5 2 2 9 4" xfId="8901" xr:uid="{00000000-0005-0000-0000-00003C070000}"/>
    <cellStyle name="Comma 5 2 2 9 4 2" xfId="21344" xr:uid="{00000000-0005-0000-0000-00003D070000}"/>
    <cellStyle name="Comma 5 2 2 9 4 2 2" xfId="46218" xr:uid="{00000000-0005-0000-0000-00003E070000}"/>
    <cellStyle name="Comma 5 2 2 9 4 3" xfId="33785" xr:uid="{00000000-0005-0000-0000-00003F070000}"/>
    <cellStyle name="Comma 5 2 2 9 5" xfId="3883" xr:uid="{00000000-0005-0000-0000-000040070000}"/>
    <cellStyle name="Comma 5 2 2 9 5 2" xfId="16337" xr:uid="{00000000-0005-0000-0000-000041070000}"/>
    <cellStyle name="Comma 5 2 2 9 5 2 2" xfId="41211" xr:uid="{00000000-0005-0000-0000-000042070000}"/>
    <cellStyle name="Comma 5 2 2 9 5 3" xfId="28778" xr:uid="{00000000-0005-0000-0000-000043070000}"/>
    <cellStyle name="Comma 5 2 2 9 6" xfId="14791" xr:uid="{00000000-0005-0000-0000-000044070000}"/>
    <cellStyle name="Comma 5 2 2 9 6 2" xfId="39665" xr:uid="{00000000-0005-0000-0000-000045070000}"/>
    <cellStyle name="Comma 5 2 2 9 7" xfId="27224" xr:uid="{00000000-0005-0000-0000-000046070000}"/>
    <cellStyle name="Comma 5 2 3" xfId="158" xr:uid="{00000000-0005-0000-0000-000047070000}"/>
    <cellStyle name="Comma 5 2 3 10" xfId="956" xr:uid="{00000000-0005-0000-0000-000048070000}"/>
    <cellStyle name="Comma 5 2 3 10 2" xfId="11571" xr:uid="{00000000-0005-0000-0000-000049070000}"/>
    <cellStyle name="Comma 5 2 3 10 2 2" xfId="24005" xr:uid="{00000000-0005-0000-0000-00004A070000}"/>
    <cellStyle name="Comma 5 2 3 10 2 2 2" xfId="48879" xr:uid="{00000000-0005-0000-0000-00004B070000}"/>
    <cellStyle name="Comma 5 2 3 10 2 3" xfId="36446" xr:uid="{00000000-0005-0000-0000-00004C070000}"/>
    <cellStyle name="Comma 5 2 3 10 3" xfId="10115" xr:uid="{00000000-0005-0000-0000-00004D070000}"/>
    <cellStyle name="Comma 5 2 3 10 3 2" xfId="22558" xr:uid="{00000000-0005-0000-0000-00004E070000}"/>
    <cellStyle name="Comma 5 2 3 10 3 2 2" xfId="47432" xr:uid="{00000000-0005-0000-0000-00004F070000}"/>
    <cellStyle name="Comma 5 2 3 10 3 3" xfId="34999" xr:uid="{00000000-0005-0000-0000-000050070000}"/>
    <cellStyle name="Comma 5 2 3 10 4" xfId="5099" xr:uid="{00000000-0005-0000-0000-000051070000}"/>
    <cellStyle name="Comma 5 2 3 10 4 2" xfId="17551" xr:uid="{00000000-0005-0000-0000-000052070000}"/>
    <cellStyle name="Comma 5 2 3 10 4 2 2" xfId="42425" xr:uid="{00000000-0005-0000-0000-000053070000}"/>
    <cellStyle name="Comma 5 2 3 10 4 3" xfId="29992" xr:uid="{00000000-0005-0000-0000-000054070000}"/>
    <cellStyle name="Comma 5 2 3 10 5" xfId="13756" xr:uid="{00000000-0005-0000-0000-000055070000}"/>
    <cellStyle name="Comma 5 2 3 10 5 2" xfId="38630" xr:uid="{00000000-0005-0000-0000-000056070000}"/>
    <cellStyle name="Comma 5 2 3 10 6" xfId="26189" xr:uid="{00000000-0005-0000-0000-000057070000}"/>
    <cellStyle name="Comma 5 2 3 11" xfId="926" xr:uid="{00000000-0005-0000-0000-000058070000}"/>
    <cellStyle name="Comma 5 2 3 11 2" xfId="7723" xr:uid="{00000000-0005-0000-0000-000059070000}"/>
    <cellStyle name="Comma 5 2 3 11 2 2" xfId="20169" xr:uid="{00000000-0005-0000-0000-00005A070000}"/>
    <cellStyle name="Comma 5 2 3 11 2 2 2" xfId="45043" xr:uid="{00000000-0005-0000-0000-00005B070000}"/>
    <cellStyle name="Comma 5 2 3 11 2 3" xfId="32610" xr:uid="{00000000-0005-0000-0000-00005C070000}"/>
    <cellStyle name="Comma 5 2 3 11 3" xfId="13726" xr:uid="{00000000-0005-0000-0000-00005D070000}"/>
    <cellStyle name="Comma 5 2 3 11 3 2" xfId="38600" xr:uid="{00000000-0005-0000-0000-00005E070000}"/>
    <cellStyle name="Comma 5 2 3 11 4" xfId="26159" xr:uid="{00000000-0005-0000-0000-00005F070000}"/>
    <cellStyle name="Comma 5 2 3 12" xfId="11541" xr:uid="{00000000-0005-0000-0000-000060070000}"/>
    <cellStyle name="Comma 5 2 3 12 2" xfId="23975" xr:uid="{00000000-0005-0000-0000-000061070000}"/>
    <cellStyle name="Comma 5 2 3 12 2 2" xfId="48849" xr:uid="{00000000-0005-0000-0000-000062070000}"/>
    <cellStyle name="Comma 5 2 3 12 3" xfId="36416" xr:uid="{00000000-0005-0000-0000-000063070000}"/>
    <cellStyle name="Comma 5 2 3 13" xfId="6501" xr:uid="{00000000-0005-0000-0000-000064070000}"/>
    <cellStyle name="Comma 5 2 3 13 2" xfId="18950" xr:uid="{00000000-0005-0000-0000-000065070000}"/>
    <cellStyle name="Comma 5 2 3 13 2 2" xfId="43824" xr:uid="{00000000-0005-0000-0000-000066070000}"/>
    <cellStyle name="Comma 5 2 3 13 3" xfId="31391" xr:uid="{00000000-0005-0000-0000-000067070000}"/>
    <cellStyle name="Comma 5 2 3 14" xfId="2644" xr:uid="{00000000-0005-0000-0000-000068070000}"/>
    <cellStyle name="Comma 5 2 3 14 2" xfId="15162" xr:uid="{00000000-0005-0000-0000-000069070000}"/>
    <cellStyle name="Comma 5 2 3 14 2 2" xfId="40036" xr:uid="{00000000-0005-0000-0000-00006A070000}"/>
    <cellStyle name="Comma 5 2 3 14 3" xfId="27595" xr:uid="{00000000-0005-0000-0000-00006B070000}"/>
    <cellStyle name="Comma 5 2 3 15" xfId="12988" xr:uid="{00000000-0005-0000-0000-00006C070000}"/>
    <cellStyle name="Comma 5 2 3 15 2" xfId="37862" xr:uid="{00000000-0005-0000-0000-00006D070000}"/>
    <cellStyle name="Comma 5 2 3 16" xfId="25421" xr:uid="{00000000-0005-0000-0000-00006E070000}"/>
    <cellStyle name="Comma 5 2 3 2" xfId="188" xr:uid="{00000000-0005-0000-0000-00006F070000}"/>
    <cellStyle name="Comma 5 2 3 2 10" xfId="11673" xr:uid="{00000000-0005-0000-0000-000070070000}"/>
    <cellStyle name="Comma 5 2 3 2 10 2" xfId="24107" xr:uid="{00000000-0005-0000-0000-000071070000}"/>
    <cellStyle name="Comma 5 2 3 2 10 2 2" xfId="48981" xr:uid="{00000000-0005-0000-0000-000072070000}"/>
    <cellStyle name="Comma 5 2 3 2 10 3" xfId="36548" xr:uid="{00000000-0005-0000-0000-000073070000}"/>
    <cellStyle name="Comma 5 2 3 2 11" xfId="6533" xr:uid="{00000000-0005-0000-0000-000074070000}"/>
    <cellStyle name="Comma 5 2 3 2 11 2" xfId="18982" xr:uid="{00000000-0005-0000-0000-000075070000}"/>
    <cellStyle name="Comma 5 2 3 2 11 2 2" xfId="43856" xr:uid="{00000000-0005-0000-0000-000076070000}"/>
    <cellStyle name="Comma 5 2 3 2 11 3" xfId="31423" xr:uid="{00000000-0005-0000-0000-000077070000}"/>
    <cellStyle name="Comma 5 2 3 2 12" xfId="2701" xr:uid="{00000000-0005-0000-0000-000078070000}"/>
    <cellStyle name="Comma 5 2 3 2 12 2" xfId="15219" xr:uid="{00000000-0005-0000-0000-000079070000}"/>
    <cellStyle name="Comma 5 2 3 2 12 2 2" xfId="40093" xr:uid="{00000000-0005-0000-0000-00007A070000}"/>
    <cellStyle name="Comma 5 2 3 2 12 3" xfId="27652" xr:uid="{00000000-0005-0000-0000-00007B070000}"/>
    <cellStyle name="Comma 5 2 3 2 13" xfId="13018" xr:uid="{00000000-0005-0000-0000-00007C070000}"/>
    <cellStyle name="Comma 5 2 3 2 13 2" xfId="37892" xr:uid="{00000000-0005-0000-0000-00007D070000}"/>
    <cellStyle name="Comma 5 2 3 2 14" xfId="25451" xr:uid="{00000000-0005-0000-0000-00007E070000}"/>
    <cellStyle name="Comma 5 2 3 2 2" xfId="511" xr:uid="{00000000-0005-0000-0000-00007F070000}"/>
    <cellStyle name="Comma 5 2 3 2 2 10" xfId="2905" xr:uid="{00000000-0005-0000-0000-000080070000}"/>
    <cellStyle name="Comma 5 2 3 2 2 10 2" xfId="15423" xr:uid="{00000000-0005-0000-0000-000081070000}"/>
    <cellStyle name="Comma 5 2 3 2 2 10 2 2" xfId="40297" xr:uid="{00000000-0005-0000-0000-000082070000}"/>
    <cellStyle name="Comma 5 2 3 2 2 10 3" xfId="27856" xr:uid="{00000000-0005-0000-0000-000083070000}"/>
    <cellStyle name="Comma 5 2 3 2 2 11" xfId="13324" xr:uid="{00000000-0005-0000-0000-000084070000}"/>
    <cellStyle name="Comma 5 2 3 2 2 11 2" xfId="38198" xr:uid="{00000000-0005-0000-0000-000085070000}"/>
    <cellStyle name="Comma 5 2 3 2 2 12" xfId="25757" xr:uid="{00000000-0005-0000-0000-000086070000}"/>
    <cellStyle name="Comma 5 2 3 2 2 2" xfId="870" xr:uid="{00000000-0005-0000-0000-000087070000}"/>
    <cellStyle name="Comma 5 2 3 2 2 2 2" xfId="1291" xr:uid="{00000000-0005-0000-0000-000088070000}"/>
    <cellStyle name="Comma 5 2 3 2 2 2 2 2" xfId="9361" xr:uid="{00000000-0005-0000-0000-000089070000}"/>
    <cellStyle name="Comma 5 2 3 2 2 2 2 2 2" xfId="21804" xr:uid="{00000000-0005-0000-0000-00008A070000}"/>
    <cellStyle name="Comma 5 2 3 2 2 2 2 2 2 2" xfId="46678" xr:uid="{00000000-0005-0000-0000-00008B070000}"/>
    <cellStyle name="Comma 5 2 3 2 2 2 2 2 3" xfId="34245" xr:uid="{00000000-0005-0000-0000-00008C070000}"/>
    <cellStyle name="Comma 5 2 3 2 2 2 2 3" xfId="4343" xr:uid="{00000000-0005-0000-0000-00008D070000}"/>
    <cellStyle name="Comma 5 2 3 2 2 2 2 3 2" xfId="16797" xr:uid="{00000000-0005-0000-0000-00008E070000}"/>
    <cellStyle name="Comma 5 2 3 2 2 2 2 3 2 2" xfId="41671" xr:uid="{00000000-0005-0000-0000-00008F070000}"/>
    <cellStyle name="Comma 5 2 3 2 2 2 2 3 3" xfId="29238" xr:uid="{00000000-0005-0000-0000-000090070000}"/>
    <cellStyle name="Comma 5 2 3 2 2 2 2 4" xfId="14091" xr:uid="{00000000-0005-0000-0000-000091070000}"/>
    <cellStyle name="Comma 5 2 3 2 2 2 2 4 2" xfId="38965" xr:uid="{00000000-0005-0000-0000-000092070000}"/>
    <cellStyle name="Comma 5 2 3 2 2 2 2 5" xfId="26524" xr:uid="{00000000-0005-0000-0000-000093070000}"/>
    <cellStyle name="Comma 5 2 3 2 2 2 3" xfId="5436" xr:uid="{00000000-0005-0000-0000-000094070000}"/>
    <cellStyle name="Comma 5 2 3 2 2 2 3 2" xfId="10452" xr:uid="{00000000-0005-0000-0000-000095070000}"/>
    <cellStyle name="Comma 5 2 3 2 2 2 3 2 2" xfId="22895" xr:uid="{00000000-0005-0000-0000-000096070000}"/>
    <cellStyle name="Comma 5 2 3 2 2 2 3 2 2 2" xfId="47769" xr:uid="{00000000-0005-0000-0000-000097070000}"/>
    <cellStyle name="Comma 5 2 3 2 2 2 3 2 3" xfId="35336" xr:uid="{00000000-0005-0000-0000-000098070000}"/>
    <cellStyle name="Comma 5 2 3 2 2 2 3 3" xfId="17888" xr:uid="{00000000-0005-0000-0000-000099070000}"/>
    <cellStyle name="Comma 5 2 3 2 2 2 3 3 2" xfId="42762" xr:uid="{00000000-0005-0000-0000-00009A070000}"/>
    <cellStyle name="Comma 5 2 3 2 2 2 3 4" xfId="30329" xr:uid="{00000000-0005-0000-0000-00009B070000}"/>
    <cellStyle name="Comma 5 2 3 2 2 2 4" xfId="8477" xr:uid="{00000000-0005-0000-0000-00009C070000}"/>
    <cellStyle name="Comma 5 2 3 2 2 2 4 2" xfId="20921" xr:uid="{00000000-0005-0000-0000-00009D070000}"/>
    <cellStyle name="Comma 5 2 3 2 2 2 4 2 2" xfId="45795" xr:uid="{00000000-0005-0000-0000-00009E070000}"/>
    <cellStyle name="Comma 5 2 3 2 2 2 4 3" xfId="33362" xr:uid="{00000000-0005-0000-0000-00009F070000}"/>
    <cellStyle name="Comma 5 2 3 2 2 2 5" xfId="11906" xr:uid="{00000000-0005-0000-0000-0000A0070000}"/>
    <cellStyle name="Comma 5 2 3 2 2 2 5 2" xfId="24340" xr:uid="{00000000-0005-0000-0000-0000A1070000}"/>
    <cellStyle name="Comma 5 2 3 2 2 2 5 2 2" xfId="49214" xr:uid="{00000000-0005-0000-0000-0000A2070000}"/>
    <cellStyle name="Comma 5 2 3 2 2 2 5 3" xfId="36781" xr:uid="{00000000-0005-0000-0000-0000A3070000}"/>
    <cellStyle name="Comma 5 2 3 2 2 2 6" xfId="6954" xr:uid="{00000000-0005-0000-0000-0000A4070000}"/>
    <cellStyle name="Comma 5 2 3 2 2 2 6 2" xfId="19403" xr:uid="{00000000-0005-0000-0000-0000A5070000}"/>
    <cellStyle name="Comma 5 2 3 2 2 2 6 2 2" xfId="44277" xr:uid="{00000000-0005-0000-0000-0000A6070000}"/>
    <cellStyle name="Comma 5 2 3 2 2 2 6 3" xfId="31844" xr:uid="{00000000-0005-0000-0000-0000A7070000}"/>
    <cellStyle name="Comma 5 2 3 2 2 2 7" xfId="3408" xr:uid="{00000000-0005-0000-0000-0000A8070000}"/>
    <cellStyle name="Comma 5 2 3 2 2 2 7 2" xfId="15914" xr:uid="{00000000-0005-0000-0000-0000A9070000}"/>
    <cellStyle name="Comma 5 2 3 2 2 2 7 2 2" xfId="40788" xr:uid="{00000000-0005-0000-0000-0000AA070000}"/>
    <cellStyle name="Comma 5 2 3 2 2 2 7 3" xfId="28347" xr:uid="{00000000-0005-0000-0000-0000AB070000}"/>
    <cellStyle name="Comma 5 2 3 2 2 2 8" xfId="13671" xr:uid="{00000000-0005-0000-0000-0000AC070000}"/>
    <cellStyle name="Comma 5 2 3 2 2 2 8 2" xfId="38545" xr:uid="{00000000-0005-0000-0000-0000AD070000}"/>
    <cellStyle name="Comma 5 2 3 2 2 2 9" xfId="26104" xr:uid="{00000000-0005-0000-0000-0000AE070000}"/>
    <cellStyle name="Comma 5 2 3 2 2 3" xfId="1639" xr:uid="{00000000-0005-0000-0000-0000AF070000}"/>
    <cellStyle name="Comma 5 2 3 2 2 3 2" xfId="4377" xr:uid="{00000000-0005-0000-0000-0000B0070000}"/>
    <cellStyle name="Comma 5 2 3 2 2 3 2 2" xfId="9395" xr:uid="{00000000-0005-0000-0000-0000B1070000}"/>
    <cellStyle name="Comma 5 2 3 2 2 3 2 2 2" xfId="21838" xr:uid="{00000000-0005-0000-0000-0000B2070000}"/>
    <cellStyle name="Comma 5 2 3 2 2 3 2 2 2 2" xfId="46712" xr:uid="{00000000-0005-0000-0000-0000B3070000}"/>
    <cellStyle name="Comma 5 2 3 2 2 3 2 2 3" xfId="34279" xr:uid="{00000000-0005-0000-0000-0000B4070000}"/>
    <cellStyle name="Comma 5 2 3 2 2 3 2 3" xfId="16831" xr:uid="{00000000-0005-0000-0000-0000B5070000}"/>
    <cellStyle name="Comma 5 2 3 2 2 3 2 3 2" xfId="41705" xr:uid="{00000000-0005-0000-0000-0000B6070000}"/>
    <cellStyle name="Comma 5 2 3 2 2 3 2 4" xfId="29272" xr:uid="{00000000-0005-0000-0000-0000B7070000}"/>
    <cellStyle name="Comma 5 2 3 2 2 3 3" xfId="5785" xr:uid="{00000000-0005-0000-0000-0000B8070000}"/>
    <cellStyle name="Comma 5 2 3 2 2 3 3 2" xfId="10800" xr:uid="{00000000-0005-0000-0000-0000B9070000}"/>
    <cellStyle name="Comma 5 2 3 2 2 3 3 2 2" xfId="23243" xr:uid="{00000000-0005-0000-0000-0000BA070000}"/>
    <cellStyle name="Comma 5 2 3 2 2 3 3 2 2 2" xfId="48117" xr:uid="{00000000-0005-0000-0000-0000BB070000}"/>
    <cellStyle name="Comma 5 2 3 2 2 3 3 2 3" xfId="35684" xr:uid="{00000000-0005-0000-0000-0000BC070000}"/>
    <cellStyle name="Comma 5 2 3 2 2 3 3 3" xfId="18236" xr:uid="{00000000-0005-0000-0000-0000BD070000}"/>
    <cellStyle name="Comma 5 2 3 2 2 3 3 3 2" xfId="43110" xr:uid="{00000000-0005-0000-0000-0000BE070000}"/>
    <cellStyle name="Comma 5 2 3 2 2 3 3 4" xfId="30677" xr:uid="{00000000-0005-0000-0000-0000BF070000}"/>
    <cellStyle name="Comma 5 2 3 2 2 3 4" xfId="8511" xr:uid="{00000000-0005-0000-0000-0000C0070000}"/>
    <cellStyle name="Comma 5 2 3 2 2 3 4 2" xfId="20955" xr:uid="{00000000-0005-0000-0000-0000C1070000}"/>
    <cellStyle name="Comma 5 2 3 2 2 3 4 2 2" xfId="45829" xr:uid="{00000000-0005-0000-0000-0000C2070000}"/>
    <cellStyle name="Comma 5 2 3 2 2 3 4 3" xfId="33396" xr:uid="{00000000-0005-0000-0000-0000C3070000}"/>
    <cellStyle name="Comma 5 2 3 2 2 3 5" xfId="12254" xr:uid="{00000000-0005-0000-0000-0000C4070000}"/>
    <cellStyle name="Comma 5 2 3 2 2 3 5 2" xfId="24688" xr:uid="{00000000-0005-0000-0000-0000C5070000}"/>
    <cellStyle name="Comma 5 2 3 2 2 3 5 2 2" xfId="49562" xr:uid="{00000000-0005-0000-0000-0000C6070000}"/>
    <cellStyle name="Comma 5 2 3 2 2 3 5 3" xfId="37129" xr:uid="{00000000-0005-0000-0000-0000C7070000}"/>
    <cellStyle name="Comma 5 2 3 2 2 3 6" xfId="6988" xr:uid="{00000000-0005-0000-0000-0000C8070000}"/>
    <cellStyle name="Comma 5 2 3 2 2 3 6 2" xfId="19437" xr:uid="{00000000-0005-0000-0000-0000C9070000}"/>
    <cellStyle name="Comma 5 2 3 2 2 3 6 2 2" xfId="44311" xr:uid="{00000000-0005-0000-0000-0000CA070000}"/>
    <cellStyle name="Comma 5 2 3 2 2 3 6 3" xfId="31878" xr:uid="{00000000-0005-0000-0000-0000CB070000}"/>
    <cellStyle name="Comma 5 2 3 2 2 3 7" xfId="3442" xr:uid="{00000000-0005-0000-0000-0000CC070000}"/>
    <cellStyle name="Comma 5 2 3 2 2 3 7 2" xfId="15948" xr:uid="{00000000-0005-0000-0000-0000CD070000}"/>
    <cellStyle name="Comma 5 2 3 2 2 3 7 2 2" xfId="40822" xr:uid="{00000000-0005-0000-0000-0000CE070000}"/>
    <cellStyle name="Comma 5 2 3 2 2 3 7 3" xfId="28381" xr:uid="{00000000-0005-0000-0000-0000CF070000}"/>
    <cellStyle name="Comma 5 2 3 2 2 3 8" xfId="14439" xr:uid="{00000000-0005-0000-0000-0000D0070000}"/>
    <cellStyle name="Comma 5 2 3 2 2 3 8 2" xfId="39313" xr:uid="{00000000-0005-0000-0000-0000D1070000}"/>
    <cellStyle name="Comma 5 2 3 2 2 3 9" xfId="26872" xr:uid="{00000000-0005-0000-0000-0000D2070000}"/>
    <cellStyle name="Comma 5 2 3 2 2 4" xfId="2429" xr:uid="{00000000-0005-0000-0000-0000D3070000}"/>
    <cellStyle name="Comma 5 2 3 2 2 4 2" xfId="5053" xr:uid="{00000000-0005-0000-0000-0000D4070000}"/>
    <cellStyle name="Comma 5 2 3 2 2 4 2 2" xfId="10070" xr:uid="{00000000-0005-0000-0000-0000D5070000}"/>
    <cellStyle name="Comma 5 2 3 2 2 4 2 2 2" xfId="22513" xr:uid="{00000000-0005-0000-0000-0000D6070000}"/>
    <cellStyle name="Comma 5 2 3 2 2 4 2 2 2 2" xfId="47387" xr:uid="{00000000-0005-0000-0000-0000D7070000}"/>
    <cellStyle name="Comma 5 2 3 2 2 4 2 2 3" xfId="34954" xr:uid="{00000000-0005-0000-0000-0000D8070000}"/>
    <cellStyle name="Comma 5 2 3 2 2 4 2 3" xfId="17506" xr:uid="{00000000-0005-0000-0000-0000D9070000}"/>
    <cellStyle name="Comma 5 2 3 2 2 4 2 3 2" xfId="42380" xr:uid="{00000000-0005-0000-0000-0000DA070000}"/>
    <cellStyle name="Comma 5 2 3 2 2 4 2 4" xfId="29947" xr:uid="{00000000-0005-0000-0000-0000DB070000}"/>
    <cellStyle name="Comma 5 2 3 2 2 4 3" xfId="6451" xr:uid="{00000000-0005-0000-0000-0000DC070000}"/>
    <cellStyle name="Comma 5 2 3 2 2 4 3 2" xfId="11466" xr:uid="{00000000-0005-0000-0000-0000DD070000}"/>
    <cellStyle name="Comma 5 2 3 2 2 4 3 2 2" xfId="23909" xr:uid="{00000000-0005-0000-0000-0000DE070000}"/>
    <cellStyle name="Comma 5 2 3 2 2 4 3 2 2 2" xfId="48783" xr:uid="{00000000-0005-0000-0000-0000DF070000}"/>
    <cellStyle name="Comma 5 2 3 2 2 4 3 2 3" xfId="36350" xr:uid="{00000000-0005-0000-0000-0000E0070000}"/>
    <cellStyle name="Comma 5 2 3 2 2 4 3 3" xfId="18902" xr:uid="{00000000-0005-0000-0000-0000E1070000}"/>
    <cellStyle name="Comma 5 2 3 2 2 4 3 3 2" xfId="43776" xr:uid="{00000000-0005-0000-0000-0000E2070000}"/>
    <cellStyle name="Comma 5 2 3 2 2 4 3 4" xfId="31343" xr:uid="{00000000-0005-0000-0000-0000E3070000}"/>
    <cellStyle name="Comma 5 2 3 2 2 4 4" xfId="8158" xr:uid="{00000000-0005-0000-0000-0000E4070000}"/>
    <cellStyle name="Comma 5 2 3 2 2 4 4 2" xfId="20604" xr:uid="{00000000-0005-0000-0000-0000E5070000}"/>
    <cellStyle name="Comma 5 2 3 2 2 4 4 2 2" xfId="45478" xr:uid="{00000000-0005-0000-0000-0000E6070000}"/>
    <cellStyle name="Comma 5 2 3 2 2 4 4 3" xfId="33045" xr:uid="{00000000-0005-0000-0000-0000E7070000}"/>
    <cellStyle name="Comma 5 2 3 2 2 4 5" xfId="12920" xr:uid="{00000000-0005-0000-0000-0000E8070000}"/>
    <cellStyle name="Comma 5 2 3 2 2 4 5 2" xfId="25354" xr:uid="{00000000-0005-0000-0000-0000E9070000}"/>
    <cellStyle name="Comma 5 2 3 2 2 4 5 2 2" xfId="50228" xr:uid="{00000000-0005-0000-0000-0000EA070000}"/>
    <cellStyle name="Comma 5 2 3 2 2 4 5 3" xfId="37795" xr:uid="{00000000-0005-0000-0000-0000EB070000}"/>
    <cellStyle name="Comma 5 2 3 2 2 4 6" xfId="7664" xr:uid="{00000000-0005-0000-0000-0000EC070000}"/>
    <cellStyle name="Comma 5 2 3 2 2 4 6 2" xfId="20112" xr:uid="{00000000-0005-0000-0000-0000ED070000}"/>
    <cellStyle name="Comma 5 2 3 2 2 4 6 2 2" xfId="44986" xr:uid="{00000000-0005-0000-0000-0000EE070000}"/>
    <cellStyle name="Comma 5 2 3 2 2 4 6 3" xfId="32553" xr:uid="{00000000-0005-0000-0000-0000EF070000}"/>
    <cellStyle name="Comma 5 2 3 2 2 4 7" xfId="3088" xr:uid="{00000000-0005-0000-0000-0000F0070000}"/>
    <cellStyle name="Comma 5 2 3 2 2 4 7 2" xfId="15597" xr:uid="{00000000-0005-0000-0000-0000F1070000}"/>
    <cellStyle name="Comma 5 2 3 2 2 4 7 2 2" xfId="40471" xr:uid="{00000000-0005-0000-0000-0000F2070000}"/>
    <cellStyle name="Comma 5 2 3 2 2 4 7 3" xfId="28030" xr:uid="{00000000-0005-0000-0000-0000F3070000}"/>
    <cellStyle name="Comma 5 2 3 2 2 4 8" xfId="15105" xr:uid="{00000000-0005-0000-0000-0000F4070000}"/>
    <cellStyle name="Comma 5 2 3 2 2 4 8 2" xfId="39979" xr:uid="{00000000-0005-0000-0000-0000F5070000}"/>
    <cellStyle name="Comma 5 2 3 2 2 4 9" xfId="27538" xr:uid="{00000000-0005-0000-0000-0000F6070000}"/>
    <cellStyle name="Comma 5 2 3 2 2 5" xfId="1262" xr:uid="{00000000-0005-0000-0000-0000F7070000}"/>
    <cellStyle name="Comma 5 2 3 2 2 5 2" xfId="9044" xr:uid="{00000000-0005-0000-0000-0000F8070000}"/>
    <cellStyle name="Comma 5 2 3 2 2 5 2 2" xfId="21487" xr:uid="{00000000-0005-0000-0000-0000F9070000}"/>
    <cellStyle name="Comma 5 2 3 2 2 5 2 2 2" xfId="46361" xr:uid="{00000000-0005-0000-0000-0000FA070000}"/>
    <cellStyle name="Comma 5 2 3 2 2 5 2 3" xfId="33928" xr:uid="{00000000-0005-0000-0000-0000FB070000}"/>
    <cellStyle name="Comma 5 2 3 2 2 5 3" xfId="4026" xr:uid="{00000000-0005-0000-0000-0000FC070000}"/>
    <cellStyle name="Comma 5 2 3 2 2 5 3 2" xfId="16480" xr:uid="{00000000-0005-0000-0000-0000FD070000}"/>
    <cellStyle name="Comma 5 2 3 2 2 5 3 2 2" xfId="41354" xr:uid="{00000000-0005-0000-0000-0000FE070000}"/>
    <cellStyle name="Comma 5 2 3 2 2 5 3 3" xfId="28921" xr:uid="{00000000-0005-0000-0000-0000FF070000}"/>
    <cellStyle name="Comma 5 2 3 2 2 5 4" xfId="14062" xr:uid="{00000000-0005-0000-0000-000000080000}"/>
    <cellStyle name="Comma 5 2 3 2 2 5 4 2" xfId="38936" xr:uid="{00000000-0005-0000-0000-000001080000}"/>
    <cellStyle name="Comma 5 2 3 2 2 5 5" xfId="26495" xr:uid="{00000000-0005-0000-0000-000002080000}"/>
    <cellStyle name="Comma 5 2 3 2 2 6" xfId="5407" xr:uid="{00000000-0005-0000-0000-000003080000}"/>
    <cellStyle name="Comma 5 2 3 2 2 6 2" xfId="10423" xr:uid="{00000000-0005-0000-0000-000004080000}"/>
    <cellStyle name="Comma 5 2 3 2 2 6 2 2" xfId="22866" xr:uid="{00000000-0005-0000-0000-000005080000}"/>
    <cellStyle name="Comma 5 2 3 2 2 6 2 2 2" xfId="47740" xr:uid="{00000000-0005-0000-0000-000006080000}"/>
    <cellStyle name="Comma 5 2 3 2 2 6 2 3" xfId="35307" xr:uid="{00000000-0005-0000-0000-000007080000}"/>
    <cellStyle name="Comma 5 2 3 2 2 6 3" xfId="17859" xr:uid="{00000000-0005-0000-0000-000008080000}"/>
    <cellStyle name="Comma 5 2 3 2 2 6 3 2" xfId="42733" xr:uid="{00000000-0005-0000-0000-000009080000}"/>
    <cellStyle name="Comma 5 2 3 2 2 6 4" xfId="30300" xr:uid="{00000000-0005-0000-0000-00000A080000}"/>
    <cellStyle name="Comma 5 2 3 2 2 7" xfId="7984" xr:uid="{00000000-0005-0000-0000-00000B080000}"/>
    <cellStyle name="Comma 5 2 3 2 2 7 2" xfId="20430" xr:uid="{00000000-0005-0000-0000-00000C080000}"/>
    <cellStyle name="Comma 5 2 3 2 2 7 2 2" xfId="45304" xr:uid="{00000000-0005-0000-0000-00000D080000}"/>
    <cellStyle name="Comma 5 2 3 2 2 7 3" xfId="32871" xr:uid="{00000000-0005-0000-0000-00000E080000}"/>
    <cellStyle name="Comma 5 2 3 2 2 8" xfId="11877" xr:uid="{00000000-0005-0000-0000-00000F080000}"/>
    <cellStyle name="Comma 5 2 3 2 2 8 2" xfId="24311" xr:uid="{00000000-0005-0000-0000-000010080000}"/>
    <cellStyle name="Comma 5 2 3 2 2 8 2 2" xfId="49185" xr:uid="{00000000-0005-0000-0000-000011080000}"/>
    <cellStyle name="Comma 5 2 3 2 2 8 3" xfId="36752" xr:uid="{00000000-0005-0000-0000-000012080000}"/>
    <cellStyle name="Comma 5 2 3 2 2 9" xfId="6637" xr:uid="{00000000-0005-0000-0000-000013080000}"/>
    <cellStyle name="Comma 5 2 3 2 2 9 2" xfId="19086" xr:uid="{00000000-0005-0000-0000-000014080000}"/>
    <cellStyle name="Comma 5 2 3 2 2 9 2 2" xfId="43960" xr:uid="{00000000-0005-0000-0000-000015080000}"/>
    <cellStyle name="Comma 5 2 3 2 2 9 3" xfId="31527" xr:uid="{00000000-0005-0000-0000-000016080000}"/>
    <cellStyle name="Comma 5 2 3 2 3" xfId="404" xr:uid="{00000000-0005-0000-0000-000017080000}"/>
    <cellStyle name="Comma 5 2 3 2 3 10" xfId="13220" xr:uid="{00000000-0005-0000-0000-000018080000}"/>
    <cellStyle name="Comma 5 2 3 2 3 10 2" xfId="38094" xr:uid="{00000000-0005-0000-0000-000019080000}"/>
    <cellStyle name="Comma 5 2 3 2 3 11" xfId="25653" xr:uid="{00000000-0005-0000-0000-00001A080000}"/>
    <cellStyle name="Comma 5 2 3 2 3 2" xfId="764" xr:uid="{00000000-0005-0000-0000-00001B080000}"/>
    <cellStyle name="Comma 5 2 3 2 3 2 2" xfId="1292" xr:uid="{00000000-0005-0000-0000-00001C080000}"/>
    <cellStyle name="Comma 5 2 3 2 3 2 2 2" xfId="9396" xr:uid="{00000000-0005-0000-0000-00001D080000}"/>
    <cellStyle name="Comma 5 2 3 2 3 2 2 2 2" xfId="21839" xr:uid="{00000000-0005-0000-0000-00001E080000}"/>
    <cellStyle name="Comma 5 2 3 2 3 2 2 2 2 2" xfId="46713" xr:uid="{00000000-0005-0000-0000-00001F080000}"/>
    <cellStyle name="Comma 5 2 3 2 3 2 2 2 3" xfId="34280" xr:uid="{00000000-0005-0000-0000-000020080000}"/>
    <cellStyle name="Comma 5 2 3 2 3 2 2 3" xfId="4378" xr:uid="{00000000-0005-0000-0000-000021080000}"/>
    <cellStyle name="Comma 5 2 3 2 3 2 2 3 2" xfId="16832" xr:uid="{00000000-0005-0000-0000-000022080000}"/>
    <cellStyle name="Comma 5 2 3 2 3 2 2 3 2 2" xfId="41706" xr:uid="{00000000-0005-0000-0000-000023080000}"/>
    <cellStyle name="Comma 5 2 3 2 3 2 2 3 3" xfId="29273" xr:uid="{00000000-0005-0000-0000-000024080000}"/>
    <cellStyle name="Comma 5 2 3 2 3 2 2 4" xfId="14092" xr:uid="{00000000-0005-0000-0000-000025080000}"/>
    <cellStyle name="Comma 5 2 3 2 3 2 2 4 2" xfId="38966" xr:uid="{00000000-0005-0000-0000-000026080000}"/>
    <cellStyle name="Comma 5 2 3 2 3 2 2 5" xfId="26525" xr:uid="{00000000-0005-0000-0000-000027080000}"/>
    <cellStyle name="Comma 5 2 3 2 3 2 3" xfId="5437" xr:uid="{00000000-0005-0000-0000-000028080000}"/>
    <cellStyle name="Comma 5 2 3 2 3 2 3 2" xfId="10453" xr:uid="{00000000-0005-0000-0000-000029080000}"/>
    <cellStyle name="Comma 5 2 3 2 3 2 3 2 2" xfId="22896" xr:uid="{00000000-0005-0000-0000-00002A080000}"/>
    <cellStyle name="Comma 5 2 3 2 3 2 3 2 2 2" xfId="47770" xr:uid="{00000000-0005-0000-0000-00002B080000}"/>
    <cellStyle name="Comma 5 2 3 2 3 2 3 2 3" xfId="35337" xr:uid="{00000000-0005-0000-0000-00002C080000}"/>
    <cellStyle name="Comma 5 2 3 2 3 2 3 3" xfId="17889" xr:uid="{00000000-0005-0000-0000-00002D080000}"/>
    <cellStyle name="Comma 5 2 3 2 3 2 3 3 2" xfId="42763" xr:uid="{00000000-0005-0000-0000-00002E080000}"/>
    <cellStyle name="Comma 5 2 3 2 3 2 3 4" xfId="30330" xr:uid="{00000000-0005-0000-0000-00002F080000}"/>
    <cellStyle name="Comma 5 2 3 2 3 2 4" xfId="8512" xr:uid="{00000000-0005-0000-0000-000030080000}"/>
    <cellStyle name="Comma 5 2 3 2 3 2 4 2" xfId="20956" xr:uid="{00000000-0005-0000-0000-000031080000}"/>
    <cellStyle name="Comma 5 2 3 2 3 2 4 2 2" xfId="45830" xr:uid="{00000000-0005-0000-0000-000032080000}"/>
    <cellStyle name="Comma 5 2 3 2 3 2 4 3" xfId="33397" xr:uid="{00000000-0005-0000-0000-000033080000}"/>
    <cellStyle name="Comma 5 2 3 2 3 2 5" xfId="11907" xr:uid="{00000000-0005-0000-0000-000034080000}"/>
    <cellStyle name="Comma 5 2 3 2 3 2 5 2" xfId="24341" xr:uid="{00000000-0005-0000-0000-000035080000}"/>
    <cellStyle name="Comma 5 2 3 2 3 2 5 2 2" xfId="49215" xr:uid="{00000000-0005-0000-0000-000036080000}"/>
    <cellStyle name="Comma 5 2 3 2 3 2 5 3" xfId="36782" xr:uid="{00000000-0005-0000-0000-000037080000}"/>
    <cellStyle name="Comma 5 2 3 2 3 2 6" xfId="6989" xr:uid="{00000000-0005-0000-0000-000038080000}"/>
    <cellStyle name="Comma 5 2 3 2 3 2 6 2" xfId="19438" xr:uid="{00000000-0005-0000-0000-000039080000}"/>
    <cellStyle name="Comma 5 2 3 2 3 2 6 2 2" xfId="44312" xr:uid="{00000000-0005-0000-0000-00003A080000}"/>
    <cellStyle name="Comma 5 2 3 2 3 2 6 3" xfId="31879" xr:uid="{00000000-0005-0000-0000-00003B080000}"/>
    <cellStyle name="Comma 5 2 3 2 3 2 7" xfId="3443" xr:uid="{00000000-0005-0000-0000-00003C080000}"/>
    <cellStyle name="Comma 5 2 3 2 3 2 7 2" xfId="15949" xr:uid="{00000000-0005-0000-0000-00003D080000}"/>
    <cellStyle name="Comma 5 2 3 2 3 2 7 2 2" xfId="40823" xr:uid="{00000000-0005-0000-0000-00003E080000}"/>
    <cellStyle name="Comma 5 2 3 2 3 2 7 3" xfId="28382" xr:uid="{00000000-0005-0000-0000-00003F080000}"/>
    <cellStyle name="Comma 5 2 3 2 3 2 8" xfId="13567" xr:uid="{00000000-0005-0000-0000-000040080000}"/>
    <cellStyle name="Comma 5 2 3 2 3 2 8 2" xfId="38441" xr:uid="{00000000-0005-0000-0000-000041080000}"/>
    <cellStyle name="Comma 5 2 3 2 3 2 9" xfId="26000" xr:uid="{00000000-0005-0000-0000-000042080000}"/>
    <cellStyle name="Comma 5 2 3 2 3 3" xfId="1640" xr:uid="{00000000-0005-0000-0000-000043080000}"/>
    <cellStyle name="Comma 5 2 3 2 3 3 2" xfId="4949" xr:uid="{00000000-0005-0000-0000-000044080000}"/>
    <cellStyle name="Comma 5 2 3 2 3 3 2 2" xfId="9966" xr:uid="{00000000-0005-0000-0000-000045080000}"/>
    <cellStyle name="Comma 5 2 3 2 3 3 2 2 2" xfId="22409" xr:uid="{00000000-0005-0000-0000-000046080000}"/>
    <cellStyle name="Comma 5 2 3 2 3 3 2 2 2 2" xfId="47283" xr:uid="{00000000-0005-0000-0000-000047080000}"/>
    <cellStyle name="Comma 5 2 3 2 3 3 2 2 3" xfId="34850" xr:uid="{00000000-0005-0000-0000-000048080000}"/>
    <cellStyle name="Comma 5 2 3 2 3 3 2 3" xfId="17402" xr:uid="{00000000-0005-0000-0000-000049080000}"/>
    <cellStyle name="Comma 5 2 3 2 3 3 2 3 2" xfId="42276" xr:uid="{00000000-0005-0000-0000-00004A080000}"/>
    <cellStyle name="Comma 5 2 3 2 3 3 2 4" xfId="29843" xr:uid="{00000000-0005-0000-0000-00004B080000}"/>
    <cellStyle name="Comma 5 2 3 2 3 3 3" xfId="5786" xr:uid="{00000000-0005-0000-0000-00004C080000}"/>
    <cellStyle name="Comma 5 2 3 2 3 3 3 2" xfId="10801" xr:uid="{00000000-0005-0000-0000-00004D080000}"/>
    <cellStyle name="Comma 5 2 3 2 3 3 3 2 2" xfId="23244" xr:uid="{00000000-0005-0000-0000-00004E080000}"/>
    <cellStyle name="Comma 5 2 3 2 3 3 3 2 2 2" xfId="48118" xr:uid="{00000000-0005-0000-0000-00004F080000}"/>
    <cellStyle name="Comma 5 2 3 2 3 3 3 2 3" xfId="35685" xr:uid="{00000000-0005-0000-0000-000050080000}"/>
    <cellStyle name="Comma 5 2 3 2 3 3 3 3" xfId="18237" xr:uid="{00000000-0005-0000-0000-000051080000}"/>
    <cellStyle name="Comma 5 2 3 2 3 3 3 3 2" xfId="43111" xr:uid="{00000000-0005-0000-0000-000052080000}"/>
    <cellStyle name="Comma 5 2 3 2 3 3 3 4" xfId="30678" xr:uid="{00000000-0005-0000-0000-000053080000}"/>
    <cellStyle name="Comma 5 2 3 2 3 3 4" xfId="8373" xr:uid="{00000000-0005-0000-0000-000054080000}"/>
    <cellStyle name="Comma 5 2 3 2 3 3 4 2" xfId="20817" xr:uid="{00000000-0005-0000-0000-000055080000}"/>
    <cellStyle name="Comma 5 2 3 2 3 3 4 2 2" xfId="45691" xr:uid="{00000000-0005-0000-0000-000056080000}"/>
    <cellStyle name="Comma 5 2 3 2 3 3 4 3" xfId="33258" xr:uid="{00000000-0005-0000-0000-000057080000}"/>
    <cellStyle name="Comma 5 2 3 2 3 3 5" xfId="12255" xr:uid="{00000000-0005-0000-0000-000058080000}"/>
    <cellStyle name="Comma 5 2 3 2 3 3 5 2" xfId="24689" xr:uid="{00000000-0005-0000-0000-000059080000}"/>
    <cellStyle name="Comma 5 2 3 2 3 3 5 2 2" xfId="49563" xr:uid="{00000000-0005-0000-0000-00005A080000}"/>
    <cellStyle name="Comma 5 2 3 2 3 3 5 3" xfId="37130" xr:uid="{00000000-0005-0000-0000-00005B080000}"/>
    <cellStyle name="Comma 5 2 3 2 3 3 6" xfId="7560" xr:uid="{00000000-0005-0000-0000-00005C080000}"/>
    <cellStyle name="Comma 5 2 3 2 3 3 6 2" xfId="20008" xr:uid="{00000000-0005-0000-0000-00005D080000}"/>
    <cellStyle name="Comma 5 2 3 2 3 3 6 2 2" xfId="44882" xr:uid="{00000000-0005-0000-0000-00005E080000}"/>
    <cellStyle name="Comma 5 2 3 2 3 3 6 3" xfId="32449" xr:uid="{00000000-0005-0000-0000-00005F080000}"/>
    <cellStyle name="Comma 5 2 3 2 3 3 7" xfId="3304" xr:uid="{00000000-0005-0000-0000-000060080000}"/>
    <cellStyle name="Comma 5 2 3 2 3 3 7 2" xfId="15810" xr:uid="{00000000-0005-0000-0000-000061080000}"/>
    <cellStyle name="Comma 5 2 3 2 3 3 7 2 2" xfId="40684" xr:uid="{00000000-0005-0000-0000-000062080000}"/>
    <cellStyle name="Comma 5 2 3 2 3 3 7 3" xfId="28243" xr:uid="{00000000-0005-0000-0000-000063080000}"/>
    <cellStyle name="Comma 5 2 3 2 3 3 8" xfId="14440" xr:uid="{00000000-0005-0000-0000-000064080000}"/>
    <cellStyle name="Comma 5 2 3 2 3 3 8 2" xfId="39314" xr:uid="{00000000-0005-0000-0000-000065080000}"/>
    <cellStyle name="Comma 5 2 3 2 3 3 9" xfId="26873" xr:uid="{00000000-0005-0000-0000-000066080000}"/>
    <cellStyle name="Comma 5 2 3 2 3 4" xfId="2322" xr:uid="{00000000-0005-0000-0000-000067080000}"/>
    <cellStyle name="Comma 5 2 3 2 3 4 2" xfId="6347" xr:uid="{00000000-0005-0000-0000-000068080000}"/>
    <cellStyle name="Comma 5 2 3 2 3 4 2 2" xfId="11362" xr:uid="{00000000-0005-0000-0000-000069080000}"/>
    <cellStyle name="Comma 5 2 3 2 3 4 2 2 2" xfId="23805" xr:uid="{00000000-0005-0000-0000-00006A080000}"/>
    <cellStyle name="Comma 5 2 3 2 3 4 2 2 2 2" xfId="48679" xr:uid="{00000000-0005-0000-0000-00006B080000}"/>
    <cellStyle name="Comma 5 2 3 2 3 4 2 2 3" xfId="36246" xr:uid="{00000000-0005-0000-0000-00006C080000}"/>
    <cellStyle name="Comma 5 2 3 2 3 4 2 3" xfId="18798" xr:uid="{00000000-0005-0000-0000-00006D080000}"/>
    <cellStyle name="Comma 5 2 3 2 3 4 2 3 2" xfId="43672" xr:uid="{00000000-0005-0000-0000-00006E080000}"/>
    <cellStyle name="Comma 5 2 3 2 3 4 2 4" xfId="31239" xr:uid="{00000000-0005-0000-0000-00006F080000}"/>
    <cellStyle name="Comma 5 2 3 2 3 4 3" xfId="12816" xr:uid="{00000000-0005-0000-0000-000070080000}"/>
    <cellStyle name="Comma 5 2 3 2 3 4 3 2" xfId="25250" xr:uid="{00000000-0005-0000-0000-000071080000}"/>
    <cellStyle name="Comma 5 2 3 2 3 4 3 2 2" xfId="50124" xr:uid="{00000000-0005-0000-0000-000072080000}"/>
    <cellStyle name="Comma 5 2 3 2 3 4 3 3" xfId="37691" xr:uid="{00000000-0005-0000-0000-000073080000}"/>
    <cellStyle name="Comma 5 2 3 2 3 4 4" xfId="9257" xr:uid="{00000000-0005-0000-0000-000074080000}"/>
    <cellStyle name="Comma 5 2 3 2 3 4 4 2" xfId="21700" xr:uid="{00000000-0005-0000-0000-000075080000}"/>
    <cellStyle name="Comma 5 2 3 2 3 4 4 2 2" xfId="46574" xr:uid="{00000000-0005-0000-0000-000076080000}"/>
    <cellStyle name="Comma 5 2 3 2 3 4 4 3" xfId="34141" xr:uid="{00000000-0005-0000-0000-000077080000}"/>
    <cellStyle name="Comma 5 2 3 2 3 4 5" xfId="4239" xr:uid="{00000000-0005-0000-0000-000078080000}"/>
    <cellStyle name="Comma 5 2 3 2 3 4 5 2" xfId="16693" xr:uid="{00000000-0005-0000-0000-000079080000}"/>
    <cellStyle name="Comma 5 2 3 2 3 4 5 2 2" xfId="41567" xr:uid="{00000000-0005-0000-0000-00007A080000}"/>
    <cellStyle name="Comma 5 2 3 2 3 4 5 3" xfId="29134" xr:uid="{00000000-0005-0000-0000-00007B080000}"/>
    <cellStyle name="Comma 5 2 3 2 3 4 6" xfId="15001" xr:uid="{00000000-0005-0000-0000-00007C080000}"/>
    <cellStyle name="Comma 5 2 3 2 3 4 6 2" xfId="39875" xr:uid="{00000000-0005-0000-0000-00007D080000}"/>
    <cellStyle name="Comma 5 2 3 2 3 4 7" xfId="27434" xr:uid="{00000000-0005-0000-0000-00007E080000}"/>
    <cellStyle name="Comma 5 2 3 2 3 5" xfId="1158" xr:uid="{00000000-0005-0000-0000-00007F080000}"/>
    <cellStyle name="Comma 5 2 3 2 3 5 2" xfId="10319" xr:uid="{00000000-0005-0000-0000-000080080000}"/>
    <cellStyle name="Comma 5 2 3 2 3 5 2 2" xfId="22762" xr:uid="{00000000-0005-0000-0000-000081080000}"/>
    <cellStyle name="Comma 5 2 3 2 3 5 2 2 2" xfId="47636" xr:uid="{00000000-0005-0000-0000-000082080000}"/>
    <cellStyle name="Comma 5 2 3 2 3 5 2 3" xfId="35203" xr:uid="{00000000-0005-0000-0000-000083080000}"/>
    <cellStyle name="Comma 5 2 3 2 3 5 3" xfId="5303" xr:uid="{00000000-0005-0000-0000-000084080000}"/>
    <cellStyle name="Comma 5 2 3 2 3 5 3 2" xfId="17755" xr:uid="{00000000-0005-0000-0000-000085080000}"/>
    <cellStyle name="Comma 5 2 3 2 3 5 3 2 2" xfId="42629" xr:uid="{00000000-0005-0000-0000-000086080000}"/>
    <cellStyle name="Comma 5 2 3 2 3 5 3 3" xfId="30196" xr:uid="{00000000-0005-0000-0000-000087080000}"/>
    <cellStyle name="Comma 5 2 3 2 3 5 4" xfId="13958" xr:uid="{00000000-0005-0000-0000-000088080000}"/>
    <cellStyle name="Comma 5 2 3 2 3 5 4 2" xfId="38832" xr:uid="{00000000-0005-0000-0000-000089080000}"/>
    <cellStyle name="Comma 5 2 3 2 3 5 5" xfId="26391" xr:uid="{00000000-0005-0000-0000-00008A080000}"/>
    <cellStyle name="Comma 5 2 3 2 3 6" xfId="7880" xr:uid="{00000000-0005-0000-0000-00008B080000}"/>
    <cellStyle name="Comma 5 2 3 2 3 6 2" xfId="20326" xr:uid="{00000000-0005-0000-0000-00008C080000}"/>
    <cellStyle name="Comma 5 2 3 2 3 6 2 2" xfId="45200" xr:uid="{00000000-0005-0000-0000-00008D080000}"/>
    <cellStyle name="Comma 5 2 3 2 3 6 3" xfId="32767" xr:uid="{00000000-0005-0000-0000-00008E080000}"/>
    <cellStyle name="Comma 5 2 3 2 3 7" xfId="11773" xr:uid="{00000000-0005-0000-0000-00008F080000}"/>
    <cellStyle name="Comma 5 2 3 2 3 7 2" xfId="24207" xr:uid="{00000000-0005-0000-0000-000090080000}"/>
    <cellStyle name="Comma 5 2 3 2 3 7 2 2" xfId="49081" xr:uid="{00000000-0005-0000-0000-000091080000}"/>
    <cellStyle name="Comma 5 2 3 2 3 7 3" xfId="36648" xr:uid="{00000000-0005-0000-0000-000092080000}"/>
    <cellStyle name="Comma 5 2 3 2 3 8" xfId="6850" xr:uid="{00000000-0005-0000-0000-000093080000}"/>
    <cellStyle name="Comma 5 2 3 2 3 8 2" xfId="19299" xr:uid="{00000000-0005-0000-0000-000094080000}"/>
    <cellStyle name="Comma 5 2 3 2 3 8 2 2" xfId="44173" xr:uid="{00000000-0005-0000-0000-000095080000}"/>
    <cellStyle name="Comma 5 2 3 2 3 8 3" xfId="31740" xr:uid="{00000000-0005-0000-0000-000096080000}"/>
    <cellStyle name="Comma 5 2 3 2 3 9" xfId="2801" xr:uid="{00000000-0005-0000-0000-000097080000}"/>
    <cellStyle name="Comma 5 2 3 2 3 9 2" xfId="15319" xr:uid="{00000000-0005-0000-0000-000098080000}"/>
    <cellStyle name="Comma 5 2 3 2 3 9 2 2" xfId="40193" xr:uid="{00000000-0005-0000-0000-000099080000}"/>
    <cellStyle name="Comma 5 2 3 2 3 9 3" xfId="27752" xr:uid="{00000000-0005-0000-0000-00009A080000}"/>
    <cellStyle name="Comma 5 2 3 2 4" xfId="302" xr:uid="{00000000-0005-0000-0000-00009B080000}"/>
    <cellStyle name="Comma 5 2 3 2 4 2" xfId="1290" xr:uid="{00000000-0005-0000-0000-00009C080000}"/>
    <cellStyle name="Comma 5 2 3 2 4 2 2" xfId="9157" xr:uid="{00000000-0005-0000-0000-00009D080000}"/>
    <cellStyle name="Comma 5 2 3 2 4 2 2 2" xfId="21600" xr:uid="{00000000-0005-0000-0000-00009E080000}"/>
    <cellStyle name="Comma 5 2 3 2 4 2 2 2 2" xfId="46474" xr:uid="{00000000-0005-0000-0000-00009F080000}"/>
    <cellStyle name="Comma 5 2 3 2 4 2 2 3" xfId="34041" xr:uid="{00000000-0005-0000-0000-0000A0080000}"/>
    <cellStyle name="Comma 5 2 3 2 4 2 3" xfId="4139" xr:uid="{00000000-0005-0000-0000-0000A1080000}"/>
    <cellStyle name="Comma 5 2 3 2 4 2 3 2" xfId="16593" xr:uid="{00000000-0005-0000-0000-0000A2080000}"/>
    <cellStyle name="Comma 5 2 3 2 4 2 3 2 2" xfId="41467" xr:uid="{00000000-0005-0000-0000-0000A3080000}"/>
    <cellStyle name="Comma 5 2 3 2 4 2 3 3" xfId="29034" xr:uid="{00000000-0005-0000-0000-0000A4080000}"/>
    <cellStyle name="Comma 5 2 3 2 4 2 4" xfId="14090" xr:uid="{00000000-0005-0000-0000-0000A5080000}"/>
    <cellStyle name="Comma 5 2 3 2 4 2 4 2" xfId="38964" xr:uid="{00000000-0005-0000-0000-0000A6080000}"/>
    <cellStyle name="Comma 5 2 3 2 4 2 5" xfId="26523" xr:uid="{00000000-0005-0000-0000-0000A7080000}"/>
    <cellStyle name="Comma 5 2 3 2 4 3" xfId="5435" xr:uid="{00000000-0005-0000-0000-0000A8080000}"/>
    <cellStyle name="Comma 5 2 3 2 4 3 2" xfId="10451" xr:uid="{00000000-0005-0000-0000-0000A9080000}"/>
    <cellStyle name="Comma 5 2 3 2 4 3 2 2" xfId="22894" xr:uid="{00000000-0005-0000-0000-0000AA080000}"/>
    <cellStyle name="Comma 5 2 3 2 4 3 2 2 2" xfId="47768" xr:uid="{00000000-0005-0000-0000-0000AB080000}"/>
    <cellStyle name="Comma 5 2 3 2 4 3 2 3" xfId="35335" xr:uid="{00000000-0005-0000-0000-0000AC080000}"/>
    <cellStyle name="Comma 5 2 3 2 4 3 3" xfId="17887" xr:uid="{00000000-0005-0000-0000-0000AD080000}"/>
    <cellStyle name="Comma 5 2 3 2 4 3 3 2" xfId="42761" xr:uid="{00000000-0005-0000-0000-0000AE080000}"/>
    <cellStyle name="Comma 5 2 3 2 4 3 4" xfId="30328" xr:uid="{00000000-0005-0000-0000-0000AF080000}"/>
    <cellStyle name="Comma 5 2 3 2 4 4" xfId="8273" xr:uid="{00000000-0005-0000-0000-0000B0080000}"/>
    <cellStyle name="Comma 5 2 3 2 4 4 2" xfId="20717" xr:uid="{00000000-0005-0000-0000-0000B1080000}"/>
    <cellStyle name="Comma 5 2 3 2 4 4 2 2" xfId="45591" xr:uid="{00000000-0005-0000-0000-0000B2080000}"/>
    <cellStyle name="Comma 5 2 3 2 4 4 3" xfId="33158" xr:uid="{00000000-0005-0000-0000-0000B3080000}"/>
    <cellStyle name="Comma 5 2 3 2 4 5" xfId="11905" xr:uid="{00000000-0005-0000-0000-0000B4080000}"/>
    <cellStyle name="Comma 5 2 3 2 4 5 2" xfId="24339" xr:uid="{00000000-0005-0000-0000-0000B5080000}"/>
    <cellStyle name="Comma 5 2 3 2 4 5 2 2" xfId="49213" xr:uid="{00000000-0005-0000-0000-0000B6080000}"/>
    <cellStyle name="Comma 5 2 3 2 4 5 3" xfId="36780" xr:uid="{00000000-0005-0000-0000-0000B7080000}"/>
    <cellStyle name="Comma 5 2 3 2 4 6" xfId="6750" xr:uid="{00000000-0005-0000-0000-0000B8080000}"/>
    <cellStyle name="Comma 5 2 3 2 4 6 2" xfId="19199" xr:uid="{00000000-0005-0000-0000-0000B9080000}"/>
    <cellStyle name="Comma 5 2 3 2 4 6 2 2" xfId="44073" xr:uid="{00000000-0005-0000-0000-0000BA080000}"/>
    <cellStyle name="Comma 5 2 3 2 4 6 3" xfId="31640" xr:uid="{00000000-0005-0000-0000-0000BB080000}"/>
    <cellStyle name="Comma 5 2 3 2 4 7" xfId="3204" xr:uid="{00000000-0005-0000-0000-0000BC080000}"/>
    <cellStyle name="Comma 5 2 3 2 4 7 2" xfId="15710" xr:uid="{00000000-0005-0000-0000-0000BD080000}"/>
    <cellStyle name="Comma 5 2 3 2 4 7 2 2" xfId="40584" xr:uid="{00000000-0005-0000-0000-0000BE080000}"/>
    <cellStyle name="Comma 5 2 3 2 4 7 3" xfId="28143" xr:uid="{00000000-0005-0000-0000-0000BF080000}"/>
    <cellStyle name="Comma 5 2 3 2 4 8" xfId="13120" xr:uid="{00000000-0005-0000-0000-0000C0080000}"/>
    <cellStyle name="Comma 5 2 3 2 4 8 2" xfId="37994" xr:uid="{00000000-0005-0000-0000-0000C1080000}"/>
    <cellStyle name="Comma 5 2 3 2 4 9" xfId="25553" xr:uid="{00000000-0005-0000-0000-0000C2080000}"/>
    <cellStyle name="Comma 5 2 3 2 5" xfId="663" xr:uid="{00000000-0005-0000-0000-0000C3080000}"/>
    <cellStyle name="Comma 5 2 3 2 5 2" xfId="1638" xr:uid="{00000000-0005-0000-0000-0000C4080000}"/>
    <cellStyle name="Comma 5 2 3 2 5 2 2" xfId="9394" xr:uid="{00000000-0005-0000-0000-0000C5080000}"/>
    <cellStyle name="Comma 5 2 3 2 5 2 2 2" xfId="21837" xr:uid="{00000000-0005-0000-0000-0000C6080000}"/>
    <cellStyle name="Comma 5 2 3 2 5 2 2 2 2" xfId="46711" xr:uid="{00000000-0005-0000-0000-0000C7080000}"/>
    <cellStyle name="Comma 5 2 3 2 5 2 2 3" xfId="34278" xr:uid="{00000000-0005-0000-0000-0000C8080000}"/>
    <cellStyle name="Comma 5 2 3 2 5 2 3" xfId="4376" xr:uid="{00000000-0005-0000-0000-0000C9080000}"/>
    <cellStyle name="Comma 5 2 3 2 5 2 3 2" xfId="16830" xr:uid="{00000000-0005-0000-0000-0000CA080000}"/>
    <cellStyle name="Comma 5 2 3 2 5 2 3 2 2" xfId="41704" xr:uid="{00000000-0005-0000-0000-0000CB080000}"/>
    <cellStyle name="Comma 5 2 3 2 5 2 3 3" xfId="29271" xr:uid="{00000000-0005-0000-0000-0000CC080000}"/>
    <cellStyle name="Comma 5 2 3 2 5 2 4" xfId="14438" xr:uid="{00000000-0005-0000-0000-0000CD080000}"/>
    <cellStyle name="Comma 5 2 3 2 5 2 4 2" xfId="39312" xr:uid="{00000000-0005-0000-0000-0000CE080000}"/>
    <cellStyle name="Comma 5 2 3 2 5 2 5" xfId="26871" xr:uid="{00000000-0005-0000-0000-0000CF080000}"/>
    <cellStyle name="Comma 5 2 3 2 5 3" xfId="5784" xr:uid="{00000000-0005-0000-0000-0000D0080000}"/>
    <cellStyle name="Comma 5 2 3 2 5 3 2" xfId="10799" xr:uid="{00000000-0005-0000-0000-0000D1080000}"/>
    <cellStyle name="Comma 5 2 3 2 5 3 2 2" xfId="23242" xr:uid="{00000000-0005-0000-0000-0000D2080000}"/>
    <cellStyle name="Comma 5 2 3 2 5 3 2 2 2" xfId="48116" xr:uid="{00000000-0005-0000-0000-0000D3080000}"/>
    <cellStyle name="Comma 5 2 3 2 5 3 2 3" xfId="35683" xr:uid="{00000000-0005-0000-0000-0000D4080000}"/>
    <cellStyle name="Comma 5 2 3 2 5 3 3" xfId="18235" xr:uid="{00000000-0005-0000-0000-0000D5080000}"/>
    <cellStyle name="Comma 5 2 3 2 5 3 3 2" xfId="43109" xr:uid="{00000000-0005-0000-0000-0000D6080000}"/>
    <cellStyle name="Comma 5 2 3 2 5 3 4" xfId="30676" xr:uid="{00000000-0005-0000-0000-0000D7080000}"/>
    <cellStyle name="Comma 5 2 3 2 5 4" xfId="8510" xr:uid="{00000000-0005-0000-0000-0000D8080000}"/>
    <cellStyle name="Comma 5 2 3 2 5 4 2" xfId="20954" xr:uid="{00000000-0005-0000-0000-0000D9080000}"/>
    <cellStyle name="Comma 5 2 3 2 5 4 2 2" xfId="45828" xr:uid="{00000000-0005-0000-0000-0000DA080000}"/>
    <cellStyle name="Comma 5 2 3 2 5 4 3" xfId="33395" xr:uid="{00000000-0005-0000-0000-0000DB080000}"/>
    <cellStyle name="Comma 5 2 3 2 5 5" xfId="12253" xr:uid="{00000000-0005-0000-0000-0000DC080000}"/>
    <cellStyle name="Comma 5 2 3 2 5 5 2" xfId="24687" xr:uid="{00000000-0005-0000-0000-0000DD080000}"/>
    <cellStyle name="Comma 5 2 3 2 5 5 2 2" xfId="49561" xr:uid="{00000000-0005-0000-0000-0000DE080000}"/>
    <cellStyle name="Comma 5 2 3 2 5 5 3" xfId="37128" xr:uid="{00000000-0005-0000-0000-0000DF080000}"/>
    <cellStyle name="Comma 5 2 3 2 5 6" xfId="6987" xr:uid="{00000000-0005-0000-0000-0000E0080000}"/>
    <cellStyle name="Comma 5 2 3 2 5 6 2" xfId="19436" xr:uid="{00000000-0005-0000-0000-0000E1080000}"/>
    <cellStyle name="Comma 5 2 3 2 5 6 2 2" xfId="44310" xr:uid="{00000000-0005-0000-0000-0000E2080000}"/>
    <cellStyle name="Comma 5 2 3 2 5 6 3" xfId="31877" xr:uid="{00000000-0005-0000-0000-0000E3080000}"/>
    <cellStyle name="Comma 5 2 3 2 5 7" xfId="3441" xr:uid="{00000000-0005-0000-0000-0000E4080000}"/>
    <cellStyle name="Comma 5 2 3 2 5 7 2" xfId="15947" xr:uid="{00000000-0005-0000-0000-0000E5080000}"/>
    <cellStyle name="Comma 5 2 3 2 5 7 2 2" xfId="40821" xr:uid="{00000000-0005-0000-0000-0000E6080000}"/>
    <cellStyle name="Comma 5 2 3 2 5 7 3" xfId="28380" xr:uid="{00000000-0005-0000-0000-0000E7080000}"/>
    <cellStyle name="Comma 5 2 3 2 5 8" xfId="13467" xr:uid="{00000000-0005-0000-0000-0000E8080000}"/>
    <cellStyle name="Comma 5 2 3 2 5 8 2" xfId="38341" xr:uid="{00000000-0005-0000-0000-0000E9080000}"/>
    <cellStyle name="Comma 5 2 3 2 5 9" xfId="25900" xr:uid="{00000000-0005-0000-0000-0000EA080000}"/>
    <cellStyle name="Comma 5 2 3 2 6" xfId="2220" xr:uid="{00000000-0005-0000-0000-0000EB080000}"/>
    <cellStyle name="Comma 5 2 3 2 6 2" xfId="4849" xr:uid="{00000000-0005-0000-0000-0000EC080000}"/>
    <cellStyle name="Comma 5 2 3 2 6 2 2" xfId="9866" xr:uid="{00000000-0005-0000-0000-0000ED080000}"/>
    <cellStyle name="Comma 5 2 3 2 6 2 2 2" xfId="22309" xr:uid="{00000000-0005-0000-0000-0000EE080000}"/>
    <cellStyle name="Comma 5 2 3 2 6 2 2 2 2" xfId="47183" xr:uid="{00000000-0005-0000-0000-0000EF080000}"/>
    <cellStyle name="Comma 5 2 3 2 6 2 2 3" xfId="34750" xr:uid="{00000000-0005-0000-0000-0000F0080000}"/>
    <cellStyle name="Comma 5 2 3 2 6 2 3" xfId="17302" xr:uid="{00000000-0005-0000-0000-0000F1080000}"/>
    <cellStyle name="Comma 5 2 3 2 6 2 3 2" xfId="42176" xr:uid="{00000000-0005-0000-0000-0000F2080000}"/>
    <cellStyle name="Comma 5 2 3 2 6 2 4" xfId="29743" xr:uid="{00000000-0005-0000-0000-0000F3080000}"/>
    <cellStyle name="Comma 5 2 3 2 6 3" xfId="6247" xr:uid="{00000000-0005-0000-0000-0000F4080000}"/>
    <cellStyle name="Comma 5 2 3 2 6 3 2" xfId="11262" xr:uid="{00000000-0005-0000-0000-0000F5080000}"/>
    <cellStyle name="Comma 5 2 3 2 6 3 2 2" xfId="23705" xr:uid="{00000000-0005-0000-0000-0000F6080000}"/>
    <cellStyle name="Comma 5 2 3 2 6 3 2 2 2" xfId="48579" xr:uid="{00000000-0005-0000-0000-0000F7080000}"/>
    <cellStyle name="Comma 5 2 3 2 6 3 2 3" xfId="36146" xr:uid="{00000000-0005-0000-0000-0000F8080000}"/>
    <cellStyle name="Comma 5 2 3 2 6 3 3" xfId="18698" xr:uid="{00000000-0005-0000-0000-0000F9080000}"/>
    <cellStyle name="Comma 5 2 3 2 6 3 3 2" xfId="43572" xr:uid="{00000000-0005-0000-0000-0000FA080000}"/>
    <cellStyle name="Comma 5 2 3 2 6 3 4" xfId="31139" xr:uid="{00000000-0005-0000-0000-0000FB080000}"/>
    <cellStyle name="Comma 5 2 3 2 6 4" xfId="8054" xr:uid="{00000000-0005-0000-0000-0000FC080000}"/>
    <cellStyle name="Comma 5 2 3 2 6 4 2" xfId="20500" xr:uid="{00000000-0005-0000-0000-0000FD080000}"/>
    <cellStyle name="Comma 5 2 3 2 6 4 2 2" xfId="45374" xr:uid="{00000000-0005-0000-0000-0000FE080000}"/>
    <cellStyle name="Comma 5 2 3 2 6 4 3" xfId="32941" xr:uid="{00000000-0005-0000-0000-0000FF080000}"/>
    <cellStyle name="Comma 5 2 3 2 6 5" xfId="12716" xr:uid="{00000000-0005-0000-0000-000000090000}"/>
    <cellStyle name="Comma 5 2 3 2 6 5 2" xfId="25150" xr:uid="{00000000-0005-0000-0000-000001090000}"/>
    <cellStyle name="Comma 5 2 3 2 6 5 2 2" xfId="50024" xr:uid="{00000000-0005-0000-0000-000002090000}"/>
    <cellStyle name="Comma 5 2 3 2 6 5 3" xfId="37591" xr:uid="{00000000-0005-0000-0000-000003090000}"/>
    <cellStyle name="Comma 5 2 3 2 6 6" xfId="7460" xr:uid="{00000000-0005-0000-0000-000004090000}"/>
    <cellStyle name="Comma 5 2 3 2 6 6 2" xfId="19908" xr:uid="{00000000-0005-0000-0000-000005090000}"/>
    <cellStyle name="Comma 5 2 3 2 6 6 2 2" xfId="44782" xr:uid="{00000000-0005-0000-0000-000006090000}"/>
    <cellStyle name="Comma 5 2 3 2 6 6 3" xfId="32349" xr:uid="{00000000-0005-0000-0000-000007090000}"/>
    <cellStyle name="Comma 5 2 3 2 6 7" xfId="2981" xr:uid="{00000000-0005-0000-0000-000008090000}"/>
    <cellStyle name="Comma 5 2 3 2 6 7 2" xfId="15493" xr:uid="{00000000-0005-0000-0000-000009090000}"/>
    <cellStyle name="Comma 5 2 3 2 6 7 2 2" xfId="40367" xr:uid="{00000000-0005-0000-0000-00000A090000}"/>
    <cellStyle name="Comma 5 2 3 2 6 7 3" xfId="27926" xr:uid="{00000000-0005-0000-0000-00000B090000}"/>
    <cellStyle name="Comma 5 2 3 2 6 8" xfId="14901" xr:uid="{00000000-0005-0000-0000-00000C090000}"/>
    <cellStyle name="Comma 5 2 3 2 6 8 2" xfId="39775" xr:uid="{00000000-0005-0000-0000-00000D090000}"/>
    <cellStyle name="Comma 5 2 3 2 6 9" xfId="27334" xr:uid="{00000000-0005-0000-0000-00000E090000}"/>
    <cellStyle name="Comma 5 2 3 2 7" xfId="1058" xr:uid="{00000000-0005-0000-0000-00000F090000}"/>
    <cellStyle name="Comma 5 2 3 2 7 2" xfId="8940" xr:uid="{00000000-0005-0000-0000-000010090000}"/>
    <cellStyle name="Comma 5 2 3 2 7 2 2" xfId="21383" xr:uid="{00000000-0005-0000-0000-000011090000}"/>
    <cellStyle name="Comma 5 2 3 2 7 2 2 2" xfId="46257" xr:uid="{00000000-0005-0000-0000-000012090000}"/>
    <cellStyle name="Comma 5 2 3 2 7 2 3" xfId="33824" xr:uid="{00000000-0005-0000-0000-000013090000}"/>
    <cellStyle name="Comma 5 2 3 2 7 3" xfId="3922" xr:uid="{00000000-0005-0000-0000-000014090000}"/>
    <cellStyle name="Comma 5 2 3 2 7 3 2" xfId="16376" xr:uid="{00000000-0005-0000-0000-000015090000}"/>
    <cellStyle name="Comma 5 2 3 2 7 3 2 2" xfId="41250" xr:uid="{00000000-0005-0000-0000-000016090000}"/>
    <cellStyle name="Comma 5 2 3 2 7 3 3" xfId="28817" xr:uid="{00000000-0005-0000-0000-000017090000}"/>
    <cellStyle name="Comma 5 2 3 2 7 4" xfId="13858" xr:uid="{00000000-0005-0000-0000-000018090000}"/>
    <cellStyle name="Comma 5 2 3 2 7 4 2" xfId="38732" xr:uid="{00000000-0005-0000-0000-000019090000}"/>
    <cellStyle name="Comma 5 2 3 2 7 5" xfId="26291" xr:uid="{00000000-0005-0000-0000-00001A090000}"/>
    <cellStyle name="Comma 5 2 3 2 8" xfId="5203" xr:uid="{00000000-0005-0000-0000-00001B090000}"/>
    <cellStyle name="Comma 5 2 3 2 8 2" xfId="10219" xr:uid="{00000000-0005-0000-0000-00001C090000}"/>
    <cellStyle name="Comma 5 2 3 2 8 2 2" xfId="22662" xr:uid="{00000000-0005-0000-0000-00001D090000}"/>
    <cellStyle name="Comma 5 2 3 2 8 2 2 2" xfId="47536" xr:uid="{00000000-0005-0000-0000-00001E090000}"/>
    <cellStyle name="Comma 5 2 3 2 8 2 3" xfId="35103" xr:uid="{00000000-0005-0000-0000-00001F090000}"/>
    <cellStyle name="Comma 5 2 3 2 8 3" xfId="17655" xr:uid="{00000000-0005-0000-0000-000020090000}"/>
    <cellStyle name="Comma 5 2 3 2 8 3 2" xfId="42529" xr:uid="{00000000-0005-0000-0000-000021090000}"/>
    <cellStyle name="Comma 5 2 3 2 8 4" xfId="30096" xr:uid="{00000000-0005-0000-0000-000022090000}"/>
    <cellStyle name="Comma 5 2 3 2 9" xfId="7780" xr:uid="{00000000-0005-0000-0000-000023090000}"/>
    <cellStyle name="Comma 5 2 3 2 9 2" xfId="20226" xr:uid="{00000000-0005-0000-0000-000024090000}"/>
    <cellStyle name="Comma 5 2 3 2 9 2 2" xfId="45100" xr:uid="{00000000-0005-0000-0000-000025090000}"/>
    <cellStyle name="Comma 5 2 3 2 9 3" xfId="32667" xr:uid="{00000000-0005-0000-0000-000026090000}"/>
    <cellStyle name="Comma 5 2 3 3" xfId="347" xr:uid="{00000000-0005-0000-0000-000027090000}"/>
    <cellStyle name="Comma 5 2 3 3 10" xfId="6576" xr:uid="{00000000-0005-0000-0000-000028090000}"/>
    <cellStyle name="Comma 5 2 3 3 10 2" xfId="19025" xr:uid="{00000000-0005-0000-0000-000029090000}"/>
    <cellStyle name="Comma 5 2 3 3 10 2 2" xfId="43899" xr:uid="{00000000-0005-0000-0000-00002A090000}"/>
    <cellStyle name="Comma 5 2 3 3 10 3" xfId="31466" xr:uid="{00000000-0005-0000-0000-00002B090000}"/>
    <cellStyle name="Comma 5 2 3 3 11" xfId="2744" xr:uid="{00000000-0005-0000-0000-00002C090000}"/>
    <cellStyle name="Comma 5 2 3 3 11 2" xfId="15262" xr:uid="{00000000-0005-0000-0000-00002D090000}"/>
    <cellStyle name="Comma 5 2 3 3 11 2 2" xfId="40136" xr:uid="{00000000-0005-0000-0000-00002E090000}"/>
    <cellStyle name="Comma 5 2 3 3 11 3" xfId="27695" xr:uid="{00000000-0005-0000-0000-00002F090000}"/>
    <cellStyle name="Comma 5 2 3 3 12" xfId="13163" xr:uid="{00000000-0005-0000-0000-000030090000}"/>
    <cellStyle name="Comma 5 2 3 3 12 2" xfId="38037" xr:uid="{00000000-0005-0000-0000-000031090000}"/>
    <cellStyle name="Comma 5 2 3 3 13" xfId="25596" xr:uid="{00000000-0005-0000-0000-000032090000}"/>
    <cellStyle name="Comma 5 2 3 3 2" xfId="449" xr:uid="{00000000-0005-0000-0000-000033090000}"/>
    <cellStyle name="Comma 5 2 3 3 2 10" xfId="13263" xr:uid="{00000000-0005-0000-0000-000034090000}"/>
    <cellStyle name="Comma 5 2 3 3 2 10 2" xfId="38137" xr:uid="{00000000-0005-0000-0000-000035090000}"/>
    <cellStyle name="Comma 5 2 3 3 2 11" xfId="25696" xr:uid="{00000000-0005-0000-0000-000036090000}"/>
    <cellStyle name="Comma 5 2 3 3 2 2" xfId="809" xr:uid="{00000000-0005-0000-0000-000037090000}"/>
    <cellStyle name="Comma 5 2 3 3 2 2 2" xfId="1294" xr:uid="{00000000-0005-0000-0000-000038090000}"/>
    <cellStyle name="Comma 5 2 3 3 2 2 2 2" xfId="9398" xr:uid="{00000000-0005-0000-0000-000039090000}"/>
    <cellStyle name="Comma 5 2 3 3 2 2 2 2 2" xfId="21841" xr:uid="{00000000-0005-0000-0000-00003A090000}"/>
    <cellStyle name="Comma 5 2 3 3 2 2 2 2 2 2" xfId="46715" xr:uid="{00000000-0005-0000-0000-00003B090000}"/>
    <cellStyle name="Comma 5 2 3 3 2 2 2 2 3" xfId="34282" xr:uid="{00000000-0005-0000-0000-00003C090000}"/>
    <cellStyle name="Comma 5 2 3 3 2 2 2 3" xfId="4380" xr:uid="{00000000-0005-0000-0000-00003D090000}"/>
    <cellStyle name="Comma 5 2 3 3 2 2 2 3 2" xfId="16834" xr:uid="{00000000-0005-0000-0000-00003E090000}"/>
    <cellStyle name="Comma 5 2 3 3 2 2 2 3 2 2" xfId="41708" xr:uid="{00000000-0005-0000-0000-00003F090000}"/>
    <cellStyle name="Comma 5 2 3 3 2 2 2 3 3" xfId="29275" xr:uid="{00000000-0005-0000-0000-000040090000}"/>
    <cellStyle name="Comma 5 2 3 3 2 2 2 4" xfId="14094" xr:uid="{00000000-0005-0000-0000-000041090000}"/>
    <cellStyle name="Comma 5 2 3 3 2 2 2 4 2" xfId="38968" xr:uid="{00000000-0005-0000-0000-000042090000}"/>
    <cellStyle name="Comma 5 2 3 3 2 2 2 5" xfId="26527" xr:uid="{00000000-0005-0000-0000-000043090000}"/>
    <cellStyle name="Comma 5 2 3 3 2 2 3" xfId="5439" xr:uid="{00000000-0005-0000-0000-000044090000}"/>
    <cellStyle name="Comma 5 2 3 3 2 2 3 2" xfId="10455" xr:uid="{00000000-0005-0000-0000-000045090000}"/>
    <cellStyle name="Comma 5 2 3 3 2 2 3 2 2" xfId="22898" xr:uid="{00000000-0005-0000-0000-000046090000}"/>
    <cellStyle name="Comma 5 2 3 3 2 2 3 2 2 2" xfId="47772" xr:uid="{00000000-0005-0000-0000-000047090000}"/>
    <cellStyle name="Comma 5 2 3 3 2 2 3 2 3" xfId="35339" xr:uid="{00000000-0005-0000-0000-000048090000}"/>
    <cellStyle name="Comma 5 2 3 3 2 2 3 3" xfId="17891" xr:uid="{00000000-0005-0000-0000-000049090000}"/>
    <cellStyle name="Comma 5 2 3 3 2 2 3 3 2" xfId="42765" xr:uid="{00000000-0005-0000-0000-00004A090000}"/>
    <cellStyle name="Comma 5 2 3 3 2 2 3 4" xfId="30332" xr:uid="{00000000-0005-0000-0000-00004B090000}"/>
    <cellStyle name="Comma 5 2 3 3 2 2 4" xfId="8514" xr:uid="{00000000-0005-0000-0000-00004C090000}"/>
    <cellStyle name="Comma 5 2 3 3 2 2 4 2" xfId="20958" xr:uid="{00000000-0005-0000-0000-00004D090000}"/>
    <cellStyle name="Comma 5 2 3 3 2 2 4 2 2" xfId="45832" xr:uid="{00000000-0005-0000-0000-00004E090000}"/>
    <cellStyle name="Comma 5 2 3 3 2 2 4 3" xfId="33399" xr:uid="{00000000-0005-0000-0000-00004F090000}"/>
    <cellStyle name="Comma 5 2 3 3 2 2 5" xfId="11909" xr:uid="{00000000-0005-0000-0000-000050090000}"/>
    <cellStyle name="Comma 5 2 3 3 2 2 5 2" xfId="24343" xr:uid="{00000000-0005-0000-0000-000051090000}"/>
    <cellStyle name="Comma 5 2 3 3 2 2 5 2 2" xfId="49217" xr:uid="{00000000-0005-0000-0000-000052090000}"/>
    <cellStyle name="Comma 5 2 3 3 2 2 5 3" xfId="36784" xr:uid="{00000000-0005-0000-0000-000053090000}"/>
    <cellStyle name="Comma 5 2 3 3 2 2 6" xfId="6991" xr:uid="{00000000-0005-0000-0000-000054090000}"/>
    <cellStyle name="Comma 5 2 3 3 2 2 6 2" xfId="19440" xr:uid="{00000000-0005-0000-0000-000055090000}"/>
    <cellStyle name="Comma 5 2 3 3 2 2 6 2 2" xfId="44314" xr:uid="{00000000-0005-0000-0000-000056090000}"/>
    <cellStyle name="Comma 5 2 3 3 2 2 6 3" xfId="31881" xr:uid="{00000000-0005-0000-0000-000057090000}"/>
    <cellStyle name="Comma 5 2 3 3 2 2 7" xfId="3445" xr:uid="{00000000-0005-0000-0000-000058090000}"/>
    <cellStyle name="Comma 5 2 3 3 2 2 7 2" xfId="15951" xr:uid="{00000000-0005-0000-0000-000059090000}"/>
    <cellStyle name="Comma 5 2 3 3 2 2 7 2 2" xfId="40825" xr:uid="{00000000-0005-0000-0000-00005A090000}"/>
    <cellStyle name="Comma 5 2 3 3 2 2 7 3" xfId="28384" xr:uid="{00000000-0005-0000-0000-00005B090000}"/>
    <cellStyle name="Comma 5 2 3 3 2 2 8" xfId="13610" xr:uid="{00000000-0005-0000-0000-00005C090000}"/>
    <cellStyle name="Comma 5 2 3 3 2 2 8 2" xfId="38484" xr:uid="{00000000-0005-0000-0000-00005D090000}"/>
    <cellStyle name="Comma 5 2 3 3 2 2 9" xfId="26043" xr:uid="{00000000-0005-0000-0000-00005E090000}"/>
    <cellStyle name="Comma 5 2 3 3 2 3" xfId="1642" xr:uid="{00000000-0005-0000-0000-00005F090000}"/>
    <cellStyle name="Comma 5 2 3 3 2 3 2" xfId="4992" xr:uid="{00000000-0005-0000-0000-000060090000}"/>
    <cellStyle name="Comma 5 2 3 3 2 3 2 2" xfId="10009" xr:uid="{00000000-0005-0000-0000-000061090000}"/>
    <cellStyle name="Comma 5 2 3 3 2 3 2 2 2" xfId="22452" xr:uid="{00000000-0005-0000-0000-000062090000}"/>
    <cellStyle name="Comma 5 2 3 3 2 3 2 2 2 2" xfId="47326" xr:uid="{00000000-0005-0000-0000-000063090000}"/>
    <cellStyle name="Comma 5 2 3 3 2 3 2 2 3" xfId="34893" xr:uid="{00000000-0005-0000-0000-000064090000}"/>
    <cellStyle name="Comma 5 2 3 3 2 3 2 3" xfId="17445" xr:uid="{00000000-0005-0000-0000-000065090000}"/>
    <cellStyle name="Comma 5 2 3 3 2 3 2 3 2" xfId="42319" xr:uid="{00000000-0005-0000-0000-000066090000}"/>
    <cellStyle name="Comma 5 2 3 3 2 3 2 4" xfId="29886" xr:uid="{00000000-0005-0000-0000-000067090000}"/>
    <cellStyle name="Comma 5 2 3 3 2 3 3" xfId="5788" xr:uid="{00000000-0005-0000-0000-000068090000}"/>
    <cellStyle name="Comma 5 2 3 3 2 3 3 2" xfId="10803" xr:uid="{00000000-0005-0000-0000-000069090000}"/>
    <cellStyle name="Comma 5 2 3 3 2 3 3 2 2" xfId="23246" xr:uid="{00000000-0005-0000-0000-00006A090000}"/>
    <cellStyle name="Comma 5 2 3 3 2 3 3 2 2 2" xfId="48120" xr:uid="{00000000-0005-0000-0000-00006B090000}"/>
    <cellStyle name="Comma 5 2 3 3 2 3 3 2 3" xfId="35687" xr:uid="{00000000-0005-0000-0000-00006C090000}"/>
    <cellStyle name="Comma 5 2 3 3 2 3 3 3" xfId="18239" xr:uid="{00000000-0005-0000-0000-00006D090000}"/>
    <cellStyle name="Comma 5 2 3 3 2 3 3 3 2" xfId="43113" xr:uid="{00000000-0005-0000-0000-00006E090000}"/>
    <cellStyle name="Comma 5 2 3 3 2 3 3 4" xfId="30680" xr:uid="{00000000-0005-0000-0000-00006F090000}"/>
    <cellStyle name="Comma 5 2 3 3 2 3 4" xfId="8416" xr:uid="{00000000-0005-0000-0000-000070090000}"/>
    <cellStyle name="Comma 5 2 3 3 2 3 4 2" xfId="20860" xr:uid="{00000000-0005-0000-0000-000071090000}"/>
    <cellStyle name="Comma 5 2 3 3 2 3 4 2 2" xfId="45734" xr:uid="{00000000-0005-0000-0000-000072090000}"/>
    <cellStyle name="Comma 5 2 3 3 2 3 4 3" xfId="33301" xr:uid="{00000000-0005-0000-0000-000073090000}"/>
    <cellStyle name="Comma 5 2 3 3 2 3 5" xfId="12257" xr:uid="{00000000-0005-0000-0000-000074090000}"/>
    <cellStyle name="Comma 5 2 3 3 2 3 5 2" xfId="24691" xr:uid="{00000000-0005-0000-0000-000075090000}"/>
    <cellStyle name="Comma 5 2 3 3 2 3 5 2 2" xfId="49565" xr:uid="{00000000-0005-0000-0000-000076090000}"/>
    <cellStyle name="Comma 5 2 3 3 2 3 5 3" xfId="37132" xr:uid="{00000000-0005-0000-0000-000077090000}"/>
    <cellStyle name="Comma 5 2 3 3 2 3 6" xfId="7603" xr:uid="{00000000-0005-0000-0000-000078090000}"/>
    <cellStyle name="Comma 5 2 3 3 2 3 6 2" xfId="20051" xr:uid="{00000000-0005-0000-0000-000079090000}"/>
    <cellStyle name="Comma 5 2 3 3 2 3 6 2 2" xfId="44925" xr:uid="{00000000-0005-0000-0000-00007A090000}"/>
    <cellStyle name="Comma 5 2 3 3 2 3 6 3" xfId="32492" xr:uid="{00000000-0005-0000-0000-00007B090000}"/>
    <cellStyle name="Comma 5 2 3 3 2 3 7" xfId="3347" xr:uid="{00000000-0005-0000-0000-00007C090000}"/>
    <cellStyle name="Comma 5 2 3 3 2 3 7 2" xfId="15853" xr:uid="{00000000-0005-0000-0000-00007D090000}"/>
    <cellStyle name="Comma 5 2 3 3 2 3 7 2 2" xfId="40727" xr:uid="{00000000-0005-0000-0000-00007E090000}"/>
    <cellStyle name="Comma 5 2 3 3 2 3 7 3" xfId="28286" xr:uid="{00000000-0005-0000-0000-00007F090000}"/>
    <cellStyle name="Comma 5 2 3 3 2 3 8" xfId="14442" xr:uid="{00000000-0005-0000-0000-000080090000}"/>
    <cellStyle name="Comma 5 2 3 3 2 3 8 2" xfId="39316" xr:uid="{00000000-0005-0000-0000-000081090000}"/>
    <cellStyle name="Comma 5 2 3 3 2 3 9" xfId="26875" xr:uid="{00000000-0005-0000-0000-000082090000}"/>
    <cellStyle name="Comma 5 2 3 3 2 4" xfId="2367" xr:uid="{00000000-0005-0000-0000-000083090000}"/>
    <cellStyle name="Comma 5 2 3 3 2 4 2" xfId="6390" xr:uid="{00000000-0005-0000-0000-000084090000}"/>
    <cellStyle name="Comma 5 2 3 3 2 4 2 2" xfId="11405" xr:uid="{00000000-0005-0000-0000-000085090000}"/>
    <cellStyle name="Comma 5 2 3 3 2 4 2 2 2" xfId="23848" xr:uid="{00000000-0005-0000-0000-000086090000}"/>
    <cellStyle name="Comma 5 2 3 3 2 4 2 2 2 2" xfId="48722" xr:uid="{00000000-0005-0000-0000-000087090000}"/>
    <cellStyle name="Comma 5 2 3 3 2 4 2 2 3" xfId="36289" xr:uid="{00000000-0005-0000-0000-000088090000}"/>
    <cellStyle name="Comma 5 2 3 3 2 4 2 3" xfId="18841" xr:uid="{00000000-0005-0000-0000-000089090000}"/>
    <cellStyle name="Comma 5 2 3 3 2 4 2 3 2" xfId="43715" xr:uid="{00000000-0005-0000-0000-00008A090000}"/>
    <cellStyle name="Comma 5 2 3 3 2 4 2 4" xfId="31282" xr:uid="{00000000-0005-0000-0000-00008B090000}"/>
    <cellStyle name="Comma 5 2 3 3 2 4 3" xfId="12859" xr:uid="{00000000-0005-0000-0000-00008C090000}"/>
    <cellStyle name="Comma 5 2 3 3 2 4 3 2" xfId="25293" xr:uid="{00000000-0005-0000-0000-00008D090000}"/>
    <cellStyle name="Comma 5 2 3 3 2 4 3 2 2" xfId="50167" xr:uid="{00000000-0005-0000-0000-00008E090000}"/>
    <cellStyle name="Comma 5 2 3 3 2 4 3 3" xfId="37734" xr:uid="{00000000-0005-0000-0000-00008F090000}"/>
    <cellStyle name="Comma 5 2 3 3 2 4 4" xfId="9300" xr:uid="{00000000-0005-0000-0000-000090090000}"/>
    <cellStyle name="Comma 5 2 3 3 2 4 4 2" xfId="21743" xr:uid="{00000000-0005-0000-0000-000091090000}"/>
    <cellStyle name="Comma 5 2 3 3 2 4 4 2 2" xfId="46617" xr:uid="{00000000-0005-0000-0000-000092090000}"/>
    <cellStyle name="Comma 5 2 3 3 2 4 4 3" xfId="34184" xr:uid="{00000000-0005-0000-0000-000093090000}"/>
    <cellStyle name="Comma 5 2 3 3 2 4 5" xfId="4282" xr:uid="{00000000-0005-0000-0000-000094090000}"/>
    <cellStyle name="Comma 5 2 3 3 2 4 5 2" xfId="16736" xr:uid="{00000000-0005-0000-0000-000095090000}"/>
    <cellStyle name="Comma 5 2 3 3 2 4 5 2 2" xfId="41610" xr:uid="{00000000-0005-0000-0000-000096090000}"/>
    <cellStyle name="Comma 5 2 3 3 2 4 5 3" xfId="29177" xr:uid="{00000000-0005-0000-0000-000097090000}"/>
    <cellStyle name="Comma 5 2 3 3 2 4 6" xfId="15044" xr:uid="{00000000-0005-0000-0000-000098090000}"/>
    <cellStyle name="Comma 5 2 3 3 2 4 6 2" xfId="39918" xr:uid="{00000000-0005-0000-0000-000099090000}"/>
    <cellStyle name="Comma 5 2 3 3 2 4 7" xfId="27477" xr:uid="{00000000-0005-0000-0000-00009A090000}"/>
    <cellStyle name="Comma 5 2 3 3 2 5" xfId="1201" xr:uid="{00000000-0005-0000-0000-00009B090000}"/>
    <cellStyle name="Comma 5 2 3 3 2 5 2" xfId="10362" xr:uid="{00000000-0005-0000-0000-00009C090000}"/>
    <cellStyle name="Comma 5 2 3 3 2 5 2 2" xfId="22805" xr:uid="{00000000-0005-0000-0000-00009D090000}"/>
    <cellStyle name="Comma 5 2 3 3 2 5 2 2 2" xfId="47679" xr:uid="{00000000-0005-0000-0000-00009E090000}"/>
    <cellStyle name="Comma 5 2 3 3 2 5 2 3" xfId="35246" xr:uid="{00000000-0005-0000-0000-00009F090000}"/>
    <cellStyle name="Comma 5 2 3 3 2 5 3" xfId="5346" xr:uid="{00000000-0005-0000-0000-0000A0090000}"/>
    <cellStyle name="Comma 5 2 3 3 2 5 3 2" xfId="17798" xr:uid="{00000000-0005-0000-0000-0000A1090000}"/>
    <cellStyle name="Comma 5 2 3 3 2 5 3 2 2" xfId="42672" xr:uid="{00000000-0005-0000-0000-0000A2090000}"/>
    <cellStyle name="Comma 5 2 3 3 2 5 3 3" xfId="30239" xr:uid="{00000000-0005-0000-0000-0000A3090000}"/>
    <cellStyle name="Comma 5 2 3 3 2 5 4" xfId="14001" xr:uid="{00000000-0005-0000-0000-0000A4090000}"/>
    <cellStyle name="Comma 5 2 3 3 2 5 4 2" xfId="38875" xr:uid="{00000000-0005-0000-0000-0000A5090000}"/>
    <cellStyle name="Comma 5 2 3 3 2 5 5" xfId="26434" xr:uid="{00000000-0005-0000-0000-0000A6090000}"/>
    <cellStyle name="Comma 5 2 3 3 2 6" xfId="7923" xr:uid="{00000000-0005-0000-0000-0000A7090000}"/>
    <cellStyle name="Comma 5 2 3 3 2 6 2" xfId="20369" xr:uid="{00000000-0005-0000-0000-0000A8090000}"/>
    <cellStyle name="Comma 5 2 3 3 2 6 2 2" xfId="45243" xr:uid="{00000000-0005-0000-0000-0000A9090000}"/>
    <cellStyle name="Comma 5 2 3 3 2 6 3" xfId="32810" xr:uid="{00000000-0005-0000-0000-0000AA090000}"/>
    <cellStyle name="Comma 5 2 3 3 2 7" xfId="11816" xr:uid="{00000000-0005-0000-0000-0000AB090000}"/>
    <cellStyle name="Comma 5 2 3 3 2 7 2" xfId="24250" xr:uid="{00000000-0005-0000-0000-0000AC090000}"/>
    <cellStyle name="Comma 5 2 3 3 2 7 2 2" xfId="49124" xr:uid="{00000000-0005-0000-0000-0000AD090000}"/>
    <cellStyle name="Comma 5 2 3 3 2 7 3" xfId="36691" xr:uid="{00000000-0005-0000-0000-0000AE090000}"/>
    <cellStyle name="Comma 5 2 3 3 2 8" xfId="6893" xr:uid="{00000000-0005-0000-0000-0000AF090000}"/>
    <cellStyle name="Comma 5 2 3 3 2 8 2" xfId="19342" xr:uid="{00000000-0005-0000-0000-0000B0090000}"/>
    <cellStyle name="Comma 5 2 3 3 2 8 2 2" xfId="44216" xr:uid="{00000000-0005-0000-0000-0000B1090000}"/>
    <cellStyle name="Comma 5 2 3 3 2 8 3" xfId="31783" xr:uid="{00000000-0005-0000-0000-0000B2090000}"/>
    <cellStyle name="Comma 5 2 3 3 2 9" xfId="2844" xr:uid="{00000000-0005-0000-0000-0000B3090000}"/>
    <cellStyle name="Comma 5 2 3 3 2 9 2" xfId="15362" xr:uid="{00000000-0005-0000-0000-0000B4090000}"/>
    <cellStyle name="Comma 5 2 3 3 2 9 2 2" xfId="40236" xr:uid="{00000000-0005-0000-0000-0000B5090000}"/>
    <cellStyle name="Comma 5 2 3 3 2 9 3" xfId="27795" xr:uid="{00000000-0005-0000-0000-0000B6090000}"/>
    <cellStyle name="Comma 5 2 3 3 3" xfId="707" xr:uid="{00000000-0005-0000-0000-0000B7090000}"/>
    <cellStyle name="Comma 5 2 3 3 3 2" xfId="1293" xr:uid="{00000000-0005-0000-0000-0000B8090000}"/>
    <cellStyle name="Comma 5 2 3 3 3 2 2" xfId="9200" xr:uid="{00000000-0005-0000-0000-0000B9090000}"/>
    <cellStyle name="Comma 5 2 3 3 3 2 2 2" xfId="21643" xr:uid="{00000000-0005-0000-0000-0000BA090000}"/>
    <cellStyle name="Comma 5 2 3 3 3 2 2 2 2" xfId="46517" xr:uid="{00000000-0005-0000-0000-0000BB090000}"/>
    <cellStyle name="Comma 5 2 3 3 3 2 2 3" xfId="34084" xr:uid="{00000000-0005-0000-0000-0000BC090000}"/>
    <cellStyle name="Comma 5 2 3 3 3 2 3" xfId="4182" xr:uid="{00000000-0005-0000-0000-0000BD090000}"/>
    <cellStyle name="Comma 5 2 3 3 3 2 3 2" xfId="16636" xr:uid="{00000000-0005-0000-0000-0000BE090000}"/>
    <cellStyle name="Comma 5 2 3 3 3 2 3 2 2" xfId="41510" xr:uid="{00000000-0005-0000-0000-0000BF090000}"/>
    <cellStyle name="Comma 5 2 3 3 3 2 3 3" xfId="29077" xr:uid="{00000000-0005-0000-0000-0000C0090000}"/>
    <cellStyle name="Comma 5 2 3 3 3 2 4" xfId="14093" xr:uid="{00000000-0005-0000-0000-0000C1090000}"/>
    <cellStyle name="Comma 5 2 3 3 3 2 4 2" xfId="38967" xr:uid="{00000000-0005-0000-0000-0000C2090000}"/>
    <cellStyle name="Comma 5 2 3 3 3 2 5" xfId="26526" xr:uid="{00000000-0005-0000-0000-0000C3090000}"/>
    <cellStyle name="Comma 5 2 3 3 3 3" xfId="5438" xr:uid="{00000000-0005-0000-0000-0000C4090000}"/>
    <cellStyle name="Comma 5 2 3 3 3 3 2" xfId="10454" xr:uid="{00000000-0005-0000-0000-0000C5090000}"/>
    <cellStyle name="Comma 5 2 3 3 3 3 2 2" xfId="22897" xr:uid="{00000000-0005-0000-0000-0000C6090000}"/>
    <cellStyle name="Comma 5 2 3 3 3 3 2 2 2" xfId="47771" xr:uid="{00000000-0005-0000-0000-0000C7090000}"/>
    <cellStyle name="Comma 5 2 3 3 3 3 2 3" xfId="35338" xr:uid="{00000000-0005-0000-0000-0000C8090000}"/>
    <cellStyle name="Comma 5 2 3 3 3 3 3" xfId="17890" xr:uid="{00000000-0005-0000-0000-0000C9090000}"/>
    <cellStyle name="Comma 5 2 3 3 3 3 3 2" xfId="42764" xr:uid="{00000000-0005-0000-0000-0000CA090000}"/>
    <cellStyle name="Comma 5 2 3 3 3 3 4" xfId="30331" xr:uid="{00000000-0005-0000-0000-0000CB090000}"/>
    <cellStyle name="Comma 5 2 3 3 3 4" xfId="8316" xr:uid="{00000000-0005-0000-0000-0000CC090000}"/>
    <cellStyle name="Comma 5 2 3 3 3 4 2" xfId="20760" xr:uid="{00000000-0005-0000-0000-0000CD090000}"/>
    <cellStyle name="Comma 5 2 3 3 3 4 2 2" xfId="45634" xr:uid="{00000000-0005-0000-0000-0000CE090000}"/>
    <cellStyle name="Comma 5 2 3 3 3 4 3" xfId="33201" xr:uid="{00000000-0005-0000-0000-0000CF090000}"/>
    <cellStyle name="Comma 5 2 3 3 3 5" xfId="11908" xr:uid="{00000000-0005-0000-0000-0000D0090000}"/>
    <cellStyle name="Comma 5 2 3 3 3 5 2" xfId="24342" xr:uid="{00000000-0005-0000-0000-0000D1090000}"/>
    <cellStyle name="Comma 5 2 3 3 3 5 2 2" xfId="49216" xr:uid="{00000000-0005-0000-0000-0000D2090000}"/>
    <cellStyle name="Comma 5 2 3 3 3 5 3" xfId="36783" xr:uid="{00000000-0005-0000-0000-0000D3090000}"/>
    <cellStyle name="Comma 5 2 3 3 3 6" xfId="6793" xr:uid="{00000000-0005-0000-0000-0000D4090000}"/>
    <cellStyle name="Comma 5 2 3 3 3 6 2" xfId="19242" xr:uid="{00000000-0005-0000-0000-0000D5090000}"/>
    <cellStyle name="Comma 5 2 3 3 3 6 2 2" xfId="44116" xr:uid="{00000000-0005-0000-0000-0000D6090000}"/>
    <cellStyle name="Comma 5 2 3 3 3 6 3" xfId="31683" xr:uid="{00000000-0005-0000-0000-0000D7090000}"/>
    <cellStyle name="Comma 5 2 3 3 3 7" xfId="3247" xr:uid="{00000000-0005-0000-0000-0000D8090000}"/>
    <cellStyle name="Comma 5 2 3 3 3 7 2" xfId="15753" xr:uid="{00000000-0005-0000-0000-0000D9090000}"/>
    <cellStyle name="Comma 5 2 3 3 3 7 2 2" xfId="40627" xr:uid="{00000000-0005-0000-0000-0000DA090000}"/>
    <cellStyle name="Comma 5 2 3 3 3 7 3" xfId="28186" xr:uid="{00000000-0005-0000-0000-0000DB090000}"/>
    <cellStyle name="Comma 5 2 3 3 3 8" xfId="13510" xr:uid="{00000000-0005-0000-0000-0000DC090000}"/>
    <cellStyle name="Comma 5 2 3 3 3 8 2" xfId="38384" xr:uid="{00000000-0005-0000-0000-0000DD090000}"/>
    <cellStyle name="Comma 5 2 3 3 3 9" xfId="25943" xr:uid="{00000000-0005-0000-0000-0000DE090000}"/>
    <cellStyle name="Comma 5 2 3 3 4" xfId="1641" xr:uid="{00000000-0005-0000-0000-0000DF090000}"/>
    <cellStyle name="Comma 5 2 3 3 4 2" xfId="4379" xr:uid="{00000000-0005-0000-0000-0000E0090000}"/>
    <cellStyle name="Comma 5 2 3 3 4 2 2" xfId="9397" xr:uid="{00000000-0005-0000-0000-0000E1090000}"/>
    <cellStyle name="Comma 5 2 3 3 4 2 2 2" xfId="21840" xr:uid="{00000000-0005-0000-0000-0000E2090000}"/>
    <cellStyle name="Comma 5 2 3 3 4 2 2 2 2" xfId="46714" xr:uid="{00000000-0005-0000-0000-0000E3090000}"/>
    <cellStyle name="Comma 5 2 3 3 4 2 2 3" xfId="34281" xr:uid="{00000000-0005-0000-0000-0000E4090000}"/>
    <cellStyle name="Comma 5 2 3 3 4 2 3" xfId="16833" xr:uid="{00000000-0005-0000-0000-0000E5090000}"/>
    <cellStyle name="Comma 5 2 3 3 4 2 3 2" xfId="41707" xr:uid="{00000000-0005-0000-0000-0000E6090000}"/>
    <cellStyle name="Comma 5 2 3 3 4 2 4" xfId="29274" xr:uid="{00000000-0005-0000-0000-0000E7090000}"/>
    <cellStyle name="Comma 5 2 3 3 4 3" xfId="5787" xr:uid="{00000000-0005-0000-0000-0000E8090000}"/>
    <cellStyle name="Comma 5 2 3 3 4 3 2" xfId="10802" xr:uid="{00000000-0005-0000-0000-0000E9090000}"/>
    <cellStyle name="Comma 5 2 3 3 4 3 2 2" xfId="23245" xr:uid="{00000000-0005-0000-0000-0000EA090000}"/>
    <cellStyle name="Comma 5 2 3 3 4 3 2 2 2" xfId="48119" xr:uid="{00000000-0005-0000-0000-0000EB090000}"/>
    <cellStyle name="Comma 5 2 3 3 4 3 2 3" xfId="35686" xr:uid="{00000000-0005-0000-0000-0000EC090000}"/>
    <cellStyle name="Comma 5 2 3 3 4 3 3" xfId="18238" xr:uid="{00000000-0005-0000-0000-0000ED090000}"/>
    <cellStyle name="Comma 5 2 3 3 4 3 3 2" xfId="43112" xr:uid="{00000000-0005-0000-0000-0000EE090000}"/>
    <cellStyle name="Comma 5 2 3 3 4 3 4" xfId="30679" xr:uid="{00000000-0005-0000-0000-0000EF090000}"/>
    <cellStyle name="Comma 5 2 3 3 4 4" xfId="8513" xr:uid="{00000000-0005-0000-0000-0000F0090000}"/>
    <cellStyle name="Comma 5 2 3 3 4 4 2" xfId="20957" xr:uid="{00000000-0005-0000-0000-0000F1090000}"/>
    <cellStyle name="Comma 5 2 3 3 4 4 2 2" xfId="45831" xr:uid="{00000000-0005-0000-0000-0000F2090000}"/>
    <cellStyle name="Comma 5 2 3 3 4 4 3" xfId="33398" xr:uid="{00000000-0005-0000-0000-0000F3090000}"/>
    <cellStyle name="Comma 5 2 3 3 4 5" xfId="12256" xr:uid="{00000000-0005-0000-0000-0000F4090000}"/>
    <cellStyle name="Comma 5 2 3 3 4 5 2" xfId="24690" xr:uid="{00000000-0005-0000-0000-0000F5090000}"/>
    <cellStyle name="Comma 5 2 3 3 4 5 2 2" xfId="49564" xr:uid="{00000000-0005-0000-0000-0000F6090000}"/>
    <cellStyle name="Comma 5 2 3 3 4 5 3" xfId="37131" xr:uid="{00000000-0005-0000-0000-0000F7090000}"/>
    <cellStyle name="Comma 5 2 3 3 4 6" xfId="6990" xr:uid="{00000000-0005-0000-0000-0000F8090000}"/>
    <cellStyle name="Comma 5 2 3 3 4 6 2" xfId="19439" xr:uid="{00000000-0005-0000-0000-0000F9090000}"/>
    <cellStyle name="Comma 5 2 3 3 4 6 2 2" xfId="44313" xr:uid="{00000000-0005-0000-0000-0000FA090000}"/>
    <cellStyle name="Comma 5 2 3 3 4 6 3" xfId="31880" xr:uid="{00000000-0005-0000-0000-0000FB090000}"/>
    <cellStyle name="Comma 5 2 3 3 4 7" xfId="3444" xr:uid="{00000000-0005-0000-0000-0000FC090000}"/>
    <cellStyle name="Comma 5 2 3 3 4 7 2" xfId="15950" xr:uid="{00000000-0005-0000-0000-0000FD090000}"/>
    <cellStyle name="Comma 5 2 3 3 4 7 2 2" xfId="40824" xr:uid="{00000000-0005-0000-0000-0000FE090000}"/>
    <cellStyle name="Comma 5 2 3 3 4 7 3" xfId="28383" xr:uid="{00000000-0005-0000-0000-0000FF090000}"/>
    <cellStyle name="Comma 5 2 3 3 4 8" xfId="14441" xr:uid="{00000000-0005-0000-0000-0000000A0000}"/>
    <cellStyle name="Comma 5 2 3 3 4 8 2" xfId="39315" xr:uid="{00000000-0005-0000-0000-0000010A0000}"/>
    <cellStyle name="Comma 5 2 3 3 4 9" xfId="26874" xr:uid="{00000000-0005-0000-0000-0000020A0000}"/>
    <cellStyle name="Comma 5 2 3 3 5" xfId="2265" xr:uid="{00000000-0005-0000-0000-0000030A0000}"/>
    <cellStyle name="Comma 5 2 3 3 5 2" xfId="4892" xr:uid="{00000000-0005-0000-0000-0000040A0000}"/>
    <cellStyle name="Comma 5 2 3 3 5 2 2" xfId="9909" xr:uid="{00000000-0005-0000-0000-0000050A0000}"/>
    <cellStyle name="Comma 5 2 3 3 5 2 2 2" xfId="22352" xr:uid="{00000000-0005-0000-0000-0000060A0000}"/>
    <cellStyle name="Comma 5 2 3 3 5 2 2 2 2" xfId="47226" xr:uid="{00000000-0005-0000-0000-0000070A0000}"/>
    <cellStyle name="Comma 5 2 3 3 5 2 2 3" xfId="34793" xr:uid="{00000000-0005-0000-0000-0000080A0000}"/>
    <cellStyle name="Comma 5 2 3 3 5 2 3" xfId="17345" xr:uid="{00000000-0005-0000-0000-0000090A0000}"/>
    <cellStyle name="Comma 5 2 3 3 5 2 3 2" xfId="42219" xr:uid="{00000000-0005-0000-0000-00000A0A0000}"/>
    <cellStyle name="Comma 5 2 3 3 5 2 4" xfId="29786" xr:uid="{00000000-0005-0000-0000-00000B0A0000}"/>
    <cellStyle name="Comma 5 2 3 3 5 3" xfId="6290" xr:uid="{00000000-0005-0000-0000-00000C0A0000}"/>
    <cellStyle name="Comma 5 2 3 3 5 3 2" xfId="11305" xr:uid="{00000000-0005-0000-0000-00000D0A0000}"/>
    <cellStyle name="Comma 5 2 3 3 5 3 2 2" xfId="23748" xr:uid="{00000000-0005-0000-0000-00000E0A0000}"/>
    <cellStyle name="Comma 5 2 3 3 5 3 2 2 2" xfId="48622" xr:uid="{00000000-0005-0000-0000-00000F0A0000}"/>
    <cellStyle name="Comma 5 2 3 3 5 3 2 3" xfId="36189" xr:uid="{00000000-0005-0000-0000-0000100A0000}"/>
    <cellStyle name="Comma 5 2 3 3 5 3 3" xfId="18741" xr:uid="{00000000-0005-0000-0000-0000110A0000}"/>
    <cellStyle name="Comma 5 2 3 3 5 3 3 2" xfId="43615" xr:uid="{00000000-0005-0000-0000-0000120A0000}"/>
    <cellStyle name="Comma 5 2 3 3 5 3 4" xfId="31182" xr:uid="{00000000-0005-0000-0000-0000130A0000}"/>
    <cellStyle name="Comma 5 2 3 3 5 4" xfId="8097" xr:uid="{00000000-0005-0000-0000-0000140A0000}"/>
    <cellStyle name="Comma 5 2 3 3 5 4 2" xfId="20543" xr:uid="{00000000-0005-0000-0000-0000150A0000}"/>
    <cellStyle name="Comma 5 2 3 3 5 4 2 2" xfId="45417" xr:uid="{00000000-0005-0000-0000-0000160A0000}"/>
    <cellStyle name="Comma 5 2 3 3 5 4 3" xfId="32984" xr:uid="{00000000-0005-0000-0000-0000170A0000}"/>
    <cellStyle name="Comma 5 2 3 3 5 5" xfId="12759" xr:uid="{00000000-0005-0000-0000-0000180A0000}"/>
    <cellStyle name="Comma 5 2 3 3 5 5 2" xfId="25193" xr:uid="{00000000-0005-0000-0000-0000190A0000}"/>
    <cellStyle name="Comma 5 2 3 3 5 5 2 2" xfId="50067" xr:uid="{00000000-0005-0000-0000-00001A0A0000}"/>
    <cellStyle name="Comma 5 2 3 3 5 5 3" xfId="37634" xr:uid="{00000000-0005-0000-0000-00001B0A0000}"/>
    <cellStyle name="Comma 5 2 3 3 5 6" xfId="7503" xr:uid="{00000000-0005-0000-0000-00001C0A0000}"/>
    <cellStyle name="Comma 5 2 3 3 5 6 2" xfId="19951" xr:uid="{00000000-0005-0000-0000-00001D0A0000}"/>
    <cellStyle name="Comma 5 2 3 3 5 6 2 2" xfId="44825" xr:uid="{00000000-0005-0000-0000-00001E0A0000}"/>
    <cellStyle name="Comma 5 2 3 3 5 6 3" xfId="32392" xr:uid="{00000000-0005-0000-0000-00001F0A0000}"/>
    <cellStyle name="Comma 5 2 3 3 5 7" xfId="3027" xr:uid="{00000000-0005-0000-0000-0000200A0000}"/>
    <cellStyle name="Comma 5 2 3 3 5 7 2" xfId="15536" xr:uid="{00000000-0005-0000-0000-0000210A0000}"/>
    <cellStyle name="Comma 5 2 3 3 5 7 2 2" xfId="40410" xr:uid="{00000000-0005-0000-0000-0000220A0000}"/>
    <cellStyle name="Comma 5 2 3 3 5 7 3" xfId="27969" xr:uid="{00000000-0005-0000-0000-0000230A0000}"/>
    <cellStyle name="Comma 5 2 3 3 5 8" xfId="14944" xr:uid="{00000000-0005-0000-0000-0000240A0000}"/>
    <cellStyle name="Comma 5 2 3 3 5 8 2" xfId="39818" xr:uid="{00000000-0005-0000-0000-0000250A0000}"/>
    <cellStyle name="Comma 5 2 3 3 5 9" xfId="27377" xr:uid="{00000000-0005-0000-0000-0000260A0000}"/>
    <cellStyle name="Comma 5 2 3 3 6" xfId="1101" xr:uid="{00000000-0005-0000-0000-0000270A0000}"/>
    <cellStyle name="Comma 5 2 3 3 6 2" xfId="8983" xr:uid="{00000000-0005-0000-0000-0000280A0000}"/>
    <cellStyle name="Comma 5 2 3 3 6 2 2" xfId="21426" xr:uid="{00000000-0005-0000-0000-0000290A0000}"/>
    <cellStyle name="Comma 5 2 3 3 6 2 2 2" xfId="46300" xr:uid="{00000000-0005-0000-0000-00002A0A0000}"/>
    <cellStyle name="Comma 5 2 3 3 6 2 3" xfId="33867" xr:uid="{00000000-0005-0000-0000-00002B0A0000}"/>
    <cellStyle name="Comma 5 2 3 3 6 3" xfId="3965" xr:uid="{00000000-0005-0000-0000-00002C0A0000}"/>
    <cellStyle name="Comma 5 2 3 3 6 3 2" xfId="16419" xr:uid="{00000000-0005-0000-0000-00002D0A0000}"/>
    <cellStyle name="Comma 5 2 3 3 6 3 2 2" xfId="41293" xr:uid="{00000000-0005-0000-0000-00002E0A0000}"/>
    <cellStyle name="Comma 5 2 3 3 6 3 3" xfId="28860" xr:uid="{00000000-0005-0000-0000-00002F0A0000}"/>
    <cellStyle name="Comma 5 2 3 3 6 4" xfId="13901" xr:uid="{00000000-0005-0000-0000-0000300A0000}"/>
    <cellStyle name="Comma 5 2 3 3 6 4 2" xfId="38775" xr:uid="{00000000-0005-0000-0000-0000310A0000}"/>
    <cellStyle name="Comma 5 2 3 3 6 5" xfId="26334" xr:uid="{00000000-0005-0000-0000-0000320A0000}"/>
    <cellStyle name="Comma 5 2 3 3 7" xfId="5246" xr:uid="{00000000-0005-0000-0000-0000330A0000}"/>
    <cellStyle name="Comma 5 2 3 3 7 2" xfId="10262" xr:uid="{00000000-0005-0000-0000-0000340A0000}"/>
    <cellStyle name="Comma 5 2 3 3 7 2 2" xfId="22705" xr:uid="{00000000-0005-0000-0000-0000350A0000}"/>
    <cellStyle name="Comma 5 2 3 3 7 2 2 2" xfId="47579" xr:uid="{00000000-0005-0000-0000-0000360A0000}"/>
    <cellStyle name="Comma 5 2 3 3 7 2 3" xfId="35146" xr:uid="{00000000-0005-0000-0000-0000370A0000}"/>
    <cellStyle name="Comma 5 2 3 3 7 3" xfId="17698" xr:uid="{00000000-0005-0000-0000-0000380A0000}"/>
    <cellStyle name="Comma 5 2 3 3 7 3 2" xfId="42572" xr:uid="{00000000-0005-0000-0000-0000390A0000}"/>
    <cellStyle name="Comma 5 2 3 3 7 4" xfId="30139" xr:uid="{00000000-0005-0000-0000-00003A0A0000}"/>
    <cellStyle name="Comma 5 2 3 3 8" xfId="7823" xr:uid="{00000000-0005-0000-0000-00003B0A0000}"/>
    <cellStyle name="Comma 5 2 3 3 8 2" xfId="20269" xr:uid="{00000000-0005-0000-0000-00003C0A0000}"/>
    <cellStyle name="Comma 5 2 3 3 8 2 2" xfId="45143" xr:uid="{00000000-0005-0000-0000-00003D0A0000}"/>
    <cellStyle name="Comma 5 2 3 3 8 3" xfId="32710" xr:uid="{00000000-0005-0000-0000-00003E0A0000}"/>
    <cellStyle name="Comma 5 2 3 3 9" xfId="11716" xr:uid="{00000000-0005-0000-0000-00003F0A0000}"/>
    <cellStyle name="Comma 5 2 3 3 9 2" xfId="24150" xr:uid="{00000000-0005-0000-0000-0000400A0000}"/>
    <cellStyle name="Comma 5 2 3 3 9 2 2" xfId="49024" xr:uid="{00000000-0005-0000-0000-0000410A0000}"/>
    <cellStyle name="Comma 5 2 3 3 9 3" xfId="36591" xr:uid="{00000000-0005-0000-0000-0000420A0000}"/>
    <cellStyle name="Comma 5 2 3 4" xfId="266" xr:uid="{00000000-0005-0000-0000-0000430A0000}"/>
    <cellStyle name="Comma 5 2 3 4 10" xfId="6606" xr:uid="{00000000-0005-0000-0000-0000440A0000}"/>
    <cellStyle name="Comma 5 2 3 4 10 2" xfId="19055" xr:uid="{00000000-0005-0000-0000-0000450A0000}"/>
    <cellStyle name="Comma 5 2 3 4 10 2 2" xfId="43929" xr:uid="{00000000-0005-0000-0000-0000460A0000}"/>
    <cellStyle name="Comma 5 2 3 4 10 3" xfId="31496" xr:uid="{00000000-0005-0000-0000-0000470A0000}"/>
    <cellStyle name="Comma 5 2 3 4 11" xfId="2669" xr:uid="{00000000-0005-0000-0000-0000480A0000}"/>
    <cellStyle name="Comma 5 2 3 4 11 2" xfId="15187" xr:uid="{00000000-0005-0000-0000-0000490A0000}"/>
    <cellStyle name="Comma 5 2 3 4 11 2 2" xfId="40061" xr:uid="{00000000-0005-0000-0000-00004A0A0000}"/>
    <cellStyle name="Comma 5 2 3 4 11 3" xfId="27620" xr:uid="{00000000-0005-0000-0000-00004B0A0000}"/>
    <cellStyle name="Comma 5 2 3 4 12" xfId="13088" xr:uid="{00000000-0005-0000-0000-00004C0A0000}"/>
    <cellStyle name="Comma 5 2 3 4 12 2" xfId="37962" xr:uid="{00000000-0005-0000-0000-00004D0A0000}"/>
    <cellStyle name="Comma 5 2 3 4 13" xfId="25521" xr:uid="{00000000-0005-0000-0000-00004E0A0000}"/>
    <cellStyle name="Comma 5 2 3 4 2" xfId="480" xr:uid="{00000000-0005-0000-0000-00004F0A0000}"/>
    <cellStyle name="Comma 5 2 3 4 2 10" xfId="13293" xr:uid="{00000000-0005-0000-0000-0000500A0000}"/>
    <cellStyle name="Comma 5 2 3 4 2 10 2" xfId="38167" xr:uid="{00000000-0005-0000-0000-0000510A0000}"/>
    <cellStyle name="Comma 5 2 3 4 2 11" xfId="25726" xr:uid="{00000000-0005-0000-0000-0000520A0000}"/>
    <cellStyle name="Comma 5 2 3 4 2 2" xfId="839" xr:uid="{00000000-0005-0000-0000-0000530A0000}"/>
    <cellStyle name="Comma 5 2 3 4 2 2 2" xfId="1296" xr:uid="{00000000-0005-0000-0000-0000540A0000}"/>
    <cellStyle name="Comma 5 2 3 4 2 2 2 2" xfId="9400" xr:uid="{00000000-0005-0000-0000-0000550A0000}"/>
    <cellStyle name="Comma 5 2 3 4 2 2 2 2 2" xfId="21843" xr:uid="{00000000-0005-0000-0000-0000560A0000}"/>
    <cellStyle name="Comma 5 2 3 4 2 2 2 2 2 2" xfId="46717" xr:uid="{00000000-0005-0000-0000-0000570A0000}"/>
    <cellStyle name="Comma 5 2 3 4 2 2 2 2 3" xfId="34284" xr:uid="{00000000-0005-0000-0000-0000580A0000}"/>
    <cellStyle name="Comma 5 2 3 4 2 2 2 3" xfId="4382" xr:uid="{00000000-0005-0000-0000-0000590A0000}"/>
    <cellStyle name="Comma 5 2 3 4 2 2 2 3 2" xfId="16836" xr:uid="{00000000-0005-0000-0000-00005A0A0000}"/>
    <cellStyle name="Comma 5 2 3 4 2 2 2 3 2 2" xfId="41710" xr:uid="{00000000-0005-0000-0000-00005B0A0000}"/>
    <cellStyle name="Comma 5 2 3 4 2 2 2 3 3" xfId="29277" xr:uid="{00000000-0005-0000-0000-00005C0A0000}"/>
    <cellStyle name="Comma 5 2 3 4 2 2 2 4" xfId="14096" xr:uid="{00000000-0005-0000-0000-00005D0A0000}"/>
    <cellStyle name="Comma 5 2 3 4 2 2 2 4 2" xfId="38970" xr:uid="{00000000-0005-0000-0000-00005E0A0000}"/>
    <cellStyle name="Comma 5 2 3 4 2 2 2 5" xfId="26529" xr:uid="{00000000-0005-0000-0000-00005F0A0000}"/>
    <cellStyle name="Comma 5 2 3 4 2 2 3" xfId="5441" xr:uid="{00000000-0005-0000-0000-0000600A0000}"/>
    <cellStyle name="Comma 5 2 3 4 2 2 3 2" xfId="10457" xr:uid="{00000000-0005-0000-0000-0000610A0000}"/>
    <cellStyle name="Comma 5 2 3 4 2 2 3 2 2" xfId="22900" xr:uid="{00000000-0005-0000-0000-0000620A0000}"/>
    <cellStyle name="Comma 5 2 3 4 2 2 3 2 2 2" xfId="47774" xr:uid="{00000000-0005-0000-0000-0000630A0000}"/>
    <cellStyle name="Comma 5 2 3 4 2 2 3 2 3" xfId="35341" xr:uid="{00000000-0005-0000-0000-0000640A0000}"/>
    <cellStyle name="Comma 5 2 3 4 2 2 3 3" xfId="17893" xr:uid="{00000000-0005-0000-0000-0000650A0000}"/>
    <cellStyle name="Comma 5 2 3 4 2 2 3 3 2" xfId="42767" xr:uid="{00000000-0005-0000-0000-0000660A0000}"/>
    <cellStyle name="Comma 5 2 3 4 2 2 3 4" xfId="30334" xr:uid="{00000000-0005-0000-0000-0000670A0000}"/>
    <cellStyle name="Comma 5 2 3 4 2 2 4" xfId="8516" xr:uid="{00000000-0005-0000-0000-0000680A0000}"/>
    <cellStyle name="Comma 5 2 3 4 2 2 4 2" xfId="20960" xr:uid="{00000000-0005-0000-0000-0000690A0000}"/>
    <cellStyle name="Comma 5 2 3 4 2 2 4 2 2" xfId="45834" xr:uid="{00000000-0005-0000-0000-00006A0A0000}"/>
    <cellStyle name="Comma 5 2 3 4 2 2 4 3" xfId="33401" xr:uid="{00000000-0005-0000-0000-00006B0A0000}"/>
    <cellStyle name="Comma 5 2 3 4 2 2 5" xfId="11911" xr:uid="{00000000-0005-0000-0000-00006C0A0000}"/>
    <cellStyle name="Comma 5 2 3 4 2 2 5 2" xfId="24345" xr:uid="{00000000-0005-0000-0000-00006D0A0000}"/>
    <cellStyle name="Comma 5 2 3 4 2 2 5 2 2" xfId="49219" xr:uid="{00000000-0005-0000-0000-00006E0A0000}"/>
    <cellStyle name="Comma 5 2 3 4 2 2 5 3" xfId="36786" xr:uid="{00000000-0005-0000-0000-00006F0A0000}"/>
    <cellStyle name="Comma 5 2 3 4 2 2 6" xfId="6993" xr:uid="{00000000-0005-0000-0000-0000700A0000}"/>
    <cellStyle name="Comma 5 2 3 4 2 2 6 2" xfId="19442" xr:uid="{00000000-0005-0000-0000-0000710A0000}"/>
    <cellStyle name="Comma 5 2 3 4 2 2 6 2 2" xfId="44316" xr:uid="{00000000-0005-0000-0000-0000720A0000}"/>
    <cellStyle name="Comma 5 2 3 4 2 2 6 3" xfId="31883" xr:uid="{00000000-0005-0000-0000-0000730A0000}"/>
    <cellStyle name="Comma 5 2 3 4 2 2 7" xfId="3447" xr:uid="{00000000-0005-0000-0000-0000740A0000}"/>
    <cellStyle name="Comma 5 2 3 4 2 2 7 2" xfId="15953" xr:uid="{00000000-0005-0000-0000-0000750A0000}"/>
    <cellStyle name="Comma 5 2 3 4 2 2 7 2 2" xfId="40827" xr:uid="{00000000-0005-0000-0000-0000760A0000}"/>
    <cellStyle name="Comma 5 2 3 4 2 2 7 3" xfId="28386" xr:uid="{00000000-0005-0000-0000-0000770A0000}"/>
    <cellStyle name="Comma 5 2 3 4 2 2 8" xfId="13640" xr:uid="{00000000-0005-0000-0000-0000780A0000}"/>
    <cellStyle name="Comma 5 2 3 4 2 2 8 2" xfId="38514" xr:uid="{00000000-0005-0000-0000-0000790A0000}"/>
    <cellStyle name="Comma 5 2 3 4 2 2 9" xfId="26073" xr:uid="{00000000-0005-0000-0000-00007A0A0000}"/>
    <cellStyle name="Comma 5 2 3 4 2 3" xfId="1644" xr:uid="{00000000-0005-0000-0000-00007B0A0000}"/>
    <cellStyle name="Comma 5 2 3 4 2 3 2" xfId="5022" xr:uid="{00000000-0005-0000-0000-00007C0A0000}"/>
    <cellStyle name="Comma 5 2 3 4 2 3 2 2" xfId="10039" xr:uid="{00000000-0005-0000-0000-00007D0A0000}"/>
    <cellStyle name="Comma 5 2 3 4 2 3 2 2 2" xfId="22482" xr:uid="{00000000-0005-0000-0000-00007E0A0000}"/>
    <cellStyle name="Comma 5 2 3 4 2 3 2 2 2 2" xfId="47356" xr:uid="{00000000-0005-0000-0000-00007F0A0000}"/>
    <cellStyle name="Comma 5 2 3 4 2 3 2 2 3" xfId="34923" xr:uid="{00000000-0005-0000-0000-0000800A0000}"/>
    <cellStyle name="Comma 5 2 3 4 2 3 2 3" xfId="17475" xr:uid="{00000000-0005-0000-0000-0000810A0000}"/>
    <cellStyle name="Comma 5 2 3 4 2 3 2 3 2" xfId="42349" xr:uid="{00000000-0005-0000-0000-0000820A0000}"/>
    <cellStyle name="Comma 5 2 3 4 2 3 2 4" xfId="29916" xr:uid="{00000000-0005-0000-0000-0000830A0000}"/>
    <cellStyle name="Comma 5 2 3 4 2 3 3" xfId="5790" xr:uid="{00000000-0005-0000-0000-0000840A0000}"/>
    <cellStyle name="Comma 5 2 3 4 2 3 3 2" xfId="10805" xr:uid="{00000000-0005-0000-0000-0000850A0000}"/>
    <cellStyle name="Comma 5 2 3 4 2 3 3 2 2" xfId="23248" xr:uid="{00000000-0005-0000-0000-0000860A0000}"/>
    <cellStyle name="Comma 5 2 3 4 2 3 3 2 2 2" xfId="48122" xr:uid="{00000000-0005-0000-0000-0000870A0000}"/>
    <cellStyle name="Comma 5 2 3 4 2 3 3 2 3" xfId="35689" xr:uid="{00000000-0005-0000-0000-0000880A0000}"/>
    <cellStyle name="Comma 5 2 3 4 2 3 3 3" xfId="18241" xr:uid="{00000000-0005-0000-0000-0000890A0000}"/>
    <cellStyle name="Comma 5 2 3 4 2 3 3 3 2" xfId="43115" xr:uid="{00000000-0005-0000-0000-00008A0A0000}"/>
    <cellStyle name="Comma 5 2 3 4 2 3 3 4" xfId="30682" xr:uid="{00000000-0005-0000-0000-00008B0A0000}"/>
    <cellStyle name="Comma 5 2 3 4 2 3 4" xfId="8446" xr:uid="{00000000-0005-0000-0000-00008C0A0000}"/>
    <cellStyle name="Comma 5 2 3 4 2 3 4 2" xfId="20890" xr:uid="{00000000-0005-0000-0000-00008D0A0000}"/>
    <cellStyle name="Comma 5 2 3 4 2 3 4 2 2" xfId="45764" xr:uid="{00000000-0005-0000-0000-00008E0A0000}"/>
    <cellStyle name="Comma 5 2 3 4 2 3 4 3" xfId="33331" xr:uid="{00000000-0005-0000-0000-00008F0A0000}"/>
    <cellStyle name="Comma 5 2 3 4 2 3 5" xfId="12259" xr:uid="{00000000-0005-0000-0000-0000900A0000}"/>
    <cellStyle name="Comma 5 2 3 4 2 3 5 2" xfId="24693" xr:uid="{00000000-0005-0000-0000-0000910A0000}"/>
    <cellStyle name="Comma 5 2 3 4 2 3 5 2 2" xfId="49567" xr:uid="{00000000-0005-0000-0000-0000920A0000}"/>
    <cellStyle name="Comma 5 2 3 4 2 3 5 3" xfId="37134" xr:uid="{00000000-0005-0000-0000-0000930A0000}"/>
    <cellStyle name="Comma 5 2 3 4 2 3 6" xfId="7633" xr:uid="{00000000-0005-0000-0000-0000940A0000}"/>
    <cellStyle name="Comma 5 2 3 4 2 3 6 2" xfId="20081" xr:uid="{00000000-0005-0000-0000-0000950A0000}"/>
    <cellStyle name="Comma 5 2 3 4 2 3 6 2 2" xfId="44955" xr:uid="{00000000-0005-0000-0000-0000960A0000}"/>
    <cellStyle name="Comma 5 2 3 4 2 3 6 3" xfId="32522" xr:uid="{00000000-0005-0000-0000-0000970A0000}"/>
    <cellStyle name="Comma 5 2 3 4 2 3 7" xfId="3377" xr:uid="{00000000-0005-0000-0000-0000980A0000}"/>
    <cellStyle name="Comma 5 2 3 4 2 3 7 2" xfId="15883" xr:uid="{00000000-0005-0000-0000-0000990A0000}"/>
    <cellStyle name="Comma 5 2 3 4 2 3 7 2 2" xfId="40757" xr:uid="{00000000-0005-0000-0000-00009A0A0000}"/>
    <cellStyle name="Comma 5 2 3 4 2 3 7 3" xfId="28316" xr:uid="{00000000-0005-0000-0000-00009B0A0000}"/>
    <cellStyle name="Comma 5 2 3 4 2 3 8" xfId="14444" xr:uid="{00000000-0005-0000-0000-00009C0A0000}"/>
    <cellStyle name="Comma 5 2 3 4 2 3 8 2" xfId="39318" xr:uid="{00000000-0005-0000-0000-00009D0A0000}"/>
    <cellStyle name="Comma 5 2 3 4 2 3 9" xfId="26877" xr:uid="{00000000-0005-0000-0000-00009E0A0000}"/>
    <cellStyle name="Comma 5 2 3 4 2 4" xfId="2398" xr:uid="{00000000-0005-0000-0000-00009F0A0000}"/>
    <cellStyle name="Comma 5 2 3 4 2 4 2" xfId="6420" xr:uid="{00000000-0005-0000-0000-0000A00A0000}"/>
    <cellStyle name="Comma 5 2 3 4 2 4 2 2" xfId="11435" xr:uid="{00000000-0005-0000-0000-0000A10A0000}"/>
    <cellStyle name="Comma 5 2 3 4 2 4 2 2 2" xfId="23878" xr:uid="{00000000-0005-0000-0000-0000A20A0000}"/>
    <cellStyle name="Comma 5 2 3 4 2 4 2 2 2 2" xfId="48752" xr:uid="{00000000-0005-0000-0000-0000A30A0000}"/>
    <cellStyle name="Comma 5 2 3 4 2 4 2 2 3" xfId="36319" xr:uid="{00000000-0005-0000-0000-0000A40A0000}"/>
    <cellStyle name="Comma 5 2 3 4 2 4 2 3" xfId="18871" xr:uid="{00000000-0005-0000-0000-0000A50A0000}"/>
    <cellStyle name="Comma 5 2 3 4 2 4 2 3 2" xfId="43745" xr:uid="{00000000-0005-0000-0000-0000A60A0000}"/>
    <cellStyle name="Comma 5 2 3 4 2 4 2 4" xfId="31312" xr:uid="{00000000-0005-0000-0000-0000A70A0000}"/>
    <cellStyle name="Comma 5 2 3 4 2 4 3" xfId="12889" xr:uid="{00000000-0005-0000-0000-0000A80A0000}"/>
    <cellStyle name="Comma 5 2 3 4 2 4 3 2" xfId="25323" xr:uid="{00000000-0005-0000-0000-0000A90A0000}"/>
    <cellStyle name="Comma 5 2 3 4 2 4 3 2 2" xfId="50197" xr:uid="{00000000-0005-0000-0000-0000AA0A0000}"/>
    <cellStyle name="Comma 5 2 3 4 2 4 3 3" xfId="37764" xr:uid="{00000000-0005-0000-0000-0000AB0A0000}"/>
    <cellStyle name="Comma 5 2 3 4 2 4 4" xfId="9330" xr:uid="{00000000-0005-0000-0000-0000AC0A0000}"/>
    <cellStyle name="Comma 5 2 3 4 2 4 4 2" xfId="21773" xr:uid="{00000000-0005-0000-0000-0000AD0A0000}"/>
    <cellStyle name="Comma 5 2 3 4 2 4 4 2 2" xfId="46647" xr:uid="{00000000-0005-0000-0000-0000AE0A0000}"/>
    <cellStyle name="Comma 5 2 3 4 2 4 4 3" xfId="34214" xr:uid="{00000000-0005-0000-0000-0000AF0A0000}"/>
    <cellStyle name="Comma 5 2 3 4 2 4 5" xfId="4312" xr:uid="{00000000-0005-0000-0000-0000B00A0000}"/>
    <cellStyle name="Comma 5 2 3 4 2 4 5 2" xfId="16766" xr:uid="{00000000-0005-0000-0000-0000B10A0000}"/>
    <cellStyle name="Comma 5 2 3 4 2 4 5 2 2" xfId="41640" xr:uid="{00000000-0005-0000-0000-0000B20A0000}"/>
    <cellStyle name="Comma 5 2 3 4 2 4 5 3" xfId="29207" xr:uid="{00000000-0005-0000-0000-0000B30A0000}"/>
    <cellStyle name="Comma 5 2 3 4 2 4 6" xfId="15074" xr:uid="{00000000-0005-0000-0000-0000B40A0000}"/>
    <cellStyle name="Comma 5 2 3 4 2 4 6 2" xfId="39948" xr:uid="{00000000-0005-0000-0000-0000B50A0000}"/>
    <cellStyle name="Comma 5 2 3 4 2 4 7" xfId="27507" xr:uid="{00000000-0005-0000-0000-0000B60A0000}"/>
    <cellStyle name="Comma 5 2 3 4 2 5" xfId="1231" xr:uid="{00000000-0005-0000-0000-0000B70A0000}"/>
    <cellStyle name="Comma 5 2 3 4 2 5 2" xfId="10392" xr:uid="{00000000-0005-0000-0000-0000B80A0000}"/>
    <cellStyle name="Comma 5 2 3 4 2 5 2 2" xfId="22835" xr:uid="{00000000-0005-0000-0000-0000B90A0000}"/>
    <cellStyle name="Comma 5 2 3 4 2 5 2 2 2" xfId="47709" xr:uid="{00000000-0005-0000-0000-0000BA0A0000}"/>
    <cellStyle name="Comma 5 2 3 4 2 5 2 3" xfId="35276" xr:uid="{00000000-0005-0000-0000-0000BB0A0000}"/>
    <cellStyle name="Comma 5 2 3 4 2 5 3" xfId="5376" xr:uid="{00000000-0005-0000-0000-0000BC0A0000}"/>
    <cellStyle name="Comma 5 2 3 4 2 5 3 2" xfId="17828" xr:uid="{00000000-0005-0000-0000-0000BD0A0000}"/>
    <cellStyle name="Comma 5 2 3 4 2 5 3 2 2" xfId="42702" xr:uid="{00000000-0005-0000-0000-0000BE0A0000}"/>
    <cellStyle name="Comma 5 2 3 4 2 5 3 3" xfId="30269" xr:uid="{00000000-0005-0000-0000-0000BF0A0000}"/>
    <cellStyle name="Comma 5 2 3 4 2 5 4" xfId="14031" xr:uid="{00000000-0005-0000-0000-0000C00A0000}"/>
    <cellStyle name="Comma 5 2 3 4 2 5 4 2" xfId="38905" xr:uid="{00000000-0005-0000-0000-0000C10A0000}"/>
    <cellStyle name="Comma 5 2 3 4 2 5 5" xfId="26464" xr:uid="{00000000-0005-0000-0000-0000C20A0000}"/>
    <cellStyle name="Comma 5 2 3 4 2 6" xfId="7953" xr:uid="{00000000-0005-0000-0000-0000C30A0000}"/>
    <cellStyle name="Comma 5 2 3 4 2 6 2" xfId="20399" xr:uid="{00000000-0005-0000-0000-0000C40A0000}"/>
    <cellStyle name="Comma 5 2 3 4 2 6 2 2" xfId="45273" xr:uid="{00000000-0005-0000-0000-0000C50A0000}"/>
    <cellStyle name="Comma 5 2 3 4 2 6 3" xfId="32840" xr:uid="{00000000-0005-0000-0000-0000C60A0000}"/>
    <cellStyle name="Comma 5 2 3 4 2 7" xfId="11846" xr:uid="{00000000-0005-0000-0000-0000C70A0000}"/>
    <cellStyle name="Comma 5 2 3 4 2 7 2" xfId="24280" xr:uid="{00000000-0005-0000-0000-0000C80A0000}"/>
    <cellStyle name="Comma 5 2 3 4 2 7 2 2" xfId="49154" xr:uid="{00000000-0005-0000-0000-0000C90A0000}"/>
    <cellStyle name="Comma 5 2 3 4 2 7 3" xfId="36721" xr:uid="{00000000-0005-0000-0000-0000CA0A0000}"/>
    <cellStyle name="Comma 5 2 3 4 2 8" xfId="6923" xr:uid="{00000000-0005-0000-0000-0000CB0A0000}"/>
    <cellStyle name="Comma 5 2 3 4 2 8 2" xfId="19372" xr:uid="{00000000-0005-0000-0000-0000CC0A0000}"/>
    <cellStyle name="Comma 5 2 3 4 2 8 2 2" xfId="44246" xr:uid="{00000000-0005-0000-0000-0000CD0A0000}"/>
    <cellStyle name="Comma 5 2 3 4 2 8 3" xfId="31813" xr:uid="{00000000-0005-0000-0000-0000CE0A0000}"/>
    <cellStyle name="Comma 5 2 3 4 2 9" xfId="2874" xr:uid="{00000000-0005-0000-0000-0000CF0A0000}"/>
    <cellStyle name="Comma 5 2 3 4 2 9 2" xfId="15392" xr:uid="{00000000-0005-0000-0000-0000D00A0000}"/>
    <cellStyle name="Comma 5 2 3 4 2 9 2 2" xfId="40266" xr:uid="{00000000-0005-0000-0000-0000D10A0000}"/>
    <cellStyle name="Comma 5 2 3 4 2 9 3" xfId="27825" xr:uid="{00000000-0005-0000-0000-0000D20A0000}"/>
    <cellStyle name="Comma 5 2 3 4 3" xfId="628" xr:uid="{00000000-0005-0000-0000-0000D30A0000}"/>
    <cellStyle name="Comma 5 2 3 4 3 2" xfId="1295" xr:uid="{00000000-0005-0000-0000-0000D40A0000}"/>
    <cellStyle name="Comma 5 2 3 4 3 2 2" xfId="9125" xr:uid="{00000000-0005-0000-0000-0000D50A0000}"/>
    <cellStyle name="Comma 5 2 3 4 3 2 2 2" xfId="21568" xr:uid="{00000000-0005-0000-0000-0000D60A0000}"/>
    <cellStyle name="Comma 5 2 3 4 3 2 2 2 2" xfId="46442" xr:uid="{00000000-0005-0000-0000-0000D70A0000}"/>
    <cellStyle name="Comma 5 2 3 4 3 2 2 3" xfId="34009" xr:uid="{00000000-0005-0000-0000-0000D80A0000}"/>
    <cellStyle name="Comma 5 2 3 4 3 2 3" xfId="4107" xr:uid="{00000000-0005-0000-0000-0000D90A0000}"/>
    <cellStyle name="Comma 5 2 3 4 3 2 3 2" xfId="16561" xr:uid="{00000000-0005-0000-0000-0000DA0A0000}"/>
    <cellStyle name="Comma 5 2 3 4 3 2 3 2 2" xfId="41435" xr:uid="{00000000-0005-0000-0000-0000DB0A0000}"/>
    <cellStyle name="Comma 5 2 3 4 3 2 3 3" xfId="29002" xr:uid="{00000000-0005-0000-0000-0000DC0A0000}"/>
    <cellStyle name="Comma 5 2 3 4 3 2 4" xfId="14095" xr:uid="{00000000-0005-0000-0000-0000DD0A0000}"/>
    <cellStyle name="Comma 5 2 3 4 3 2 4 2" xfId="38969" xr:uid="{00000000-0005-0000-0000-0000DE0A0000}"/>
    <cellStyle name="Comma 5 2 3 4 3 2 5" xfId="26528" xr:uid="{00000000-0005-0000-0000-0000DF0A0000}"/>
    <cellStyle name="Comma 5 2 3 4 3 3" xfId="5440" xr:uid="{00000000-0005-0000-0000-0000E00A0000}"/>
    <cellStyle name="Comma 5 2 3 4 3 3 2" xfId="10456" xr:uid="{00000000-0005-0000-0000-0000E10A0000}"/>
    <cellStyle name="Comma 5 2 3 4 3 3 2 2" xfId="22899" xr:uid="{00000000-0005-0000-0000-0000E20A0000}"/>
    <cellStyle name="Comma 5 2 3 4 3 3 2 2 2" xfId="47773" xr:uid="{00000000-0005-0000-0000-0000E30A0000}"/>
    <cellStyle name="Comma 5 2 3 4 3 3 2 3" xfId="35340" xr:uid="{00000000-0005-0000-0000-0000E40A0000}"/>
    <cellStyle name="Comma 5 2 3 4 3 3 3" xfId="17892" xr:uid="{00000000-0005-0000-0000-0000E50A0000}"/>
    <cellStyle name="Comma 5 2 3 4 3 3 3 2" xfId="42766" xr:uid="{00000000-0005-0000-0000-0000E60A0000}"/>
    <cellStyle name="Comma 5 2 3 4 3 3 4" xfId="30333" xr:uid="{00000000-0005-0000-0000-0000E70A0000}"/>
    <cellStyle name="Comma 5 2 3 4 3 4" xfId="8241" xr:uid="{00000000-0005-0000-0000-0000E80A0000}"/>
    <cellStyle name="Comma 5 2 3 4 3 4 2" xfId="20685" xr:uid="{00000000-0005-0000-0000-0000E90A0000}"/>
    <cellStyle name="Comma 5 2 3 4 3 4 2 2" xfId="45559" xr:uid="{00000000-0005-0000-0000-0000EA0A0000}"/>
    <cellStyle name="Comma 5 2 3 4 3 4 3" xfId="33126" xr:uid="{00000000-0005-0000-0000-0000EB0A0000}"/>
    <cellStyle name="Comma 5 2 3 4 3 5" xfId="11910" xr:uid="{00000000-0005-0000-0000-0000EC0A0000}"/>
    <cellStyle name="Comma 5 2 3 4 3 5 2" xfId="24344" xr:uid="{00000000-0005-0000-0000-0000ED0A0000}"/>
    <cellStyle name="Comma 5 2 3 4 3 5 2 2" xfId="49218" xr:uid="{00000000-0005-0000-0000-0000EE0A0000}"/>
    <cellStyle name="Comma 5 2 3 4 3 5 3" xfId="36785" xr:uid="{00000000-0005-0000-0000-0000EF0A0000}"/>
    <cellStyle name="Comma 5 2 3 4 3 6" xfId="6718" xr:uid="{00000000-0005-0000-0000-0000F00A0000}"/>
    <cellStyle name="Comma 5 2 3 4 3 6 2" xfId="19167" xr:uid="{00000000-0005-0000-0000-0000F10A0000}"/>
    <cellStyle name="Comma 5 2 3 4 3 6 2 2" xfId="44041" xr:uid="{00000000-0005-0000-0000-0000F20A0000}"/>
    <cellStyle name="Comma 5 2 3 4 3 6 3" xfId="31608" xr:uid="{00000000-0005-0000-0000-0000F30A0000}"/>
    <cellStyle name="Comma 5 2 3 4 3 7" xfId="3172" xr:uid="{00000000-0005-0000-0000-0000F40A0000}"/>
    <cellStyle name="Comma 5 2 3 4 3 7 2" xfId="15678" xr:uid="{00000000-0005-0000-0000-0000F50A0000}"/>
    <cellStyle name="Comma 5 2 3 4 3 7 2 2" xfId="40552" xr:uid="{00000000-0005-0000-0000-0000F60A0000}"/>
    <cellStyle name="Comma 5 2 3 4 3 7 3" xfId="28111" xr:uid="{00000000-0005-0000-0000-0000F70A0000}"/>
    <cellStyle name="Comma 5 2 3 4 3 8" xfId="13435" xr:uid="{00000000-0005-0000-0000-0000F80A0000}"/>
    <cellStyle name="Comma 5 2 3 4 3 8 2" xfId="38309" xr:uid="{00000000-0005-0000-0000-0000F90A0000}"/>
    <cellStyle name="Comma 5 2 3 4 3 9" xfId="25868" xr:uid="{00000000-0005-0000-0000-0000FA0A0000}"/>
    <cellStyle name="Comma 5 2 3 4 4" xfId="1643" xr:uid="{00000000-0005-0000-0000-0000FB0A0000}"/>
    <cellStyle name="Comma 5 2 3 4 4 2" xfId="4381" xr:uid="{00000000-0005-0000-0000-0000FC0A0000}"/>
    <cellStyle name="Comma 5 2 3 4 4 2 2" xfId="9399" xr:uid="{00000000-0005-0000-0000-0000FD0A0000}"/>
    <cellStyle name="Comma 5 2 3 4 4 2 2 2" xfId="21842" xr:uid="{00000000-0005-0000-0000-0000FE0A0000}"/>
    <cellStyle name="Comma 5 2 3 4 4 2 2 2 2" xfId="46716" xr:uid="{00000000-0005-0000-0000-0000FF0A0000}"/>
    <cellStyle name="Comma 5 2 3 4 4 2 2 3" xfId="34283" xr:uid="{00000000-0005-0000-0000-0000000B0000}"/>
    <cellStyle name="Comma 5 2 3 4 4 2 3" xfId="16835" xr:uid="{00000000-0005-0000-0000-0000010B0000}"/>
    <cellStyle name="Comma 5 2 3 4 4 2 3 2" xfId="41709" xr:uid="{00000000-0005-0000-0000-0000020B0000}"/>
    <cellStyle name="Comma 5 2 3 4 4 2 4" xfId="29276" xr:uid="{00000000-0005-0000-0000-0000030B0000}"/>
    <cellStyle name="Comma 5 2 3 4 4 3" xfId="5789" xr:uid="{00000000-0005-0000-0000-0000040B0000}"/>
    <cellStyle name="Comma 5 2 3 4 4 3 2" xfId="10804" xr:uid="{00000000-0005-0000-0000-0000050B0000}"/>
    <cellStyle name="Comma 5 2 3 4 4 3 2 2" xfId="23247" xr:uid="{00000000-0005-0000-0000-0000060B0000}"/>
    <cellStyle name="Comma 5 2 3 4 4 3 2 2 2" xfId="48121" xr:uid="{00000000-0005-0000-0000-0000070B0000}"/>
    <cellStyle name="Comma 5 2 3 4 4 3 2 3" xfId="35688" xr:uid="{00000000-0005-0000-0000-0000080B0000}"/>
    <cellStyle name="Comma 5 2 3 4 4 3 3" xfId="18240" xr:uid="{00000000-0005-0000-0000-0000090B0000}"/>
    <cellStyle name="Comma 5 2 3 4 4 3 3 2" xfId="43114" xr:uid="{00000000-0005-0000-0000-00000A0B0000}"/>
    <cellStyle name="Comma 5 2 3 4 4 3 4" xfId="30681" xr:uid="{00000000-0005-0000-0000-00000B0B0000}"/>
    <cellStyle name="Comma 5 2 3 4 4 4" xfId="8515" xr:uid="{00000000-0005-0000-0000-00000C0B0000}"/>
    <cellStyle name="Comma 5 2 3 4 4 4 2" xfId="20959" xr:uid="{00000000-0005-0000-0000-00000D0B0000}"/>
    <cellStyle name="Comma 5 2 3 4 4 4 2 2" xfId="45833" xr:uid="{00000000-0005-0000-0000-00000E0B0000}"/>
    <cellStyle name="Comma 5 2 3 4 4 4 3" xfId="33400" xr:uid="{00000000-0005-0000-0000-00000F0B0000}"/>
    <cellStyle name="Comma 5 2 3 4 4 5" xfId="12258" xr:uid="{00000000-0005-0000-0000-0000100B0000}"/>
    <cellStyle name="Comma 5 2 3 4 4 5 2" xfId="24692" xr:uid="{00000000-0005-0000-0000-0000110B0000}"/>
    <cellStyle name="Comma 5 2 3 4 4 5 2 2" xfId="49566" xr:uid="{00000000-0005-0000-0000-0000120B0000}"/>
    <cellStyle name="Comma 5 2 3 4 4 5 3" xfId="37133" xr:uid="{00000000-0005-0000-0000-0000130B0000}"/>
    <cellStyle name="Comma 5 2 3 4 4 6" xfId="6992" xr:uid="{00000000-0005-0000-0000-0000140B0000}"/>
    <cellStyle name="Comma 5 2 3 4 4 6 2" xfId="19441" xr:uid="{00000000-0005-0000-0000-0000150B0000}"/>
    <cellStyle name="Comma 5 2 3 4 4 6 2 2" xfId="44315" xr:uid="{00000000-0005-0000-0000-0000160B0000}"/>
    <cellStyle name="Comma 5 2 3 4 4 6 3" xfId="31882" xr:uid="{00000000-0005-0000-0000-0000170B0000}"/>
    <cellStyle name="Comma 5 2 3 4 4 7" xfId="3446" xr:uid="{00000000-0005-0000-0000-0000180B0000}"/>
    <cellStyle name="Comma 5 2 3 4 4 7 2" xfId="15952" xr:uid="{00000000-0005-0000-0000-0000190B0000}"/>
    <cellStyle name="Comma 5 2 3 4 4 7 2 2" xfId="40826" xr:uid="{00000000-0005-0000-0000-00001A0B0000}"/>
    <cellStyle name="Comma 5 2 3 4 4 7 3" xfId="28385" xr:uid="{00000000-0005-0000-0000-00001B0B0000}"/>
    <cellStyle name="Comma 5 2 3 4 4 8" xfId="14443" xr:uid="{00000000-0005-0000-0000-00001C0B0000}"/>
    <cellStyle name="Comma 5 2 3 4 4 8 2" xfId="39317" xr:uid="{00000000-0005-0000-0000-00001D0B0000}"/>
    <cellStyle name="Comma 5 2 3 4 4 9" xfId="26876" xr:uid="{00000000-0005-0000-0000-00001E0B0000}"/>
    <cellStyle name="Comma 5 2 3 4 5" xfId="2184" xr:uid="{00000000-0005-0000-0000-00001F0B0000}"/>
    <cellStyle name="Comma 5 2 3 4 5 2" xfId="4817" xr:uid="{00000000-0005-0000-0000-0000200B0000}"/>
    <cellStyle name="Comma 5 2 3 4 5 2 2" xfId="9834" xr:uid="{00000000-0005-0000-0000-0000210B0000}"/>
    <cellStyle name="Comma 5 2 3 4 5 2 2 2" xfId="22277" xr:uid="{00000000-0005-0000-0000-0000220B0000}"/>
    <cellStyle name="Comma 5 2 3 4 5 2 2 2 2" xfId="47151" xr:uid="{00000000-0005-0000-0000-0000230B0000}"/>
    <cellStyle name="Comma 5 2 3 4 5 2 2 3" xfId="34718" xr:uid="{00000000-0005-0000-0000-0000240B0000}"/>
    <cellStyle name="Comma 5 2 3 4 5 2 3" xfId="17270" xr:uid="{00000000-0005-0000-0000-0000250B0000}"/>
    <cellStyle name="Comma 5 2 3 4 5 2 3 2" xfId="42144" xr:uid="{00000000-0005-0000-0000-0000260B0000}"/>
    <cellStyle name="Comma 5 2 3 4 5 2 4" xfId="29711" xr:uid="{00000000-0005-0000-0000-0000270B0000}"/>
    <cellStyle name="Comma 5 2 3 4 5 3" xfId="6215" xr:uid="{00000000-0005-0000-0000-0000280B0000}"/>
    <cellStyle name="Comma 5 2 3 4 5 3 2" xfId="11230" xr:uid="{00000000-0005-0000-0000-0000290B0000}"/>
    <cellStyle name="Comma 5 2 3 4 5 3 2 2" xfId="23673" xr:uid="{00000000-0005-0000-0000-00002A0B0000}"/>
    <cellStyle name="Comma 5 2 3 4 5 3 2 2 2" xfId="48547" xr:uid="{00000000-0005-0000-0000-00002B0B0000}"/>
    <cellStyle name="Comma 5 2 3 4 5 3 2 3" xfId="36114" xr:uid="{00000000-0005-0000-0000-00002C0B0000}"/>
    <cellStyle name="Comma 5 2 3 4 5 3 3" xfId="18666" xr:uid="{00000000-0005-0000-0000-00002D0B0000}"/>
    <cellStyle name="Comma 5 2 3 4 5 3 3 2" xfId="43540" xr:uid="{00000000-0005-0000-0000-00002E0B0000}"/>
    <cellStyle name="Comma 5 2 3 4 5 3 4" xfId="31107" xr:uid="{00000000-0005-0000-0000-00002F0B0000}"/>
    <cellStyle name="Comma 5 2 3 4 5 4" xfId="8127" xr:uid="{00000000-0005-0000-0000-0000300B0000}"/>
    <cellStyle name="Comma 5 2 3 4 5 4 2" xfId="20573" xr:uid="{00000000-0005-0000-0000-0000310B0000}"/>
    <cellStyle name="Comma 5 2 3 4 5 4 2 2" xfId="45447" xr:uid="{00000000-0005-0000-0000-0000320B0000}"/>
    <cellStyle name="Comma 5 2 3 4 5 4 3" xfId="33014" xr:uid="{00000000-0005-0000-0000-0000330B0000}"/>
    <cellStyle name="Comma 5 2 3 4 5 5" xfId="12684" xr:uid="{00000000-0005-0000-0000-0000340B0000}"/>
    <cellStyle name="Comma 5 2 3 4 5 5 2" xfId="25118" xr:uid="{00000000-0005-0000-0000-0000350B0000}"/>
    <cellStyle name="Comma 5 2 3 4 5 5 2 2" xfId="49992" xr:uid="{00000000-0005-0000-0000-0000360B0000}"/>
    <cellStyle name="Comma 5 2 3 4 5 5 3" xfId="37559" xr:uid="{00000000-0005-0000-0000-0000370B0000}"/>
    <cellStyle name="Comma 5 2 3 4 5 6" xfId="7428" xr:uid="{00000000-0005-0000-0000-0000380B0000}"/>
    <cellStyle name="Comma 5 2 3 4 5 6 2" xfId="19876" xr:uid="{00000000-0005-0000-0000-0000390B0000}"/>
    <cellStyle name="Comma 5 2 3 4 5 6 2 2" xfId="44750" xr:uid="{00000000-0005-0000-0000-00003A0B0000}"/>
    <cellStyle name="Comma 5 2 3 4 5 6 3" xfId="32317" xr:uid="{00000000-0005-0000-0000-00003B0B0000}"/>
    <cellStyle name="Comma 5 2 3 4 5 7" xfId="3057" xr:uid="{00000000-0005-0000-0000-00003C0B0000}"/>
    <cellStyle name="Comma 5 2 3 4 5 7 2" xfId="15566" xr:uid="{00000000-0005-0000-0000-00003D0B0000}"/>
    <cellStyle name="Comma 5 2 3 4 5 7 2 2" xfId="40440" xr:uid="{00000000-0005-0000-0000-00003E0B0000}"/>
    <cellStyle name="Comma 5 2 3 4 5 7 3" xfId="27999" xr:uid="{00000000-0005-0000-0000-00003F0B0000}"/>
    <cellStyle name="Comma 5 2 3 4 5 8" xfId="14869" xr:uid="{00000000-0005-0000-0000-0000400B0000}"/>
    <cellStyle name="Comma 5 2 3 4 5 8 2" xfId="39743" xr:uid="{00000000-0005-0000-0000-0000410B0000}"/>
    <cellStyle name="Comma 5 2 3 4 5 9" xfId="27302" xr:uid="{00000000-0005-0000-0000-0000420B0000}"/>
    <cellStyle name="Comma 5 2 3 4 6" xfId="1026" xr:uid="{00000000-0005-0000-0000-0000430B0000}"/>
    <cellStyle name="Comma 5 2 3 4 6 2" xfId="9013" xr:uid="{00000000-0005-0000-0000-0000440B0000}"/>
    <cellStyle name="Comma 5 2 3 4 6 2 2" xfId="21456" xr:uid="{00000000-0005-0000-0000-0000450B0000}"/>
    <cellStyle name="Comma 5 2 3 4 6 2 2 2" xfId="46330" xr:uid="{00000000-0005-0000-0000-0000460B0000}"/>
    <cellStyle name="Comma 5 2 3 4 6 2 3" xfId="33897" xr:uid="{00000000-0005-0000-0000-0000470B0000}"/>
    <cellStyle name="Comma 5 2 3 4 6 3" xfId="3995" xr:uid="{00000000-0005-0000-0000-0000480B0000}"/>
    <cellStyle name="Comma 5 2 3 4 6 3 2" xfId="16449" xr:uid="{00000000-0005-0000-0000-0000490B0000}"/>
    <cellStyle name="Comma 5 2 3 4 6 3 2 2" xfId="41323" xr:uid="{00000000-0005-0000-0000-00004A0B0000}"/>
    <cellStyle name="Comma 5 2 3 4 6 3 3" xfId="28890" xr:uid="{00000000-0005-0000-0000-00004B0B0000}"/>
    <cellStyle name="Comma 5 2 3 4 6 4" xfId="13826" xr:uid="{00000000-0005-0000-0000-00004C0B0000}"/>
    <cellStyle name="Comma 5 2 3 4 6 4 2" xfId="38700" xr:uid="{00000000-0005-0000-0000-00004D0B0000}"/>
    <cellStyle name="Comma 5 2 3 4 6 5" xfId="26259" xr:uid="{00000000-0005-0000-0000-00004E0B0000}"/>
    <cellStyle name="Comma 5 2 3 4 7" xfId="5171" xr:uid="{00000000-0005-0000-0000-00004F0B0000}"/>
    <cellStyle name="Comma 5 2 3 4 7 2" xfId="10187" xr:uid="{00000000-0005-0000-0000-0000500B0000}"/>
    <cellStyle name="Comma 5 2 3 4 7 2 2" xfId="22630" xr:uid="{00000000-0005-0000-0000-0000510B0000}"/>
    <cellStyle name="Comma 5 2 3 4 7 2 2 2" xfId="47504" xr:uid="{00000000-0005-0000-0000-0000520B0000}"/>
    <cellStyle name="Comma 5 2 3 4 7 2 3" xfId="35071" xr:uid="{00000000-0005-0000-0000-0000530B0000}"/>
    <cellStyle name="Comma 5 2 3 4 7 3" xfId="17623" xr:uid="{00000000-0005-0000-0000-0000540B0000}"/>
    <cellStyle name="Comma 5 2 3 4 7 3 2" xfId="42497" xr:uid="{00000000-0005-0000-0000-0000550B0000}"/>
    <cellStyle name="Comma 5 2 3 4 7 4" xfId="30064" xr:uid="{00000000-0005-0000-0000-0000560B0000}"/>
    <cellStyle name="Comma 5 2 3 4 8" xfId="7748" xr:uid="{00000000-0005-0000-0000-0000570B0000}"/>
    <cellStyle name="Comma 5 2 3 4 8 2" xfId="20194" xr:uid="{00000000-0005-0000-0000-0000580B0000}"/>
    <cellStyle name="Comma 5 2 3 4 8 2 2" xfId="45068" xr:uid="{00000000-0005-0000-0000-0000590B0000}"/>
    <cellStyle name="Comma 5 2 3 4 8 3" xfId="32635" xr:uid="{00000000-0005-0000-0000-00005A0B0000}"/>
    <cellStyle name="Comma 5 2 3 4 9" xfId="11641" xr:uid="{00000000-0005-0000-0000-00005B0B0000}"/>
    <cellStyle name="Comma 5 2 3 4 9 2" xfId="24075" xr:uid="{00000000-0005-0000-0000-00005C0B0000}"/>
    <cellStyle name="Comma 5 2 3 4 9 2 2" xfId="48949" xr:uid="{00000000-0005-0000-0000-00005D0B0000}"/>
    <cellStyle name="Comma 5 2 3 4 9 3" xfId="36516" xr:uid="{00000000-0005-0000-0000-00005E0B0000}"/>
    <cellStyle name="Comma 5 2 3 5" xfId="372" xr:uid="{00000000-0005-0000-0000-00005F0B0000}"/>
    <cellStyle name="Comma 5 2 3 5 10" xfId="13188" xr:uid="{00000000-0005-0000-0000-0000600B0000}"/>
    <cellStyle name="Comma 5 2 3 5 10 2" xfId="38062" xr:uid="{00000000-0005-0000-0000-0000610B0000}"/>
    <cellStyle name="Comma 5 2 3 5 11" xfId="25621" xr:uid="{00000000-0005-0000-0000-0000620B0000}"/>
    <cellStyle name="Comma 5 2 3 5 2" xfId="732" xr:uid="{00000000-0005-0000-0000-0000630B0000}"/>
    <cellStyle name="Comma 5 2 3 5 2 2" xfId="1297" xr:uid="{00000000-0005-0000-0000-0000640B0000}"/>
    <cellStyle name="Comma 5 2 3 5 2 2 2" xfId="9401" xr:uid="{00000000-0005-0000-0000-0000650B0000}"/>
    <cellStyle name="Comma 5 2 3 5 2 2 2 2" xfId="21844" xr:uid="{00000000-0005-0000-0000-0000660B0000}"/>
    <cellStyle name="Comma 5 2 3 5 2 2 2 2 2" xfId="46718" xr:uid="{00000000-0005-0000-0000-0000670B0000}"/>
    <cellStyle name="Comma 5 2 3 5 2 2 2 3" xfId="34285" xr:uid="{00000000-0005-0000-0000-0000680B0000}"/>
    <cellStyle name="Comma 5 2 3 5 2 2 3" xfId="4383" xr:uid="{00000000-0005-0000-0000-0000690B0000}"/>
    <cellStyle name="Comma 5 2 3 5 2 2 3 2" xfId="16837" xr:uid="{00000000-0005-0000-0000-00006A0B0000}"/>
    <cellStyle name="Comma 5 2 3 5 2 2 3 2 2" xfId="41711" xr:uid="{00000000-0005-0000-0000-00006B0B0000}"/>
    <cellStyle name="Comma 5 2 3 5 2 2 3 3" xfId="29278" xr:uid="{00000000-0005-0000-0000-00006C0B0000}"/>
    <cellStyle name="Comma 5 2 3 5 2 2 4" xfId="14097" xr:uid="{00000000-0005-0000-0000-00006D0B0000}"/>
    <cellStyle name="Comma 5 2 3 5 2 2 4 2" xfId="38971" xr:uid="{00000000-0005-0000-0000-00006E0B0000}"/>
    <cellStyle name="Comma 5 2 3 5 2 2 5" xfId="26530" xr:uid="{00000000-0005-0000-0000-00006F0B0000}"/>
    <cellStyle name="Comma 5 2 3 5 2 3" xfId="5442" xr:uid="{00000000-0005-0000-0000-0000700B0000}"/>
    <cellStyle name="Comma 5 2 3 5 2 3 2" xfId="10458" xr:uid="{00000000-0005-0000-0000-0000710B0000}"/>
    <cellStyle name="Comma 5 2 3 5 2 3 2 2" xfId="22901" xr:uid="{00000000-0005-0000-0000-0000720B0000}"/>
    <cellStyle name="Comma 5 2 3 5 2 3 2 2 2" xfId="47775" xr:uid="{00000000-0005-0000-0000-0000730B0000}"/>
    <cellStyle name="Comma 5 2 3 5 2 3 2 3" xfId="35342" xr:uid="{00000000-0005-0000-0000-0000740B0000}"/>
    <cellStyle name="Comma 5 2 3 5 2 3 3" xfId="17894" xr:uid="{00000000-0005-0000-0000-0000750B0000}"/>
    <cellStyle name="Comma 5 2 3 5 2 3 3 2" xfId="42768" xr:uid="{00000000-0005-0000-0000-0000760B0000}"/>
    <cellStyle name="Comma 5 2 3 5 2 3 4" xfId="30335" xr:uid="{00000000-0005-0000-0000-0000770B0000}"/>
    <cellStyle name="Comma 5 2 3 5 2 4" xfId="8517" xr:uid="{00000000-0005-0000-0000-0000780B0000}"/>
    <cellStyle name="Comma 5 2 3 5 2 4 2" xfId="20961" xr:uid="{00000000-0005-0000-0000-0000790B0000}"/>
    <cellStyle name="Comma 5 2 3 5 2 4 2 2" xfId="45835" xr:uid="{00000000-0005-0000-0000-00007A0B0000}"/>
    <cellStyle name="Comma 5 2 3 5 2 4 3" xfId="33402" xr:uid="{00000000-0005-0000-0000-00007B0B0000}"/>
    <cellStyle name="Comma 5 2 3 5 2 5" xfId="11912" xr:uid="{00000000-0005-0000-0000-00007C0B0000}"/>
    <cellStyle name="Comma 5 2 3 5 2 5 2" xfId="24346" xr:uid="{00000000-0005-0000-0000-00007D0B0000}"/>
    <cellStyle name="Comma 5 2 3 5 2 5 2 2" xfId="49220" xr:uid="{00000000-0005-0000-0000-00007E0B0000}"/>
    <cellStyle name="Comma 5 2 3 5 2 5 3" xfId="36787" xr:uid="{00000000-0005-0000-0000-00007F0B0000}"/>
    <cellStyle name="Comma 5 2 3 5 2 6" xfId="6994" xr:uid="{00000000-0005-0000-0000-0000800B0000}"/>
    <cellStyle name="Comma 5 2 3 5 2 6 2" xfId="19443" xr:uid="{00000000-0005-0000-0000-0000810B0000}"/>
    <cellStyle name="Comma 5 2 3 5 2 6 2 2" xfId="44317" xr:uid="{00000000-0005-0000-0000-0000820B0000}"/>
    <cellStyle name="Comma 5 2 3 5 2 6 3" xfId="31884" xr:uid="{00000000-0005-0000-0000-0000830B0000}"/>
    <cellStyle name="Comma 5 2 3 5 2 7" xfId="3448" xr:uid="{00000000-0005-0000-0000-0000840B0000}"/>
    <cellStyle name="Comma 5 2 3 5 2 7 2" xfId="15954" xr:uid="{00000000-0005-0000-0000-0000850B0000}"/>
    <cellStyle name="Comma 5 2 3 5 2 7 2 2" xfId="40828" xr:uid="{00000000-0005-0000-0000-0000860B0000}"/>
    <cellStyle name="Comma 5 2 3 5 2 7 3" xfId="28387" xr:uid="{00000000-0005-0000-0000-0000870B0000}"/>
    <cellStyle name="Comma 5 2 3 5 2 8" xfId="13535" xr:uid="{00000000-0005-0000-0000-0000880B0000}"/>
    <cellStyle name="Comma 5 2 3 5 2 8 2" xfId="38409" xr:uid="{00000000-0005-0000-0000-0000890B0000}"/>
    <cellStyle name="Comma 5 2 3 5 2 9" xfId="25968" xr:uid="{00000000-0005-0000-0000-00008A0B0000}"/>
    <cellStyle name="Comma 5 2 3 5 3" xfId="1645" xr:uid="{00000000-0005-0000-0000-00008B0B0000}"/>
    <cellStyle name="Comma 5 2 3 5 3 2" xfId="4917" xr:uid="{00000000-0005-0000-0000-00008C0B0000}"/>
    <cellStyle name="Comma 5 2 3 5 3 2 2" xfId="9934" xr:uid="{00000000-0005-0000-0000-00008D0B0000}"/>
    <cellStyle name="Comma 5 2 3 5 3 2 2 2" xfId="22377" xr:uid="{00000000-0005-0000-0000-00008E0B0000}"/>
    <cellStyle name="Comma 5 2 3 5 3 2 2 2 2" xfId="47251" xr:uid="{00000000-0005-0000-0000-00008F0B0000}"/>
    <cellStyle name="Comma 5 2 3 5 3 2 2 3" xfId="34818" xr:uid="{00000000-0005-0000-0000-0000900B0000}"/>
    <cellStyle name="Comma 5 2 3 5 3 2 3" xfId="17370" xr:uid="{00000000-0005-0000-0000-0000910B0000}"/>
    <cellStyle name="Comma 5 2 3 5 3 2 3 2" xfId="42244" xr:uid="{00000000-0005-0000-0000-0000920B0000}"/>
    <cellStyle name="Comma 5 2 3 5 3 2 4" xfId="29811" xr:uid="{00000000-0005-0000-0000-0000930B0000}"/>
    <cellStyle name="Comma 5 2 3 5 3 3" xfId="5791" xr:uid="{00000000-0005-0000-0000-0000940B0000}"/>
    <cellStyle name="Comma 5 2 3 5 3 3 2" xfId="10806" xr:uid="{00000000-0005-0000-0000-0000950B0000}"/>
    <cellStyle name="Comma 5 2 3 5 3 3 2 2" xfId="23249" xr:uid="{00000000-0005-0000-0000-0000960B0000}"/>
    <cellStyle name="Comma 5 2 3 5 3 3 2 2 2" xfId="48123" xr:uid="{00000000-0005-0000-0000-0000970B0000}"/>
    <cellStyle name="Comma 5 2 3 5 3 3 2 3" xfId="35690" xr:uid="{00000000-0005-0000-0000-0000980B0000}"/>
    <cellStyle name="Comma 5 2 3 5 3 3 3" xfId="18242" xr:uid="{00000000-0005-0000-0000-0000990B0000}"/>
    <cellStyle name="Comma 5 2 3 5 3 3 3 2" xfId="43116" xr:uid="{00000000-0005-0000-0000-00009A0B0000}"/>
    <cellStyle name="Comma 5 2 3 5 3 3 4" xfId="30683" xr:uid="{00000000-0005-0000-0000-00009B0B0000}"/>
    <cellStyle name="Comma 5 2 3 5 3 4" xfId="8341" xr:uid="{00000000-0005-0000-0000-00009C0B0000}"/>
    <cellStyle name="Comma 5 2 3 5 3 4 2" xfId="20785" xr:uid="{00000000-0005-0000-0000-00009D0B0000}"/>
    <cellStyle name="Comma 5 2 3 5 3 4 2 2" xfId="45659" xr:uid="{00000000-0005-0000-0000-00009E0B0000}"/>
    <cellStyle name="Comma 5 2 3 5 3 4 3" xfId="33226" xr:uid="{00000000-0005-0000-0000-00009F0B0000}"/>
    <cellStyle name="Comma 5 2 3 5 3 5" xfId="12260" xr:uid="{00000000-0005-0000-0000-0000A00B0000}"/>
    <cellStyle name="Comma 5 2 3 5 3 5 2" xfId="24694" xr:uid="{00000000-0005-0000-0000-0000A10B0000}"/>
    <cellStyle name="Comma 5 2 3 5 3 5 2 2" xfId="49568" xr:uid="{00000000-0005-0000-0000-0000A20B0000}"/>
    <cellStyle name="Comma 5 2 3 5 3 5 3" xfId="37135" xr:uid="{00000000-0005-0000-0000-0000A30B0000}"/>
    <cellStyle name="Comma 5 2 3 5 3 6" xfId="7528" xr:uid="{00000000-0005-0000-0000-0000A40B0000}"/>
    <cellStyle name="Comma 5 2 3 5 3 6 2" xfId="19976" xr:uid="{00000000-0005-0000-0000-0000A50B0000}"/>
    <cellStyle name="Comma 5 2 3 5 3 6 2 2" xfId="44850" xr:uid="{00000000-0005-0000-0000-0000A60B0000}"/>
    <cellStyle name="Comma 5 2 3 5 3 6 3" xfId="32417" xr:uid="{00000000-0005-0000-0000-0000A70B0000}"/>
    <cellStyle name="Comma 5 2 3 5 3 7" xfId="3272" xr:uid="{00000000-0005-0000-0000-0000A80B0000}"/>
    <cellStyle name="Comma 5 2 3 5 3 7 2" xfId="15778" xr:uid="{00000000-0005-0000-0000-0000A90B0000}"/>
    <cellStyle name="Comma 5 2 3 5 3 7 2 2" xfId="40652" xr:uid="{00000000-0005-0000-0000-0000AA0B0000}"/>
    <cellStyle name="Comma 5 2 3 5 3 7 3" xfId="28211" xr:uid="{00000000-0005-0000-0000-0000AB0B0000}"/>
    <cellStyle name="Comma 5 2 3 5 3 8" xfId="14445" xr:uid="{00000000-0005-0000-0000-0000AC0B0000}"/>
    <cellStyle name="Comma 5 2 3 5 3 8 2" xfId="39319" xr:uid="{00000000-0005-0000-0000-0000AD0B0000}"/>
    <cellStyle name="Comma 5 2 3 5 3 9" xfId="26878" xr:uid="{00000000-0005-0000-0000-0000AE0B0000}"/>
    <cellStyle name="Comma 5 2 3 5 4" xfId="2290" xr:uid="{00000000-0005-0000-0000-0000AF0B0000}"/>
    <cellStyle name="Comma 5 2 3 5 4 2" xfId="6315" xr:uid="{00000000-0005-0000-0000-0000B00B0000}"/>
    <cellStyle name="Comma 5 2 3 5 4 2 2" xfId="11330" xr:uid="{00000000-0005-0000-0000-0000B10B0000}"/>
    <cellStyle name="Comma 5 2 3 5 4 2 2 2" xfId="23773" xr:uid="{00000000-0005-0000-0000-0000B20B0000}"/>
    <cellStyle name="Comma 5 2 3 5 4 2 2 2 2" xfId="48647" xr:uid="{00000000-0005-0000-0000-0000B30B0000}"/>
    <cellStyle name="Comma 5 2 3 5 4 2 2 3" xfId="36214" xr:uid="{00000000-0005-0000-0000-0000B40B0000}"/>
    <cellStyle name="Comma 5 2 3 5 4 2 3" xfId="18766" xr:uid="{00000000-0005-0000-0000-0000B50B0000}"/>
    <cellStyle name="Comma 5 2 3 5 4 2 3 2" xfId="43640" xr:uid="{00000000-0005-0000-0000-0000B60B0000}"/>
    <cellStyle name="Comma 5 2 3 5 4 2 4" xfId="31207" xr:uid="{00000000-0005-0000-0000-0000B70B0000}"/>
    <cellStyle name="Comma 5 2 3 5 4 3" xfId="12784" xr:uid="{00000000-0005-0000-0000-0000B80B0000}"/>
    <cellStyle name="Comma 5 2 3 5 4 3 2" xfId="25218" xr:uid="{00000000-0005-0000-0000-0000B90B0000}"/>
    <cellStyle name="Comma 5 2 3 5 4 3 2 2" xfId="50092" xr:uid="{00000000-0005-0000-0000-0000BA0B0000}"/>
    <cellStyle name="Comma 5 2 3 5 4 3 3" xfId="37659" xr:uid="{00000000-0005-0000-0000-0000BB0B0000}"/>
    <cellStyle name="Comma 5 2 3 5 4 4" xfId="9225" xr:uid="{00000000-0005-0000-0000-0000BC0B0000}"/>
    <cellStyle name="Comma 5 2 3 5 4 4 2" xfId="21668" xr:uid="{00000000-0005-0000-0000-0000BD0B0000}"/>
    <cellStyle name="Comma 5 2 3 5 4 4 2 2" xfId="46542" xr:uid="{00000000-0005-0000-0000-0000BE0B0000}"/>
    <cellStyle name="Comma 5 2 3 5 4 4 3" xfId="34109" xr:uid="{00000000-0005-0000-0000-0000BF0B0000}"/>
    <cellStyle name="Comma 5 2 3 5 4 5" xfId="4207" xr:uid="{00000000-0005-0000-0000-0000C00B0000}"/>
    <cellStyle name="Comma 5 2 3 5 4 5 2" xfId="16661" xr:uid="{00000000-0005-0000-0000-0000C10B0000}"/>
    <cellStyle name="Comma 5 2 3 5 4 5 2 2" xfId="41535" xr:uid="{00000000-0005-0000-0000-0000C20B0000}"/>
    <cellStyle name="Comma 5 2 3 5 4 5 3" xfId="29102" xr:uid="{00000000-0005-0000-0000-0000C30B0000}"/>
    <cellStyle name="Comma 5 2 3 5 4 6" xfId="14969" xr:uid="{00000000-0005-0000-0000-0000C40B0000}"/>
    <cellStyle name="Comma 5 2 3 5 4 6 2" xfId="39843" xr:uid="{00000000-0005-0000-0000-0000C50B0000}"/>
    <cellStyle name="Comma 5 2 3 5 4 7" xfId="27402" xr:uid="{00000000-0005-0000-0000-0000C60B0000}"/>
    <cellStyle name="Comma 5 2 3 5 5" xfId="1126" xr:uid="{00000000-0005-0000-0000-0000C70B0000}"/>
    <cellStyle name="Comma 5 2 3 5 5 2" xfId="10287" xr:uid="{00000000-0005-0000-0000-0000C80B0000}"/>
    <cellStyle name="Comma 5 2 3 5 5 2 2" xfId="22730" xr:uid="{00000000-0005-0000-0000-0000C90B0000}"/>
    <cellStyle name="Comma 5 2 3 5 5 2 2 2" xfId="47604" xr:uid="{00000000-0005-0000-0000-0000CA0B0000}"/>
    <cellStyle name="Comma 5 2 3 5 5 2 3" xfId="35171" xr:uid="{00000000-0005-0000-0000-0000CB0B0000}"/>
    <cellStyle name="Comma 5 2 3 5 5 3" xfId="5271" xr:uid="{00000000-0005-0000-0000-0000CC0B0000}"/>
    <cellStyle name="Comma 5 2 3 5 5 3 2" xfId="17723" xr:uid="{00000000-0005-0000-0000-0000CD0B0000}"/>
    <cellStyle name="Comma 5 2 3 5 5 3 2 2" xfId="42597" xr:uid="{00000000-0005-0000-0000-0000CE0B0000}"/>
    <cellStyle name="Comma 5 2 3 5 5 3 3" xfId="30164" xr:uid="{00000000-0005-0000-0000-0000CF0B0000}"/>
    <cellStyle name="Comma 5 2 3 5 5 4" xfId="13926" xr:uid="{00000000-0005-0000-0000-0000D00B0000}"/>
    <cellStyle name="Comma 5 2 3 5 5 4 2" xfId="38800" xr:uid="{00000000-0005-0000-0000-0000D10B0000}"/>
    <cellStyle name="Comma 5 2 3 5 5 5" xfId="26359" xr:uid="{00000000-0005-0000-0000-0000D20B0000}"/>
    <cellStyle name="Comma 5 2 3 5 6" xfId="7848" xr:uid="{00000000-0005-0000-0000-0000D30B0000}"/>
    <cellStyle name="Comma 5 2 3 5 6 2" xfId="20294" xr:uid="{00000000-0005-0000-0000-0000D40B0000}"/>
    <cellStyle name="Comma 5 2 3 5 6 2 2" xfId="45168" xr:uid="{00000000-0005-0000-0000-0000D50B0000}"/>
    <cellStyle name="Comma 5 2 3 5 6 3" xfId="32735" xr:uid="{00000000-0005-0000-0000-0000D60B0000}"/>
    <cellStyle name="Comma 5 2 3 5 7" xfId="11741" xr:uid="{00000000-0005-0000-0000-0000D70B0000}"/>
    <cellStyle name="Comma 5 2 3 5 7 2" xfId="24175" xr:uid="{00000000-0005-0000-0000-0000D80B0000}"/>
    <cellStyle name="Comma 5 2 3 5 7 2 2" xfId="49049" xr:uid="{00000000-0005-0000-0000-0000D90B0000}"/>
    <cellStyle name="Comma 5 2 3 5 7 3" xfId="36616" xr:uid="{00000000-0005-0000-0000-0000DA0B0000}"/>
    <cellStyle name="Comma 5 2 3 5 8" xfId="6818" xr:uid="{00000000-0005-0000-0000-0000DB0B0000}"/>
    <cellStyle name="Comma 5 2 3 5 8 2" xfId="19267" xr:uid="{00000000-0005-0000-0000-0000DC0B0000}"/>
    <cellStyle name="Comma 5 2 3 5 8 2 2" xfId="44141" xr:uid="{00000000-0005-0000-0000-0000DD0B0000}"/>
    <cellStyle name="Comma 5 2 3 5 8 3" xfId="31708" xr:uid="{00000000-0005-0000-0000-0000DE0B0000}"/>
    <cellStyle name="Comma 5 2 3 5 9" xfId="2769" xr:uid="{00000000-0005-0000-0000-0000DF0B0000}"/>
    <cellStyle name="Comma 5 2 3 5 9 2" xfId="15287" xr:uid="{00000000-0005-0000-0000-0000E00B0000}"/>
    <cellStyle name="Comma 5 2 3 5 9 2 2" xfId="40161" xr:uid="{00000000-0005-0000-0000-0000E10B0000}"/>
    <cellStyle name="Comma 5 2 3 5 9 3" xfId="27720" xr:uid="{00000000-0005-0000-0000-0000E20B0000}"/>
    <cellStyle name="Comma 5 2 3 6" xfId="237" xr:uid="{00000000-0005-0000-0000-0000E30B0000}"/>
    <cellStyle name="Comma 5 2 3 6 10" xfId="13063" xr:uid="{00000000-0005-0000-0000-0000E40B0000}"/>
    <cellStyle name="Comma 5 2 3 6 10 2" xfId="37937" xr:uid="{00000000-0005-0000-0000-0000E50B0000}"/>
    <cellStyle name="Comma 5 2 3 6 11" xfId="25496" xr:uid="{00000000-0005-0000-0000-0000E60B0000}"/>
    <cellStyle name="Comma 5 2 3 6 2" xfId="601" xr:uid="{00000000-0005-0000-0000-0000E70B0000}"/>
    <cellStyle name="Comma 5 2 3 6 2 2" xfId="1298" xr:uid="{00000000-0005-0000-0000-0000E80B0000}"/>
    <cellStyle name="Comma 5 2 3 6 2 2 2" xfId="9402" xr:uid="{00000000-0005-0000-0000-0000E90B0000}"/>
    <cellStyle name="Comma 5 2 3 6 2 2 2 2" xfId="21845" xr:uid="{00000000-0005-0000-0000-0000EA0B0000}"/>
    <cellStyle name="Comma 5 2 3 6 2 2 2 2 2" xfId="46719" xr:uid="{00000000-0005-0000-0000-0000EB0B0000}"/>
    <cellStyle name="Comma 5 2 3 6 2 2 2 3" xfId="34286" xr:uid="{00000000-0005-0000-0000-0000EC0B0000}"/>
    <cellStyle name="Comma 5 2 3 6 2 2 3" xfId="4384" xr:uid="{00000000-0005-0000-0000-0000ED0B0000}"/>
    <cellStyle name="Comma 5 2 3 6 2 2 3 2" xfId="16838" xr:uid="{00000000-0005-0000-0000-0000EE0B0000}"/>
    <cellStyle name="Comma 5 2 3 6 2 2 3 2 2" xfId="41712" xr:uid="{00000000-0005-0000-0000-0000EF0B0000}"/>
    <cellStyle name="Comma 5 2 3 6 2 2 3 3" xfId="29279" xr:uid="{00000000-0005-0000-0000-0000F00B0000}"/>
    <cellStyle name="Comma 5 2 3 6 2 2 4" xfId="14098" xr:uid="{00000000-0005-0000-0000-0000F10B0000}"/>
    <cellStyle name="Comma 5 2 3 6 2 2 4 2" xfId="38972" xr:uid="{00000000-0005-0000-0000-0000F20B0000}"/>
    <cellStyle name="Comma 5 2 3 6 2 2 5" xfId="26531" xr:uid="{00000000-0005-0000-0000-0000F30B0000}"/>
    <cellStyle name="Comma 5 2 3 6 2 3" xfId="5443" xr:uid="{00000000-0005-0000-0000-0000F40B0000}"/>
    <cellStyle name="Comma 5 2 3 6 2 3 2" xfId="10459" xr:uid="{00000000-0005-0000-0000-0000F50B0000}"/>
    <cellStyle name="Comma 5 2 3 6 2 3 2 2" xfId="22902" xr:uid="{00000000-0005-0000-0000-0000F60B0000}"/>
    <cellStyle name="Comma 5 2 3 6 2 3 2 2 2" xfId="47776" xr:uid="{00000000-0005-0000-0000-0000F70B0000}"/>
    <cellStyle name="Comma 5 2 3 6 2 3 2 3" xfId="35343" xr:uid="{00000000-0005-0000-0000-0000F80B0000}"/>
    <cellStyle name="Comma 5 2 3 6 2 3 3" xfId="17895" xr:uid="{00000000-0005-0000-0000-0000F90B0000}"/>
    <cellStyle name="Comma 5 2 3 6 2 3 3 2" xfId="42769" xr:uid="{00000000-0005-0000-0000-0000FA0B0000}"/>
    <cellStyle name="Comma 5 2 3 6 2 3 4" xfId="30336" xr:uid="{00000000-0005-0000-0000-0000FB0B0000}"/>
    <cellStyle name="Comma 5 2 3 6 2 4" xfId="8518" xr:uid="{00000000-0005-0000-0000-0000FC0B0000}"/>
    <cellStyle name="Comma 5 2 3 6 2 4 2" xfId="20962" xr:uid="{00000000-0005-0000-0000-0000FD0B0000}"/>
    <cellStyle name="Comma 5 2 3 6 2 4 2 2" xfId="45836" xr:uid="{00000000-0005-0000-0000-0000FE0B0000}"/>
    <cellStyle name="Comma 5 2 3 6 2 4 3" xfId="33403" xr:uid="{00000000-0005-0000-0000-0000FF0B0000}"/>
    <cellStyle name="Comma 5 2 3 6 2 5" xfId="11913" xr:uid="{00000000-0005-0000-0000-0000000C0000}"/>
    <cellStyle name="Comma 5 2 3 6 2 5 2" xfId="24347" xr:uid="{00000000-0005-0000-0000-0000010C0000}"/>
    <cellStyle name="Comma 5 2 3 6 2 5 2 2" xfId="49221" xr:uid="{00000000-0005-0000-0000-0000020C0000}"/>
    <cellStyle name="Comma 5 2 3 6 2 5 3" xfId="36788" xr:uid="{00000000-0005-0000-0000-0000030C0000}"/>
    <cellStyle name="Comma 5 2 3 6 2 6" xfId="6995" xr:uid="{00000000-0005-0000-0000-0000040C0000}"/>
    <cellStyle name="Comma 5 2 3 6 2 6 2" xfId="19444" xr:uid="{00000000-0005-0000-0000-0000050C0000}"/>
    <cellStyle name="Comma 5 2 3 6 2 6 2 2" xfId="44318" xr:uid="{00000000-0005-0000-0000-0000060C0000}"/>
    <cellStyle name="Comma 5 2 3 6 2 6 3" xfId="31885" xr:uid="{00000000-0005-0000-0000-0000070C0000}"/>
    <cellStyle name="Comma 5 2 3 6 2 7" xfId="3449" xr:uid="{00000000-0005-0000-0000-0000080C0000}"/>
    <cellStyle name="Comma 5 2 3 6 2 7 2" xfId="15955" xr:uid="{00000000-0005-0000-0000-0000090C0000}"/>
    <cellStyle name="Comma 5 2 3 6 2 7 2 2" xfId="40829" xr:uid="{00000000-0005-0000-0000-00000A0C0000}"/>
    <cellStyle name="Comma 5 2 3 6 2 7 3" xfId="28388" xr:uid="{00000000-0005-0000-0000-00000B0C0000}"/>
    <cellStyle name="Comma 5 2 3 6 2 8" xfId="13410" xr:uid="{00000000-0005-0000-0000-00000C0C0000}"/>
    <cellStyle name="Comma 5 2 3 6 2 8 2" xfId="38284" xr:uid="{00000000-0005-0000-0000-00000D0C0000}"/>
    <cellStyle name="Comma 5 2 3 6 2 9" xfId="25843" xr:uid="{00000000-0005-0000-0000-00000E0C0000}"/>
    <cellStyle name="Comma 5 2 3 6 3" xfId="1646" xr:uid="{00000000-0005-0000-0000-00000F0C0000}"/>
    <cellStyle name="Comma 5 2 3 6 3 2" xfId="4792" xr:uid="{00000000-0005-0000-0000-0000100C0000}"/>
    <cellStyle name="Comma 5 2 3 6 3 2 2" xfId="9809" xr:uid="{00000000-0005-0000-0000-0000110C0000}"/>
    <cellStyle name="Comma 5 2 3 6 3 2 2 2" xfId="22252" xr:uid="{00000000-0005-0000-0000-0000120C0000}"/>
    <cellStyle name="Comma 5 2 3 6 3 2 2 2 2" xfId="47126" xr:uid="{00000000-0005-0000-0000-0000130C0000}"/>
    <cellStyle name="Comma 5 2 3 6 3 2 2 3" xfId="34693" xr:uid="{00000000-0005-0000-0000-0000140C0000}"/>
    <cellStyle name="Comma 5 2 3 6 3 2 3" xfId="17245" xr:uid="{00000000-0005-0000-0000-0000150C0000}"/>
    <cellStyle name="Comma 5 2 3 6 3 2 3 2" xfId="42119" xr:uid="{00000000-0005-0000-0000-0000160C0000}"/>
    <cellStyle name="Comma 5 2 3 6 3 2 4" xfId="29686" xr:uid="{00000000-0005-0000-0000-0000170C0000}"/>
    <cellStyle name="Comma 5 2 3 6 3 3" xfId="5792" xr:uid="{00000000-0005-0000-0000-0000180C0000}"/>
    <cellStyle name="Comma 5 2 3 6 3 3 2" xfId="10807" xr:uid="{00000000-0005-0000-0000-0000190C0000}"/>
    <cellStyle name="Comma 5 2 3 6 3 3 2 2" xfId="23250" xr:uid="{00000000-0005-0000-0000-00001A0C0000}"/>
    <cellStyle name="Comma 5 2 3 6 3 3 2 2 2" xfId="48124" xr:uid="{00000000-0005-0000-0000-00001B0C0000}"/>
    <cellStyle name="Comma 5 2 3 6 3 3 2 3" xfId="35691" xr:uid="{00000000-0005-0000-0000-00001C0C0000}"/>
    <cellStyle name="Comma 5 2 3 6 3 3 3" xfId="18243" xr:uid="{00000000-0005-0000-0000-00001D0C0000}"/>
    <cellStyle name="Comma 5 2 3 6 3 3 3 2" xfId="43117" xr:uid="{00000000-0005-0000-0000-00001E0C0000}"/>
    <cellStyle name="Comma 5 2 3 6 3 3 4" xfId="30684" xr:uid="{00000000-0005-0000-0000-00001F0C0000}"/>
    <cellStyle name="Comma 5 2 3 6 3 4" xfId="8854" xr:uid="{00000000-0005-0000-0000-0000200C0000}"/>
    <cellStyle name="Comma 5 2 3 6 3 4 2" xfId="21297" xr:uid="{00000000-0005-0000-0000-0000210C0000}"/>
    <cellStyle name="Comma 5 2 3 6 3 4 2 2" xfId="46171" xr:uid="{00000000-0005-0000-0000-0000220C0000}"/>
    <cellStyle name="Comma 5 2 3 6 3 4 3" xfId="33738" xr:uid="{00000000-0005-0000-0000-0000230C0000}"/>
    <cellStyle name="Comma 5 2 3 6 3 5" xfId="12261" xr:uid="{00000000-0005-0000-0000-0000240C0000}"/>
    <cellStyle name="Comma 5 2 3 6 3 5 2" xfId="24695" xr:uid="{00000000-0005-0000-0000-0000250C0000}"/>
    <cellStyle name="Comma 5 2 3 6 3 5 2 2" xfId="49569" xr:uid="{00000000-0005-0000-0000-0000260C0000}"/>
    <cellStyle name="Comma 5 2 3 6 3 5 3" xfId="37136" xr:uid="{00000000-0005-0000-0000-0000270C0000}"/>
    <cellStyle name="Comma 5 2 3 6 3 6" xfId="7403" xr:uid="{00000000-0005-0000-0000-0000280C0000}"/>
    <cellStyle name="Comma 5 2 3 6 3 6 2" xfId="19851" xr:uid="{00000000-0005-0000-0000-0000290C0000}"/>
    <cellStyle name="Comma 5 2 3 6 3 6 2 2" xfId="44725" xr:uid="{00000000-0005-0000-0000-00002A0C0000}"/>
    <cellStyle name="Comma 5 2 3 6 3 6 3" xfId="32292" xr:uid="{00000000-0005-0000-0000-00002B0C0000}"/>
    <cellStyle name="Comma 5 2 3 6 3 7" xfId="3836" xr:uid="{00000000-0005-0000-0000-00002C0C0000}"/>
    <cellStyle name="Comma 5 2 3 6 3 7 2" xfId="16290" xr:uid="{00000000-0005-0000-0000-00002D0C0000}"/>
    <cellStyle name="Comma 5 2 3 6 3 7 2 2" xfId="41164" xr:uid="{00000000-0005-0000-0000-00002E0C0000}"/>
    <cellStyle name="Comma 5 2 3 6 3 7 3" xfId="28731" xr:uid="{00000000-0005-0000-0000-00002F0C0000}"/>
    <cellStyle name="Comma 5 2 3 6 3 8" xfId="14446" xr:uid="{00000000-0005-0000-0000-0000300C0000}"/>
    <cellStyle name="Comma 5 2 3 6 3 8 2" xfId="39320" xr:uid="{00000000-0005-0000-0000-0000310C0000}"/>
    <cellStyle name="Comma 5 2 3 6 3 9" xfId="26879" xr:uid="{00000000-0005-0000-0000-0000320C0000}"/>
    <cellStyle name="Comma 5 2 3 6 4" xfId="2155" xr:uid="{00000000-0005-0000-0000-0000330C0000}"/>
    <cellStyle name="Comma 5 2 3 6 4 2" xfId="6190" xr:uid="{00000000-0005-0000-0000-0000340C0000}"/>
    <cellStyle name="Comma 5 2 3 6 4 2 2" xfId="11205" xr:uid="{00000000-0005-0000-0000-0000350C0000}"/>
    <cellStyle name="Comma 5 2 3 6 4 2 2 2" xfId="23648" xr:uid="{00000000-0005-0000-0000-0000360C0000}"/>
    <cellStyle name="Comma 5 2 3 6 4 2 2 2 2" xfId="48522" xr:uid="{00000000-0005-0000-0000-0000370C0000}"/>
    <cellStyle name="Comma 5 2 3 6 4 2 2 3" xfId="36089" xr:uid="{00000000-0005-0000-0000-0000380C0000}"/>
    <cellStyle name="Comma 5 2 3 6 4 2 3" xfId="18641" xr:uid="{00000000-0005-0000-0000-0000390C0000}"/>
    <cellStyle name="Comma 5 2 3 6 4 2 3 2" xfId="43515" xr:uid="{00000000-0005-0000-0000-00003A0C0000}"/>
    <cellStyle name="Comma 5 2 3 6 4 2 4" xfId="31082" xr:uid="{00000000-0005-0000-0000-00003B0C0000}"/>
    <cellStyle name="Comma 5 2 3 6 4 3" xfId="12659" xr:uid="{00000000-0005-0000-0000-00003C0C0000}"/>
    <cellStyle name="Comma 5 2 3 6 4 3 2" xfId="25093" xr:uid="{00000000-0005-0000-0000-00003D0C0000}"/>
    <cellStyle name="Comma 5 2 3 6 4 3 2 2" xfId="49967" xr:uid="{00000000-0005-0000-0000-00003E0C0000}"/>
    <cellStyle name="Comma 5 2 3 6 4 3 3" xfId="37534" xr:uid="{00000000-0005-0000-0000-00003F0C0000}"/>
    <cellStyle name="Comma 5 2 3 6 4 4" xfId="9100" xr:uid="{00000000-0005-0000-0000-0000400C0000}"/>
    <cellStyle name="Comma 5 2 3 6 4 4 2" xfId="21543" xr:uid="{00000000-0005-0000-0000-0000410C0000}"/>
    <cellStyle name="Comma 5 2 3 6 4 4 2 2" xfId="46417" xr:uid="{00000000-0005-0000-0000-0000420C0000}"/>
    <cellStyle name="Comma 5 2 3 6 4 4 3" xfId="33984" xr:uid="{00000000-0005-0000-0000-0000430C0000}"/>
    <cellStyle name="Comma 5 2 3 6 4 5" xfId="4082" xr:uid="{00000000-0005-0000-0000-0000440C0000}"/>
    <cellStyle name="Comma 5 2 3 6 4 5 2" xfId="16536" xr:uid="{00000000-0005-0000-0000-0000450C0000}"/>
    <cellStyle name="Comma 5 2 3 6 4 5 2 2" xfId="41410" xr:uid="{00000000-0005-0000-0000-0000460C0000}"/>
    <cellStyle name="Comma 5 2 3 6 4 5 3" xfId="28977" xr:uid="{00000000-0005-0000-0000-0000470C0000}"/>
    <cellStyle name="Comma 5 2 3 6 4 6" xfId="14844" xr:uid="{00000000-0005-0000-0000-0000480C0000}"/>
    <cellStyle name="Comma 5 2 3 6 4 6 2" xfId="39718" xr:uid="{00000000-0005-0000-0000-0000490C0000}"/>
    <cellStyle name="Comma 5 2 3 6 4 7" xfId="27277" xr:uid="{00000000-0005-0000-0000-00004A0C0000}"/>
    <cellStyle name="Comma 5 2 3 6 5" xfId="1001" xr:uid="{00000000-0005-0000-0000-00004B0C0000}"/>
    <cellStyle name="Comma 5 2 3 6 5 2" xfId="10160" xr:uid="{00000000-0005-0000-0000-00004C0C0000}"/>
    <cellStyle name="Comma 5 2 3 6 5 2 2" xfId="22603" xr:uid="{00000000-0005-0000-0000-00004D0C0000}"/>
    <cellStyle name="Comma 5 2 3 6 5 2 2 2" xfId="47477" xr:uid="{00000000-0005-0000-0000-00004E0C0000}"/>
    <cellStyle name="Comma 5 2 3 6 5 2 3" xfId="35044" xr:uid="{00000000-0005-0000-0000-00004F0C0000}"/>
    <cellStyle name="Comma 5 2 3 6 5 3" xfId="5144" xr:uid="{00000000-0005-0000-0000-0000500C0000}"/>
    <cellStyle name="Comma 5 2 3 6 5 3 2" xfId="17596" xr:uid="{00000000-0005-0000-0000-0000510C0000}"/>
    <cellStyle name="Comma 5 2 3 6 5 3 2 2" xfId="42470" xr:uid="{00000000-0005-0000-0000-0000520C0000}"/>
    <cellStyle name="Comma 5 2 3 6 5 3 3" xfId="30037" xr:uid="{00000000-0005-0000-0000-0000530C0000}"/>
    <cellStyle name="Comma 5 2 3 6 5 4" xfId="13801" xr:uid="{00000000-0005-0000-0000-0000540C0000}"/>
    <cellStyle name="Comma 5 2 3 6 5 4 2" xfId="38675" xr:uid="{00000000-0005-0000-0000-0000550C0000}"/>
    <cellStyle name="Comma 5 2 3 6 5 5" xfId="26234" xr:uid="{00000000-0005-0000-0000-0000560C0000}"/>
    <cellStyle name="Comma 5 2 3 6 6" xfId="8216" xr:uid="{00000000-0005-0000-0000-0000570C0000}"/>
    <cellStyle name="Comma 5 2 3 6 6 2" xfId="20660" xr:uid="{00000000-0005-0000-0000-0000580C0000}"/>
    <cellStyle name="Comma 5 2 3 6 6 2 2" xfId="45534" xr:uid="{00000000-0005-0000-0000-0000590C0000}"/>
    <cellStyle name="Comma 5 2 3 6 6 3" xfId="33101" xr:uid="{00000000-0005-0000-0000-00005A0C0000}"/>
    <cellStyle name="Comma 5 2 3 6 7" xfId="11616" xr:uid="{00000000-0005-0000-0000-00005B0C0000}"/>
    <cellStyle name="Comma 5 2 3 6 7 2" xfId="24050" xr:uid="{00000000-0005-0000-0000-00005C0C0000}"/>
    <cellStyle name="Comma 5 2 3 6 7 2 2" xfId="48924" xr:uid="{00000000-0005-0000-0000-00005D0C0000}"/>
    <cellStyle name="Comma 5 2 3 6 7 3" xfId="36491" xr:uid="{00000000-0005-0000-0000-00005E0C0000}"/>
    <cellStyle name="Comma 5 2 3 6 8" xfId="6693" xr:uid="{00000000-0005-0000-0000-00005F0C0000}"/>
    <cellStyle name="Comma 5 2 3 6 8 2" xfId="19142" xr:uid="{00000000-0005-0000-0000-0000600C0000}"/>
    <cellStyle name="Comma 5 2 3 6 8 2 2" xfId="44016" xr:uid="{00000000-0005-0000-0000-0000610C0000}"/>
    <cellStyle name="Comma 5 2 3 6 8 3" xfId="31583" xr:uid="{00000000-0005-0000-0000-0000620C0000}"/>
    <cellStyle name="Comma 5 2 3 6 9" xfId="3147" xr:uid="{00000000-0005-0000-0000-0000630C0000}"/>
    <cellStyle name="Comma 5 2 3 6 9 2" xfId="15653" xr:uid="{00000000-0005-0000-0000-0000640C0000}"/>
    <cellStyle name="Comma 5 2 3 6 9 2 2" xfId="40527" xr:uid="{00000000-0005-0000-0000-0000650C0000}"/>
    <cellStyle name="Comma 5 2 3 6 9 3" xfId="28086" xr:uid="{00000000-0005-0000-0000-0000660C0000}"/>
    <cellStyle name="Comma 5 2 3 7" xfId="555" xr:uid="{00000000-0005-0000-0000-0000670C0000}"/>
    <cellStyle name="Comma 5 2 3 7 2" xfId="1289" xr:uid="{00000000-0005-0000-0000-0000680C0000}"/>
    <cellStyle name="Comma 5 2 3 7 2 2" xfId="9393" xr:uid="{00000000-0005-0000-0000-0000690C0000}"/>
    <cellStyle name="Comma 5 2 3 7 2 2 2" xfId="21836" xr:uid="{00000000-0005-0000-0000-00006A0C0000}"/>
    <cellStyle name="Comma 5 2 3 7 2 2 2 2" xfId="46710" xr:uid="{00000000-0005-0000-0000-00006B0C0000}"/>
    <cellStyle name="Comma 5 2 3 7 2 2 3" xfId="34277" xr:uid="{00000000-0005-0000-0000-00006C0C0000}"/>
    <cellStyle name="Comma 5 2 3 7 2 3" xfId="4375" xr:uid="{00000000-0005-0000-0000-00006D0C0000}"/>
    <cellStyle name="Comma 5 2 3 7 2 3 2" xfId="16829" xr:uid="{00000000-0005-0000-0000-00006E0C0000}"/>
    <cellStyle name="Comma 5 2 3 7 2 3 2 2" xfId="41703" xr:uid="{00000000-0005-0000-0000-00006F0C0000}"/>
    <cellStyle name="Comma 5 2 3 7 2 3 3" xfId="29270" xr:uid="{00000000-0005-0000-0000-0000700C0000}"/>
    <cellStyle name="Comma 5 2 3 7 2 4" xfId="14089" xr:uid="{00000000-0005-0000-0000-0000710C0000}"/>
    <cellStyle name="Comma 5 2 3 7 2 4 2" xfId="38963" xr:uid="{00000000-0005-0000-0000-0000720C0000}"/>
    <cellStyle name="Comma 5 2 3 7 2 5" xfId="26522" xr:uid="{00000000-0005-0000-0000-0000730C0000}"/>
    <cellStyle name="Comma 5 2 3 7 3" xfId="5434" xr:uid="{00000000-0005-0000-0000-0000740C0000}"/>
    <cellStyle name="Comma 5 2 3 7 3 2" xfId="10450" xr:uid="{00000000-0005-0000-0000-0000750C0000}"/>
    <cellStyle name="Comma 5 2 3 7 3 2 2" xfId="22893" xr:uid="{00000000-0005-0000-0000-0000760C0000}"/>
    <cellStyle name="Comma 5 2 3 7 3 2 2 2" xfId="47767" xr:uid="{00000000-0005-0000-0000-0000770C0000}"/>
    <cellStyle name="Comma 5 2 3 7 3 2 3" xfId="35334" xr:uid="{00000000-0005-0000-0000-0000780C0000}"/>
    <cellStyle name="Comma 5 2 3 7 3 3" xfId="17886" xr:uid="{00000000-0005-0000-0000-0000790C0000}"/>
    <cellStyle name="Comma 5 2 3 7 3 3 2" xfId="42760" xr:uid="{00000000-0005-0000-0000-00007A0C0000}"/>
    <cellStyle name="Comma 5 2 3 7 3 4" xfId="30327" xr:uid="{00000000-0005-0000-0000-00007B0C0000}"/>
    <cellStyle name="Comma 5 2 3 7 4" xfId="8509" xr:uid="{00000000-0005-0000-0000-00007C0C0000}"/>
    <cellStyle name="Comma 5 2 3 7 4 2" xfId="20953" xr:uid="{00000000-0005-0000-0000-00007D0C0000}"/>
    <cellStyle name="Comma 5 2 3 7 4 2 2" xfId="45827" xr:uid="{00000000-0005-0000-0000-00007E0C0000}"/>
    <cellStyle name="Comma 5 2 3 7 4 3" xfId="33394" xr:uid="{00000000-0005-0000-0000-00007F0C0000}"/>
    <cellStyle name="Comma 5 2 3 7 5" xfId="11904" xr:uid="{00000000-0005-0000-0000-0000800C0000}"/>
    <cellStyle name="Comma 5 2 3 7 5 2" xfId="24338" xr:uid="{00000000-0005-0000-0000-0000810C0000}"/>
    <cellStyle name="Comma 5 2 3 7 5 2 2" xfId="49212" xr:uid="{00000000-0005-0000-0000-0000820C0000}"/>
    <cellStyle name="Comma 5 2 3 7 5 3" xfId="36779" xr:uid="{00000000-0005-0000-0000-0000830C0000}"/>
    <cellStyle name="Comma 5 2 3 7 6" xfId="6986" xr:uid="{00000000-0005-0000-0000-0000840C0000}"/>
    <cellStyle name="Comma 5 2 3 7 6 2" xfId="19435" xr:uid="{00000000-0005-0000-0000-0000850C0000}"/>
    <cellStyle name="Comma 5 2 3 7 6 2 2" xfId="44309" xr:uid="{00000000-0005-0000-0000-0000860C0000}"/>
    <cellStyle name="Comma 5 2 3 7 6 3" xfId="31876" xr:uid="{00000000-0005-0000-0000-0000870C0000}"/>
    <cellStyle name="Comma 5 2 3 7 7" xfId="3440" xr:uid="{00000000-0005-0000-0000-0000880C0000}"/>
    <cellStyle name="Comma 5 2 3 7 7 2" xfId="15946" xr:uid="{00000000-0005-0000-0000-0000890C0000}"/>
    <cellStyle name="Comma 5 2 3 7 7 2 2" xfId="40820" xr:uid="{00000000-0005-0000-0000-00008A0C0000}"/>
    <cellStyle name="Comma 5 2 3 7 7 3" xfId="28379" xr:uid="{00000000-0005-0000-0000-00008B0C0000}"/>
    <cellStyle name="Comma 5 2 3 7 8" xfId="13365" xr:uid="{00000000-0005-0000-0000-00008C0C0000}"/>
    <cellStyle name="Comma 5 2 3 7 8 2" xfId="38239" xr:uid="{00000000-0005-0000-0000-00008D0C0000}"/>
    <cellStyle name="Comma 5 2 3 7 9" xfId="25798" xr:uid="{00000000-0005-0000-0000-00008E0C0000}"/>
    <cellStyle name="Comma 5 2 3 8" xfId="1637" xr:uid="{00000000-0005-0000-0000-00008F0C0000}"/>
    <cellStyle name="Comma 5 2 3 8 2" xfId="4747" xr:uid="{00000000-0005-0000-0000-0000900C0000}"/>
    <cellStyle name="Comma 5 2 3 8 2 2" xfId="9764" xr:uid="{00000000-0005-0000-0000-0000910C0000}"/>
    <cellStyle name="Comma 5 2 3 8 2 2 2" xfId="22207" xr:uid="{00000000-0005-0000-0000-0000920C0000}"/>
    <cellStyle name="Comma 5 2 3 8 2 2 2 2" xfId="47081" xr:uid="{00000000-0005-0000-0000-0000930C0000}"/>
    <cellStyle name="Comma 5 2 3 8 2 2 3" xfId="34648" xr:uid="{00000000-0005-0000-0000-0000940C0000}"/>
    <cellStyle name="Comma 5 2 3 8 2 3" xfId="17200" xr:uid="{00000000-0005-0000-0000-0000950C0000}"/>
    <cellStyle name="Comma 5 2 3 8 2 3 2" xfId="42074" xr:uid="{00000000-0005-0000-0000-0000960C0000}"/>
    <cellStyle name="Comma 5 2 3 8 2 4" xfId="29641" xr:uid="{00000000-0005-0000-0000-0000970C0000}"/>
    <cellStyle name="Comma 5 2 3 8 3" xfId="5783" xr:uid="{00000000-0005-0000-0000-0000980C0000}"/>
    <cellStyle name="Comma 5 2 3 8 3 2" xfId="10798" xr:uid="{00000000-0005-0000-0000-0000990C0000}"/>
    <cellStyle name="Comma 5 2 3 8 3 2 2" xfId="23241" xr:uid="{00000000-0005-0000-0000-00009A0C0000}"/>
    <cellStyle name="Comma 5 2 3 8 3 2 2 2" xfId="48115" xr:uid="{00000000-0005-0000-0000-00009B0C0000}"/>
    <cellStyle name="Comma 5 2 3 8 3 2 3" xfId="35682" xr:uid="{00000000-0005-0000-0000-00009C0C0000}"/>
    <cellStyle name="Comma 5 2 3 8 3 3" xfId="18234" xr:uid="{00000000-0005-0000-0000-00009D0C0000}"/>
    <cellStyle name="Comma 5 2 3 8 3 3 2" xfId="43108" xr:uid="{00000000-0005-0000-0000-00009E0C0000}"/>
    <cellStyle name="Comma 5 2 3 8 3 4" xfId="30675" xr:uid="{00000000-0005-0000-0000-00009F0C0000}"/>
    <cellStyle name="Comma 5 2 3 8 4" xfId="8021" xr:uid="{00000000-0005-0000-0000-0000A00C0000}"/>
    <cellStyle name="Comma 5 2 3 8 4 2" xfId="20467" xr:uid="{00000000-0005-0000-0000-0000A10C0000}"/>
    <cellStyle name="Comma 5 2 3 8 4 2 2" xfId="45341" xr:uid="{00000000-0005-0000-0000-0000A20C0000}"/>
    <cellStyle name="Comma 5 2 3 8 4 3" xfId="32908" xr:uid="{00000000-0005-0000-0000-0000A30C0000}"/>
    <cellStyle name="Comma 5 2 3 8 5" xfId="12252" xr:uid="{00000000-0005-0000-0000-0000A40C0000}"/>
    <cellStyle name="Comma 5 2 3 8 5 2" xfId="24686" xr:uid="{00000000-0005-0000-0000-0000A50C0000}"/>
    <cellStyle name="Comma 5 2 3 8 5 2 2" xfId="49560" xr:uid="{00000000-0005-0000-0000-0000A60C0000}"/>
    <cellStyle name="Comma 5 2 3 8 5 3" xfId="37127" xr:uid="{00000000-0005-0000-0000-0000A70C0000}"/>
    <cellStyle name="Comma 5 2 3 8 6" xfId="7358" xr:uid="{00000000-0005-0000-0000-0000A80C0000}"/>
    <cellStyle name="Comma 5 2 3 8 6 2" xfId="19806" xr:uid="{00000000-0005-0000-0000-0000A90C0000}"/>
    <cellStyle name="Comma 5 2 3 8 6 2 2" xfId="44680" xr:uid="{00000000-0005-0000-0000-0000AA0C0000}"/>
    <cellStyle name="Comma 5 2 3 8 6 3" xfId="32247" xr:uid="{00000000-0005-0000-0000-0000AB0C0000}"/>
    <cellStyle name="Comma 5 2 3 8 7" xfId="2945" xr:uid="{00000000-0005-0000-0000-0000AC0C0000}"/>
    <cellStyle name="Comma 5 2 3 8 7 2" xfId="15460" xr:uid="{00000000-0005-0000-0000-0000AD0C0000}"/>
    <cellStyle name="Comma 5 2 3 8 7 2 2" xfId="40334" xr:uid="{00000000-0005-0000-0000-0000AE0C0000}"/>
    <cellStyle name="Comma 5 2 3 8 7 3" xfId="27893" xr:uid="{00000000-0005-0000-0000-0000AF0C0000}"/>
    <cellStyle name="Comma 5 2 3 8 8" xfId="14437" xr:uid="{00000000-0005-0000-0000-0000B00C0000}"/>
    <cellStyle name="Comma 5 2 3 8 8 2" xfId="39311" xr:uid="{00000000-0005-0000-0000-0000B10C0000}"/>
    <cellStyle name="Comma 5 2 3 8 9" xfId="26870" xr:uid="{00000000-0005-0000-0000-0000B20C0000}"/>
    <cellStyle name="Comma 5 2 3 9" xfId="2106" xr:uid="{00000000-0005-0000-0000-0000B30C0000}"/>
    <cellStyle name="Comma 5 2 3 9 2" xfId="6145" xr:uid="{00000000-0005-0000-0000-0000B40C0000}"/>
    <cellStyle name="Comma 5 2 3 9 2 2" xfId="11160" xr:uid="{00000000-0005-0000-0000-0000B50C0000}"/>
    <cellStyle name="Comma 5 2 3 9 2 2 2" xfId="23603" xr:uid="{00000000-0005-0000-0000-0000B60C0000}"/>
    <cellStyle name="Comma 5 2 3 9 2 2 2 2" xfId="48477" xr:uid="{00000000-0005-0000-0000-0000B70C0000}"/>
    <cellStyle name="Comma 5 2 3 9 2 2 3" xfId="36044" xr:uid="{00000000-0005-0000-0000-0000B80C0000}"/>
    <cellStyle name="Comma 5 2 3 9 2 3" xfId="18596" xr:uid="{00000000-0005-0000-0000-0000B90C0000}"/>
    <cellStyle name="Comma 5 2 3 9 2 3 2" xfId="43470" xr:uid="{00000000-0005-0000-0000-0000BA0C0000}"/>
    <cellStyle name="Comma 5 2 3 9 2 4" xfId="31037" xr:uid="{00000000-0005-0000-0000-0000BB0C0000}"/>
    <cellStyle name="Comma 5 2 3 9 3" xfId="12614" xr:uid="{00000000-0005-0000-0000-0000BC0C0000}"/>
    <cellStyle name="Comma 5 2 3 9 3 2" xfId="25048" xr:uid="{00000000-0005-0000-0000-0000BD0C0000}"/>
    <cellStyle name="Comma 5 2 3 9 3 2 2" xfId="49922" xr:uid="{00000000-0005-0000-0000-0000BE0C0000}"/>
    <cellStyle name="Comma 5 2 3 9 3 3" xfId="37489" xr:uid="{00000000-0005-0000-0000-0000BF0C0000}"/>
    <cellStyle name="Comma 5 2 3 9 4" xfId="8908" xr:uid="{00000000-0005-0000-0000-0000C00C0000}"/>
    <cellStyle name="Comma 5 2 3 9 4 2" xfId="21351" xr:uid="{00000000-0005-0000-0000-0000C10C0000}"/>
    <cellStyle name="Comma 5 2 3 9 4 2 2" xfId="46225" xr:uid="{00000000-0005-0000-0000-0000C20C0000}"/>
    <cellStyle name="Comma 5 2 3 9 4 3" xfId="33792" xr:uid="{00000000-0005-0000-0000-0000C30C0000}"/>
    <cellStyle name="Comma 5 2 3 9 5" xfId="3890" xr:uid="{00000000-0005-0000-0000-0000C40C0000}"/>
    <cellStyle name="Comma 5 2 3 9 5 2" xfId="16344" xr:uid="{00000000-0005-0000-0000-0000C50C0000}"/>
    <cellStyle name="Comma 5 2 3 9 5 2 2" xfId="41218" xr:uid="{00000000-0005-0000-0000-0000C60C0000}"/>
    <cellStyle name="Comma 5 2 3 9 5 3" xfId="28785" xr:uid="{00000000-0005-0000-0000-0000C70C0000}"/>
    <cellStyle name="Comma 5 2 3 9 6" xfId="14799" xr:uid="{00000000-0005-0000-0000-0000C80C0000}"/>
    <cellStyle name="Comma 5 2 3 9 6 2" xfId="39673" xr:uid="{00000000-0005-0000-0000-0000C90C0000}"/>
    <cellStyle name="Comma 5 2 3 9 7" xfId="27232" xr:uid="{00000000-0005-0000-0000-0000CA0C0000}"/>
    <cellStyle name="Comma 5 2 4" xfId="138" xr:uid="{00000000-0005-0000-0000-0000CB0C0000}"/>
    <cellStyle name="Comma 5 2 4 10" xfId="7701" xr:uid="{00000000-0005-0000-0000-0000CC0C0000}"/>
    <cellStyle name="Comma 5 2 4 10 2" xfId="20147" xr:uid="{00000000-0005-0000-0000-0000CD0C0000}"/>
    <cellStyle name="Comma 5 2 4 10 2 2" xfId="45021" xr:uid="{00000000-0005-0000-0000-0000CE0C0000}"/>
    <cellStyle name="Comma 5 2 4 10 3" xfId="32588" xr:uid="{00000000-0005-0000-0000-0000CF0C0000}"/>
    <cellStyle name="Comma 5 2 4 11" xfId="11521" xr:uid="{00000000-0005-0000-0000-0000D00C0000}"/>
    <cellStyle name="Comma 5 2 4 11 2" xfId="23955" xr:uid="{00000000-0005-0000-0000-0000D10C0000}"/>
    <cellStyle name="Comma 5 2 4 11 2 2" xfId="48829" xr:uid="{00000000-0005-0000-0000-0000D20C0000}"/>
    <cellStyle name="Comma 5 2 4 11 3" xfId="36396" xr:uid="{00000000-0005-0000-0000-0000D30C0000}"/>
    <cellStyle name="Comma 5 2 4 12" xfId="6513" xr:uid="{00000000-0005-0000-0000-0000D40C0000}"/>
    <cellStyle name="Comma 5 2 4 12 2" xfId="18962" xr:uid="{00000000-0005-0000-0000-0000D50C0000}"/>
    <cellStyle name="Comma 5 2 4 12 2 2" xfId="43836" xr:uid="{00000000-0005-0000-0000-0000D60C0000}"/>
    <cellStyle name="Comma 5 2 4 12 3" xfId="31403" xr:uid="{00000000-0005-0000-0000-0000D70C0000}"/>
    <cellStyle name="Comma 5 2 4 13" xfId="2621" xr:uid="{00000000-0005-0000-0000-0000D80C0000}"/>
    <cellStyle name="Comma 5 2 4 13 2" xfId="15140" xr:uid="{00000000-0005-0000-0000-0000D90C0000}"/>
    <cellStyle name="Comma 5 2 4 13 2 2" xfId="40014" xr:uid="{00000000-0005-0000-0000-0000DA0C0000}"/>
    <cellStyle name="Comma 5 2 4 13 3" xfId="27573" xr:uid="{00000000-0005-0000-0000-0000DB0C0000}"/>
    <cellStyle name="Comma 5 2 4 14" xfId="12968" xr:uid="{00000000-0005-0000-0000-0000DC0C0000}"/>
    <cellStyle name="Comma 5 2 4 14 2" xfId="37842" xr:uid="{00000000-0005-0000-0000-0000DD0C0000}"/>
    <cellStyle name="Comma 5 2 4 15" xfId="25401" xr:uid="{00000000-0005-0000-0000-0000DE0C0000}"/>
    <cellStyle name="Comma 5 2 4 2" xfId="326" xr:uid="{00000000-0005-0000-0000-0000DF0C0000}"/>
    <cellStyle name="Comma 5 2 4 2 10" xfId="6556" xr:uid="{00000000-0005-0000-0000-0000E00C0000}"/>
    <cellStyle name="Comma 5 2 4 2 10 2" xfId="19005" xr:uid="{00000000-0005-0000-0000-0000E10C0000}"/>
    <cellStyle name="Comma 5 2 4 2 10 2 2" xfId="43879" xr:uid="{00000000-0005-0000-0000-0000E20C0000}"/>
    <cellStyle name="Comma 5 2 4 2 10 3" xfId="31446" xr:uid="{00000000-0005-0000-0000-0000E30C0000}"/>
    <cellStyle name="Comma 5 2 4 2 11" xfId="2724" xr:uid="{00000000-0005-0000-0000-0000E40C0000}"/>
    <cellStyle name="Comma 5 2 4 2 11 2" xfId="15242" xr:uid="{00000000-0005-0000-0000-0000E50C0000}"/>
    <cellStyle name="Comma 5 2 4 2 11 2 2" xfId="40116" xr:uid="{00000000-0005-0000-0000-0000E60C0000}"/>
    <cellStyle name="Comma 5 2 4 2 11 3" xfId="27675" xr:uid="{00000000-0005-0000-0000-0000E70C0000}"/>
    <cellStyle name="Comma 5 2 4 2 12" xfId="13143" xr:uid="{00000000-0005-0000-0000-0000E80C0000}"/>
    <cellStyle name="Comma 5 2 4 2 12 2" xfId="38017" xr:uid="{00000000-0005-0000-0000-0000E90C0000}"/>
    <cellStyle name="Comma 5 2 4 2 13" xfId="25576" xr:uid="{00000000-0005-0000-0000-0000EA0C0000}"/>
    <cellStyle name="Comma 5 2 4 2 2" xfId="428" xr:uid="{00000000-0005-0000-0000-0000EB0C0000}"/>
    <cellStyle name="Comma 5 2 4 2 2 10" xfId="13243" xr:uid="{00000000-0005-0000-0000-0000EC0C0000}"/>
    <cellStyle name="Comma 5 2 4 2 2 10 2" xfId="38117" xr:uid="{00000000-0005-0000-0000-0000ED0C0000}"/>
    <cellStyle name="Comma 5 2 4 2 2 11" xfId="25676" xr:uid="{00000000-0005-0000-0000-0000EE0C0000}"/>
    <cellStyle name="Comma 5 2 4 2 2 2" xfId="788" xr:uid="{00000000-0005-0000-0000-0000EF0C0000}"/>
    <cellStyle name="Comma 5 2 4 2 2 2 2" xfId="1301" xr:uid="{00000000-0005-0000-0000-0000F00C0000}"/>
    <cellStyle name="Comma 5 2 4 2 2 2 2 2" xfId="9405" xr:uid="{00000000-0005-0000-0000-0000F10C0000}"/>
    <cellStyle name="Comma 5 2 4 2 2 2 2 2 2" xfId="21848" xr:uid="{00000000-0005-0000-0000-0000F20C0000}"/>
    <cellStyle name="Comma 5 2 4 2 2 2 2 2 2 2" xfId="46722" xr:uid="{00000000-0005-0000-0000-0000F30C0000}"/>
    <cellStyle name="Comma 5 2 4 2 2 2 2 2 3" xfId="34289" xr:uid="{00000000-0005-0000-0000-0000F40C0000}"/>
    <cellStyle name="Comma 5 2 4 2 2 2 2 3" xfId="4387" xr:uid="{00000000-0005-0000-0000-0000F50C0000}"/>
    <cellStyle name="Comma 5 2 4 2 2 2 2 3 2" xfId="16841" xr:uid="{00000000-0005-0000-0000-0000F60C0000}"/>
    <cellStyle name="Comma 5 2 4 2 2 2 2 3 2 2" xfId="41715" xr:uid="{00000000-0005-0000-0000-0000F70C0000}"/>
    <cellStyle name="Comma 5 2 4 2 2 2 2 3 3" xfId="29282" xr:uid="{00000000-0005-0000-0000-0000F80C0000}"/>
    <cellStyle name="Comma 5 2 4 2 2 2 2 4" xfId="14101" xr:uid="{00000000-0005-0000-0000-0000F90C0000}"/>
    <cellStyle name="Comma 5 2 4 2 2 2 2 4 2" xfId="38975" xr:uid="{00000000-0005-0000-0000-0000FA0C0000}"/>
    <cellStyle name="Comma 5 2 4 2 2 2 2 5" xfId="26534" xr:uid="{00000000-0005-0000-0000-0000FB0C0000}"/>
    <cellStyle name="Comma 5 2 4 2 2 2 3" xfId="5446" xr:uid="{00000000-0005-0000-0000-0000FC0C0000}"/>
    <cellStyle name="Comma 5 2 4 2 2 2 3 2" xfId="10462" xr:uid="{00000000-0005-0000-0000-0000FD0C0000}"/>
    <cellStyle name="Comma 5 2 4 2 2 2 3 2 2" xfId="22905" xr:uid="{00000000-0005-0000-0000-0000FE0C0000}"/>
    <cellStyle name="Comma 5 2 4 2 2 2 3 2 2 2" xfId="47779" xr:uid="{00000000-0005-0000-0000-0000FF0C0000}"/>
    <cellStyle name="Comma 5 2 4 2 2 2 3 2 3" xfId="35346" xr:uid="{00000000-0005-0000-0000-0000000D0000}"/>
    <cellStyle name="Comma 5 2 4 2 2 2 3 3" xfId="17898" xr:uid="{00000000-0005-0000-0000-0000010D0000}"/>
    <cellStyle name="Comma 5 2 4 2 2 2 3 3 2" xfId="42772" xr:uid="{00000000-0005-0000-0000-0000020D0000}"/>
    <cellStyle name="Comma 5 2 4 2 2 2 3 4" xfId="30339" xr:uid="{00000000-0005-0000-0000-0000030D0000}"/>
    <cellStyle name="Comma 5 2 4 2 2 2 4" xfId="8521" xr:uid="{00000000-0005-0000-0000-0000040D0000}"/>
    <cellStyle name="Comma 5 2 4 2 2 2 4 2" xfId="20965" xr:uid="{00000000-0005-0000-0000-0000050D0000}"/>
    <cellStyle name="Comma 5 2 4 2 2 2 4 2 2" xfId="45839" xr:uid="{00000000-0005-0000-0000-0000060D0000}"/>
    <cellStyle name="Comma 5 2 4 2 2 2 4 3" xfId="33406" xr:uid="{00000000-0005-0000-0000-0000070D0000}"/>
    <cellStyle name="Comma 5 2 4 2 2 2 5" xfId="11916" xr:uid="{00000000-0005-0000-0000-0000080D0000}"/>
    <cellStyle name="Comma 5 2 4 2 2 2 5 2" xfId="24350" xr:uid="{00000000-0005-0000-0000-0000090D0000}"/>
    <cellStyle name="Comma 5 2 4 2 2 2 5 2 2" xfId="49224" xr:uid="{00000000-0005-0000-0000-00000A0D0000}"/>
    <cellStyle name="Comma 5 2 4 2 2 2 5 3" xfId="36791" xr:uid="{00000000-0005-0000-0000-00000B0D0000}"/>
    <cellStyle name="Comma 5 2 4 2 2 2 6" xfId="6998" xr:uid="{00000000-0005-0000-0000-00000C0D0000}"/>
    <cellStyle name="Comma 5 2 4 2 2 2 6 2" xfId="19447" xr:uid="{00000000-0005-0000-0000-00000D0D0000}"/>
    <cellStyle name="Comma 5 2 4 2 2 2 6 2 2" xfId="44321" xr:uid="{00000000-0005-0000-0000-00000E0D0000}"/>
    <cellStyle name="Comma 5 2 4 2 2 2 6 3" xfId="31888" xr:uid="{00000000-0005-0000-0000-00000F0D0000}"/>
    <cellStyle name="Comma 5 2 4 2 2 2 7" xfId="3452" xr:uid="{00000000-0005-0000-0000-0000100D0000}"/>
    <cellStyle name="Comma 5 2 4 2 2 2 7 2" xfId="15958" xr:uid="{00000000-0005-0000-0000-0000110D0000}"/>
    <cellStyle name="Comma 5 2 4 2 2 2 7 2 2" xfId="40832" xr:uid="{00000000-0005-0000-0000-0000120D0000}"/>
    <cellStyle name="Comma 5 2 4 2 2 2 7 3" xfId="28391" xr:uid="{00000000-0005-0000-0000-0000130D0000}"/>
    <cellStyle name="Comma 5 2 4 2 2 2 8" xfId="13590" xr:uid="{00000000-0005-0000-0000-0000140D0000}"/>
    <cellStyle name="Comma 5 2 4 2 2 2 8 2" xfId="38464" xr:uid="{00000000-0005-0000-0000-0000150D0000}"/>
    <cellStyle name="Comma 5 2 4 2 2 2 9" xfId="26023" xr:uid="{00000000-0005-0000-0000-0000160D0000}"/>
    <cellStyle name="Comma 5 2 4 2 2 3" xfId="1649" xr:uid="{00000000-0005-0000-0000-0000170D0000}"/>
    <cellStyle name="Comma 5 2 4 2 2 3 2" xfId="4972" xr:uid="{00000000-0005-0000-0000-0000180D0000}"/>
    <cellStyle name="Comma 5 2 4 2 2 3 2 2" xfId="9989" xr:uid="{00000000-0005-0000-0000-0000190D0000}"/>
    <cellStyle name="Comma 5 2 4 2 2 3 2 2 2" xfId="22432" xr:uid="{00000000-0005-0000-0000-00001A0D0000}"/>
    <cellStyle name="Comma 5 2 4 2 2 3 2 2 2 2" xfId="47306" xr:uid="{00000000-0005-0000-0000-00001B0D0000}"/>
    <cellStyle name="Comma 5 2 4 2 2 3 2 2 3" xfId="34873" xr:uid="{00000000-0005-0000-0000-00001C0D0000}"/>
    <cellStyle name="Comma 5 2 4 2 2 3 2 3" xfId="17425" xr:uid="{00000000-0005-0000-0000-00001D0D0000}"/>
    <cellStyle name="Comma 5 2 4 2 2 3 2 3 2" xfId="42299" xr:uid="{00000000-0005-0000-0000-00001E0D0000}"/>
    <cellStyle name="Comma 5 2 4 2 2 3 2 4" xfId="29866" xr:uid="{00000000-0005-0000-0000-00001F0D0000}"/>
    <cellStyle name="Comma 5 2 4 2 2 3 3" xfId="5795" xr:uid="{00000000-0005-0000-0000-0000200D0000}"/>
    <cellStyle name="Comma 5 2 4 2 2 3 3 2" xfId="10810" xr:uid="{00000000-0005-0000-0000-0000210D0000}"/>
    <cellStyle name="Comma 5 2 4 2 2 3 3 2 2" xfId="23253" xr:uid="{00000000-0005-0000-0000-0000220D0000}"/>
    <cellStyle name="Comma 5 2 4 2 2 3 3 2 2 2" xfId="48127" xr:uid="{00000000-0005-0000-0000-0000230D0000}"/>
    <cellStyle name="Comma 5 2 4 2 2 3 3 2 3" xfId="35694" xr:uid="{00000000-0005-0000-0000-0000240D0000}"/>
    <cellStyle name="Comma 5 2 4 2 2 3 3 3" xfId="18246" xr:uid="{00000000-0005-0000-0000-0000250D0000}"/>
    <cellStyle name="Comma 5 2 4 2 2 3 3 3 2" xfId="43120" xr:uid="{00000000-0005-0000-0000-0000260D0000}"/>
    <cellStyle name="Comma 5 2 4 2 2 3 3 4" xfId="30687" xr:uid="{00000000-0005-0000-0000-0000270D0000}"/>
    <cellStyle name="Comma 5 2 4 2 2 3 4" xfId="8396" xr:uid="{00000000-0005-0000-0000-0000280D0000}"/>
    <cellStyle name="Comma 5 2 4 2 2 3 4 2" xfId="20840" xr:uid="{00000000-0005-0000-0000-0000290D0000}"/>
    <cellStyle name="Comma 5 2 4 2 2 3 4 2 2" xfId="45714" xr:uid="{00000000-0005-0000-0000-00002A0D0000}"/>
    <cellStyle name="Comma 5 2 4 2 2 3 4 3" xfId="33281" xr:uid="{00000000-0005-0000-0000-00002B0D0000}"/>
    <cellStyle name="Comma 5 2 4 2 2 3 5" xfId="12264" xr:uid="{00000000-0005-0000-0000-00002C0D0000}"/>
    <cellStyle name="Comma 5 2 4 2 2 3 5 2" xfId="24698" xr:uid="{00000000-0005-0000-0000-00002D0D0000}"/>
    <cellStyle name="Comma 5 2 4 2 2 3 5 2 2" xfId="49572" xr:uid="{00000000-0005-0000-0000-00002E0D0000}"/>
    <cellStyle name="Comma 5 2 4 2 2 3 5 3" xfId="37139" xr:uid="{00000000-0005-0000-0000-00002F0D0000}"/>
    <cellStyle name="Comma 5 2 4 2 2 3 6" xfId="7583" xr:uid="{00000000-0005-0000-0000-0000300D0000}"/>
    <cellStyle name="Comma 5 2 4 2 2 3 6 2" xfId="20031" xr:uid="{00000000-0005-0000-0000-0000310D0000}"/>
    <cellStyle name="Comma 5 2 4 2 2 3 6 2 2" xfId="44905" xr:uid="{00000000-0005-0000-0000-0000320D0000}"/>
    <cellStyle name="Comma 5 2 4 2 2 3 6 3" xfId="32472" xr:uid="{00000000-0005-0000-0000-0000330D0000}"/>
    <cellStyle name="Comma 5 2 4 2 2 3 7" xfId="3327" xr:uid="{00000000-0005-0000-0000-0000340D0000}"/>
    <cellStyle name="Comma 5 2 4 2 2 3 7 2" xfId="15833" xr:uid="{00000000-0005-0000-0000-0000350D0000}"/>
    <cellStyle name="Comma 5 2 4 2 2 3 7 2 2" xfId="40707" xr:uid="{00000000-0005-0000-0000-0000360D0000}"/>
    <cellStyle name="Comma 5 2 4 2 2 3 7 3" xfId="28266" xr:uid="{00000000-0005-0000-0000-0000370D0000}"/>
    <cellStyle name="Comma 5 2 4 2 2 3 8" xfId="14449" xr:uid="{00000000-0005-0000-0000-0000380D0000}"/>
    <cellStyle name="Comma 5 2 4 2 2 3 8 2" xfId="39323" xr:uid="{00000000-0005-0000-0000-0000390D0000}"/>
    <cellStyle name="Comma 5 2 4 2 2 3 9" xfId="26882" xr:uid="{00000000-0005-0000-0000-00003A0D0000}"/>
    <cellStyle name="Comma 5 2 4 2 2 4" xfId="2346" xr:uid="{00000000-0005-0000-0000-00003B0D0000}"/>
    <cellStyle name="Comma 5 2 4 2 2 4 2" xfId="6370" xr:uid="{00000000-0005-0000-0000-00003C0D0000}"/>
    <cellStyle name="Comma 5 2 4 2 2 4 2 2" xfId="11385" xr:uid="{00000000-0005-0000-0000-00003D0D0000}"/>
    <cellStyle name="Comma 5 2 4 2 2 4 2 2 2" xfId="23828" xr:uid="{00000000-0005-0000-0000-00003E0D0000}"/>
    <cellStyle name="Comma 5 2 4 2 2 4 2 2 2 2" xfId="48702" xr:uid="{00000000-0005-0000-0000-00003F0D0000}"/>
    <cellStyle name="Comma 5 2 4 2 2 4 2 2 3" xfId="36269" xr:uid="{00000000-0005-0000-0000-0000400D0000}"/>
    <cellStyle name="Comma 5 2 4 2 2 4 2 3" xfId="18821" xr:uid="{00000000-0005-0000-0000-0000410D0000}"/>
    <cellStyle name="Comma 5 2 4 2 2 4 2 3 2" xfId="43695" xr:uid="{00000000-0005-0000-0000-0000420D0000}"/>
    <cellStyle name="Comma 5 2 4 2 2 4 2 4" xfId="31262" xr:uid="{00000000-0005-0000-0000-0000430D0000}"/>
    <cellStyle name="Comma 5 2 4 2 2 4 3" xfId="12839" xr:uid="{00000000-0005-0000-0000-0000440D0000}"/>
    <cellStyle name="Comma 5 2 4 2 2 4 3 2" xfId="25273" xr:uid="{00000000-0005-0000-0000-0000450D0000}"/>
    <cellStyle name="Comma 5 2 4 2 2 4 3 2 2" xfId="50147" xr:uid="{00000000-0005-0000-0000-0000460D0000}"/>
    <cellStyle name="Comma 5 2 4 2 2 4 3 3" xfId="37714" xr:uid="{00000000-0005-0000-0000-0000470D0000}"/>
    <cellStyle name="Comma 5 2 4 2 2 4 4" xfId="9280" xr:uid="{00000000-0005-0000-0000-0000480D0000}"/>
    <cellStyle name="Comma 5 2 4 2 2 4 4 2" xfId="21723" xr:uid="{00000000-0005-0000-0000-0000490D0000}"/>
    <cellStyle name="Comma 5 2 4 2 2 4 4 2 2" xfId="46597" xr:uid="{00000000-0005-0000-0000-00004A0D0000}"/>
    <cellStyle name="Comma 5 2 4 2 2 4 4 3" xfId="34164" xr:uid="{00000000-0005-0000-0000-00004B0D0000}"/>
    <cellStyle name="Comma 5 2 4 2 2 4 5" xfId="4262" xr:uid="{00000000-0005-0000-0000-00004C0D0000}"/>
    <cellStyle name="Comma 5 2 4 2 2 4 5 2" xfId="16716" xr:uid="{00000000-0005-0000-0000-00004D0D0000}"/>
    <cellStyle name="Comma 5 2 4 2 2 4 5 2 2" xfId="41590" xr:uid="{00000000-0005-0000-0000-00004E0D0000}"/>
    <cellStyle name="Comma 5 2 4 2 2 4 5 3" xfId="29157" xr:uid="{00000000-0005-0000-0000-00004F0D0000}"/>
    <cellStyle name="Comma 5 2 4 2 2 4 6" xfId="15024" xr:uid="{00000000-0005-0000-0000-0000500D0000}"/>
    <cellStyle name="Comma 5 2 4 2 2 4 6 2" xfId="39898" xr:uid="{00000000-0005-0000-0000-0000510D0000}"/>
    <cellStyle name="Comma 5 2 4 2 2 4 7" xfId="27457" xr:uid="{00000000-0005-0000-0000-0000520D0000}"/>
    <cellStyle name="Comma 5 2 4 2 2 5" xfId="1181" xr:uid="{00000000-0005-0000-0000-0000530D0000}"/>
    <cellStyle name="Comma 5 2 4 2 2 5 2" xfId="10342" xr:uid="{00000000-0005-0000-0000-0000540D0000}"/>
    <cellStyle name="Comma 5 2 4 2 2 5 2 2" xfId="22785" xr:uid="{00000000-0005-0000-0000-0000550D0000}"/>
    <cellStyle name="Comma 5 2 4 2 2 5 2 2 2" xfId="47659" xr:uid="{00000000-0005-0000-0000-0000560D0000}"/>
    <cellStyle name="Comma 5 2 4 2 2 5 2 3" xfId="35226" xr:uid="{00000000-0005-0000-0000-0000570D0000}"/>
    <cellStyle name="Comma 5 2 4 2 2 5 3" xfId="5326" xr:uid="{00000000-0005-0000-0000-0000580D0000}"/>
    <cellStyle name="Comma 5 2 4 2 2 5 3 2" xfId="17778" xr:uid="{00000000-0005-0000-0000-0000590D0000}"/>
    <cellStyle name="Comma 5 2 4 2 2 5 3 2 2" xfId="42652" xr:uid="{00000000-0005-0000-0000-00005A0D0000}"/>
    <cellStyle name="Comma 5 2 4 2 2 5 3 3" xfId="30219" xr:uid="{00000000-0005-0000-0000-00005B0D0000}"/>
    <cellStyle name="Comma 5 2 4 2 2 5 4" xfId="13981" xr:uid="{00000000-0005-0000-0000-00005C0D0000}"/>
    <cellStyle name="Comma 5 2 4 2 2 5 4 2" xfId="38855" xr:uid="{00000000-0005-0000-0000-00005D0D0000}"/>
    <cellStyle name="Comma 5 2 4 2 2 5 5" xfId="26414" xr:uid="{00000000-0005-0000-0000-00005E0D0000}"/>
    <cellStyle name="Comma 5 2 4 2 2 6" xfId="7903" xr:uid="{00000000-0005-0000-0000-00005F0D0000}"/>
    <cellStyle name="Comma 5 2 4 2 2 6 2" xfId="20349" xr:uid="{00000000-0005-0000-0000-0000600D0000}"/>
    <cellStyle name="Comma 5 2 4 2 2 6 2 2" xfId="45223" xr:uid="{00000000-0005-0000-0000-0000610D0000}"/>
    <cellStyle name="Comma 5 2 4 2 2 6 3" xfId="32790" xr:uid="{00000000-0005-0000-0000-0000620D0000}"/>
    <cellStyle name="Comma 5 2 4 2 2 7" xfId="11796" xr:uid="{00000000-0005-0000-0000-0000630D0000}"/>
    <cellStyle name="Comma 5 2 4 2 2 7 2" xfId="24230" xr:uid="{00000000-0005-0000-0000-0000640D0000}"/>
    <cellStyle name="Comma 5 2 4 2 2 7 2 2" xfId="49104" xr:uid="{00000000-0005-0000-0000-0000650D0000}"/>
    <cellStyle name="Comma 5 2 4 2 2 7 3" xfId="36671" xr:uid="{00000000-0005-0000-0000-0000660D0000}"/>
    <cellStyle name="Comma 5 2 4 2 2 8" xfId="6873" xr:uid="{00000000-0005-0000-0000-0000670D0000}"/>
    <cellStyle name="Comma 5 2 4 2 2 8 2" xfId="19322" xr:uid="{00000000-0005-0000-0000-0000680D0000}"/>
    <cellStyle name="Comma 5 2 4 2 2 8 2 2" xfId="44196" xr:uid="{00000000-0005-0000-0000-0000690D0000}"/>
    <cellStyle name="Comma 5 2 4 2 2 8 3" xfId="31763" xr:uid="{00000000-0005-0000-0000-00006A0D0000}"/>
    <cellStyle name="Comma 5 2 4 2 2 9" xfId="2824" xr:uid="{00000000-0005-0000-0000-00006B0D0000}"/>
    <cellStyle name="Comma 5 2 4 2 2 9 2" xfId="15342" xr:uid="{00000000-0005-0000-0000-00006C0D0000}"/>
    <cellStyle name="Comma 5 2 4 2 2 9 2 2" xfId="40216" xr:uid="{00000000-0005-0000-0000-00006D0D0000}"/>
    <cellStyle name="Comma 5 2 4 2 2 9 3" xfId="27775" xr:uid="{00000000-0005-0000-0000-00006E0D0000}"/>
    <cellStyle name="Comma 5 2 4 2 3" xfId="687" xr:uid="{00000000-0005-0000-0000-00006F0D0000}"/>
    <cellStyle name="Comma 5 2 4 2 3 2" xfId="1300" xr:uid="{00000000-0005-0000-0000-0000700D0000}"/>
    <cellStyle name="Comma 5 2 4 2 3 2 2" xfId="9180" xr:uid="{00000000-0005-0000-0000-0000710D0000}"/>
    <cellStyle name="Comma 5 2 4 2 3 2 2 2" xfId="21623" xr:uid="{00000000-0005-0000-0000-0000720D0000}"/>
    <cellStyle name="Comma 5 2 4 2 3 2 2 2 2" xfId="46497" xr:uid="{00000000-0005-0000-0000-0000730D0000}"/>
    <cellStyle name="Comma 5 2 4 2 3 2 2 3" xfId="34064" xr:uid="{00000000-0005-0000-0000-0000740D0000}"/>
    <cellStyle name="Comma 5 2 4 2 3 2 3" xfId="4162" xr:uid="{00000000-0005-0000-0000-0000750D0000}"/>
    <cellStyle name="Comma 5 2 4 2 3 2 3 2" xfId="16616" xr:uid="{00000000-0005-0000-0000-0000760D0000}"/>
    <cellStyle name="Comma 5 2 4 2 3 2 3 2 2" xfId="41490" xr:uid="{00000000-0005-0000-0000-0000770D0000}"/>
    <cellStyle name="Comma 5 2 4 2 3 2 3 3" xfId="29057" xr:uid="{00000000-0005-0000-0000-0000780D0000}"/>
    <cellStyle name="Comma 5 2 4 2 3 2 4" xfId="14100" xr:uid="{00000000-0005-0000-0000-0000790D0000}"/>
    <cellStyle name="Comma 5 2 4 2 3 2 4 2" xfId="38974" xr:uid="{00000000-0005-0000-0000-00007A0D0000}"/>
    <cellStyle name="Comma 5 2 4 2 3 2 5" xfId="26533" xr:uid="{00000000-0005-0000-0000-00007B0D0000}"/>
    <cellStyle name="Comma 5 2 4 2 3 3" xfId="5445" xr:uid="{00000000-0005-0000-0000-00007C0D0000}"/>
    <cellStyle name="Comma 5 2 4 2 3 3 2" xfId="10461" xr:uid="{00000000-0005-0000-0000-00007D0D0000}"/>
    <cellStyle name="Comma 5 2 4 2 3 3 2 2" xfId="22904" xr:uid="{00000000-0005-0000-0000-00007E0D0000}"/>
    <cellStyle name="Comma 5 2 4 2 3 3 2 2 2" xfId="47778" xr:uid="{00000000-0005-0000-0000-00007F0D0000}"/>
    <cellStyle name="Comma 5 2 4 2 3 3 2 3" xfId="35345" xr:uid="{00000000-0005-0000-0000-0000800D0000}"/>
    <cellStyle name="Comma 5 2 4 2 3 3 3" xfId="17897" xr:uid="{00000000-0005-0000-0000-0000810D0000}"/>
    <cellStyle name="Comma 5 2 4 2 3 3 3 2" xfId="42771" xr:uid="{00000000-0005-0000-0000-0000820D0000}"/>
    <cellStyle name="Comma 5 2 4 2 3 3 4" xfId="30338" xr:uid="{00000000-0005-0000-0000-0000830D0000}"/>
    <cellStyle name="Comma 5 2 4 2 3 4" xfId="8296" xr:uid="{00000000-0005-0000-0000-0000840D0000}"/>
    <cellStyle name="Comma 5 2 4 2 3 4 2" xfId="20740" xr:uid="{00000000-0005-0000-0000-0000850D0000}"/>
    <cellStyle name="Comma 5 2 4 2 3 4 2 2" xfId="45614" xr:uid="{00000000-0005-0000-0000-0000860D0000}"/>
    <cellStyle name="Comma 5 2 4 2 3 4 3" xfId="33181" xr:uid="{00000000-0005-0000-0000-0000870D0000}"/>
    <cellStyle name="Comma 5 2 4 2 3 5" xfId="11915" xr:uid="{00000000-0005-0000-0000-0000880D0000}"/>
    <cellStyle name="Comma 5 2 4 2 3 5 2" xfId="24349" xr:uid="{00000000-0005-0000-0000-0000890D0000}"/>
    <cellStyle name="Comma 5 2 4 2 3 5 2 2" xfId="49223" xr:uid="{00000000-0005-0000-0000-00008A0D0000}"/>
    <cellStyle name="Comma 5 2 4 2 3 5 3" xfId="36790" xr:uid="{00000000-0005-0000-0000-00008B0D0000}"/>
    <cellStyle name="Comma 5 2 4 2 3 6" xfId="6773" xr:uid="{00000000-0005-0000-0000-00008C0D0000}"/>
    <cellStyle name="Comma 5 2 4 2 3 6 2" xfId="19222" xr:uid="{00000000-0005-0000-0000-00008D0D0000}"/>
    <cellStyle name="Comma 5 2 4 2 3 6 2 2" xfId="44096" xr:uid="{00000000-0005-0000-0000-00008E0D0000}"/>
    <cellStyle name="Comma 5 2 4 2 3 6 3" xfId="31663" xr:uid="{00000000-0005-0000-0000-00008F0D0000}"/>
    <cellStyle name="Comma 5 2 4 2 3 7" xfId="3227" xr:uid="{00000000-0005-0000-0000-0000900D0000}"/>
    <cellStyle name="Comma 5 2 4 2 3 7 2" xfId="15733" xr:uid="{00000000-0005-0000-0000-0000910D0000}"/>
    <cellStyle name="Comma 5 2 4 2 3 7 2 2" xfId="40607" xr:uid="{00000000-0005-0000-0000-0000920D0000}"/>
    <cellStyle name="Comma 5 2 4 2 3 7 3" xfId="28166" xr:uid="{00000000-0005-0000-0000-0000930D0000}"/>
    <cellStyle name="Comma 5 2 4 2 3 8" xfId="13490" xr:uid="{00000000-0005-0000-0000-0000940D0000}"/>
    <cellStyle name="Comma 5 2 4 2 3 8 2" xfId="38364" xr:uid="{00000000-0005-0000-0000-0000950D0000}"/>
    <cellStyle name="Comma 5 2 4 2 3 9" xfId="25923" xr:uid="{00000000-0005-0000-0000-0000960D0000}"/>
    <cellStyle name="Comma 5 2 4 2 4" xfId="1648" xr:uid="{00000000-0005-0000-0000-0000970D0000}"/>
    <cellStyle name="Comma 5 2 4 2 4 2" xfId="4386" xr:uid="{00000000-0005-0000-0000-0000980D0000}"/>
    <cellStyle name="Comma 5 2 4 2 4 2 2" xfId="9404" xr:uid="{00000000-0005-0000-0000-0000990D0000}"/>
    <cellStyle name="Comma 5 2 4 2 4 2 2 2" xfId="21847" xr:uid="{00000000-0005-0000-0000-00009A0D0000}"/>
    <cellStyle name="Comma 5 2 4 2 4 2 2 2 2" xfId="46721" xr:uid="{00000000-0005-0000-0000-00009B0D0000}"/>
    <cellStyle name="Comma 5 2 4 2 4 2 2 3" xfId="34288" xr:uid="{00000000-0005-0000-0000-00009C0D0000}"/>
    <cellStyle name="Comma 5 2 4 2 4 2 3" xfId="16840" xr:uid="{00000000-0005-0000-0000-00009D0D0000}"/>
    <cellStyle name="Comma 5 2 4 2 4 2 3 2" xfId="41714" xr:uid="{00000000-0005-0000-0000-00009E0D0000}"/>
    <cellStyle name="Comma 5 2 4 2 4 2 4" xfId="29281" xr:uid="{00000000-0005-0000-0000-00009F0D0000}"/>
    <cellStyle name="Comma 5 2 4 2 4 3" xfId="5794" xr:uid="{00000000-0005-0000-0000-0000A00D0000}"/>
    <cellStyle name="Comma 5 2 4 2 4 3 2" xfId="10809" xr:uid="{00000000-0005-0000-0000-0000A10D0000}"/>
    <cellStyle name="Comma 5 2 4 2 4 3 2 2" xfId="23252" xr:uid="{00000000-0005-0000-0000-0000A20D0000}"/>
    <cellStyle name="Comma 5 2 4 2 4 3 2 2 2" xfId="48126" xr:uid="{00000000-0005-0000-0000-0000A30D0000}"/>
    <cellStyle name="Comma 5 2 4 2 4 3 2 3" xfId="35693" xr:uid="{00000000-0005-0000-0000-0000A40D0000}"/>
    <cellStyle name="Comma 5 2 4 2 4 3 3" xfId="18245" xr:uid="{00000000-0005-0000-0000-0000A50D0000}"/>
    <cellStyle name="Comma 5 2 4 2 4 3 3 2" xfId="43119" xr:uid="{00000000-0005-0000-0000-0000A60D0000}"/>
    <cellStyle name="Comma 5 2 4 2 4 3 4" xfId="30686" xr:uid="{00000000-0005-0000-0000-0000A70D0000}"/>
    <cellStyle name="Comma 5 2 4 2 4 4" xfId="8520" xr:uid="{00000000-0005-0000-0000-0000A80D0000}"/>
    <cellStyle name="Comma 5 2 4 2 4 4 2" xfId="20964" xr:uid="{00000000-0005-0000-0000-0000A90D0000}"/>
    <cellStyle name="Comma 5 2 4 2 4 4 2 2" xfId="45838" xr:uid="{00000000-0005-0000-0000-0000AA0D0000}"/>
    <cellStyle name="Comma 5 2 4 2 4 4 3" xfId="33405" xr:uid="{00000000-0005-0000-0000-0000AB0D0000}"/>
    <cellStyle name="Comma 5 2 4 2 4 5" xfId="12263" xr:uid="{00000000-0005-0000-0000-0000AC0D0000}"/>
    <cellStyle name="Comma 5 2 4 2 4 5 2" xfId="24697" xr:uid="{00000000-0005-0000-0000-0000AD0D0000}"/>
    <cellStyle name="Comma 5 2 4 2 4 5 2 2" xfId="49571" xr:uid="{00000000-0005-0000-0000-0000AE0D0000}"/>
    <cellStyle name="Comma 5 2 4 2 4 5 3" xfId="37138" xr:uid="{00000000-0005-0000-0000-0000AF0D0000}"/>
    <cellStyle name="Comma 5 2 4 2 4 6" xfId="6997" xr:uid="{00000000-0005-0000-0000-0000B00D0000}"/>
    <cellStyle name="Comma 5 2 4 2 4 6 2" xfId="19446" xr:uid="{00000000-0005-0000-0000-0000B10D0000}"/>
    <cellStyle name="Comma 5 2 4 2 4 6 2 2" xfId="44320" xr:uid="{00000000-0005-0000-0000-0000B20D0000}"/>
    <cellStyle name="Comma 5 2 4 2 4 6 3" xfId="31887" xr:uid="{00000000-0005-0000-0000-0000B30D0000}"/>
    <cellStyle name="Comma 5 2 4 2 4 7" xfId="3451" xr:uid="{00000000-0005-0000-0000-0000B40D0000}"/>
    <cellStyle name="Comma 5 2 4 2 4 7 2" xfId="15957" xr:uid="{00000000-0005-0000-0000-0000B50D0000}"/>
    <cellStyle name="Comma 5 2 4 2 4 7 2 2" xfId="40831" xr:uid="{00000000-0005-0000-0000-0000B60D0000}"/>
    <cellStyle name="Comma 5 2 4 2 4 7 3" xfId="28390" xr:uid="{00000000-0005-0000-0000-0000B70D0000}"/>
    <cellStyle name="Comma 5 2 4 2 4 8" xfId="14448" xr:uid="{00000000-0005-0000-0000-0000B80D0000}"/>
    <cellStyle name="Comma 5 2 4 2 4 8 2" xfId="39322" xr:uid="{00000000-0005-0000-0000-0000B90D0000}"/>
    <cellStyle name="Comma 5 2 4 2 4 9" xfId="26881" xr:uid="{00000000-0005-0000-0000-0000BA0D0000}"/>
    <cellStyle name="Comma 5 2 4 2 5" xfId="2244" xr:uid="{00000000-0005-0000-0000-0000BB0D0000}"/>
    <cellStyle name="Comma 5 2 4 2 5 2" xfId="4872" xr:uid="{00000000-0005-0000-0000-0000BC0D0000}"/>
    <cellStyle name="Comma 5 2 4 2 5 2 2" xfId="9889" xr:uid="{00000000-0005-0000-0000-0000BD0D0000}"/>
    <cellStyle name="Comma 5 2 4 2 5 2 2 2" xfId="22332" xr:uid="{00000000-0005-0000-0000-0000BE0D0000}"/>
    <cellStyle name="Comma 5 2 4 2 5 2 2 2 2" xfId="47206" xr:uid="{00000000-0005-0000-0000-0000BF0D0000}"/>
    <cellStyle name="Comma 5 2 4 2 5 2 2 3" xfId="34773" xr:uid="{00000000-0005-0000-0000-0000C00D0000}"/>
    <cellStyle name="Comma 5 2 4 2 5 2 3" xfId="17325" xr:uid="{00000000-0005-0000-0000-0000C10D0000}"/>
    <cellStyle name="Comma 5 2 4 2 5 2 3 2" xfId="42199" xr:uid="{00000000-0005-0000-0000-0000C20D0000}"/>
    <cellStyle name="Comma 5 2 4 2 5 2 4" xfId="29766" xr:uid="{00000000-0005-0000-0000-0000C30D0000}"/>
    <cellStyle name="Comma 5 2 4 2 5 3" xfId="6270" xr:uid="{00000000-0005-0000-0000-0000C40D0000}"/>
    <cellStyle name="Comma 5 2 4 2 5 3 2" xfId="11285" xr:uid="{00000000-0005-0000-0000-0000C50D0000}"/>
    <cellStyle name="Comma 5 2 4 2 5 3 2 2" xfId="23728" xr:uid="{00000000-0005-0000-0000-0000C60D0000}"/>
    <cellStyle name="Comma 5 2 4 2 5 3 2 2 2" xfId="48602" xr:uid="{00000000-0005-0000-0000-0000C70D0000}"/>
    <cellStyle name="Comma 5 2 4 2 5 3 2 3" xfId="36169" xr:uid="{00000000-0005-0000-0000-0000C80D0000}"/>
    <cellStyle name="Comma 5 2 4 2 5 3 3" xfId="18721" xr:uid="{00000000-0005-0000-0000-0000C90D0000}"/>
    <cellStyle name="Comma 5 2 4 2 5 3 3 2" xfId="43595" xr:uid="{00000000-0005-0000-0000-0000CA0D0000}"/>
    <cellStyle name="Comma 5 2 4 2 5 3 4" xfId="31162" xr:uid="{00000000-0005-0000-0000-0000CB0D0000}"/>
    <cellStyle name="Comma 5 2 4 2 5 4" xfId="8077" xr:uid="{00000000-0005-0000-0000-0000CC0D0000}"/>
    <cellStyle name="Comma 5 2 4 2 5 4 2" xfId="20523" xr:uid="{00000000-0005-0000-0000-0000CD0D0000}"/>
    <cellStyle name="Comma 5 2 4 2 5 4 2 2" xfId="45397" xr:uid="{00000000-0005-0000-0000-0000CE0D0000}"/>
    <cellStyle name="Comma 5 2 4 2 5 4 3" xfId="32964" xr:uid="{00000000-0005-0000-0000-0000CF0D0000}"/>
    <cellStyle name="Comma 5 2 4 2 5 5" xfId="12739" xr:uid="{00000000-0005-0000-0000-0000D00D0000}"/>
    <cellStyle name="Comma 5 2 4 2 5 5 2" xfId="25173" xr:uid="{00000000-0005-0000-0000-0000D10D0000}"/>
    <cellStyle name="Comma 5 2 4 2 5 5 2 2" xfId="50047" xr:uid="{00000000-0005-0000-0000-0000D20D0000}"/>
    <cellStyle name="Comma 5 2 4 2 5 5 3" xfId="37614" xr:uid="{00000000-0005-0000-0000-0000D30D0000}"/>
    <cellStyle name="Comma 5 2 4 2 5 6" xfId="7483" xr:uid="{00000000-0005-0000-0000-0000D40D0000}"/>
    <cellStyle name="Comma 5 2 4 2 5 6 2" xfId="19931" xr:uid="{00000000-0005-0000-0000-0000D50D0000}"/>
    <cellStyle name="Comma 5 2 4 2 5 6 2 2" xfId="44805" xr:uid="{00000000-0005-0000-0000-0000D60D0000}"/>
    <cellStyle name="Comma 5 2 4 2 5 6 3" xfId="32372" xr:uid="{00000000-0005-0000-0000-0000D70D0000}"/>
    <cellStyle name="Comma 5 2 4 2 5 7" xfId="3006" xr:uid="{00000000-0005-0000-0000-0000D80D0000}"/>
    <cellStyle name="Comma 5 2 4 2 5 7 2" xfId="15516" xr:uid="{00000000-0005-0000-0000-0000D90D0000}"/>
    <cellStyle name="Comma 5 2 4 2 5 7 2 2" xfId="40390" xr:uid="{00000000-0005-0000-0000-0000DA0D0000}"/>
    <cellStyle name="Comma 5 2 4 2 5 7 3" xfId="27949" xr:uid="{00000000-0005-0000-0000-0000DB0D0000}"/>
    <cellStyle name="Comma 5 2 4 2 5 8" xfId="14924" xr:uid="{00000000-0005-0000-0000-0000DC0D0000}"/>
    <cellStyle name="Comma 5 2 4 2 5 8 2" xfId="39798" xr:uid="{00000000-0005-0000-0000-0000DD0D0000}"/>
    <cellStyle name="Comma 5 2 4 2 5 9" xfId="27357" xr:uid="{00000000-0005-0000-0000-0000DE0D0000}"/>
    <cellStyle name="Comma 5 2 4 2 6" xfId="1081" xr:uid="{00000000-0005-0000-0000-0000DF0D0000}"/>
    <cellStyle name="Comma 5 2 4 2 6 2" xfId="8963" xr:uid="{00000000-0005-0000-0000-0000E00D0000}"/>
    <cellStyle name="Comma 5 2 4 2 6 2 2" xfId="21406" xr:uid="{00000000-0005-0000-0000-0000E10D0000}"/>
    <cellStyle name="Comma 5 2 4 2 6 2 2 2" xfId="46280" xr:uid="{00000000-0005-0000-0000-0000E20D0000}"/>
    <cellStyle name="Comma 5 2 4 2 6 2 3" xfId="33847" xr:uid="{00000000-0005-0000-0000-0000E30D0000}"/>
    <cellStyle name="Comma 5 2 4 2 6 3" xfId="3945" xr:uid="{00000000-0005-0000-0000-0000E40D0000}"/>
    <cellStyle name="Comma 5 2 4 2 6 3 2" xfId="16399" xr:uid="{00000000-0005-0000-0000-0000E50D0000}"/>
    <cellStyle name="Comma 5 2 4 2 6 3 2 2" xfId="41273" xr:uid="{00000000-0005-0000-0000-0000E60D0000}"/>
    <cellStyle name="Comma 5 2 4 2 6 3 3" xfId="28840" xr:uid="{00000000-0005-0000-0000-0000E70D0000}"/>
    <cellStyle name="Comma 5 2 4 2 6 4" xfId="13881" xr:uid="{00000000-0005-0000-0000-0000E80D0000}"/>
    <cellStyle name="Comma 5 2 4 2 6 4 2" xfId="38755" xr:uid="{00000000-0005-0000-0000-0000E90D0000}"/>
    <cellStyle name="Comma 5 2 4 2 6 5" xfId="26314" xr:uid="{00000000-0005-0000-0000-0000EA0D0000}"/>
    <cellStyle name="Comma 5 2 4 2 7" xfId="5226" xr:uid="{00000000-0005-0000-0000-0000EB0D0000}"/>
    <cellStyle name="Comma 5 2 4 2 7 2" xfId="10242" xr:uid="{00000000-0005-0000-0000-0000EC0D0000}"/>
    <cellStyle name="Comma 5 2 4 2 7 2 2" xfId="22685" xr:uid="{00000000-0005-0000-0000-0000ED0D0000}"/>
    <cellStyle name="Comma 5 2 4 2 7 2 2 2" xfId="47559" xr:uid="{00000000-0005-0000-0000-0000EE0D0000}"/>
    <cellStyle name="Comma 5 2 4 2 7 2 3" xfId="35126" xr:uid="{00000000-0005-0000-0000-0000EF0D0000}"/>
    <cellStyle name="Comma 5 2 4 2 7 3" xfId="17678" xr:uid="{00000000-0005-0000-0000-0000F00D0000}"/>
    <cellStyle name="Comma 5 2 4 2 7 3 2" xfId="42552" xr:uid="{00000000-0005-0000-0000-0000F10D0000}"/>
    <cellStyle name="Comma 5 2 4 2 7 4" xfId="30119" xr:uid="{00000000-0005-0000-0000-0000F20D0000}"/>
    <cellStyle name="Comma 5 2 4 2 8" xfId="7803" xr:uid="{00000000-0005-0000-0000-0000F30D0000}"/>
    <cellStyle name="Comma 5 2 4 2 8 2" xfId="20249" xr:uid="{00000000-0005-0000-0000-0000F40D0000}"/>
    <cellStyle name="Comma 5 2 4 2 8 2 2" xfId="45123" xr:uid="{00000000-0005-0000-0000-0000F50D0000}"/>
    <cellStyle name="Comma 5 2 4 2 8 3" xfId="32690" xr:uid="{00000000-0005-0000-0000-0000F60D0000}"/>
    <cellStyle name="Comma 5 2 4 2 9" xfId="11696" xr:uid="{00000000-0005-0000-0000-0000F70D0000}"/>
    <cellStyle name="Comma 5 2 4 2 9 2" xfId="24130" xr:uid="{00000000-0005-0000-0000-0000F80D0000}"/>
    <cellStyle name="Comma 5 2 4 2 9 2 2" xfId="49004" xr:uid="{00000000-0005-0000-0000-0000F90D0000}"/>
    <cellStyle name="Comma 5 2 4 2 9 3" xfId="36571" xr:uid="{00000000-0005-0000-0000-0000FA0D0000}"/>
    <cellStyle name="Comma 5 2 4 3" xfId="281" xr:uid="{00000000-0005-0000-0000-0000FB0D0000}"/>
    <cellStyle name="Comma 5 2 4 3 10" xfId="6618" xr:uid="{00000000-0005-0000-0000-0000FC0D0000}"/>
    <cellStyle name="Comma 5 2 4 3 10 2" xfId="19067" xr:uid="{00000000-0005-0000-0000-0000FD0D0000}"/>
    <cellStyle name="Comma 5 2 4 3 10 2 2" xfId="43941" xr:uid="{00000000-0005-0000-0000-0000FE0D0000}"/>
    <cellStyle name="Comma 5 2 4 3 10 3" xfId="31508" xr:uid="{00000000-0005-0000-0000-0000FF0D0000}"/>
    <cellStyle name="Comma 5 2 4 3 11" xfId="2681" xr:uid="{00000000-0005-0000-0000-0000000E0000}"/>
    <cellStyle name="Comma 5 2 4 3 11 2" xfId="15199" xr:uid="{00000000-0005-0000-0000-0000010E0000}"/>
    <cellStyle name="Comma 5 2 4 3 11 2 2" xfId="40073" xr:uid="{00000000-0005-0000-0000-0000020E0000}"/>
    <cellStyle name="Comma 5 2 4 3 11 3" xfId="27632" xr:uid="{00000000-0005-0000-0000-0000030E0000}"/>
    <cellStyle name="Comma 5 2 4 3 12" xfId="13100" xr:uid="{00000000-0005-0000-0000-0000040E0000}"/>
    <cellStyle name="Comma 5 2 4 3 12 2" xfId="37974" xr:uid="{00000000-0005-0000-0000-0000050E0000}"/>
    <cellStyle name="Comma 5 2 4 3 13" xfId="25533" xr:uid="{00000000-0005-0000-0000-0000060E0000}"/>
    <cellStyle name="Comma 5 2 4 3 2" xfId="492" xr:uid="{00000000-0005-0000-0000-0000070E0000}"/>
    <cellStyle name="Comma 5 2 4 3 2 10" xfId="13305" xr:uid="{00000000-0005-0000-0000-0000080E0000}"/>
    <cellStyle name="Comma 5 2 4 3 2 10 2" xfId="38179" xr:uid="{00000000-0005-0000-0000-0000090E0000}"/>
    <cellStyle name="Comma 5 2 4 3 2 11" xfId="25738" xr:uid="{00000000-0005-0000-0000-00000A0E0000}"/>
    <cellStyle name="Comma 5 2 4 3 2 2" xfId="851" xr:uid="{00000000-0005-0000-0000-00000B0E0000}"/>
    <cellStyle name="Comma 5 2 4 3 2 2 2" xfId="1303" xr:uid="{00000000-0005-0000-0000-00000C0E0000}"/>
    <cellStyle name="Comma 5 2 4 3 2 2 2 2" xfId="9407" xr:uid="{00000000-0005-0000-0000-00000D0E0000}"/>
    <cellStyle name="Comma 5 2 4 3 2 2 2 2 2" xfId="21850" xr:uid="{00000000-0005-0000-0000-00000E0E0000}"/>
    <cellStyle name="Comma 5 2 4 3 2 2 2 2 2 2" xfId="46724" xr:uid="{00000000-0005-0000-0000-00000F0E0000}"/>
    <cellStyle name="Comma 5 2 4 3 2 2 2 2 3" xfId="34291" xr:uid="{00000000-0005-0000-0000-0000100E0000}"/>
    <cellStyle name="Comma 5 2 4 3 2 2 2 3" xfId="4389" xr:uid="{00000000-0005-0000-0000-0000110E0000}"/>
    <cellStyle name="Comma 5 2 4 3 2 2 2 3 2" xfId="16843" xr:uid="{00000000-0005-0000-0000-0000120E0000}"/>
    <cellStyle name="Comma 5 2 4 3 2 2 2 3 2 2" xfId="41717" xr:uid="{00000000-0005-0000-0000-0000130E0000}"/>
    <cellStyle name="Comma 5 2 4 3 2 2 2 3 3" xfId="29284" xr:uid="{00000000-0005-0000-0000-0000140E0000}"/>
    <cellStyle name="Comma 5 2 4 3 2 2 2 4" xfId="14103" xr:uid="{00000000-0005-0000-0000-0000150E0000}"/>
    <cellStyle name="Comma 5 2 4 3 2 2 2 4 2" xfId="38977" xr:uid="{00000000-0005-0000-0000-0000160E0000}"/>
    <cellStyle name="Comma 5 2 4 3 2 2 2 5" xfId="26536" xr:uid="{00000000-0005-0000-0000-0000170E0000}"/>
    <cellStyle name="Comma 5 2 4 3 2 2 3" xfId="5448" xr:uid="{00000000-0005-0000-0000-0000180E0000}"/>
    <cellStyle name="Comma 5 2 4 3 2 2 3 2" xfId="10464" xr:uid="{00000000-0005-0000-0000-0000190E0000}"/>
    <cellStyle name="Comma 5 2 4 3 2 2 3 2 2" xfId="22907" xr:uid="{00000000-0005-0000-0000-00001A0E0000}"/>
    <cellStyle name="Comma 5 2 4 3 2 2 3 2 2 2" xfId="47781" xr:uid="{00000000-0005-0000-0000-00001B0E0000}"/>
    <cellStyle name="Comma 5 2 4 3 2 2 3 2 3" xfId="35348" xr:uid="{00000000-0005-0000-0000-00001C0E0000}"/>
    <cellStyle name="Comma 5 2 4 3 2 2 3 3" xfId="17900" xr:uid="{00000000-0005-0000-0000-00001D0E0000}"/>
    <cellStyle name="Comma 5 2 4 3 2 2 3 3 2" xfId="42774" xr:uid="{00000000-0005-0000-0000-00001E0E0000}"/>
    <cellStyle name="Comma 5 2 4 3 2 2 3 4" xfId="30341" xr:uid="{00000000-0005-0000-0000-00001F0E0000}"/>
    <cellStyle name="Comma 5 2 4 3 2 2 4" xfId="8523" xr:uid="{00000000-0005-0000-0000-0000200E0000}"/>
    <cellStyle name="Comma 5 2 4 3 2 2 4 2" xfId="20967" xr:uid="{00000000-0005-0000-0000-0000210E0000}"/>
    <cellStyle name="Comma 5 2 4 3 2 2 4 2 2" xfId="45841" xr:uid="{00000000-0005-0000-0000-0000220E0000}"/>
    <cellStyle name="Comma 5 2 4 3 2 2 4 3" xfId="33408" xr:uid="{00000000-0005-0000-0000-0000230E0000}"/>
    <cellStyle name="Comma 5 2 4 3 2 2 5" xfId="11918" xr:uid="{00000000-0005-0000-0000-0000240E0000}"/>
    <cellStyle name="Comma 5 2 4 3 2 2 5 2" xfId="24352" xr:uid="{00000000-0005-0000-0000-0000250E0000}"/>
    <cellStyle name="Comma 5 2 4 3 2 2 5 2 2" xfId="49226" xr:uid="{00000000-0005-0000-0000-0000260E0000}"/>
    <cellStyle name="Comma 5 2 4 3 2 2 5 3" xfId="36793" xr:uid="{00000000-0005-0000-0000-0000270E0000}"/>
    <cellStyle name="Comma 5 2 4 3 2 2 6" xfId="7000" xr:uid="{00000000-0005-0000-0000-0000280E0000}"/>
    <cellStyle name="Comma 5 2 4 3 2 2 6 2" xfId="19449" xr:uid="{00000000-0005-0000-0000-0000290E0000}"/>
    <cellStyle name="Comma 5 2 4 3 2 2 6 2 2" xfId="44323" xr:uid="{00000000-0005-0000-0000-00002A0E0000}"/>
    <cellStyle name="Comma 5 2 4 3 2 2 6 3" xfId="31890" xr:uid="{00000000-0005-0000-0000-00002B0E0000}"/>
    <cellStyle name="Comma 5 2 4 3 2 2 7" xfId="3454" xr:uid="{00000000-0005-0000-0000-00002C0E0000}"/>
    <cellStyle name="Comma 5 2 4 3 2 2 7 2" xfId="15960" xr:uid="{00000000-0005-0000-0000-00002D0E0000}"/>
    <cellStyle name="Comma 5 2 4 3 2 2 7 2 2" xfId="40834" xr:uid="{00000000-0005-0000-0000-00002E0E0000}"/>
    <cellStyle name="Comma 5 2 4 3 2 2 7 3" xfId="28393" xr:uid="{00000000-0005-0000-0000-00002F0E0000}"/>
    <cellStyle name="Comma 5 2 4 3 2 2 8" xfId="13652" xr:uid="{00000000-0005-0000-0000-0000300E0000}"/>
    <cellStyle name="Comma 5 2 4 3 2 2 8 2" xfId="38526" xr:uid="{00000000-0005-0000-0000-0000310E0000}"/>
    <cellStyle name="Comma 5 2 4 3 2 2 9" xfId="26085" xr:uid="{00000000-0005-0000-0000-0000320E0000}"/>
    <cellStyle name="Comma 5 2 4 3 2 3" xfId="1651" xr:uid="{00000000-0005-0000-0000-0000330E0000}"/>
    <cellStyle name="Comma 5 2 4 3 2 3 2" xfId="5034" xr:uid="{00000000-0005-0000-0000-0000340E0000}"/>
    <cellStyle name="Comma 5 2 4 3 2 3 2 2" xfId="10051" xr:uid="{00000000-0005-0000-0000-0000350E0000}"/>
    <cellStyle name="Comma 5 2 4 3 2 3 2 2 2" xfId="22494" xr:uid="{00000000-0005-0000-0000-0000360E0000}"/>
    <cellStyle name="Comma 5 2 4 3 2 3 2 2 2 2" xfId="47368" xr:uid="{00000000-0005-0000-0000-0000370E0000}"/>
    <cellStyle name="Comma 5 2 4 3 2 3 2 2 3" xfId="34935" xr:uid="{00000000-0005-0000-0000-0000380E0000}"/>
    <cellStyle name="Comma 5 2 4 3 2 3 2 3" xfId="17487" xr:uid="{00000000-0005-0000-0000-0000390E0000}"/>
    <cellStyle name="Comma 5 2 4 3 2 3 2 3 2" xfId="42361" xr:uid="{00000000-0005-0000-0000-00003A0E0000}"/>
    <cellStyle name="Comma 5 2 4 3 2 3 2 4" xfId="29928" xr:uid="{00000000-0005-0000-0000-00003B0E0000}"/>
    <cellStyle name="Comma 5 2 4 3 2 3 3" xfId="5797" xr:uid="{00000000-0005-0000-0000-00003C0E0000}"/>
    <cellStyle name="Comma 5 2 4 3 2 3 3 2" xfId="10812" xr:uid="{00000000-0005-0000-0000-00003D0E0000}"/>
    <cellStyle name="Comma 5 2 4 3 2 3 3 2 2" xfId="23255" xr:uid="{00000000-0005-0000-0000-00003E0E0000}"/>
    <cellStyle name="Comma 5 2 4 3 2 3 3 2 2 2" xfId="48129" xr:uid="{00000000-0005-0000-0000-00003F0E0000}"/>
    <cellStyle name="Comma 5 2 4 3 2 3 3 2 3" xfId="35696" xr:uid="{00000000-0005-0000-0000-0000400E0000}"/>
    <cellStyle name="Comma 5 2 4 3 2 3 3 3" xfId="18248" xr:uid="{00000000-0005-0000-0000-0000410E0000}"/>
    <cellStyle name="Comma 5 2 4 3 2 3 3 3 2" xfId="43122" xr:uid="{00000000-0005-0000-0000-0000420E0000}"/>
    <cellStyle name="Comma 5 2 4 3 2 3 3 4" xfId="30689" xr:uid="{00000000-0005-0000-0000-0000430E0000}"/>
    <cellStyle name="Comma 5 2 4 3 2 3 4" xfId="8458" xr:uid="{00000000-0005-0000-0000-0000440E0000}"/>
    <cellStyle name="Comma 5 2 4 3 2 3 4 2" xfId="20902" xr:uid="{00000000-0005-0000-0000-0000450E0000}"/>
    <cellStyle name="Comma 5 2 4 3 2 3 4 2 2" xfId="45776" xr:uid="{00000000-0005-0000-0000-0000460E0000}"/>
    <cellStyle name="Comma 5 2 4 3 2 3 4 3" xfId="33343" xr:uid="{00000000-0005-0000-0000-0000470E0000}"/>
    <cellStyle name="Comma 5 2 4 3 2 3 5" xfId="12266" xr:uid="{00000000-0005-0000-0000-0000480E0000}"/>
    <cellStyle name="Comma 5 2 4 3 2 3 5 2" xfId="24700" xr:uid="{00000000-0005-0000-0000-0000490E0000}"/>
    <cellStyle name="Comma 5 2 4 3 2 3 5 2 2" xfId="49574" xr:uid="{00000000-0005-0000-0000-00004A0E0000}"/>
    <cellStyle name="Comma 5 2 4 3 2 3 5 3" xfId="37141" xr:uid="{00000000-0005-0000-0000-00004B0E0000}"/>
    <cellStyle name="Comma 5 2 4 3 2 3 6" xfId="7645" xr:uid="{00000000-0005-0000-0000-00004C0E0000}"/>
    <cellStyle name="Comma 5 2 4 3 2 3 6 2" xfId="20093" xr:uid="{00000000-0005-0000-0000-00004D0E0000}"/>
    <cellStyle name="Comma 5 2 4 3 2 3 6 2 2" xfId="44967" xr:uid="{00000000-0005-0000-0000-00004E0E0000}"/>
    <cellStyle name="Comma 5 2 4 3 2 3 6 3" xfId="32534" xr:uid="{00000000-0005-0000-0000-00004F0E0000}"/>
    <cellStyle name="Comma 5 2 4 3 2 3 7" xfId="3389" xr:uid="{00000000-0005-0000-0000-0000500E0000}"/>
    <cellStyle name="Comma 5 2 4 3 2 3 7 2" xfId="15895" xr:uid="{00000000-0005-0000-0000-0000510E0000}"/>
    <cellStyle name="Comma 5 2 4 3 2 3 7 2 2" xfId="40769" xr:uid="{00000000-0005-0000-0000-0000520E0000}"/>
    <cellStyle name="Comma 5 2 4 3 2 3 7 3" xfId="28328" xr:uid="{00000000-0005-0000-0000-0000530E0000}"/>
    <cellStyle name="Comma 5 2 4 3 2 3 8" xfId="14451" xr:uid="{00000000-0005-0000-0000-0000540E0000}"/>
    <cellStyle name="Comma 5 2 4 3 2 3 8 2" xfId="39325" xr:uid="{00000000-0005-0000-0000-0000550E0000}"/>
    <cellStyle name="Comma 5 2 4 3 2 3 9" xfId="26884" xr:uid="{00000000-0005-0000-0000-0000560E0000}"/>
    <cellStyle name="Comma 5 2 4 3 2 4" xfId="2410" xr:uid="{00000000-0005-0000-0000-0000570E0000}"/>
    <cellStyle name="Comma 5 2 4 3 2 4 2" xfId="6432" xr:uid="{00000000-0005-0000-0000-0000580E0000}"/>
    <cellStyle name="Comma 5 2 4 3 2 4 2 2" xfId="11447" xr:uid="{00000000-0005-0000-0000-0000590E0000}"/>
    <cellStyle name="Comma 5 2 4 3 2 4 2 2 2" xfId="23890" xr:uid="{00000000-0005-0000-0000-00005A0E0000}"/>
    <cellStyle name="Comma 5 2 4 3 2 4 2 2 2 2" xfId="48764" xr:uid="{00000000-0005-0000-0000-00005B0E0000}"/>
    <cellStyle name="Comma 5 2 4 3 2 4 2 2 3" xfId="36331" xr:uid="{00000000-0005-0000-0000-00005C0E0000}"/>
    <cellStyle name="Comma 5 2 4 3 2 4 2 3" xfId="18883" xr:uid="{00000000-0005-0000-0000-00005D0E0000}"/>
    <cellStyle name="Comma 5 2 4 3 2 4 2 3 2" xfId="43757" xr:uid="{00000000-0005-0000-0000-00005E0E0000}"/>
    <cellStyle name="Comma 5 2 4 3 2 4 2 4" xfId="31324" xr:uid="{00000000-0005-0000-0000-00005F0E0000}"/>
    <cellStyle name="Comma 5 2 4 3 2 4 3" xfId="12901" xr:uid="{00000000-0005-0000-0000-0000600E0000}"/>
    <cellStyle name="Comma 5 2 4 3 2 4 3 2" xfId="25335" xr:uid="{00000000-0005-0000-0000-0000610E0000}"/>
    <cellStyle name="Comma 5 2 4 3 2 4 3 2 2" xfId="50209" xr:uid="{00000000-0005-0000-0000-0000620E0000}"/>
    <cellStyle name="Comma 5 2 4 3 2 4 3 3" xfId="37776" xr:uid="{00000000-0005-0000-0000-0000630E0000}"/>
    <cellStyle name="Comma 5 2 4 3 2 4 4" xfId="9342" xr:uid="{00000000-0005-0000-0000-0000640E0000}"/>
    <cellStyle name="Comma 5 2 4 3 2 4 4 2" xfId="21785" xr:uid="{00000000-0005-0000-0000-0000650E0000}"/>
    <cellStyle name="Comma 5 2 4 3 2 4 4 2 2" xfId="46659" xr:uid="{00000000-0005-0000-0000-0000660E0000}"/>
    <cellStyle name="Comma 5 2 4 3 2 4 4 3" xfId="34226" xr:uid="{00000000-0005-0000-0000-0000670E0000}"/>
    <cellStyle name="Comma 5 2 4 3 2 4 5" xfId="4324" xr:uid="{00000000-0005-0000-0000-0000680E0000}"/>
    <cellStyle name="Comma 5 2 4 3 2 4 5 2" xfId="16778" xr:uid="{00000000-0005-0000-0000-0000690E0000}"/>
    <cellStyle name="Comma 5 2 4 3 2 4 5 2 2" xfId="41652" xr:uid="{00000000-0005-0000-0000-00006A0E0000}"/>
    <cellStyle name="Comma 5 2 4 3 2 4 5 3" xfId="29219" xr:uid="{00000000-0005-0000-0000-00006B0E0000}"/>
    <cellStyle name="Comma 5 2 4 3 2 4 6" xfId="15086" xr:uid="{00000000-0005-0000-0000-00006C0E0000}"/>
    <cellStyle name="Comma 5 2 4 3 2 4 6 2" xfId="39960" xr:uid="{00000000-0005-0000-0000-00006D0E0000}"/>
    <cellStyle name="Comma 5 2 4 3 2 4 7" xfId="27519" xr:uid="{00000000-0005-0000-0000-00006E0E0000}"/>
    <cellStyle name="Comma 5 2 4 3 2 5" xfId="1243" xr:uid="{00000000-0005-0000-0000-00006F0E0000}"/>
    <cellStyle name="Comma 5 2 4 3 2 5 2" xfId="10404" xr:uid="{00000000-0005-0000-0000-0000700E0000}"/>
    <cellStyle name="Comma 5 2 4 3 2 5 2 2" xfId="22847" xr:uid="{00000000-0005-0000-0000-0000710E0000}"/>
    <cellStyle name="Comma 5 2 4 3 2 5 2 2 2" xfId="47721" xr:uid="{00000000-0005-0000-0000-0000720E0000}"/>
    <cellStyle name="Comma 5 2 4 3 2 5 2 3" xfId="35288" xr:uid="{00000000-0005-0000-0000-0000730E0000}"/>
    <cellStyle name="Comma 5 2 4 3 2 5 3" xfId="5388" xr:uid="{00000000-0005-0000-0000-0000740E0000}"/>
    <cellStyle name="Comma 5 2 4 3 2 5 3 2" xfId="17840" xr:uid="{00000000-0005-0000-0000-0000750E0000}"/>
    <cellStyle name="Comma 5 2 4 3 2 5 3 2 2" xfId="42714" xr:uid="{00000000-0005-0000-0000-0000760E0000}"/>
    <cellStyle name="Comma 5 2 4 3 2 5 3 3" xfId="30281" xr:uid="{00000000-0005-0000-0000-0000770E0000}"/>
    <cellStyle name="Comma 5 2 4 3 2 5 4" xfId="14043" xr:uid="{00000000-0005-0000-0000-0000780E0000}"/>
    <cellStyle name="Comma 5 2 4 3 2 5 4 2" xfId="38917" xr:uid="{00000000-0005-0000-0000-0000790E0000}"/>
    <cellStyle name="Comma 5 2 4 3 2 5 5" xfId="26476" xr:uid="{00000000-0005-0000-0000-00007A0E0000}"/>
    <cellStyle name="Comma 5 2 4 3 2 6" xfId="7965" xr:uid="{00000000-0005-0000-0000-00007B0E0000}"/>
    <cellStyle name="Comma 5 2 4 3 2 6 2" xfId="20411" xr:uid="{00000000-0005-0000-0000-00007C0E0000}"/>
    <cellStyle name="Comma 5 2 4 3 2 6 2 2" xfId="45285" xr:uid="{00000000-0005-0000-0000-00007D0E0000}"/>
    <cellStyle name="Comma 5 2 4 3 2 6 3" xfId="32852" xr:uid="{00000000-0005-0000-0000-00007E0E0000}"/>
    <cellStyle name="Comma 5 2 4 3 2 7" xfId="11858" xr:uid="{00000000-0005-0000-0000-00007F0E0000}"/>
    <cellStyle name="Comma 5 2 4 3 2 7 2" xfId="24292" xr:uid="{00000000-0005-0000-0000-0000800E0000}"/>
    <cellStyle name="Comma 5 2 4 3 2 7 2 2" xfId="49166" xr:uid="{00000000-0005-0000-0000-0000810E0000}"/>
    <cellStyle name="Comma 5 2 4 3 2 7 3" xfId="36733" xr:uid="{00000000-0005-0000-0000-0000820E0000}"/>
    <cellStyle name="Comma 5 2 4 3 2 8" xfId="6935" xr:uid="{00000000-0005-0000-0000-0000830E0000}"/>
    <cellStyle name="Comma 5 2 4 3 2 8 2" xfId="19384" xr:uid="{00000000-0005-0000-0000-0000840E0000}"/>
    <cellStyle name="Comma 5 2 4 3 2 8 2 2" xfId="44258" xr:uid="{00000000-0005-0000-0000-0000850E0000}"/>
    <cellStyle name="Comma 5 2 4 3 2 8 3" xfId="31825" xr:uid="{00000000-0005-0000-0000-0000860E0000}"/>
    <cellStyle name="Comma 5 2 4 3 2 9" xfId="2886" xr:uid="{00000000-0005-0000-0000-0000870E0000}"/>
    <cellStyle name="Comma 5 2 4 3 2 9 2" xfId="15404" xr:uid="{00000000-0005-0000-0000-0000880E0000}"/>
    <cellStyle name="Comma 5 2 4 3 2 9 2 2" xfId="40278" xr:uid="{00000000-0005-0000-0000-0000890E0000}"/>
    <cellStyle name="Comma 5 2 4 3 2 9 3" xfId="27837" xr:uid="{00000000-0005-0000-0000-00008A0E0000}"/>
    <cellStyle name="Comma 5 2 4 3 3" xfId="643" xr:uid="{00000000-0005-0000-0000-00008B0E0000}"/>
    <cellStyle name="Comma 5 2 4 3 3 2" xfId="1302" xr:uid="{00000000-0005-0000-0000-00008C0E0000}"/>
    <cellStyle name="Comma 5 2 4 3 3 2 2" xfId="9137" xr:uid="{00000000-0005-0000-0000-00008D0E0000}"/>
    <cellStyle name="Comma 5 2 4 3 3 2 2 2" xfId="21580" xr:uid="{00000000-0005-0000-0000-00008E0E0000}"/>
    <cellStyle name="Comma 5 2 4 3 3 2 2 2 2" xfId="46454" xr:uid="{00000000-0005-0000-0000-00008F0E0000}"/>
    <cellStyle name="Comma 5 2 4 3 3 2 2 3" xfId="34021" xr:uid="{00000000-0005-0000-0000-0000900E0000}"/>
    <cellStyle name="Comma 5 2 4 3 3 2 3" xfId="4119" xr:uid="{00000000-0005-0000-0000-0000910E0000}"/>
    <cellStyle name="Comma 5 2 4 3 3 2 3 2" xfId="16573" xr:uid="{00000000-0005-0000-0000-0000920E0000}"/>
    <cellStyle name="Comma 5 2 4 3 3 2 3 2 2" xfId="41447" xr:uid="{00000000-0005-0000-0000-0000930E0000}"/>
    <cellStyle name="Comma 5 2 4 3 3 2 3 3" xfId="29014" xr:uid="{00000000-0005-0000-0000-0000940E0000}"/>
    <cellStyle name="Comma 5 2 4 3 3 2 4" xfId="14102" xr:uid="{00000000-0005-0000-0000-0000950E0000}"/>
    <cellStyle name="Comma 5 2 4 3 3 2 4 2" xfId="38976" xr:uid="{00000000-0005-0000-0000-0000960E0000}"/>
    <cellStyle name="Comma 5 2 4 3 3 2 5" xfId="26535" xr:uid="{00000000-0005-0000-0000-0000970E0000}"/>
    <cellStyle name="Comma 5 2 4 3 3 3" xfId="5447" xr:uid="{00000000-0005-0000-0000-0000980E0000}"/>
    <cellStyle name="Comma 5 2 4 3 3 3 2" xfId="10463" xr:uid="{00000000-0005-0000-0000-0000990E0000}"/>
    <cellStyle name="Comma 5 2 4 3 3 3 2 2" xfId="22906" xr:uid="{00000000-0005-0000-0000-00009A0E0000}"/>
    <cellStyle name="Comma 5 2 4 3 3 3 2 2 2" xfId="47780" xr:uid="{00000000-0005-0000-0000-00009B0E0000}"/>
    <cellStyle name="Comma 5 2 4 3 3 3 2 3" xfId="35347" xr:uid="{00000000-0005-0000-0000-00009C0E0000}"/>
    <cellStyle name="Comma 5 2 4 3 3 3 3" xfId="17899" xr:uid="{00000000-0005-0000-0000-00009D0E0000}"/>
    <cellStyle name="Comma 5 2 4 3 3 3 3 2" xfId="42773" xr:uid="{00000000-0005-0000-0000-00009E0E0000}"/>
    <cellStyle name="Comma 5 2 4 3 3 3 4" xfId="30340" xr:uid="{00000000-0005-0000-0000-00009F0E0000}"/>
    <cellStyle name="Comma 5 2 4 3 3 4" xfId="8253" xr:uid="{00000000-0005-0000-0000-0000A00E0000}"/>
    <cellStyle name="Comma 5 2 4 3 3 4 2" xfId="20697" xr:uid="{00000000-0005-0000-0000-0000A10E0000}"/>
    <cellStyle name="Comma 5 2 4 3 3 4 2 2" xfId="45571" xr:uid="{00000000-0005-0000-0000-0000A20E0000}"/>
    <cellStyle name="Comma 5 2 4 3 3 4 3" xfId="33138" xr:uid="{00000000-0005-0000-0000-0000A30E0000}"/>
    <cellStyle name="Comma 5 2 4 3 3 5" xfId="11917" xr:uid="{00000000-0005-0000-0000-0000A40E0000}"/>
    <cellStyle name="Comma 5 2 4 3 3 5 2" xfId="24351" xr:uid="{00000000-0005-0000-0000-0000A50E0000}"/>
    <cellStyle name="Comma 5 2 4 3 3 5 2 2" xfId="49225" xr:uid="{00000000-0005-0000-0000-0000A60E0000}"/>
    <cellStyle name="Comma 5 2 4 3 3 5 3" xfId="36792" xr:uid="{00000000-0005-0000-0000-0000A70E0000}"/>
    <cellStyle name="Comma 5 2 4 3 3 6" xfId="6730" xr:uid="{00000000-0005-0000-0000-0000A80E0000}"/>
    <cellStyle name="Comma 5 2 4 3 3 6 2" xfId="19179" xr:uid="{00000000-0005-0000-0000-0000A90E0000}"/>
    <cellStyle name="Comma 5 2 4 3 3 6 2 2" xfId="44053" xr:uid="{00000000-0005-0000-0000-0000AA0E0000}"/>
    <cellStyle name="Comma 5 2 4 3 3 6 3" xfId="31620" xr:uid="{00000000-0005-0000-0000-0000AB0E0000}"/>
    <cellStyle name="Comma 5 2 4 3 3 7" xfId="3184" xr:uid="{00000000-0005-0000-0000-0000AC0E0000}"/>
    <cellStyle name="Comma 5 2 4 3 3 7 2" xfId="15690" xr:uid="{00000000-0005-0000-0000-0000AD0E0000}"/>
    <cellStyle name="Comma 5 2 4 3 3 7 2 2" xfId="40564" xr:uid="{00000000-0005-0000-0000-0000AE0E0000}"/>
    <cellStyle name="Comma 5 2 4 3 3 7 3" xfId="28123" xr:uid="{00000000-0005-0000-0000-0000AF0E0000}"/>
    <cellStyle name="Comma 5 2 4 3 3 8" xfId="13447" xr:uid="{00000000-0005-0000-0000-0000B00E0000}"/>
    <cellStyle name="Comma 5 2 4 3 3 8 2" xfId="38321" xr:uid="{00000000-0005-0000-0000-0000B10E0000}"/>
    <cellStyle name="Comma 5 2 4 3 3 9" xfId="25880" xr:uid="{00000000-0005-0000-0000-0000B20E0000}"/>
    <cellStyle name="Comma 5 2 4 3 4" xfId="1650" xr:uid="{00000000-0005-0000-0000-0000B30E0000}"/>
    <cellStyle name="Comma 5 2 4 3 4 2" xfId="4388" xr:uid="{00000000-0005-0000-0000-0000B40E0000}"/>
    <cellStyle name="Comma 5 2 4 3 4 2 2" xfId="9406" xr:uid="{00000000-0005-0000-0000-0000B50E0000}"/>
    <cellStyle name="Comma 5 2 4 3 4 2 2 2" xfId="21849" xr:uid="{00000000-0005-0000-0000-0000B60E0000}"/>
    <cellStyle name="Comma 5 2 4 3 4 2 2 2 2" xfId="46723" xr:uid="{00000000-0005-0000-0000-0000B70E0000}"/>
    <cellStyle name="Comma 5 2 4 3 4 2 2 3" xfId="34290" xr:uid="{00000000-0005-0000-0000-0000B80E0000}"/>
    <cellStyle name="Comma 5 2 4 3 4 2 3" xfId="16842" xr:uid="{00000000-0005-0000-0000-0000B90E0000}"/>
    <cellStyle name="Comma 5 2 4 3 4 2 3 2" xfId="41716" xr:uid="{00000000-0005-0000-0000-0000BA0E0000}"/>
    <cellStyle name="Comma 5 2 4 3 4 2 4" xfId="29283" xr:uid="{00000000-0005-0000-0000-0000BB0E0000}"/>
    <cellStyle name="Comma 5 2 4 3 4 3" xfId="5796" xr:uid="{00000000-0005-0000-0000-0000BC0E0000}"/>
    <cellStyle name="Comma 5 2 4 3 4 3 2" xfId="10811" xr:uid="{00000000-0005-0000-0000-0000BD0E0000}"/>
    <cellStyle name="Comma 5 2 4 3 4 3 2 2" xfId="23254" xr:uid="{00000000-0005-0000-0000-0000BE0E0000}"/>
    <cellStyle name="Comma 5 2 4 3 4 3 2 2 2" xfId="48128" xr:uid="{00000000-0005-0000-0000-0000BF0E0000}"/>
    <cellStyle name="Comma 5 2 4 3 4 3 2 3" xfId="35695" xr:uid="{00000000-0005-0000-0000-0000C00E0000}"/>
    <cellStyle name="Comma 5 2 4 3 4 3 3" xfId="18247" xr:uid="{00000000-0005-0000-0000-0000C10E0000}"/>
    <cellStyle name="Comma 5 2 4 3 4 3 3 2" xfId="43121" xr:uid="{00000000-0005-0000-0000-0000C20E0000}"/>
    <cellStyle name="Comma 5 2 4 3 4 3 4" xfId="30688" xr:uid="{00000000-0005-0000-0000-0000C30E0000}"/>
    <cellStyle name="Comma 5 2 4 3 4 4" xfId="8522" xr:uid="{00000000-0005-0000-0000-0000C40E0000}"/>
    <cellStyle name="Comma 5 2 4 3 4 4 2" xfId="20966" xr:uid="{00000000-0005-0000-0000-0000C50E0000}"/>
    <cellStyle name="Comma 5 2 4 3 4 4 2 2" xfId="45840" xr:uid="{00000000-0005-0000-0000-0000C60E0000}"/>
    <cellStyle name="Comma 5 2 4 3 4 4 3" xfId="33407" xr:uid="{00000000-0005-0000-0000-0000C70E0000}"/>
    <cellStyle name="Comma 5 2 4 3 4 5" xfId="12265" xr:uid="{00000000-0005-0000-0000-0000C80E0000}"/>
    <cellStyle name="Comma 5 2 4 3 4 5 2" xfId="24699" xr:uid="{00000000-0005-0000-0000-0000C90E0000}"/>
    <cellStyle name="Comma 5 2 4 3 4 5 2 2" xfId="49573" xr:uid="{00000000-0005-0000-0000-0000CA0E0000}"/>
    <cellStyle name="Comma 5 2 4 3 4 5 3" xfId="37140" xr:uid="{00000000-0005-0000-0000-0000CB0E0000}"/>
    <cellStyle name="Comma 5 2 4 3 4 6" xfId="6999" xr:uid="{00000000-0005-0000-0000-0000CC0E0000}"/>
    <cellStyle name="Comma 5 2 4 3 4 6 2" xfId="19448" xr:uid="{00000000-0005-0000-0000-0000CD0E0000}"/>
    <cellStyle name="Comma 5 2 4 3 4 6 2 2" xfId="44322" xr:uid="{00000000-0005-0000-0000-0000CE0E0000}"/>
    <cellStyle name="Comma 5 2 4 3 4 6 3" xfId="31889" xr:uid="{00000000-0005-0000-0000-0000CF0E0000}"/>
    <cellStyle name="Comma 5 2 4 3 4 7" xfId="3453" xr:uid="{00000000-0005-0000-0000-0000D00E0000}"/>
    <cellStyle name="Comma 5 2 4 3 4 7 2" xfId="15959" xr:uid="{00000000-0005-0000-0000-0000D10E0000}"/>
    <cellStyle name="Comma 5 2 4 3 4 7 2 2" xfId="40833" xr:uid="{00000000-0005-0000-0000-0000D20E0000}"/>
    <cellStyle name="Comma 5 2 4 3 4 7 3" xfId="28392" xr:uid="{00000000-0005-0000-0000-0000D30E0000}"/>
    <cellStyle name="Comma 5 2 4 3 4 8" xfId="14450" xr:uid="{00000000-0005-0000-0000-0000D40E0000}"/>
    <cellStyle name="Comma 5 2 4 3 4 8 2" xfId="39324" xr:uid="{00000000-0005-0000-0000-0000D50E0000}"/>
    <cellStyle name="Comma 5 2 4 3 4 9" xfId="26883" xr:uid="{00000000-0005-0000-0000-0000D60E0000}"/>
    <cellStyle name="Comma 5 2 4 3 5" xfId="2199" xr:uid="{00000000-0005-0000-0000-0000D70E0000}"/>
    <cellStyle name="Comma 5 2 4 3 5 2" xfId="4829" xr:uid="{00000000-0005-0000-0000-0000D80E0000}"/>
    <cellStyle name="Comma 5 2 4 3 5 2 2" xfId="9846" xr:uid="{00000000-0005-0000-0000-0000D90E0000}"/>
    <cellStyle name="Comma 5 2 4 3 5 2 2 2" xfId="22289" xr:uid="{00000000-0005-0000-0000-0000DA0E0000}"/>
    <cellStyle name="Comma 5 2 4 3 5 2 2 2 2" xfId="47163" xr:uid="{00000000-0005-0000-0000-0000DB0E0000}"/>
    <cellStyle name="Comma 5 2 4 3 5 2 2 3" xfId="34730" xr:uid="{00000000-0005-0000-0000-0000DC0E0000}"/>
    <cellStyle name="Comma 5 2 4 3 5 2 3" xfId="17282" xr:uid="{00000000-0005-0000-0000-0000DD0E0000}"/>
    <cellStyle name="Comma 5 2 4 3 5 2 3 2" xfId="42156" xr:uid="{00000000-0005-0000-0000-0000DE0E0000}"/>
    <cellStyle name="Comma 5 2 4 3 5 2 4" xfId="29723" xr:uid="{00000000-0005-0000-0000-0000DF0E0000}"/>
    <cellStyle name="Comma 5 2 4 3 5 3" xfId="6227" xr:uid="{00000000-0005-0000-0000-0000E00E0000}"/>
    <cellStyle name="Comma 5 2 4 3 5 3 2" xfId="11242" xr:uid="{00000000-0005-0000-0000-0000E10E0000}"/>
    <cellStyle name="Comma 5 2 4 3 5 3 2 2" xfId="23685" xr:uid="{00000000-0005-0000-0000-0000E20E0000}"/>
    <cellStyle name="Comma 5 2 4 3 5 3 2 2 2" xfId="48559" xr:uid="{00000000-0005-0000-0000-0000E30E0000}"/>
    <cellStyle name="Comma 5 2 4 3 5 3 2 3" xfId="36126" xr:uid="{00000000-0005-0000-0000-0000E40E0000}"/>
    <cellStyle name="Comma 5 2 4 3 5 3 3" xfId="18678" xr:uid="{00000000-0005-0000-0000-0000E50E0000}"/>
    <cellStyle name="Comma 5 2 4 3 5 3 3 2" xfId="43552" xr:uid="{00000000-0005-0000-0000-0000E60E0000}"/>
    <cellStyle name="Comma 5 2 4 3 5 3 4" xfId="31119" xr:uid="{00000000-0005-0000-0000-0000E70E0000}"/>
    <cellStyle name="Comma 5 2 4 3 5 4" xfId="8139" xr:uid="{00000000-0005-0000-0000-0000E80E0000}"/>
    <cellStyle name="Comma 5 2 4 3 5 4 2" xfId="20585" xr:uid="{00000000-0005-0000-0000-0000E90E0000}"/>
    <cellStyle name="Comma 5 2 4 3 5 4 2 2" xfId="45459" xr:uid="{00000000-0005-0000-0000-0000EA0E0000}"/>
    <cellStyle name="Comma 5 2 4 3 5 4 3" xfId="33026" xr:uid="{00000000-0005-0000-0000-0000EB0E0000}"/>
    <cellStyle name="Comma 5 2 4 3 5 5" xfId="12696" xr:uid="{00000000-0005-0000-0000-0000EC0E0000}"/>
    <cellStyle name="Comma 5 2 4 3 5 5 2" xfId="25130" xr:uid="{00000000-0005-0000-0000-0000ED0E0000}"/>
    <cellStyle name="Comma 5 2 4 3 5 5 2 2" xfId="50004" xr:uid="{00000000-0005-0000-0000-0000EE0E0000}"/>
    <cellStyle name="Comma 5 2 4 3 5 5 3" xfId="37571" xr:uid="{00000000-0005-0000-0000-0000EF0E0000}"/>
    <cellStyle name="Comma 5 2 4 3 5 6" xfId="7440" xr:uid="{00000000-0005-0000-0000-0000F00E0000}"/>
    <cellStyle name="Comma 5 2 4 3 5 6 2" xfId="19888" xr:uid="{00000000-0005-0000-0000-0000F10E0000}"/>
    <cellStyle name="Comma 5 2 4 3 5 6 2 2" xfId="44762" xr:uid="{00000000-0005-0000-0000-0000F20E0000}"/>
    <cellStyle name="Comma 5 2 4 3 5 6 3" xfId="32329" xr:uid="{00000000-0005-0000-0000-0000F30E0000}"/>
    <cellStyle name="Comma 5 2 4 3 5 7" xfId="3069" xr:uid="{00000000-0005-0000-0000-0000F40E0000}"/>
    <cellStyle name="Comma 5 2 4 3 5 7 2" xfId="15578" xr:uid="{00000000-0005-0000-0000-0000F50E0000}"/>
    <cellStyle name="Comma 5 2 4 3 5 7 2 2" xfId="40452" xr:uid="{00000000-0005-0000-0000-0000F60E0000}"/>
    <cellStyle name="Comma 5 2 4 3 5 7 3" xfId="28011" xr:uid="{00000000-0005-0000-0000-0000F70E0000}"/>
    <cellStyle name="Comma 5 2 4 3 5 8" xfId="14881" xr:uid="{00000000-0005-0000-0000-0000F80E0000}"/>
    <cellStyle name="Comma 5 2 4 3 5 8 2" xfId="39755" xr:uid="{00000000-0005-0000-0000-0000F90E0000}"/>
    <cellStyle name="Comma 5 2 4 3 5 9" xfId="27314" xr:uid="{00000000-0005-0000-0000-0000FA0E0000}"/>
    <cellStyle name="Comma 5 2 4 3 6" xfId="1038" xr:uid="{00000000-0005-0000-0000-0000FB0E0000}"/>
    <cellStyle name="Comma 5 2 4 3 6 2" xfId="9025" xr:uid="{00000000-0005-0000-0000-0000FC0E0000}"/>
    <cellStyle name="Comma 5 2 4 3 6 2 2" xfId="21468" xr:uid="{00000000-0005-0000-0000-0000FD0E0000}"/>
    <cellStyle name="Comma 5 2 4 3 6 2 2 2" xfId="46342" xr:uid="{00000000-0005-0000-0000-0000FE0E0000}"/>
    <cellStyle name="Comma 5 2 4 3 6 2 3" xfId="33909" xr:uid="{00000000-0005-0000-0000-0000FF0E0000}"/>
    <cellStyle name="Comma 5 2 4 3 6 3" xfId="4007" xr:uid="{00000000-0005-0000-0000-0000000F0000}"/>
    <cellStyle name="Comma 5 2 4 3 6 3 2" xfId="16461" xr:uid="{00000000-0005-0000-0000-0000010F0000}"/>
    <cellStyle name="Comma 5 2 4 3 6 3 2 2" xfId="41335" xr:uid="{00000000-0005-0000-0000-0000020F0000}"/>
    <cellStyle name="Comma 5 2 4 3 6 3 3" xfId="28902" xr:uid="{00000000-0005-0000-0000-0000030F0000}"/>
    <cellStyle name="Comma 5 2 4 3 6 4" xfId="13838" xr:uid="{00000000-0005-0000-0000-0000040F0000}"/>
    <cellStyle name="Comma 5 2 4 3 6 4 2" xfId="38712" xr:uid="{00000000-0005-0000-0000-0000050F0000}"/>
    <cellStyle name="Comma 5 2 4 3 6 5" xfId="26271" xr:uid="{00000000-0005-0000-0000-0000060F0000}"/>
    <cellStyle name="Comma 5 2 4 3 7" xfId="5183" xr:uid="{00000000-0005-0000-0000-0000070F0000}"/>
    <cellStyle name="Comma 5 2 4 3 7 2" xfId="10199" xr:uid="{00000000-0005-0000-0000-0000080F0000}"/>
    <cellStyle name="Comma 5 2 4 3 7 2 2" xfId="22642" xr:uid="{00000000-0005-0000-0000-0000090F0000}"/>
    <cellStyle name="Comma 5 2 4 3 7 2 2 2" xfId="47516" xr:uid="{00000000-0005-0000-0000-00000A0F0000}"/>
    <cellStyle name="Comma 5 2 4 3 7 2 3" xfId="35083" xr:uid="{00000000-0005-0000-0000-00000B0F0000}"/>
    <cellStyle name="Comma 5 2 4 3 7 3" xfId="17635" xr:uid="{00000000-0005-0000-0000-00000C0F0000}"/>
    <cellStyle name="Comma 5 2 4 3 7 3 2" xfId="42509" xr:uid="{00000000-0005-0000-0000-00000D0F0000}"/>
    <cellStyle name="Comma 5 2 4 3 7 4" xfId="30076" xr:uid="{00000000-0005-0000-0000-00000E0F0000}"/>
    <cellStyle name="Comma 5 2 4 3 8" xfId="7760" xr:uid="{00000000-0005-0000-0000-00000F0F0000}"/>
    <cellStyle name="Comma 5 2 4 3 8 2" xfId="20206" xr:uid="{00000000-0005-0000-0000-0000100F0000}"/>
    <cellStyle name="Comma 5 2 4 3 8 2 2" xfId="45080" xr:uid="{00000000-0005-0000-0000-0000110F0000}"/>
    <cellStyle name="Comma 5 2 4 3 8 3" xfId="32647" xr:uid="{00000000-0005-0000-0000-0000120F0000}"/>
    <cellStyle name="Comma 5 2 4 3 9" xfId="11653" xr:uid="{00000000-0005-0000-0000-0000130F0000}"/>
    <cellStyle name="Comma 5 2 4 3 9 2" xfId="24087" xr:uid="{00000000-0005-0000-0000-0000140F0000}"/>
    <cellStyle name="Comma 5 2 4 3 9 2 2" xfId="48961" xr:uid="{00000000-0005-0000-0000-0000150F0000}"/>
    <cellStyle name="Comma 5 2 4 3 9 3" xfId="36528" xr:uid="{00000000-0005-0000-0000-0000160F0000}"/>
    <cellStyle name="Comma 5 2 4 4" xfId="384" xr:uid="{00000000-0005-0000-0000-0000170F0000}"/>
    <cellStyle name="Comma 5 2 4 4 10" xfId="13200" xr:uid="{00000000-0005-0000-0000-0000180F0000}"/>
    <cellStyle name="Comma 5 2 4 4 10 2" xfId="38074" xr:uid="{00000000-0005-0000-0000-0000190F0000}"/>
    <cellStyle name="Comma 5 2 4 4 11" xfId="25633" xr:uid="{00000000-0005-0000-0000-00001A0F0000}"/>
    <cellStyle name="Comma 5 2 4 4 2" xfId="744" xr:uid="{00000000-0005-0000-0000-00001B0F0000}"/>
    <cellStyle name="Comma 5 2 4 4 2 2" xfId="1304" xr:uid="{00000000-0005-0000-0000-00001C0F0000}"/>
    <cellStyle name="Comma 5 2 4 4 2 2 2" xfId="9408" xr:uid="{00000000-0005-0000-0000-00001D0F0000}"/>
    <cellStyle name="Comma 5 2 4 4 2 2 2 2" xfId="21851" xr:uid="{00000000-0005-0000-0000-00001E0F0000}"/>
    <cellStyle name="Comma 5 2 4 4 2 2 2 2 2" xfId="46725" xr:uid="{00000000-0005-0000-0000-00001F0F0000}"/>
    <cellStyle name="Comma 5 2 4 4 2 2 2 3" xfId="34292" xr:uid="{00000000-0005-0000-0000-0000200F0000}"/>
    <cellStyle name="Comma 5 2 4 4 2 2 3" xfId="4390" xr:uid="{00000000-0005-0000-0000-0000210F0000}"/>
    <cellStyle name="Comma 5 2 4 4 2 2 3 2" xfId="16844" xr:uid="{00000000-0005-0000-0000-0000220F0000}"/>
    <cellStyle name="Comma 5 2 4 4 2 2 3 2 2" xfId="41718" xr:uid="{00000000-0005-0000-0000-0000230F0000}"/>
    <cellStyle name="Comma 5 2 4 4 2 2 3 3" xfId="29285" xr:uid="{00000000-0005-0000-0000-0000240F0000}"/>
    <cellStyle name="Comma 5 2 4 4 2 2 4" xfId="14104" xr:uid="{00000000-0005-0000-0000-0000250F0000}"/>
    <cellStyle name="Comma 5 2 4 4 2 2 4 2" xfId="38978" xr:uid="{00000000-0005-0000-0000-0000260F0000}"/>
    <cellStyle name="Comma 5 2 4 4 2 2 5" xfId="26537" xr:uid="{00000000-0005-0000-0000-0000270F0000}"/>
    <cellStyle name="Comma 5 2 4 4 2 3" xfId="5449" xr:uid="{00000000-0005-0000-0000-0000280F0000}"/>
    <cellStyle name="Comma 5 2 4 4 2 3 2" xfId="10465" xr:uid="{00000000-0005-0000-0000-0000290F0000}"/>
    <cellStyle name="Comma 5 2 4 4 2 3 2 2" xfId="22908" xr:uid="{00000000-0005-0000-0000-00002A0F0000}"/>
    <cellStyle name="Comma 5 2 4 4 2 3 2 2 2" xfId="47782" xr:uid="{00000000-0005-0000-0000-00002B0F0000}"/>
    <cellStyle name="Comma 5 2 4 4 2 3 2 3" xfId="35349" xr:uid="{00000000-0005-0000-0000-00002C0F0000}"/>
    <cellStyle name="Comma 5 2 4 4 2 3 3" xfId="17901" xr:uid="{00000000-0005-0000-0000-00002D0F0000}"/>
    <cellStyle name="Comma 5 2 4 4 2 3 3 2" xfId="42775" xr:uid="{00000000-0005-0000-0000-00002E0F0000}"/>
    <cellStyle name="Comma 5 2 4 4 2 3 4" xfId="30342" xr:uid="{00000000-0005-0000-0000-00002F0F0000}"/>
    <cellStyle name="Comma 5 2 4 4 2 4" xfId="8524" xr:uid="{00000000-0005-0000-0000-0000300F0000}"/>
    <cellStyle name="Comma 5 2 4 4 2 4 2" xfId="20968" xr:uid="{00000000-0005-0000-0000-0000310F0000}"/>
    <cellStyle name="Comma 5 2 4 4 2 4 2 2" xfId="45842" xr:uid="{00000000-0005-0000-0000-0000320F0000}"/>
    <cellStyle name="Comma 5 2 4 4 2 4 3" xfId="33409" xr:uid="{00000000-0005-0000-0000-0000330F0000}"/>
    <cellStyle name="Comma 5 2 4 4 2 5" xfId="11919" xr:uid="{00000000-0005-0000-0000-0000340F0000}"/>
    <cellStyle name="Comma 5 2 4 4 2 5 2" xfId="24353" xr:uid="{00000000-0005-0000-0000-0000350F0000}"/>
    <cellStyle name="Comma 5 2 4 4 2 5 2 2" xfId="49227" xr:uid="{00000000-0005-0000-0000-0000360F0000}"/>
    <cellStyle name="Comma 5 2 4 4 2 5 3" xfId="36794" xr:uid="{00000000-0005-0000-0000-0000370F0000}"/>
    <cellStyle name="Comma 5 2 4 4 2 6" xfId="7001" xr:uid="{00000000-0005-0000-0000-0000380F0000}"/>
    <cellStyle name="Comma 5 2 4 4 2 6 2" xfId="19450" xr:uid="{00000000-0005-0000-0000-0000390F0000}"/>
    <cellStyle name="Comma 5 2 4 4 2 6 2 2" xfId="44324" xr:uid="{00000000-0005-0000-0000-00003A0F0000}"/>
    <cellStyle name="Comma 5 2 4 4 2 6 3" xfId="31891" xr:uid="{00000000-0005-0000-0000-00003B0F0000}"/>
    <cellStyle name="Comma 5 2 4 4 2 7" xfId="3455" xr:uid="{00000000-0005-0000-0000-00003C0F0000}"/>
    <cellStyle name="Comma 5 2 4 4 2 7 2" xfId="15961" xr:uid="{00000000-0005-0000-0000-00003D0F0000}"/>
    <cellStyle name="Comma 5 2 4 4 2 7 2 2" xfId="40835" xr:uid="{00000000-0005-0000-0000-00003E0F0000}"/>
    <cellStyle name="Comma 5 2 4 4 2 7 3" xfId="28394" xr:uid="{00000000-0005-0000-0000-00003F0F0000}"/>
    <cellStyle name="Comma 5 2 4 4 2 8" xfId="13547" xr:uid="{00000000-0005-0000-0000-0000400F0000}"/>
    <cellStyle name="Comma 5 2 4 4 2 8 2" xfId="38421" xr:uid="{00000000-0005-0000-0000-0000410F0000}"/>
    <cellStyle name="Comma 5 2 4 4 2 9" xfId="25980" xr:uid="{00000000-0005-0000-0000-0000420F0000}"/>
    <cellStyle name="Comma 5 2 4 4 3" xfId="1652" xr:uid="{00000000-0005-0000-0000-0000430F0000}"/>
    <cellStyle name="Comma 5 2 4 4 3 2" xfId="4929" xr:uid="{00000000-0005-0000-0000-0000440F0000}"/>
    <cellStyle name="Comma 5 2 4 4 3 2 2" xfId="9946" xr:uid="{00000000-0005-0000-0000-0000450F0000}"/>
    <cellStyle name="Comma 5 2 4 4 3 2 2 2" xfId="22389" xr:uid="{00000000-0005-0000-0000-0000460F0000}"/>
    <cellStyle name="Comma 5 2 4 4 3 2 2 2 2" xfId="47263" xr:uid="{00000000-0005-0000-0000-0000470F0000}"/>
    <cellStyle name="Comma 5 2 4 4 3 2 2 3" xfId="34830" xr:uid="{00000000-0005-0000-0000-0000480F0000}"/>
    <cellStyle name="Comma 5 2 4 4 3 2 3" xfId="17382" xr:uid="{00000000-0005-0000-0000-0000490F0000}"/>
    <cellStyle name="Comma 5 2 4 4 3 2 3 2" xfId="42256" xr:uid="{00000000-0005-0000-0000-00004A0F0000}"/>
    <cellStyle name="Comma 5 2 4 4 3 2 4" xfId="29823" xr:uid="{00000000-0005-0000-0000-00004B0F0000}"/>
    <cellStyle name="Comma 5 2 4 4 3 3" xfId="5798" xr:uid="{00000000-0005-0000-0000-00004C0F0000}"/>
    <cellStyle name="Comma 5 2 4 4 3 3 2" xfId="10813" xr:uid="{00000000-0005-0000-0000-00004D0F0000}"/>
    <cellStyle name="Comma 5 2 4 4 3 3 2 2" xfId="23256" xr:uid="{00000000-0005-0000-0000-00004E0F0000}"/>
    <cellStyle name="Comma 5 2 4 4 3 3 2 2 2" xfId="48130" xr:uid="{00000000-0005-0000-0000-00004F0F0000}"/>
    <cellStyle name="Comma 5 2 4 4 3 3 2 3" xfId="35697" xr:uid="{00000000-0005-0000-0000-0000500F0000}"/>
    <cellStyle name="Comma 5 2 4 4 3 3 3" xfId="18249" xr:uid="{00000000-0005-0000-0000-0000510F0000}"/>
    <cellStyle name="Comma 5 2 4 4 3 3 3 2" xfId="43123" xr:uid="{00000000-0005-0000-0000-0000520F0000}"/>
    <cellStyle name="Comma 5 2 4 4 3 3 4" xfId="30690" xr:uid="{00000000-0005-0000-0000-0000530F0000}"/>
    <cellStyle name="Comma 5 2 4 4 3 4" xfId="8353" xr:uid="{00000000-0005-0000-0000-0000540F0000}"/>
    <cellStyle name="Comma 5 2 4 4 3 4 2" xfId="20797" xr:uid="{00000000-0005-0000-0000-0000550F0000}"/>
    <cellStyle name="Comma 5 2 4 4 3 4 2 2" xfId="45671" xr:uid="{00000000-0005-0000-0000-0000560F0000}"/>
    <cellStyle name="Comma 5 2 4 4 3 4 3" xfId="33238" xr:uid="{00000000-0005-0000-0000-0000570F0000}"/>
    <cellStyle name="Comma 5 2 4 4 3 5" xfId="12267" xr:uid="{00000000-0005-0000-0000-0000580F0000}"/>
    <cellStyle name="Comma 5 2 4 4 3 5 2" xfId="24701" xr:uid="{00000000-0005-0000-0000-0000590F0000}"/>
    <cellStyle name="Comma 5 2 4 4 3 5 2 2" xfId="49575" xr:uid="{00000000-0005-0000-0000-00005A0F0000}"/>
    <cellStyle name="Comma 5 2 4 4 3 5 3" xfId="37142" xr:uid="{00000000-0005-0000-0000-00005B0F0000}"/>
    <cellStyle name="Comma 5 2 4 4 3 6" xfId="7540" xr:uid="{00000000-0005-0000-0000-00005C0F0000}"/>
    <cellStyle name="Comma 5 2 4 4 3 6 2" xfId="19988" xr:uid="{00000000-0005-0000-0000-00005D0F0000}"/>
    <cellStyle name="Comma 5 2 4 4 3 6 2 2" xfId="44862" xr:uid="{00000000-0005-0000-0000-00005E0F0000}"/>
    <cellStyle name="Comma 5 2 4 4 3 6 3" xfId="32429" xr:uid="{00000000-0005-0000-0000-00005F0F0000}"/>
    <cellStyle name="Comma 5 2 4 4 3 7" xfId="3284" xr:uid="{00000000-0005-0000-0000-0000600F0000}"/>
    <cellStyle name="Comma 5 2 4 4 3 7 2" xfId="15790" xr:uid="{00000000-0005-0000-0000-0000610F0000}"/>
    <cellStyle name="Comma 5 2 4 4 3 7 2 2" xfId="40664" xr:uid="{00000000-0005-0000-0000-0000620F0000}"/>
    <cellStyle name="Comma 5 2 4 4 3 7 3" xfId="28223" xr:uid="{00000000-0005-0000-0000-0000630F0000}"/>
    <cellStyle name="Comma 5 2 4 4 3 8" xfId="14452" xr:uid="{00000000-0005-0000-0000-0000640F0000}"/>
    <cellStyle name="Comma 5 2 4 4 3 8 2" xfId="39326" xr:uid="{00000000-0005-0000-0000-0000650F0000}"/>
    <cellStyle name="Comma 5 2 4 4 3 9" xfId="26885" xr:uid="{00000000-0005-0000-0000-0000660F0000}"/>
    <cellStyle name="Comma 5 2 4 4 4" xfId="2302" xr:uid="{00000000-0005-0000-0000-0000670F0000}"/>
    <cellStyle name="Comma 5 2 4 4 4 2" xfId="6327" xr:uid="{00000000-0005-0000-0000-0000680F0000}"/>
    <cellStyle name="Comma 5 2 4 4 4 2 2" xfId="11342" xr:uid="{00000000-0005-0000-0000-0000690F0000}"/>
    <cellStyle name="Comma 5 2 4 4 4 2 2 2" xfId="23785" xr:uid="{00000000-0005-0000-0000-00006A0F0000}"/>
    <cellStyle name="Comma 5 2 4 4 4 2 2 2 2" xfId="48659" xr:uid="{00000000-0005-0000-0000-00006B0F0000}"/>
    <cellStyle name="Comma 5 2 4 4 4 2 2 3" xfId="36226" xr:uid="{00000000-0005-0000-0000-00006C0F0000}"/>
    <cellStyle name="Comma 5 2 4 4 4 2 3" xfId="18778" xr:uid="{00000000-0005-0000-0000-00006D0F0000}"/>
    <cellStyle name="Comma 5 2 4 4 4 2 3 2" xfId="43652" xr:uid="{00000000-0005-0000-0000-00006E0F0000}"/>
    <cellStyle name="Comma 5 2 4 4 4 2 4" xfId="31219" xr:uid="{00000000-0005-0000-0000-00006F0F0000}"/>
    <cellStyle name="Comma 5 2 4 4 4 3" xfId="12796" xr:uid="{00000000-0005-0000-0000-0000700F0000}"/>
    <cellStyle name="Comma 5 2 4 4 4 3 2" xfId="25230" xr:uid="{00000000-0005-0000-0000-0000710F0000}"/>
    <cellStyle name="Comma 5 2 4 4 4 3 2 2" xfId="50104" xr:uid="{00000000-0005-0000-0000-0000720F0000}"/>
    <cellStyle name="Comma 5 2 4 4 4 3 3" xfId="37671" xr:uid="{00000000-0005-0000-0000-0000730F0000}"/>
    <cellStyle name="Comma 5 2 4 4 4 4" xfId="9237" xr:uid="{00000000-0005-0000-0000-0000740F0000}"/>
    <cellStyle name="Comma 5 2 4 4 4 4 2" xfId="21680" xr:uid="{00000000-0005-0000-0000-0000750F0000}"/>
    <cellStyle name="Comma 5 2 4 4 4 4 2 2" xfId="46554" xr:uid="{00000000-0005-0000-0000-0000760F0000}"/>
    <cellStyle name="Comma 5 2 4 4 4 4 3" xfId="34121" xr:uid="{00000000-0005-0000-0000-0000770F0000}"/>
    <cellStyle name="Comma 5 2 4 4 4 5" xfId="4219" xr:uid="{00000000-0005-0000-0000-0000780F0000}"/>
    <cellStyle name="Comma 5 2 4 4 4 5 2" xfId="16673" xr:uid="{00000000-0005-0000-0000-0000790F0000}"/>
    <cellStyle name="Comma 5 2 4 4 4 5 2 2" xfId="41547" xr:uid="{00000000-0005-0000-0000-00007A0F0000}"/>
    <cellStyle name="Comma 5 2 4 4 4 5 3" xfId="29114" xr:uid="{00000000-0005-0000-0000-00007B0F0000}"/>
    <cellStyle name="Comma 5 2 4 4 4 6" xfId="14981" xr:uid="{00000000-0005-0000-0000-00007C0F0000}"/>
    <cellStyle name="Comma 5 2 4 4 4 6 2" xfId="39855" xr:uid="{00000000-0005-0000-0000-00007D0F0000}"/>
    <cellStyle name="Comma 5 2 4 4 4 7" xfId="27414" xr:uid="{00000000-0005-0000-0000-00007E0F0000}"/>
    <cellStyle name="Comma 5 2 4 4 5" xfId="1138" xr:uid="{00000000-0005-0000-0000-00007F0F0000}"/>
    <cellStyle name="Comma 5 2 4 4 5 2" xfId="10299" xr:uid="{00000000-0005-0000-0000-0000800F0000}"/>
    <cellStyle name="Comma 5 2 4 4 5 2 2" xfId="22742" xr:uid="{00000000-0005-0000-0000-0000810F0000}"/>
    <cellStyle name="Comma 5 2 4 4 5 2 2 2" xfId="47616" xr:uid="{00000000-0005-0000-0000-0000820F0000}"/>
    <cellStyle name="Comma 5 2 4 4 5 2 3" xfId="35183" xr:uid="{00000000-0005-0000-0000-0000830F0000}"/>
    <cellStyle name="Comma 5 2 4 4 5 3" xfId="5283" xr:uid="{00000000-0005-0000-0000-0000840F0000}"/>
    <cellStyle name="Comma 5 2 4 4 5 3 2" xfId="17735" xr:uid="{00000000-0005-0000-0000-0000850F0000}"/>
    <cellStyle name="Comma 5 2 4 4 5 3 2 2" xfId="42609" xr:uid="{00000000-0005-0000-0000-0000860F0000}"/>
    <cellStyle name="Comma 5 2 4 4 5 3 3" xfId="30176" xr:uid="{00000000-0005-0000-0000-0000870F0000}"/>
    <cellStyle name="Comma 5 2 4 4 5 4" xfId="13938" xr:uid="{00000000-0005-0000-0000-0000880F0000}"/>
    <cellStyle name="Comma 5 2 4 4 5 4 2" xfId="38812" xr:uid="{00000000-0005-0000-0000-0000890F0000}"/>
    <cellStyle name="Comma 5 2 4 4 5 5" xfId="26371" xr:uid="{00000000-0005-0000-0000-00008A0F0000}"/>
    <cellStyle name="Comma 5 2 4 4 6" xfId="7860" xr:uid="{00000000-0005-0000-0000-00008B0F0000}"/>
    <cellStyle name="Comma 5 2 4 4 6 2" xfId="20306" xr:uid="{00000000-0005-0000-0000-00008C0F0000}"/>
    <cellStyle name="Comma 5 2 4 4 6 2 2" xfId="45180" xr:uid="{00000000-0005-0000-0000-00008D0F0000}"/>
    <cellStyle name="Comma 5 2 4 4 6 3" xfId="32747" xr:uid="{00000000-0005-0000-0000-00008E0F0000}"/>
    <cellStyle name="Comma 5 2 4 4 7" xfId="11753" xr:uid="{00000000-0005-0000-0000-00008F0F0000}"/>
    <cellStyle name="Comma 5 2 4 4 7 2" xfId="24187" xr:uid="{00000000-0005-0000-0000-0000900F0000}"/>
    <cellStyle name="Comma 5 2 4 4 7 2 2" xfId="49061" xr:uid="{00000000-0005-0000-0000-0000910F0000}"/>
    <cellStyle name="Comma 5 2 4 4 7 3" xfId="36628" xr:uid="{00000000-0005-0000-0000-0000920F0000}"/>
    <cellStyle name="Comma 5 2 4 4 8" xfId="6830" xr:uid="{00000000-0005-0000-0000-0000930F0000}"/>
    <cellStyle name="Comma 5 2 4 4 8 2" xfId="19279" xr:uid="{00000000-0005-0000-0000-0000940F0000}"/>
    <cellStyle name="Comma 5 2 4 4 8 2 2" xfId="44153" xr:uid="{00000000-0005-0000-0000-0000950F0000}"/>
    <cellStyle name="Comma 5 2 4 4 8 3" xfId="31720" xr:uid="{00000000-0005-0000-0000-0000960F0000}"/>
    <cellStyle name="Comma 5 2 4 4 9" xfId="2781" xr:uid="{00000000-0005-0000-0000-0000970F0000}"/>
    <cellStyle name="Comma 5 2 4 4 9 2" xfId="15299" xr:uid="{00000000-0005-0000-0000-0000980F0000}"/>
    <cellStyle name="Comma 5 2 4 4 9 2 2" xfId="40173" xr:uid="{00000000-0005-0000-0000-0000990F0000}"/>
    <cellStyle name="Comma 5 2 4 4 9 3" xfId="27732" xr:uid="{00000000-0005-0000-0000-00009A0F0000}"/>
    <cellStyle name="Comma 5 2 4 5" xfId="213" xr:uid="{00000000-0005-0000-0000-00009B0F0000}"/>
    <cellStyle name="Comma 5 2 4 5 2" xfId="1299" xr:uid="{00000000-0005-0000-0000-00009C0F0000}"/>
    <cellStyle name="Comma 5 2 4 5 2 2" xfId="9078" xr:uid="{00000000-0005-0000-0000-00009D0F0000}"/>
    <cellStyle name="Comma 5 2 4 5 2 2 2" xfId="21521" xr:uid="{00000000-0005-0000-0000-00009E0F0000}"/>
    <cellStyle name="Comma 5 2 4 5 2 2 2 2" xfId="46395" xr:uid="{00000000-0005-0000-0000-00009F0F0000}"/>
    <cellStyle name="Comma 5 2 4 5 2 2 3" xfId="33962" xr:uid="{00000000-0005-0000-0000-0000A00F0000}"/>
    <cellStyle name="Comma 5 2 4 5 2 3" xfId="4060" xr:uid="{00000000-0005-0000-0000-0000A10F0000}"/>
    <cellStyle name="Comma 5 2 4 5 2 3 2" xfId="16514" xr:uid="{00000000-0005-0000-0000-0000A20F0000}"/>
    <cellStyle name="Comma 5 2 4 5 2 3 2 2" xfId="41388" xr:uid="{00000000-0005-0000-0000-0000A30F0000}"/>
    <cellStyle name="Comma 5 2 4 5 2 3 3" xfId="28955" xr:uid="{00000000-0005-0000-0000-0000A40F0000}"/>
    <cellStyle name="Comma 5 2 4 5 2 4" xfId="14099" xr:uid="{00000000-0005-0000-0000-0000A50F0000}"/>
    <cellStyle name="Comma 5 2 4 5 2 4 2" xfId="38973" xr:uid="{00000000-0005-0000-0000-0000A60F0000}"/>
    <cellStyle name="Comma 5 2 4 5 2 5" xfId="26532" xr:uid="{00000000-0005-0000-0000-0000A70F0000}"/>
    <cellStyle name="Comma 5 2 4 5 3" xfId="5444" xr:uid="{00000000-0005-0000-0000-0000A80F0000}"/>
    <cellStyle name="Comma 5 2 4 5 3 2" xfId="10460" xr:uid="{00000000-0005-0000-0000-0000A90F0000}"/>
    <cellStyle name="Comma 5 2 4 5 3 2 2" xfId="22903" xr:uid="{00000000-0005-0000-0000-0000AA0F0000}"/>
    <cellStyle name="Comma 5 2 4 5 3 2 2 2" xfId="47777" xr:uid="{00000000-0005-0000-0000-0000AB0F0000}"/>
    <cellStyle name="Comma 5 2 4 5 3 2 3" xfId="35344" xr:uid="{00000000-0005-0000-0000-0000AC0F0000}"/>
    <cellStyle name="Comma 5 2 4 5 3 3" xfId="17896" xr:uid="{00000000-0005-0000-0000-0000AD0F0000}"/>
    <cellStyle name="Comma 5 2 4 5 3 3 2" xfId="42770" xr:uid="{00000000-0005-0000-0000-0000AE0F0000}"/>
    <cellStyle name="Comma 5 2 4 5 3 4" xfId="30337" xr:uid="{00000000-0005-0000-0000-0000AF0F0000}"/>
    <cellStyle name="Comma 5 2 4 5 4" xfId="8194" xr:uid="{00000000-0005-0000-0000-0000B00F0000}"/>
    <cellStyle name="Comma 5 2 4 5 4 2" xfId="20638" xr:uid="{00000000-0005-0000-0000-0000B10F0000}"/>
    <cellStyle name="Comma 5 2 4 5 4 2 2" xfId="45512" xr:uid="{00000000-0005-0000-0000-0000B20F0000}"/>
    <cellStyle name="Comma 5 2 4 5 4 3" xfId="33079" xr:uid="{00000000-0005-0000-0000-0000B30F0000}"/>
    <cellStyle name="Comma 5 2 4 5 5" xfId="11914" xr:uid="{00000000-0005-0000-0000-0000B40F0000}"/>
    <cellStyle name="Comma 5 2 4 5 5 2" xfId="24348" xr:uid="{00000000-0005-0000-0000-0000B50F0000}"/>
    <cellStyle name="Comma 5 2 4 5 5 2 2" xfId="49222" xr:uid="{00000000-0005-0000-0000-0000B60F0000}"/>
    <cellStyle name="Comma 5 2 4 5 5 3" xfId="36789" xr:uid="{00000000-0005-0000-0000-0000B70F0000}"/>
    <cellStyle name="Comma 5 2 4 5 6" xfId="6671" xr:uid="{00000000-0005-0000-0000-0000B80F0000}"/>
    <cellStyle name="Comma 5 2 4 5 6 2" xfId="19120" xr:uid="{00000000-0005-0000-0000-0000B90F0000}"/>
    <cellStyle name="Comma 5 2 4 5 6 2 2" xfId="43994" xr:uid="{00000000-0005-0000-0000-0000BA0F0000}"/>
    <cellStyle name="Comma 5 2 4 5 6 3" xfId="31561" xr:uid="{00000000-0005-0000-0000-0000BB0F0000}"/>
    <cellStyle name="Comma 5 2 4 5 7" xfId="3125" xr:uid="{00000000-0005-0000-0000-0000BC0F0000}"/>
    <cellStyle name="Comma 5 2 4 5 7 2" xfId="15631" xr:uid="{00000000-0005-0000-0000-0000BD0F0000}"/>
    <cellStyle name="Comma 5 2 4 5 7 2 2" xfId="40505" xr:uid="{00000000-0005-0000-0000-0000BE0F0000}"/>
    <cellStyle name="Comma 5 2 4 5 7 3" xfId="28064" xr:uid="{00000000-0005-0000-0000-0000BF0F0000}"/>
    <cellStyle name="Comma 5 2 4 5 8" xfId="13041" xr:uid="{00000000-0005-0000-0000-0000C00F0000}"/>
    <cellStyle name="Comma 5 2 4 5 8 2" xfId="37915" xr:uid="{00000000-0005-0000-0000-0000C10F0000}"/>
    <cellStyle name="Comma 5 2 4 5 9" xfId="25474" xr:uid="{00000000-0005-0000-0000-0000C20F0000}"/>
    <cellStyle name="Comma 5 2 4 6" xfId="579" xr:uid="{00000000-0005-0000-0000-0000C30F0000}"/>
    <cellStyle name="Comma 5 2 4 6 2" xfId="1647" xr:uid="{00000000-0005-0000-0000-0000C40F0000}"/>
    <cellStyle name="Comma 5 2 4 6 2 2" xfId="9403" xr:uid="{00000000-0005-0000-0000-0000C50F0000}"/>
    <cellStyle name="Comma 5 2 4 6 2 2 2" xfId="21846" xr:uid="{00000000-0005-0000-0000-0000C60F0000}"/>
    <cellStyle name="Comma 5 2 4 6 2 2 2 2" xfId="46720" xr:uid="{00000000-0005-0000-0000-0000C70F0000}"/>
    <cellStyle name="Comma 5 2 4 6 2 2 3" xfId="34287" xr:uid="{00000000-0005-0000-0000-0000C80F0000}"/>
    <cellStyle name="Comma 5 2 4 6 2 3" xfId="4385" xr:uid="{00000000-0005-0000-0000-0000C90F0000}"/>
    <cellStyle name="Comma 5 2 4 6 2 3 2" xfId="16839" xr:uid="{00000000-0005-0000-0000-0000CA0F0000}"/>
    <cellStyle name="Comma 5 2 4 6 2 3 2 2" xfId="41713" xr:uid="{00000000-0005-0000-0000-0000CB0F0000}"/>
    <cellStyle name="Comma 5 2 4 6 2 3 3" xfId="29280" xr:uid="{00000000-0005-0000-0000-0000CC0F0000}"/>
    <cellStyle name="Comma 5 2 4 6 2 4" xfId="14447" xr:uid="{00000000-0005-0000-0000-0000CD0F0000}"/>
    <cellStyle name="Comma 5 2 4 6 2 4 2" xfId="39321" xr:uid="{00000000-0005-0000-0000-0000CE0F0000}"/>
    <cellStyle name="Comma 5 2 4 6 2 5" xfId="26880" xr:uid="{00000000-0005-0000-0000-0000CF0F0000}"/>
    <cellStyle name="Comma 5 2 4 6 3" xfId="5793" xr:uid="{00000000-0005-0000-0000-0000D00F0000}"/>
    <cellStyle name="Comma 5 2 4 6 3 2" xfId="10808" xr:uid="{00000000-0005-0000-0000-0000D10F0000}"/>
    <cellStyle name="Comma 5 2 4 6 3 2 2" xfId="23251" xr:uid="{00000000-0005-0000-0000-0000D20F0000}"/>
    <cellStyle name="Comma 5 2 4 6 3 2 2 2" xfId="48125" xr:uid="{00000000-0005-0000-0000-0000D30F0000}"/>
    <cellStyle name="Comma 5 2 4 6 3 2 3" xfId="35692" xr:uid="{00000000-0005-0000-0000-0000D40F0000}"/>
    <cellStyle name="Comma 5 2 4 6 3 3" xfId="18244" xr:uid="{00000000-0005-0000-0000-0000D50F0000}"/>
    <cellStyle name="Comma 5 2 4 6 3 3 2" xfId="43118" xr:uid="{00000000-0005-0000-0000-0000D60F0000}"/>
    <cellStyle name="Comma 5 2 4 6 3 4" xfId="30685" xr:uid="{00000000-0005-0000-0000-0000D70F0000}"/>
    <cellStyle name="Comma 5 2 4 6 4" xfId="8519" xr:uid="{00000000-0005-0000-0000-0000D80F0000}"/>
    <cellStyle name="Comma 5 2 4 6 4 2" xfId="20963" xr:uid="{00000000-0005-0000-0000-0000D90F0000}"/>
    <cellStyle name="Comma 5 2 4 6 4 2 2" xfId="45837" xr:uid="{00000000-0005-0000-0000-0000DA0F0000}"/>
    <cellStyle name="Comma 5 2 4 6 4 3" xfId="33404" xr:uid="{00000000-0005-0000-0000-0000DB0F0000}"/>
    <cellStyle name="Comma 5 2 4 6 5" xfId="12262" xr:uid="{00000000-0005-0000-0000-0000DC0F0000}"/>
    <cellStyle name="Comma 5 2 4 6 5 2" xfId="24696" xr:uid="{00000000-0005-0000-0000-0000DD0F0000}"/>
    <cellStyle name="Comma 5 2 4 6 5 2 2" xfId="49570" xr:uid="{00000000-0005-0000-0000-0000DE0F0000}"/>
    <cellStyle name="Comma 5 2 4 6 5 3" xfId="37137" xr:uid="{00000000-0005-0000-0000-0000DF0F0000}"/>
    <cellStyle name="Comma 5 2 4 6 6" xfId="6996" xr:uid="{00000000-0005-0000-0000-0000E00F0000}"/>
    <cellStyle name="Comma 5 2 4 6 6 2" xfId="19445" xr:uid="{00000000-0005-0000-0000-0000E10F0000}"/>
    <cellStyle name="Comma 5 2 4 6 6 2 2" xfId="44319" xr:uid="{00000000-0005-0000-0000-0000E20F0000}"/>
    <cellStyle name="Comma 5 2 4 6 6 3" xfId="31886" xr:uid="{00000000-0005-0000-0000-0000E30F0000}"/>
    <cellStyle name="Comma 5 2 4 6 7" xfId="3450" xr:uid="{00000000-0005-0000-0000-0000E40F0000}"/>
    <cellStyle name="Comma 5 2 4 6 7 2" xfId="15956" xr:uid="{00000000-0005-0000-0000-0000E50F0000}"/>
    <cellStyle name="Comma 5 2 4 6 7 2 2" xfId="40830" xr:uid="{00000000-0005-0000-0000-0000E60F0000}"/>
    <cellStyle name="Comma 5 2 4 6 7 3" xfId="28389" xr:uid="{00000000-0005-0000-0000-0000E70F0000}"/>
    <cellStyle name="Comma 5 2 4 6 8" xfId="13388" xr:uid="{00000000-0005-0000-0000-0000E80F0000}"/>
    <cellStyle name="Comma 5 2 4 6 8 2" xfId="38262" xr:uid="{00000000-0005-0000-0000-0000E90F0000}"/>
    <cellStyle name="Comma 5 2 4 6 9" xfId="25821" xr:uid="{00000000-0005-0000-0000-0000EA0F0000}"/>
    <cellStyle name="Comma 5 2 4 7" xfId="2131" xr:uid="{00000000-0005-0000-0000-0000EB0F0000}"/>
    <cellStyle name="Comma 5 2 4 7 2" xfId="4770" xr:uid="{00000000-0005-0000-0000-0000EC0F0000}"/>
    <cellStyle name="Comma 5 2 4 7 2 2" xfId="9787" xr:uid="{00000000-0005-0000-0000-0000ED0F0000}"/>
    <cellStyle name="Comma 5 2 4 7 2 2 2" xfId="22230" xr:uid="{00000000-0005-0000-0000-0000EE0F0000}"/>
    <cellStyle name="Comma 5 2 4 7 2 2 2 2" xfId="47104" xr:uid="{00000000-0005-0000-0000-0000EF0F0000}"/>
    <cellStyle name="Comma 5 2 4 7 2 2 3" xfId="34671" xr:uid="{00000000-0005-0000-0000-0000F00F0000}"/>
    <cellStyle name="Comma 5 2 4 7 2 3" xfId="17223" xr:uid="{00000000-0005-0000-0000-0000F10F0000}"/>
    <cellStyle name="Comma 5 2 4 7 2 3 2" xfId="42097" xr:uid="{00000000-0005-0000-0000-0000F20F0000}"/>
    <cellStyle name="Comma 5 2 4 7 2 4" xfId="29664" xr:uid="{00000000-0005-0000-0000-0000F30F0000}"/>
    <cellStyle name="Comma 5 2 4 7 3" xfId="6168" xr:uid="{00000000-0005-0000-0000-0000F40F0000}"/>
    <cellStyle name="Comma 5 2 4 7 3 2" xfId="11183" xr:uid="{00000000-0005-0000-0000-0000F50F0000}"/>
    <cellStyle name="Comma 5 2 4 7 3 2 2" xfId="23626" xr:uid="{00000000-0005-0000-0000-0000F60F0000}"/>
    <cellStyle name="Comma 5 2 4 7 3 2 2 2" xfId="48500" xr:uid="{00000000-0005-0000-0000-0000F70F0000}"/>
    <cellStyle name="Comma 5 2 4 7 3 2 3" xfId="36067" xr:uid="{00000000-0005-0000-0000-0000F80F0000}"/>
    <cellStyle name="Comma 5 2 4 7 3 3" xfId="18619" xr:uid="{00000000-0005-0000-0000-0000F90F0000}"/>
    <cellStyle name="Comma 5 2 4 7 3 3 2" xfId="43493" xr:uid="{00000000-0005-0000-0000-0000FA0F0000}"/>
    <cellStyle name="Comma 5 2 4 7 3 4" xfId="31060" xr:uid="{00000000-0005-0000-0000-0000FB0F0000}"/>
    <cellStyle name="Comma 5 2 4 7 4" xfId="8033" xr:uid="{00000000-0005-0000-0000-0000FC0F0000}"/>
    <cellStyle name="Comma 5 2 4 7 4 2" xfId="20479" xr:uid="{00000000-0005-0000-0000-0000FD0F0000}"/>
    <cellStyle name="Comma 5 2 4 7 4 2 2" xfId="45353" xr:uid="{00000000-0005-0000-0000-0000FE0F0000}"/>
    <cellStyle name="Comma 5 2 4 7 4 3" xfId="32920" xr:uid="{00000000-0005-0000-0000-0000FF0F0000}"/>
    <cellStyle name="Comma 5 2 4 7 5" xfId="12637" xr:uid="{00000000-0005-0000-0000-000000100000}"/>
    <cellStyle name="Comma 5 2 4 7 5 2" xfId="25071" xr:uid="{00000000-0005-0000-0000-000001100000}"/>
    <cellStyle name="Comma 5 2 4 7 5 2 2" xfId="49945" xr:uid="{00000000-0005-0000-0000-000002100000}"/>
    <cellStyle name="Comma 5 2 4 7 5 3" xfId="37512" xr:uid="{00000000-0005-0000-0000-000003100000}"/>
    <cellStyle name="Comma 5 2 4 7 6" xfId="7381" xr:uid="{00000000-0005-0000-0000-000004100000}"/>
    <cellStyle name="Comma 5 2 4 7 6 2" xfId="19829" xr:uid="{00000000-0005-0000-0000-000005100000}"/>
    <cellStyle name="Comma 5 2 4 7 6 2 2" xfId="44703" xr:uid="{00000000-0005-0000-0000-000006100000}"/>
    <cellStyle name="Comma 5 2 4 7 6 3" xfId="32270" xr:uid="{00000000-0005-0000-0000-000007100000}"/>
    <cellStyle name="Comma 5 2 4 7 7" xfId="2960" xr:uid="{00000000-0005-0000-0000-000008100000}"/>
    <cellStyle name="Comma 5 2 4 7 7 2" xfId="15472" xr:uid="{00000000-0005-0000-0000-000009100000}"/>
    <cellStyle name="Comma 5 2 4 7 7 2 2" xfId="40346" xr:uid="{00000000-0005-0000-0000-00000A100000}"/>
    <cellStyle name="Comma 5 2 4 7 7 3" xfId="27905" xr:uid="{00000000-0005-0000-0000-00000B100000}"/>
    <cellStyle name="Comma 5 2 4 7 8" xfId="14822" xr:uid="{00000000-0005-0000-0000-00000C100000}"/>
    <cellStyle name="Comma 5 2 4 7 8 2" xfId="39696" xr:uid="{00000000-0005-0000-0000-00000D100000}"/>
    <cellStyle name="Comma 5 2 4 7 9" xfId="27255" xr:uid="{00000000-0005-0000-0000-00000E100000}"/>
    <cellStyle name="Comma 5 2 4 8" xfId="979" xr:uid="{00000000-0005-0000-0000-00000F100000}"/>
    <cellStyle name="Comma 5 2 4 8 2" xfId="11594" xr:uid="{00000000-0005-0000-0000-000010100000}"/>
    <cellStyle name="Comma 5 2 4 8 2 2" xfId="24028" xr:uid="{00000000-0005-0000-0000-000011100000}"/>
    <cellStyle name="Comma 5 2 4 8 2 2 2" xfId="48902" xr:uid="{00000000-0005-0000-0000-000012100000}"/>
    <cellStyle name="Comma 5 2 4 8 2 3" xfId="36469" xr:uid="{00000000-0005-0000-0000-000013100000}"/>
    <cellStyle name="Comma 5 2 4 8 3" xfId="8920" xr:uid="{00000000-0005-0000-0000-000014100000}"/>
    <cellStyle name="Comma 5 2 4 8 3 2" xfId="21363" xr:uid="{00000000-0005-0000-0000-000015100000}"/>
    <cellStyle name="Comma 5 2 4 8 3 2 2" xfId="46237" xr:uid="{00000000-0005-0000-0000-000016100000}"/>
    <cellStyle name="Comma 5 2 4 8 3 3" xfId="33804" xr:uid="{00000000-0005-0000-0000-000017100000}"/>
    <cellStyle name="Comma 5 2 4 8 4" xfId="3902" xr:uid="{00000000-0005-0000-0000-000018100000}"/>
    <cellStyle name="Comma 5 2 4 8 4 2" xfId="16356" xr:uid="{00000000-0005-0000-0000-000019100000}"/>
    <cellStyle name="Comma 5 2 4 8 4 2 2" xfId="41230" xr:uid="{00000000-0005-0000-0000-00001A100000}"/>
    <cellStyle name="Comma 5 2 4 8 4 3" xfId="28797" xr:uid="{00000000-0005-0000-0000-00001B100000}"/>
    <cellStyle name="Comma 5 2 4 8 5" xfId="13779" xr:uid="{00000000-0005-0000-0000-00001C100000}"/>
    <cellStyle name="Comma 5 2 4 8 5 2" xfId="38653" xr:uid="{00000000-0005-0000-0000-00001D100000}"/>
    <cellStyle name="Comma 5 2 4 8 6" xfId="26212" xr:uid="{00000000-0005-0000-0000-00001E100000}"/>
    <cellStyle name="Comma 5 2 4 9" xfId="906" xr:uid="{00000000-0005-0000-0000-00001F100000}"/>
    <cellStyle name="Comma 5 2 4 9 2" xfId="10138" xr:uid="{00000000-0005-0000-0000-000020100000}"/>
    <cellStyle name="Comma 5 2 4 9 2 2" xfId="22581" xr:uid="{00000000-0005-0000-0000-000021100000}"/>
    <cellStyle name="Comma 5 2 4 9 2 2 2" xfId="47455" xr:uid="{00000000-0005-0000-0000-000022100000}"/>
    <cellStyle name="Comma 5 2 4 9 2 3" xfId="35022" xr:uid="{00000000-0005-0000-0000-000023100000}"/>
    <cellStyle name="Comma 5 2 4 9 3" xfId="5122" xr:uid="{00000000-0005-0000-0000-000024100000}"/>
    <cellStyle name="Comma 5 2 4 9 3 2" xfId="17574" xr:uid="{00000000-0005-0000-0000-000025100000}"/>
    <cellStyle name="Comma 5 2 4 9 3 2 2" xfId="42448" xr:uid="{00000000-0005-0000-0000-000026100000}"/>
    <cellStyle name="Comma 5 2 4 9 3 3" xfId="30015" xr:uid="{00000000-0005-0000-0000-000027100000}"/>
    <cellStyle name="Comma 5 2 4 9 4" xfId="13706" xr:uid="{00000000-0005-0000-0000-000028100000}"/>
    <cellStyle name="Comma 5 2 4 9 4 2" xfId="38580" xr:uid="{00000000-0005-0000-0000-000029100000}"/>
    <cellStyle name="Comma 5 2 4 9 5" xfId="26139" xr:uid="{00000000-0005-0000-0000-00002A100000}"/>
    <cellStyle name="Comma 5 2 5" xfId="168" xr:uid="{00000000-0005-0000-0000-00002B100000}"/>
    <cellStyle name="Comma 5 2 5 10" xfId="6539" xr:uid="{00000000-0005-0000-0000-00002C100000}"/>
    <cellStyle name="Comma 5 2 5 10 2" xfId="18988" xr:uid="{00000000-0005-0000-0000-00002D100000}"/>
    <cellStyle name="Comma 5 2 5 10 2 2" xfId="43862" xr:uid="{00000000-0005-0000-0000-00002E100000}"/>
    <cellStyle name="Comma 5 2 5 10 3" xfId="31429" xr:uid="{00000000-0005-0000-0000-00002F100000}"/>
    <cellStyle name="Comma 5 2 5 11" xfId="2707" xr:uid="{00000000-0005-0000-0000-000030100000}"/>
    <cellStyle name="Comma 5 2 5 11 2" xfId="15225" xr:uid="{00000000-0005-0000-0000-000031100000}"/>
    <cellStyle name="Comma 5 2 5 11 2 2" xfId="40099" xr:uid="{00000000-0005-0000-0000-000032100000}"/>
    <cellStyle name="Comma 5 2 5 11 3" xfId="27658" xr:uid="{00000000-0005-0000-0000-000033100000}"/>
    <cellStyle name="Comma 5 2 5 12" xfId="12998" xr:uid="{00000000-0005-0000-0000-000034100000}"/>
    <cellStyle name="Comma 5 2 5 12 2" xfId="37872" xr:uid="{00000000-0005-0000-0000-000035100000}"/>
    <cellStyle name="Comma 5 2 5 13" xfId="25431" xr:uid="{00000000-0005-0000-0000-000036100000}"/>
    <cellStyle name="Comma 5 2 5 2" xfId="411" xr:uid="{00000000-0005-0000-0000-000037100000}"/>
    <cellStyle name="Comma 5 2 5 2 10" xfId="13226" xr:uid="{00000000-0005-0000-0000-000038100000}"/>
    <cellStyle name="Comma 5 2 5 2 10 2" xfId="38100" xr:uid="{00000000-0005-0000-0000-000039100000}"/>
    <cellStyle name="Comma 5 2 5 2 11" xfId="25659" xr:uid="{00000000-0005-0000-0000-00003A100000}"/>
    <cellStyle name="Comma 5 2 5 2 2" xfId="771" xr:uid="{00000000-0005-0000-0000-00003B100000}"/>
    <cellStyle name="Comma 5 2 5 2 2 2" xfId="1306" xr:uid="{00000000-0005-0000-0000-00003C100000}"/>
    <cellStyle name="Comma 5 2 5 2 2 2 2" xfId="9410" xr:uid="{00000000-0005-0000-0000-00003D100000}"/>
    <cellStyle name="Comma 5 2 5 2 2 2 2 2" xfId="21853" xr:uid="{00000000-0005-0000-0000-00003E100000}"/>
    <cellStyle name="Comma 5 2 5 2 2 2 2 2 2" xfId="46727" xr:uid="{00000000-0005-0000-0000-00003F100000}"/>
    <cellStyle name="Comma 5 2 5 2 2 2 2 3" xfId="34294" xr:uid="{00000000-0005-0000-0000-000040100000}"/>
    <cellStyle name="Comma 5 2 5 2 2 2 3" xfId="4392" xr:uid="{00000000-0005-0000-0000-000041100000}"/>
    <cellStyle name="Comma 5 2 5 2 2 2 3 2" xfId="16846" xr:uid="{00000000-0005-0000-0000-000042100000}"/>
    <cellStyle name="Comma 5 2 5 2 2 2 3 2 2" xfId="41720" xr:uid="{00000000-0005-0000-0000-000043100000}"/>
    <cellStyle name="Comma 5 2 5 2 2 2 3 3" xfId="29287" xr:uid="{00000000-0005-0000-0000-000044100000}"/>
    <cellStyle name="Comma 5 2 5 2 2 2 4" xfId="14106" xr:uid="{00000000-0005-0000-0000-000045100000}"/>
    <cellStyle name="Comma 5 2 5 2 2 2 4 2" xfId="38980" xr:uid="{00000000-0005-0000-0000-000046100000}"/>
    <cellStyle name="Comma 5 2 5 2 2 2 5" xfId="26539" xr:uid="{00000000-0005-0000-0000-000047100000}"/>
    <cellStyle name="Comma 5 2 5 2 2 3" xfId="5451" xr:uid="{00000000-0005-0000-0000-000048100000}"/>
    <cellStyle name="Comma 5 2 5 2 2 3 2" xfId="10467" xr:uid="{00000000-0005-0000-0000-000049100000}"/>
    <cellStyle name="Comma 5 2 5 2 2 3 2 2" xfId="22910" xr:uid="{00000000-0005-0000-0000-00004A100000}"/>
    <cellStyle name="Comma 5 2 5 2 2 3 2 2 2" xfId="47784" xr:uid="{00000000-0005-0000-0000-00004B100000}"/>
    <cellStyle name="Comma 5 2 5 2 2 3 2 3" xfId="35351" xr:uid="{00000000-0005-0000-0000-00004C100000}"/>
    <cellStyle name="Comma 5 2 5 2 2 3 3" xfId="17903" xr:uid="{00000000-0005-0000-0000-00004D100000}"/>
    <cellStyle name="Comma 5 2 5 2 2 3 3 2" xfId="42777" xr:uid="{00000000-0005-0000-0000-00004E100000}"/>
    <cellStyle name="Comma 5 2 5 2 2 3 4" xfId="30344" xr:uid="{00000000-0005-0000-0000-00004F100000}"/>
    <cellStyle name="Comma 5 2 5 2 2 4" xfId="8526" xr:uid="{00000000-0005-0000-0000-000050100000}"/>
    <cellStyle name="Comma 5 2 5 2 2 4 2" xfId="20970" xr:uid="{00000000-0005-0000-0000-000051100000}"/>
    <cellStyle name="Comma 5 2 5 2 2 4 2 2" xfId="45844" xr:uid="{00000000-0005-0000-0000-000052100000}"/>
    <cellStyle name="Comma 5 2 5 2 2 4 3" xfId="33411" xr:uid="{00000000-0005-0000-0000-000053100000}"/>
    <cellStyle name="Comma 5 2 5 2 2 5" xfId="11921" xr:uid="{00000000-0005-0000-0000-000054100000}"/>
    <cellStyle name="Comma 5 2 5 2 2 5 2" xfId="24355" xr:uid="{00000000-0005-0000-0000-000055100000}"/>
    <cellStyle name="Comma 5 2 5 2 2 5 2 2" xfId="49229" xr:uid="{00000000-0005-0000-0000-000056100000}"/>
    <cellStyle name="Comma 5 2 5 2 2 5 3" xfId="36796" xr:uid="{00000000-0005-0000-0000-000057100000}"/>
    <cellStyle name="Comma 5 2 5 2 2 6" xfId="7003" xr:uid="{00000000-0005-0000-0000-000058100000}"/>
    <cellStyle name="Comma 5 2 5 2 2 6 2" xfId="19452" xr:uid="{00000000-0005-0000-0000-000059100000}"/>
    <cellStyle name="Comma 5 2 5 2 2 6 2 2" xfId="44326" xr:uid="{00000000-0005-0000-0000-00005A100000}"/>
    <cellStyle name="Comma 5 2 5 2 2 6 3" xfId="31893" xr:uid="{00000000-0005-0000-0000-00005B100000}"/>
    <cellStyle name="Comma 5 2 5 2 2 7" xfId="3457" xr:uid="{00000000-0005-0000-0000-00005C100000}"/>
    <cellStyle name="Comma 5 2 5 2 2 7 2" xfId="15963" xr:uid="{00000000-0005-0000-0000-00005D100000}"/>
    <cellStyle name="Comma 5 2 5 2 2 7 2 2" xfId="40837" xr:uid="{00000000-0005-0000-0000-00005E100000}"/>
    <cellStyle name="Comma 5 2 5 2 2 7 3" xfId="28396" xr:uid="{00000000-0005-0000-0000-00005F100000}"/>
    <cellStyle name="Comma 5 2 5 2 2 8" xfId="13573" xr:uid="{00000000-0005-0000-0000-000060100000}"/>
    <cellStyle name="Comma 5 2 5 2 2 8 2" xfId="38447" xr:uid="{00000000-0005-0000-0000-000061100000}"/>
    <cellStyle name="Comma 5 2 5 2 2 9" xfId="26006" xr:uid="{00000000-0005-0000-0000-000062100000}"/>
    <cellStyle name="Comma 5 2 5 2 3" xfId="1654" xr:uid="{00000000-0005-0000-0000-000063100000}"/>
    <cellStyle name="Comma 5 2 5 2 3 2" xfId="4955" xr:uid="{00000000-0005-0000-0000-000064100000}"/>
    <cellStyle name="Comma 5 2 5 2 3 2 2" xfId="9972" xr:uid="{00000000-0005-0000-0000-000065100000}"/>
    <cellStyle name="Comma 5 2 5 2 3 2 2 2" xfId="22415" xr:uid="{00000000-0005-0000-0000-000066100000}"/>
    <cellStyle name="Comma 5 2 5 2 3 2 2 2 2" xfId="47289" xr:uid="{00000000-0005-0000-0000-000067100000}"/>
    <cellStyle name="Comma 5 2 5 2 3 2 2 3" xfId="34856" xr:uid="{00000000-0005-0000-0000-000068100000}"/>
    <cellStyle name="Comma 5 2 5 2 3 2 3" xfId="17408" xr:uid="{00000000-0005-0000-0000-000069100000}"/>
    <cellStyle name="Comma 5 2 5 2 3 2 3 2" xfId="42282" xr:uid="{00000000-0005-0000-0000-00006A100000}"/>
    <cellStyle name="Comma 5 2 5 2 3 2 4" xfId="29849" xr:uid="{00000000-0005-0000-0000-00006B100000}"/>
    <cellStyle name="Comma 5 2 5 2 3 3" xfId="5800" xr:uid="{00000000-0005-0000-0000-00006C100000}"/>
    <cellStyle name="Comma 5 2 5 2 3 3 2" xfId="10815" xr:uid="{00000000-0005-0000-0000-00006D100000}"/>
    <cellStyle name="Comma 5 2 5 2 3 3 2 2" xfId="23258" xr:uid="{00000000-0005-0000-0000-00006E100000}"/>
    <cellStyle name="Comma 5 2 5 2 3 3 2 2 2" xfId="48132" xr:uid="{00000000-0005-0000-0000-00006F100000}"/>
    <cellStyle name="Comma 5 2 5 2 3 3 2 3" xfId="35699" xr:uid="{00000000-0005-0000-0000-000070100000}"/>
    <cellStyle name="Comma 5 2 5 2 3 3 3" xfId="18251" xr:uid="{00000000-0005-0000-0000-000071100000}"/>
    <cellStyle name="Comma 5 2 5 2 3 3 3 2" xfId="43125" xr:uid="{00000000-0005-0000-0000-000072100000}"/>
    <cellStyle name="Comma 5 2 5 2 3 3 4" xfId="30692" xr:uid="{00000000-0005-0000-0000-000073100000}"/>
    <cellStyle name="Comma 5 2 5 2 3 4" xfId="8379" xr:uid="{00000000-0005-0000-0000-000074100000}"/>
    <cellStyle name="Comma 5 2 5 2 3 4 2" xfId="20823" xr:uid="{00000000-0005-0000-0000-000075100000}"/>
    <cellStyle name="Comma 5 2 5 2 3 4 2 2" xfId="45697" xr:uid="{00000000-0005-0000-0000-000076100000}"/>
    <cellStyle name="Comma 5 2 5 2 3 4 3" xfId="33264" xr:uid="{00000000-0005-0000-0000-000077100000}"/>
    <cellStyle name="Comma 5 2 5 2 3 5" xfId="12269" xr:uid="{00000000-0005-0000-0000-000078100000}"/>
    <cellStyle name="Comma 5 2 5 2 3 5 2" xfId="24703" xr:uid="{00000000-0005-0000-0000-000079100000}"/>
    <cellStyle name="Comma 5 2 5 2 3 5 2 2" xfId="49577" xr:uid="{00000000-0005-0000-0000-00007A100000}"/>
    <cellStyle name="Comma 5 2 5 2 3 5 3" xfId="37144" xr:uid="{00000000-0005-0000-0000-00007B100000}"/>
    <cellStyle name="Comma 5 2 5 2 3 6" xfId="7566" xr:uid="{00000000-0005-0000-0000-00007C100000}"/>
    <cellStyle name="Comma 5 2 5 2 3 6 2" xfId="20014" xr:uid="{00000000-0005-0000-0000-00007D100000}"/>
    <cellStyle name="Comma 5 2 5 2 3 6 2 2" xfId="44888" xr:uid="{00000000-0005-0000-0000-00007E100000}"/>
    <cellStyle name="Comma 5 2 5 2 3 6 3" xfId="32455" xr:uid="{00000000-0005-0000-0000-00007F100000}"/>
    <cellStyle name="Comma 5 2 5 2 3 7" xfId="3310" xr:uid="{00000000-0005-0000-0000-000080100000}"/>
    <cellStyle name="Comma 5 2 5 2 3 7 2" xfId="15816" xr:uid="{00000000-0005-0000-0000-000081100000}"/>
    <cellStyle name="Comma 5 2 5 2 3 7 2 2" xfId="40690" xr:uid="{00000000-0005-0000-0000-000082100000}"/>
    <cellStyle name="Comma 5 2 5 2 3 7 3" xfId="28249" xr:uid="{00000000-0005-0000-0000-000083100000}"/>
    <cellStyle name="Comma 5 2 5 2 3 8" xfId="14454" xr:uid="{00000000-0005-0000-0000-000084100000}"/>
    <cellStyle name="Comma 5 2 5 2 3 8 2" xfId="39328" xr:uid="{00000000-0005-0000-0000-000085100000}"/>
    <cellStyle name="Comma 5 2 5 2 3 9" xfId="26887" xr:uid="{00000000-0005-0000-0000-000086100000}"/>
    <cellStyle name="Comma 5 2 5 2 4" xfId="2329" xr:uid="{00000000-0005-0000-0000-000087100000}"/>
    <cellStyle name="Comma 5 2 5 2 4 2" xfId="6353" xr:uid="{00000000-0005-0000-0000-000088100000}"/>
    <cellStyle name="Comma 5 2 5 2 4 2 2" xfId="11368" xr:uid="{00000000-0005-0000-0000-000089100000}"/>
    <cellStyle name="Comma 5 2 5 2 4 2 2 2" xfId="23811" xr:uid="{00000000-0005-0000-0000-00008A100000}"/>
    <cellStyle name="Comma 5 2 5 2 4 2 2 2 2" xfId="48685" xr:uid="{00000000-0005-0000-0000-00008B100000}"/>
    <cellStyle name="Comma 5 2 5 2 4 2 2 3" xfId="36252" xr:uid="{00000000-0005-0000-0000-00008C100000}"/>
    <cellStyle name="Comma 5 2 5 2 4 2 3" xfId="18804" xr:uid="{00000000-0005-0000-0000-00008D100000}"/>
    <cellStyle name="Comma 5 2 5 2 4 2 3 2" xfId="43678" xr:uid="{00000000-0005-0000-0000-00008E100000}"/>
    <cellStyle name="Comma 5 2 5 2 4 2 4" xfId="31245" xr:uid="{00000000-0005-0000-0000-00008F100000}"/>
    <cellStyle name="Comma 5 2 5 2 4 3" xfId="12822" xr:uid="{00000000-0005-0000-0000-000090100000}"/>
    <cellStyle name="Comma 5 2 5 2 4 3 2" xfId="25256" xr:uid="{00000000-0005-0000-0000-000091100000}"/>
    <cellStyle name="Comma 5 2 5 2 4 3 2 2" xfId="50130" xr:uid="{00000000-0005-0000-0000-000092100000}"/>
    <cellStyle name="Comma 5 2 5 2 4 3 3" xfId="37697" xr:uid="{00000000-0005-0000-0000-000093100000}"/>
    <cellStyle name="Comma 5 2 5 2 4 4" xfId="9263" xr:uid="{00000000-0005-0000-0000-000094100000}"/>
    <cellStyle name="Comma 5 2 5 2 4 4 2" xfId="21706" xr:uid="{00000000-0005-0000-0000-000095100000}"/>
    <cellStyle name="Comma 5 2 5 2 4 4 2 2" xfId="46580" xr:uid="{00000000-0005-0000-0000-000096100000}"/>
    <cellStyle name="Comma 5 2 5 2 4 4 3" xfId="34147" xr:uid="{00000000-0005-0000-0000-000097100000}"/>
    <cellStyle name="Comma 5 2 5 2 4 5" xfId="4245" xr:uid="{00000000-0005-0000-0000-000098100000}"/>
    <cellStyle name="Comma 5 2 5 2 4 5 2" xfId="16699" xr:uid="{00000000-0005-0000-0000-000099100000}"/>
    <cellStyle name="Comma 5 2 5 2 4 5 2 2" xfId="41573" xr:uid="{00000000-0005-0000-0000-00009A100000}"/>
    <cellStyle name="Comma 5 2 5 2 4 5 3" xfId="29140" xr:uid="{00000000-0005-0000-0000-00009B100000}"/>
    <cellStyle name="Comma 5 2 5 2 4 6" xfId="15007" xr:uid="{00000000-0005-0000-0000-00009C100000}"/>
    <cellStyle name="Comma 5 2 5 2 4 6 2" xfId="39881" xr:uid="{00000000-0005-0000-0000-00009D100000}"/>
    <cellStyle name="Comma 5 2 5 2 4 7" xfId="27440" xr:uid="{00000000-0005-0000-0000-00009E100000}"/>
    <cellStyle name="Comma 5 2 5 2 5" xfId="1164" xr:uid="{00000000-0005-0000-0000-00009F100000}"/>
    <cellStyle name="Comma 5 2 5 2 5 2" xfId="10325" xr:uid="{00000000-0005-0000-0000-0000A0100000}"/>
    <cellStyle name="Comma 5 2 5 2 5 2 2" xfId="22768" xr:uid="{00000000-0005-0000-0000-0000A1100000}"/>
    <cellStyle name="Comma 5 2 5 2 5 2 2 2" xfId="47642" xr:uid="{00000000-0005-0000-0000-0000A2100000}"/>
    <cellStyle name="Comma 5 2 5 2 5 2 3" xfId="35209" xr:uid="{00000000-0005-0000-0000-0000A3100000}"/>
    <cellStyle name="Comma 5 2 5 2 5 3" xfId="5309" xr:uid="{00000000-0005-0000-0000-0000A4100000}"/>
    <cellStyle name="Comma 5 2 5 2 5 3 2" xfId="17761" xr:uid="{00000000-0005-0000-0000-0000A5100000}"/>
    <cellStyle name="Comma 5 2 5 2 5 3 2 2" xfId="42635" xr:uid="{00000000-0005-0000-0000-0000A6100000}"/>
    <cellStyle name="Comma 5 2 5 2 5 3 3" xfId="30202" xr:uid="{00000000-0005-0000-0000-0000A7100000}"/>
    <cellStyle name="Comma 5 2 5 2 5 4" xfId="13964" xr:uid="{00000000-0005-0000-0000-0000A8100000}"/>
    <cellStyle name="Comma 5 2 5 2 5 4 2" xfId="38838" xr:uid="{00000000-0005-0000-0000-0000A9100000}"/>
    <cellStyle name="Comma 5 2 5 2 5 5" xfId="26397" xr:uid="{00000000-0005-0000-0000-0000AA100000}"/>
    <cellStyle name="Comma 5 2 5 2 6" xfId="7886" xr:uid="{00000000-0005-0000-0000-0000AB100000}"/>
    <cellStyle name="Comma 5 2 5 2 6 2" xfId="20332" xr:uid="{00000000-0005-0000-0000-0000AC100000}"/>
    <cellStyle name="Comma 5 2 5 2 6 2 2" xfId="45206" xr:uid="{00000000-0005-0000-0000-0000AD100000}"/>
    <cellStyle name="Comma 5 2 5 2 6 3" xfId="32773" xr:uid="{00000000-0005-0000-0000-0000AE100000}"/>
    <cellStyle name="Comma 5 2 5 2 7" xfId="11779" xr:uid="{00000000-0005-0000-0000-0000AF100000}"/>
    <cellStyle name="Comma 5 2 5 2 7 2" xfId="24213" xr:uid="{00000000-0005-0000-0000-0000B0100000}"/>
    <cellStyle name="Comma 5 2 5 2 7 2 2" xfId="49087" xr:uid="{00000000-0005-0000-0000-0000B1100000}"/>
    <cellStyle name="Comma 5 2 5 2 7 3" xfId="36654" xr:uid="{00000000-0005-0000-0000-0000B2100000}"/>
    <cellStyle name="Comma 5 2 5 2 8" xfId="6856" xr:uid="{00000000-0005-0000-0000-0000B3100000}"/>
    <cellStyle name="Comma 5 2 5 2 8 2" xfId="19305" xr:uid="{00000000-0005-0000-0000-0000B4100000}"/>
    <cellStyle name="Comma 5 2 5 2 8 2 2" xfId="44179" xr:uid="{00000000-0005-0000-0000-0000B5100000}"/>
    <cellStyle name="Comma 5 2 5 2 8 3" xfId="31746" xr:uid="{00000000-0005-0000-0000-0000B6100000}"/>
    <cellStyle name="Comma 5 2 5 2 9" xfId="2807" xr:uid="{00000000-0005-0000-0000-0000B7100000}"/>
    <cellStyle name="Comma 5 2 5 2 9 2" xfId="15325" xr:uid="{00000000-0005-0000-0000-0000B8100000}"/>
    <cellStyle name="Comma 5 2 5 2 9 2 2" xfId="40199" xr:uid="{00000000-0005-0000-0000-0000B9100000}"/>
    <cellStyle name="Comma 5 2 5 2 9 3" xfId="27758" xr:uid="{00000000-0005-0000-0000-0000BA100000}"/>
    <cellStyle name="Comma 5 2 5 3" xfId="309" xr:uid="{00000000-0005-0000-0000-0000BB100000}"/>
    <cellStyle name="Comma 5 2 5 3 2" xfId="1305" xr:uid="{00000000-0005-0000-0000-0000BC100000}"/>
    <cellStyle name="Comma 5 2 5 3 2 2" xfId="9163" xr:uid="{00000000-0005-0000-0000-0000BD100000}"/>
    <cellStyle name="Comma 5 2 5 3 2 2 2" xfId="21606" xr:uid="{00000000-0005-0000-0000-0000BE100000}"/>
    <cellStyle name="Comma 5 2 5 3 2 2 2 2" xfId="46480" xr:uid="{00000000-0005-0000-0000-0000BF100000}"/>
    <cellStyle name="Comma 5 2 5 3 2 2 3" xfId="34047" xr:uid="{00000000-0005-0000-0000-0000C0100000}"/>
    <cellStyle name="Comma 5 2 5 3 2 3" xfId="4145" xr:uid="{00000000-0005-0000-0000-0000C1100000}"/>
    <cellStyle name="Comma 5 2 5 3 2 3 2" xfId="16599" xr:uid="{00000000-0005-0000-0000-0000C2100000}"/>
    <cellStyle name="Comma 5 2 5 3 2 3 2 2" xfId="41473" xr:uid="{00000000-0005-0000-0000-0000C3100000}"/>
    <cellStyle name="Comma 5 2 5 3 2 3 3" xfId="29040" xr:uid="{00000000-0005-0000-0000-0000C4100000}"/>
    <cellStyle name="Comma 5 2 5 3 2 4" xfId="14105" xr:uid="{00000000-0005-0000-0000-0000C5100000}"/>
    <cellStyle name="Comma 5 2 5 3 2 4 2" xfId="38979" xr:uid="{00000000-0005-0000-0000-0000C6100000}"/>
    <cellStyle name="Comma 5 2 5 3 2 5" xfId="26538" xr:uid="{00000000-0005-0000-0000-0000C7100000}"/>
    <cellStyle name="Comma 5 2 5 3 3" xfId="5450" xr:uid="{00000000-0005-0000-0000-0000C8100000}"/>
    <cellStyle name="Comma 5 2 5 3 3 2" xfId="10466" xr:uid="{00000000-0005-0000-0000-0000C9100000}"/>
    <cellStyle name="Comma 5 2 5 3 3 2 2" xfId="22909" xr:uid="{00000000-0005-0000-0000-0000CA100000}"/>
    <cellStyle name="Comma 5 2 5 3 3 2 2 2" xfId="47783" xr:uid="{00000000-0005-0000-0000-0000CB100000}"/>
    <cellStyle name="Comma 5 2 5 3 3 2 3" xfId="35350" xr:uid="{00000000-0005-0000-0000-0000CC100000}"/>
    <cellStyle name="Comma 5 2 5 3 3 3" xfId="17902" xr:uid="{00000000-0005-0000-0000-0000CD100000}"/>
    <cellStyle name="Comma 5 2 5 3 3 3 2" xfId="42776" xr:uid="{00000000-0005-0000-0000-0000CE100000}"/>
    <cellStyle name="Comma 5 2 5 3 3 4" xfId="30343" xr:uid="{00000000-0005-0000-0000-0000CF100000}"/>
    <cellStyle name="Comma 5 2 5 3 4" xfId="8279" xr:uid="{00000000-0005-0000-0000-0000D0100000}"/>
    <cellStyle name="Comma 5 2 5 3 4 2" xfId="20723" xr:uid="{00000000-0005-0000-0000-0000D1100000}"/>
    <cellStyle name="Comma 5 2 5 3 4 2 2" xfId="45597" xr:uid="{00000000-0005-0000-0000-0000D2100000}"/>
    <cellStyle name="Comma 5 2 5 3 4 3" xfId="33164" xr:uid="{00000000-0005-0000-0000-0000D3100000}"/>
    <cellStyle name="Comma 5 2 5 3 5" xfId="11920" xr:uid="{00000000-0005-0000-0000-0000D4100000}"/>
    <cellStyle name="Comma 5 2 5 3 5 2" xfId="24354" xr:uid="{00000000-0005-0000-0000-0000D5100000}"/>
    <cellStyle name="Comma 5 2 5 3 5 2 2" xfId="49228" xr:uid="{00000000-0005-0000-0000-0000D6100000}"/>
    <cellStyle name="Comma 5 2 5 3 5 3" xfId="36795" xr:uid="{00000000-0005-0000-0000-0000D7100000}"/>
    <cellStyle name="Comma 5 2 5 3 6" xfId="6756" xr:uid="{00000000-0005-0000-0000-0000D8100000}"/>
    <cellStyle name="Comma 5 2 5 3 6 2" xfId="19205" xr:uid="{00000000-0005-0000-0000-0000D9100000}"/>
    <cellStyle name="Comma 5 2 5 3 6 2 2" xfId="44079" xr:uid="{00000000-0005-0000-0000-0000DA100000}"/>
    <cellStyle name="Comma 5 2 5 3 6 3" xfId="31646" xr:uid="{00000000-0005-0000-0000-0000DB100000}"/>
    <cellStyle name="Comma 5 2 5 3 7" xfId="3210" xr:uid="{00000000-0005-0000-0000-0000DC100000}"/>
    <cellStyle name="Comma 5 2 5 3 7 2" xfId="15716" xr:uid="{00000000-0005-0000-0000-0000DD100000}"/>
    <cellStyle name="Comma 5 2 5 3 7 2 2" xfId="40590" xr:uid="{00000000-0005-0000-0000-0000DE100000}"/>
    <cellStyle name="Comma 5 2 5 3 7 3" xfId="28149" xr:uid="{00000000-0005-0000-0000-0000DF100000}"/>
    <cellStyle name="Comma 5 2 5 3 8" xfId="13126" xr:uid="{00000000-0005-0000-0000-0000E0100000}"/>
    <cellStyle name="Comma 5 2 5 3 8 2" xfId="38000" xr:uid="{00000000-0005-0000-0000-0000E1100000}"/>
    <cellStyle name="Comma 5 2 5 3 9" xfId="25559" xr:uid="{00000000-0005-0000-0000-0000E2100000}"/>
    <cellStyle name="Comma 5 2 5 4" xfId="670" xr:uid="{00000000-0005-0000-0000-0000E3100000}"/>
    <cellStyle name="Comma 5 2 5 4 2" xfId="1653" xr:uid="{00000000-0005-0000-0000-0000E4100000}"/>
    <cellStyle name="Comma 5 2 5 4 2 2" xfId="9409" xr:uid="{00000000-0005-0000-0000-0000E5100000}"/>
    <cellStyle name="Comma 5 2 5 4 2 2 2" xfId="21852" xr:uid="{00000000-0005-0000-0000-0000E6100000}"/>
    <cellStyle name="Comma 5 2 5 4 2 2 2 2" xfId="46726" xr:uid="{00000000-0005-0000-0000-0000E7100000}"/>
    <cellStyle name="Comma 5 2 5 4 2 2 3" xfId="34293" xr:uid="{00000000-0005-0000-0000-0000E8100000}"/>
    <cellStyle name="Comma 5 2 5 4 2 3" xfId="4391" xr:uid="{00000000-0005-0000-0000-0000E9100000}"/>
    <cellStyle name="Comma 5 2 5 4 2 3 2" xfId="16845" xr:uid="{00000000-0005-0000-0000-0000EA100000}"/>
    <cellStyle name="Comma 5 2 5 4 2 3 2 2" xfId="41719" xr:uid="{00000000-0005-0000-0000-0000EB100000}"/>
    <cellStyle name="Comma 5 2 5 4 2 3 3" xfId="29286" xr:uid="{00000000-0005-0000-0000-0000EC100000}"/>
    <cellStyle name="Comma 5 2 5 4 2 4" xfId="14453" xr:uid="{00000000-0005-0000-0000-0000ED100000}"/>
    <cellStyle name="Comma 5 2 5 4 2 4 2" xfId="39327" xr:uid="{00000000-0005-0000-0000-0000EE100000}"/>
    <cellStyle name="Comma 5 2 5 4 2 5" xfId="26886" xr:uid="{00000000-0005-0000-0000-0000EF100000}"/>
    <cellStyle name="Comma 5 2 5 4 3" xfId="5799" xr:uid="{00000000-0005-0000-0000-0000F0100000}"/>
    <cellStyle name="Comma 5 2 5 4 3 2" xfId="10814" xr:uid="{00000000-0005-0000-0000-0000F1100000}"/>
    <cellStyle name="Comma 5 2 5 4 3 2 2" xfId="23257" xr:uid="{00000000-0005-0000-0000-0000F2100000}"/>
    <cellStyle name="Comma 5 2 5 4 3 2 2 2" xfId="48131" xr:uid="{00000000-0005-0000-0000-0000F3100000}"/>
    <cellStyle name="Comma 5 2 5 4 3 2 3" xfId="35698" xr:uid="{00000000-0005-0000-0000-0000F4100000}"/>
    <cellStyle name="Comma 5 2 5 4 3 3" xfId="18250" xr:uid="{00000000-0005-0000-0000-0000F5100000}"/>
    <cellStyle name="Comma 5 2 5 4 3 3 2" xfId="43124" xr:uid="{00000000-0005-0000-0000-0000F6100000}"/>
    <cellStyle name="Comma 5 2 5 4 3 4" xfId="30691" xr:uid="{00000000-0005-0000-0000-0000F7100000}"/>
    <cellStyle name="Comma 5 2 5 4 4" xfId="8525" xr:uid="{00000000-0005-0000-0000-0000F8100000}"/>
    <cellStyle name="Comma 5 2 5 4 4 2" xfId="20969" xr:uid="{00000000-0005-0000-0000-0000F9100000}"/>
    <cellStyle name="Comma 5 2 5 4 4 2 2" xfId="45843" xr:uid="{00000000-0005-0000-0000-0000FA100000}"/>
    <cellStyle name="Comma 5 2 5 4 4 3" xfId="33410" xr:uid="{00000000-0005-0000-0000-0000FB100000}"/>
    <cellStyle name="Comma 5 2 5 4 5" xfId="12268" xr:uid="{00000000-0005-0000-0000-0000FC100000}"/>
    <cellStyle name="Comma 5 2 5 4 5 2" xfId="24702" xr:uid="{00000000-0005-0000-0000-0000FD100000}"/>
    <cellStyle name="Comma 5 2 5 4 5 2 2" xfId="49576" xr:uid="{00000000-0005-0000-0000-0000FE100000}"/>
    <cellStyle name="Comma 5 2 5 4 5 3" xfId="37143" xr:uid="{00000000-0005-0000-0000-0000FF100000}"/>
    <cellStyle name="Comma 5 2 5 4 6" xfId="7002" xr:uid="{00000000-0005-0000-0000-000000110000}"/>
    <cellStyle name="Comma 5 2 5 4 6 2" xfId="19451" xr:uid="{00000000-0005-0000-0000-000001110000}"/>
    <cellStyle name="Comma 5 2 5 4 6 2 2" xfId="44325" xr:uid="{00000000-0005-0000-0000-000002110000}"/>
    <cellStyle name="Comma 5 2 5 4 6 3" xfId="31892" xr:uid="{00000000-0005-0000-0000-000003110000}"/>
    <cellStyle name="Comma 5 2 5 4 7" xfId="3456" xr:uid="{00000000-0005-0000-0000-000004110000}"/>
    <cellStyle name="Comma 5 2 5 4 7 2" xfId="15962" xr:uid="{00000000-0005-0000-0000-000005110000}"/>
    <cellStyle name="Comma 5 2 5 4 7 2 2" xfId="40836" xr:uid="{00000000-0005-0000-0000-000006110000}"/>
    <cellStyle name="Comma 5 2 5 4 7 3" xfId="28395" xr:uid="{00000000-0005-0000-0000-000007110000}"/>
    <cellStyle name="Comma 5 2 5 4 8" xfId="13473" xr:uid="{00000000-0005-0000-0000-000008110000}"/>
    <cellStyle name="Comma 5 2 5 4 8 2" xfId="38347" xr:uid="{00000000-0005-0000-0000-000009110000}"/>
    <cellStyle name="Comma 5 2 5 4 9" xfId="25906" xr:uid="{00000000-0005-0000-0000-00000A110000}"/>
    <cellStyle name="Comma 5 2 5 5" xfId="2227" xr:uid="{00000000-0005-0000-0000-00000B110000}"/>
    <cellStyle name="Comma 5 2 5 5 2" xfId="4855" xr:uid="{00000000-0005-0000-0000-00000C110000}"/>
    <cellStyle name="Comma 5 2 5 5 2 2" xfId="9872" xr:uid="{00000000-0005-0000-0000-00000D110000}"/>
    <cellStyle name="Comma 5 2 5 5 2 2 2" xfId="22315" xr:uid="{00000000-0005-0000-0000-00000E110000}"/>
    <cellStyle name="Comma 5 2 5 5 2 2 2 2" xfId="47189" xr:uid="{00000000-0005-0000-0000-00000F110000}"/>
    <cellStyle name="Comma 5 2 5 5 2 2 3" xfId="34756" xr:uid="{00000000-0005-0000-0000-000010110000}"/>
    <cellStyle name="Comma 5 2 5 5 2 3" xfId="17308" xr:uid="{00000000-0005-0000-0000-000011110000}"/>
    <cellStyle name="Comma 5 2 5 5 2 3 2" xfId="42182" xr:uid="{00000000-0005-0000-0000-000012110000}"/>
    <cellStyle name="Comma 5 2 5 5 2 4" xfId="29749" xr:uid="{00000000-0005-0000-0000-000013110000}"/>
    <cellStyle name="Comma 5 2 5 5 3" xfId="6253" xr:uid="{00000000-0005-0000-0000-000014110000}"/>
    <cellStyle name="Comma 5 2 5 5 3 2" xfId="11268" xr:uid="{00000000-0005-0000-0000-000015110000}"/>
    <cellStyle name="Comma 5 2 5 5 3 2 2" xfId="23711" xr:uid="{00000000-0005-0000-0000-000016110000}"/>
    <cellStyle name="Comma 5 2 5 5 3 2 2 2" xfId="48585" xr:uid="{00000000-0005-0000-0000-000017110000}"/>
    <cellStyle name="Comma 5 2 5 5 3 2 3" xfId="36152" xr:uid="{00000000-0005-0000-0000-000018110000}"/>
    <cellStyle name="Comma 5 2 5 5 3 3" xfId="18704" xr:uid="{00000000-0005-0000-0000-000019110000}"/>
    <cellStyle name="Comma 5 2 5 5 3 3 2" xfId="43578" xr:uid="{00000000-0005-0000-0000-00001A110000}"/>
    <cellStyle name="Comma 5 2 5 5 3 4" xfId="31145" xr:uid="{00000000-0005-0000-0000-00001B110000}"/>
    <cellStyle name="Comma 5 2 5 5 4" xfId="8060" xr:uid="{00000000-0005-0000-0000-00001C110000}"/>
    <cellStyle name="Comma 5 2 5 5 4 2" xfId="20506" xr:uid="{00000000-0005-0000-0000-00001D110000}"/>
    <cellStyle name="Comma 5 2 5 5 4 2 2" xfId="45380" xr:uid="{00000000-0005-0000-0000-00001E110000}"/>
    <cellStyle name="Comma 5 2 5 5 4 3" xfId="32947" xr:uid="{00000000-0005-0000-0000-00001F110000}"/>
    <cellStyle name="Comma 5 2 5 5 5" xfId="12722" xr:uid="{00000000-0005-0000-0000-000020110000}"/>
    <cellStyle name="Comma 5 2 5 5 5 2" xfId="25156" xr:uid="{00000000-0005-0000-0000-000021110000}"/>
    <cellStyle name="Comma 5 2 5 5 5 2 2" xfId="50030" xr:uid="{00000000-0005-0000-0000-000022110000}"/>
    <cellStyle name="Comma 5 2 5 5 5 3" xfId="37597" xr:uid="{00000000-0005-0000-0000-000023110000}"/>
    <cellStyle name="Comma 5 2 5 5 6" xfId="7466" xr:uid="{00000000-0005-0000-0000-000024110000}"/>
    <cellStyle name="Comma 5 2 5 5 6 2" xfId="19914" xr:uid="{00000000-0005-0000-0000-000025110000}"/>
    <cellStyle name="Comma 5 2 5 5 6 2 2" xfId="44788" xr:uid="{00000000-0005-0000-0000-000026110000}"/>
    <cellStyle name="Comma 5 2 5 5 6 3" xfId="32355" xr:uid="{00000000-0005-0000-0000-000027110000}"/>
    <cellStyle name="Comma 5 2 5 5 7" xfId="2989" xr:uid="{00000000-0005-0000-0000-000028110000}"/>
    <cellStyle name="Comma 5 2 5 5 7 2" xfId="15499" xr:uid="{00000000-0005-0000-0000-000029110000}"/>
    <cellStyle name="Comma 5 2 5 5 7 2 2" xfId="40373" xr:uid="{00000000-0005-0000-0000-00002A110000}"/>
    <cellStyle name="Comma 5 2 5 5 7 3" xfId="27932" xr:uid="{00000000-0005-0000-0000-00002B110000}"/>
    <cellStyle name="Comma 5 2 5 5 8" xfId="14907" xr:uid="{00000000-0005-0000-0000-00002C110000}"/>
    <cellStyle name="Comma 5 2 5 5 8 2" xfId="39781" xr:uid="{00000000-0005-0000-0000-00002D110000}"/>
    <cellStyle name="Comma 5 2 5 5 9" xfId="27340" xr:uid="{00000000-0005-0000-0000-00002E110000}"/>
    <cellStyle name="Comma 5 2 5 6" xfId="1064" xr:uid="{00000000-0005-0000-0000-00002F110000}"/>
    <cellStyle name="Comma 5 2 5 6 2" xfId="8946" xr:uid="{00000000-0005-0000-0000-000030110000}"/>
    <cellStyle name="Comma 5 2 5 6 2 2" xfId="21389" xr:uid="{00000000-0005-0000-0000-000031110000}"/>
    <cellStyle name="Comma 5 2 5 6 2 2 2" xfId="46263" xr:uid="{00000000-0005-0000-0000-000032110000}"/>
    <cellStyle name="Comma 5 2 5 6 2 3" xfId="33830" xr:uid="{00000000-0005-0000-0000-000033110000}"/>
    <cellStyle name="Comma 5 2 5 6 3" xfId="3928" xr:uid="{00000000-0005-0000-0000-000034110000}"/>
    <cellStyle name="Comma 5 2 5 6 3 2" xfId="16382" xr:uid="{00000000-0005-0000-0000-000035110000}"/>
    <cellStyle name="Comma 5 2 5 6 3 2 2" xfId="41256" xr:uid="{00000000-0005-0000-0000-000036110000}"/>
    <cellStyle name="Comma 5 2 5 6 3 3" xfId="28823" xr:uid="{00000000-0005-0000-0000-000037110000}"/>
    <cellStyle name="Comma 5 2 5 6 4" xfId="13864" xr:uid="{00000000-0005-0000-0000-000038110000}"/>
    <cellStyle name="Comma 5 2 5 6 4 2" xfId="38738" xr:uid="{00000000-0005-0000-0000-000039110000}"/>
    <cellStyle name="Comma 5 2 5 6 5" xfId="26297" xr:uid="{00000000-0005-0000-0000-00003A110000}"/>
    <cellStyle name="Comma 5 2 5 7" xfId="5209" xr:uid="{00000000-0005-0000-0000-00003B110000}"/>
    <cellStyle name="Comma 5 2 5 7 2" xfId="10225" xr:uid="{00000000-0005-0000-0000-00003C110000}"/>
    <cellStyle name="Comma 5 2 5 7 2 2" xfId="22668" xr:uid="{00000000-0005-0000-0000-00003D110000}"/>
    <cellStyle name="Comma 5 2 5 7 2 2 2" xfId="47542" xr:uid="{00000000-0005-0000-0000-00003E110000}"/>
    <cellStyle name="Comma 5 2 5 7 2 3" xfId="35109" xr:uid="{00000000-0005-0000-0000-00003F110000}"/>
    <cellStyle name="Comma 5 2 5 7 3" xfId="17661" xr:uid="{00000000-0005-0000-0000-000040110000}"/>
    <cellStyle name="Comma 5 2 5 7 3 2" xfId="42535" xr:uid="{00000000-0005-0000-0000-000041110000}"/>
    <cellStyle name="Comma 5 2 5 7 4" xfId="30102" xr:uid="{00000000-0005-0000-0000-000042110000}"/>
    <cellStyle name="Comma 5 2 5 8" xfId="7786" xr:uid="{00000000-0005-0000-0000-000043110000}"/>
    <cellStyle name="Comma 5 2 5 8 2" xfId="20232" xr:uid="{00000000-0005-0000-0000-000044110000}"/>
    <cellStyle name="Comma 5 2 5 8 2 2" xfId="45106" xr:uid="{00000000-0005-0000-0000-000045110000}"/>
    <cellStyle name="Comma 5 2 5 8 3" xfId="32673" xr:uid="{00000000-0005-0000-0000-000046110000}"/>
    <cellStyle name="Comma 5 2 5 9" xfId="11679" xr:uid="{00000000-0005-0000-0000-000047110000}"/>
    <cellStyle name="Comma 5 2 5 9 2" xfId="24113" xr:uid="{00000000-0005-0000-0000-000048110000}"/>
    <cellStyle name="Comma 5 2 5 9 2 2" xfId="48987" xr:uid="{00000000-0005-0000-0000-000049110000}"/>
    <cellStyle name="Comma 5 2 5 9 3" xfId="36554" xr:uid="{00000000-0005-0000-0000-00004A110000}"/>
    <cellStyle name="Comma 5 2 6" xfId="247" xr:uid="{00000000-0005-0000-0000-00004B110000}"/>
    <cellStyle name="Comma 5 2 6 10" xfId="6587" xr:uid="{00000000-0005-0000-0000-00004C110000}"/>
    <cellStyle name="Comma 5 2 6 10 2" xfId="19036" xr:uid="{00000000-0005-0000-0000-00004D110000}"/>
    <cellStyle name="Comma 5 2 6 10 2 2" xfId="43910" xr:uid="{00000000-0005-0000-0000-00004E110000}"/>
    <cellStyle name="Comma 5 2 6 10 3" xfId="31477" xr:uid="{00000000-0005-0000-0000-00004F110000}"/>
    <cellStyle name="Comma 5 2 6 11" xfId="2650" xr:uid="{00000000-0005-0000-0000-000050110000}"/>
    <cellStyle name="Comma 5 2 6 11 2" xfId="15168" xr:uid="{00000000-0005-0000-0000-000051110000}"/>
    <cellStyle name="Comma 5 2 6 11 2 2" xfId="40042" xr:uid="{00000000-0005-0000-0000-000052110000}"/>
    <cellStyle name="Comma 5 2 6 11 3" xfId="27601" xr:uid="{00000000-0005-0000-0000-000053110000}"/>
    <cellStyle name="Comma 5 2 6 12" xfId="13069" xr:uid="{00000000-0005-0000-0000-000054110000}"/>
    <cellStyle name="Comma 5 2 6 12 2" xfId="37943" xr:uid="{00000000-0005-0000-0000-000055110000}"/>
    <cellStyle name="Comma 5 2 6 13" xfId="25502" xr:uid="{00000000-0005-0000-0000-000056110000}"/>
    <cellStyle name="Comma 5 2 6 2" xfId="461" xr:uid="{00000000-0005-0000-0000-000057110000}"/>
    <cellStyle name="Comma 5 2 6 2 10" xfId="13274" xr:uid="{00000000-0005-0000-0000-000058110000}"/>
    <cellStyle name="Comma 5 2 6 2 10 2" xfId="38148" xr:uid="{00000000-0005-0000-0000-000059110000}"/>
    <cellStyle name="Comma 5 2 6 2 11" xfId="25707" xr:uid="{00000000-0005-0000-0000-00005A110000}"/>
    <cellStyle name="Comma 5 2 6 2 2" xfId="820" xr:uid="{00000000-0005-0000-0000-00005B110000}"/>
    <cellStyle name="Comma 5 2 6 2 2 2" xfId="1308" xr:uid="{00000000-0005-0000-0000-00005C110000}"/>
    <cellStyle name="Comma 5 2 6 2 2 2 2" xfId="9412" xr:uid="{00000000-0005-0000-0000-00005D110000}"/>
    <cellStyle name="Comma 5 2 6 2 2 2 2 2" xfId="21855" xr:uid="{00000000-0005-0000-0000-00005E110000}"/>
    <cellStyle name="Comma 5 2 6 2 2 2 2 2 2" xfId="46729" xr:uid="{00000000-0005-0000-0000-00005F110000}"/>
    <cellStyle name="Comma 5 2 6 2 2 2 2 3" xfId="34296" xr:uid="{00000000-0005-0000-0000-000060110000}"/>
    <cellStyle name="Comma 5 2 6 2 2 2 3" xfId="4394" xr:uid="{00000000-0005-0000-0000-000061110000}"/>
    <cellStyle name="Comma 5 2 6 2 2 2 3 2" xfId="16848" xr:uid="{00000000-0005-0000-0000-000062110000}"/>
    <cellStyle name="Comma 5 2 6 2 2 2 3 2 2" xfId="41722" xr:uid="{00000000-0005-0000-0000-000063110000}"/>
    <cellStyle name="Comma 5 2 6 2 2 2 3 3" xfId="29289" xr:uid="{00000000-0005-0000-0000-000064110000}"/>
    <cellStyle name="Comma 5 2 6 2 2 2 4" xfId="14108" xr:uid="{00000000-0005-0000-0000-000065110000}"/>
    <cellStyle name="Comma 5 2 6 2 2 2 4 2" xfId="38982" xr:uid="{00000000-0005-0000-0000-000066110000}"/>
    <cellStyle name="Comma 5 2 6 2 2 2 5" xfId="26541" xr:uid="{00000000-0005-0000-0000-000067110000}"/>
    <cellStyle name="Comma 5 2 6 2 2 3" xfId="5453" xr:uid="{00000000-0005-0000-0000-000068110000}"/>
    <cellStyle name="Comma 5 2 6 2 2 3 2" xfId="10469" xr:uid="{00000000-0005-0000-0000-000069110000}"/>
    <cellStyle name="Comma 5 2 6 2 2 3 2 2" xfId="22912" xr:uid="{00000000-0005-0000-0000-00006A110000}"/>
    <cellStyle name="Comma 5 2 6 2 2 3 2 2 2" xfId="47786" xr:uid="{00000000-0005-0000-0000-00006B110000}"/>
    <cellStyle name="Comma 5 2 6 2 2 3 2 3" xfId="35353" xr:uid="{00000000-0005-0000-0000-00006C110000}"/>
    <cellStyle name="Comma 5 2 6 2 2 3 3" xfId="17905" xr:uid="{00000000-0005-0000-0000-00006D110000}"/>
    <cellStyle name="Comma 5 2 6 2 2 3 3 2" xfId="42779" xr:uid="{00000000-0005-0000-0000-00006E110000}"/>
    <cellStyle name="Comma 5 2 6 2 2 3 4" xfId="30346" xr:uid="{00000000-0005-0000-0000-00006F110000}"/>
    <cellStyle name="Comma 5 2 6 2 2 4" xfId="8528" xr:uid="{00000000-0005-0000-0000-000070110000}"/>
    <cellStyle name="Comma 5 2 6 2 2 4 2" xfId="20972" xr:uid="{00000000-0005-0000-0000-000071110000}"/>
    <cellStyle name="Comma 5 2 6 2 2 4 2 2" xfId="45846" xr:uid="{00000000-0005-0000-0000-000072110000}"/>
    <cellStyle name="Comma 5 2 6 2 2 4 3" xfId="33413" xr:uid="{00000000-0005-0000-0000-000073110000}"/>
    <cellStyle name="Comma 5 2 6 2 2 5" xfId="11923" xr:uid="{00000000-0005-0000-0000-000074110000}"/>
    <cellStyle name="Comma 5 2 6 2 2 5 2" xfId="24357" xr:uid="{00000000-0005-0000-0000-000075110000}"/>
    <cellStyle name="Comma 5 2 6 2 2 5 2 2" xfId="49231" xr:uid="{00000000-0005-0000-0000-000076110000}"/>
    <cellStyle name="Comma 5 2 6 2 2 5 3" xfId="36798" xr:uid="{00000000-0005-0000-0000-000077110000}"/>
    <cellStyle name="Comma 5 2 6 2 2 6" xfId="7005" xr:uid="{00000000-0005-0000-0000-000078110000}"/>
    <cellStyle name="Comma 5 2 6 2 2 6 2" xfId="19454" xr:uid="{00000000-0005-0000-0000-000079110000}"/>
    <cellStyle name="Comma 5 2 6 2 2 6 2 2" xfId="44328" xr:uid="{00000000-0005-0000-0000-00007A110000}"/>
    <cellStyle name="Comma 5 2 6 2 2 6 3" xfId="31895" xr:uid="{00000000-0005-0000-0000-00007B110000}"/>
    <cellStyle name="Comma 5 2 6 2 2 7" xfId="3459" xr:uid="{00000000-0005-0000-0000-00007C110000}"/>
    <cellStyle name="Comma 5 2 6 2 2 7 2" xfId="15965" xr:uid="{00000000-0005-0000-0000-00007D110000}"/>
    <cellStyle name="Comma 5 2 6 2 2 7 2 2" xfId="40839" xr:uid="{00000000-0005-0000-0000-00007E110000}"/>
    <cellStyle name="Comma 5 2 6 2 2 7 3" xfId="28398" xr:uid="{00000000-0005-0000-0000-00007F110000}"/>
    <cellStyle name="Comma 5 2 6 2 2 8" xfId="13621" xr:uid="{00000000-0005-0000-0000-000080110000}"/>
    <cellStyle name="Comma 5 2 6 2 2 8 2" xfId="38495" xr:uid="{00000000-0005-0000-0000-000081110000}"/>
    <cellStyle name="Comma 5 2 6 2 2 9" xfId="26054" xr:uid="{00000000-0005-0000-0000-000082110000}"/>
    <cellStyle name="Comma 5 2 6 2 3" xfId="1656" xr:uid="{00000000-0005-0000-0000-000083110000}"/>
    <cellStyle name="Comma 5 2 6 2 3 2" xfId="5003" xr:uid="{00000000-0005-0000-0000-000084110000}"/>
    <cellStyle name="Comma 5 2 6 2 3 2 2" xfId="10020" xr:uid="{00000000-0005-0000-0000-000085110000}"/>
    <cellStyle name="Comma 5 2 6 2 3 2 2 2" xfId="22463" xr:uid="{00000000-0005-0000-0000-000086110000}"/>
    <cellStyle name="Comma 5 2 6 2 3 2 2 2 2" xfId="47337" xr:uid="{00000000-0005-0000-0000-000087110000}"/>
    <cellStyle name="Comma 5 2 6 2 3 2 2 3" xfId="34904" xr:uid="{00000000-0005-0000-0000-000088110000}"/>
    <cellStyle name="Comma 5 2 6 2 3 2 3" xfId="17456" xr:uid="{00000000-0005-0000-0000-000089110000}"/>
    <cellStyle name="Comma 5 2 6 2 3 2 3 2" xfId="42330" xr:uid="{00000000-0005-0000-0000-00008A110000}"/>
    <cellStyle name="Comma 5 2 6 2 3 2 4" xfId="29897" xr:uid="{00000000-0005-0000-0000-00008B110000}"/>
    <cellStyle name="Comma 5 2 6 2 3 3" xfId="5802" xr:uid="{00000000-0005-0000-0000-00008C110000}"/>
    <cellStyle name="Comma 5 2 6 2 3 3 2" xfId="10817" xr:uid="{00000000-0005-0000-0000-00008D110000}"/>
    <cellStyle name="Comma 5 2 6 2 3 3 2 2" xfId="23260" xr:uid="{00000000-0005-0000-0000-00008E110000}"/>
    <cellStyle name="Comma 5 2 6 2 3 3 2 2 2" xfId="48134" xr:uid="{00000000-0005-0000-0000-00008F110000}"/>
    <cellStyle name="Comma 5 2 6 2 3 3 2 3" xfId="35701" xr:uid="{00000000-0005-0000-0000-000090110000}"/>
    <cellStyle name="Comma 5 2 6 2 3 3 3" xfId="18253" xr:uid="{00000000-0005-0000-0000-000091110000}"/>
    <cellStyle name="Comma 5 2 6 2 3 3 3 2" xfId="43127" xr:uid="{00000000-0005-0000-0000-000092110000}"/>
    <cellStyle name="Comma 5 2 6 2 3 3 4" xfId="30694" xr:uid="{00000000-0005-0000-0000-000093110000}"/>
    <cellStyle name="Comma 5 2 6 2 3 4" xfId="8427" xr:uid="{00000000-0005-0000-0000-000094110000}"/>
    <cellStyle name="Comma 5 2 6 2 3 4 2" xfId="20871" xr:uid="{00000000-0005-0000-0000-000095110000}"/>
    <cellStyle name="Comma 5 2 6 2 3 4 2 2" xfId="45745" xr:uid="{00000000-0005-0000-0000-000096110000}"/>
    <cellStyle name="Comma 5 2 6 2 3 4 3" xfId="33312" xr:uid="{00000000-0005-0000-0000-000097110000}"/>
    <cellStyle name="Comma 5 2 6 2 3 5" xfId="12271" xr:uid="{00000000-0005-0000-0000-000098110000}"/>
    <cellStyle name="Comma 5 2 6 2 3 5 2" xfId="24705" xr:uid="{00000000-0005-0000-0000-000099110000}"/>
    <cellStyle name="Comma 5 2 6 2 3 5 2 2" xfId="49579" xr:uid="{00000000-0005-0000-0000-00009A110000}"/>
    <cellStyle name="Comma 5 2 6 2 3 5 3" xfId="37146" xr:uid="{00000000-0005-0000-0000-00009B110000}"/>
    <cellStyle name="Comma 5 2 6 2 3 6" xfId="7614" xr:uid="{00000000-0005-0000-0000-00009C110000}"/>
    <cellStyle name="Comma 5 2 6 2 3 6 2" xfId="20062" xr:uid="{00000000-0005-0000-0000-00009D110000}"/>
    <cellStyle name="Comma 5 2 6 2 3 6 2 2" xfId="44936" xr:uid="{00000000-0005-0000-0000-00009E110000}"/>
    <cellStyle name="Comma 5 2 6 2 3 6 3" xfId="32503" xr:uid="{00000000-0005-0000-0000-00009F110000}"/>
    <cellStyle name="Comma 5 2 6 2 3 7" xfId="3358" xr:uid="{00000000-0005-0000-0000-0000A0110000}"/>
    <cellStyle name="Comma 5 2 6 2 3 7 2" xfId="15864" xr:uid="{00000000-0005-0000-0000-0000A1110000}"/>
    <cellStyle name="Comma 5 2 6 2 3 7 2 2" xfId="40738" xr:uid="{00000000-0005-0000-0000-0000A2110000}"/>
    <cellStyle name="Comma 5 2 6 2 3 7 3" xfId="28297" xr:uid="{00000000-0005-0000-0000-0000A3110000}"/>
    <cellStyle name="Comma 5 2 6 2 3 8" xfId="14456" xr:uid="{00000000-0005-0000-0000-0000A4110000}"/>
    <cellStyle name="Comma 5 2 6 2 3 8 2" xfId="39330" xr:uid="{00000000-0005-0000-0000-0000A5110000}"/>
    <cellStyle name="Comma 5 2 6 2 3 9" xfId="26889" xr:uid="{00000000-0005-0000-0000-0000A6110000}"/>
    <cellStyle name="Comma 5 2 6 2 4" xfId="2379" xr:uid="{00000000-0005-0000-0000-0000A7110000}"/>
    <cellStyle name="Comma 5 2 6 2 4 2" xfId="6401" xr:uid="{00000000-0005-0000-0000-0000A8110000}"/>
    <cellStyle name="Comma 5 2 6 2 4 2 2" xfId="11416" xr:uid="{00000000-0005-0000-0000-0000A9110000}"/>
    <cellStyle name="Comma 5 2 6 2 4 2 2 2" xfId="23859" xr:uid="{00000000-0005-0000-0000-0000AA110000}"/>
    <cellStyle name="Comma 5 2 6 2 4 2 2 2 2" xfId="48733" xr:uid="{00000000-0005-0000-0000-0000AB110000}"/>
    <cellStyle name="Comma 5 2 6 2 4 2 2 3" xfId="36300" xr:uid="{00000000-0005-0000-0000-0000AC110000}"/>
    <cellStyle name="Comma 5 2 6 2 4 2 3" xfId="18852" xr:uid="{00000000-0005-0000-0000-0000AD110000}"/>
    <cellStyle name="Comma 5 2 6 2 4 2 3 2" xfId="43726" xr:uid="{00000000-0005-0000-0000-0000AE110000}"/>
    <cellStyle name="Comma 5 2 6 2 4 2 4" xfId="31293" xr:uid="{00000000-0005-0000-0000-0000AF110000}"/>
    <cellStyle name="Comma 5 2 6 2 4 3" xfId="12870" xr:uid="{00000000-0005-0000-0000-0000B0110000}"/>
    <cellStyle name="Comma 5 2 6 2 4 3 2" xfId="25304" xr:uid="{00000000-0005-0000-0000-0000B1110000}"/>
    <cellStyle name="Comma 5 2 6 2 4 3 2 2" xfId="50178" xr:uid="{00000000-0005-0000-0000-0000B2110000}"/>
    <cellStyle name="Comma 5 2 6 2 4 3 3" xfId="37745" xr:uid="{00000000-0005-0000-0000-0000B3110000}"/>
    <cellStyle name="Comma 5 2 6 2 4 4" xfId="9311" xr:uid="{00000000-0005-0000-0000-0000B4110000}"/>
    <cellStyle name="Comma 5 2 6 2 4 4 2" xfId="21754" xr:uid="{00000000-0005-0000-0000-0000B5110000}"/>
    <cellStyle name="Comma 5 2 6 2 4 4 2 2" xfId="46628" xr:uid="{00000000-0005-0000-0000-0000B6110000}"/>
    <cellStyle name="Comma 5 2 6 2 4 4 3" xfId="34195" xr:uid="{00000000-0005-0000-0000-0000B7110000}"/>
    <cellStyle name="Comma 5 2 6 2 4 5" xfId="4293" xr:uid="{00000000-0005-0000-0000-0000B8110000}"/>
    <cellStyle name="Comma 5 2 6 2 4 5 2" xfId="16747" xr:uid="{00000000-0005-0000-0000-0000B9110000}"/>
    <cellStyle name="Comma 5 2 6 2 4 5 2 2" xfId="41621" xr:uid="{00000000-0005-0000-0000-0000BA110000}"/>
    <cellStyle name="Comma 5 2 6 2 4 5 3" xfId="29188" xr:uid="{00000000-0005-0000-0000-0000BB110000}"/>
    <cellStyle name="Comma 5 2 6 2 4 6" xfId="15055" xr:uid="{00000000-0005-0000-0000-0000BC110000}"/>
    <cellStyle name="Comma 5 2 6 2 4 6 2" xfId="39929" xr:uid="{00000000-0005-0000-0000-0000BD110000}"/>
    <cellStyle name="Comma 5 2 6 2 4 7" xfId="27488" xr:uid="{00000000-0005-0000-0000-0000BE110000}"/>
    <cellStyle name="Comma 5 2 6 2 5" xfId="1212" xr:uid="{00000000-0005-0000-0000-0000BF110000}"/>
    <cellStyle name="Comma 5 2 6 2 5 2" xfId="10373" xr:uid="{00000000-0005-0000-0000-0000C0110000}"/>
    <cellStyle name="Comma 5 2 6 2 5 2 2" xfId="22816" xr:uid="{00000000-0005-0000-0000-0000C1110000}"/>
    <cellStyle name="Comma 5 2 6 2 5 2 2 2" xfId="47690" xr:uid="{00000000-0005-0000-0000-0000C2110000}"/>
    <cellStyle name="Comma 5 2 6 2 5 2 3" xfId="35257" xr:uid="{00000000-0005-0000-0000-0000C3110000}"/>
    <cellStyle name="Comma 5 2 6 2 5 3" xfId="5357" xr:uid="{00000000-0005-0000-0000-0000C4110000}"/>
    <cellStyle name="Comma 5 2 6 2 5 3 2" xfId="17809" xr:uid="{00000000-0005-0000-0000-0000C5110000}"/>
    <cellStyle name="Comma 5 2 6 2 5 3 2 2" xfId="42683" xr:uid="{00000000-0005-0000-0000-0000C6110000}"/>
    <cellStyle name="Comma 5 2 6 2 5 3 3" xfId="30250" xr:uid="{00000000-0005-0000-0000-0000C7110000}"/>
    <cellStyle name="Comma 5 2 6 2 5 4" xfId="14012" xr:uid="{00000000-0005-0000-0000-0000C8110000}"/>
    <cellStyle name="Comma 5 2 6 2 5 4 2" xfId="38886" xr:uid="{00000000-0005-0000-0000-0000C9110000}"/>
    <cellStyle name="Comma 5 2 6 2 5 5" xfId="26445" xr:uid="{00000000-0005-0000-0000-0000CA110000}"/>
    <cellStyle name="Comma 5 2 6 2 6" xfId="7934" xr:uid="{00000000-0005-0000-0000-0000CB110000}"/>
    <cellStyle name="Comma 5 2 6 2 6 2" xfId="20380" xr:uid="{00000000-0005-0000-0000-0000CC110000}"/>
    <cellStyle name="Comma 5 2 6 2 6 2 2" xfId="45254" xr:uid="{00000000-0005-0000-0000-0000CD110000}"/>
    <cellStyle name="Comma 5 2 6 2 6 3" xfId="32821" xr:uid="{00000000-0005-0000-0000-0000CE110000}"/>
    <cellStyle name="Comma 5 2 6 2 7" xfId="11827" xr:uid="{00000000-0005-0000-0000-0000CF110000}"/>
    <cellStyle name="Comma 5 2 6 2 7 2" xfId="24261" xr:uid="{00000000-0005-0000-0000-0000D0110000}"/>
    <cellStyle name="Comma 5 2 6 2 7 2 2" xfId="49135" xr:uid="{00000000-0005-0000-0000-0000D1110000}"/>
    <cellStyle name="Comma 5 2 6 2 7 3" xfId="36702" xr:uid="{00000000-0005-0000-0000-0000D2110000}"/>
    <cellStyle name="Comma 5 2 6 2 8" xfId="6904" xr:uid="{00000000-0005-0000-0000-0000D3110000}"/>
    <cellStyle name="Comma 5 2 6 2 8 2" xfId="19353" xr:uid="{00000000-0005-0000-0000-0000D4110000}"/>
    <cellStyle name="Comma 5 2 6 2 8 2 2" xfId="44227" xr:uid="{00000000-0005-0000-0000-0000D5110000}"/>
    <cellStyle name="Comma 5 2 6 2 8 3" xfId="31794" xr:uid="{00000000-0005-0000-0000-0000D6110000}"/>
    <cellStyle name="Comma 5 2 6 2 9" xfId="2855" xr:uid="{00000000-0005-0000-0000-0000D7110000}"/>
    <cellStyle name="Comma 5 2 6 2 9 2" xfId="15373" xr:uid="{00000000-0005-0000-0000-0000D8110000}"/>
    <cellStyle name="Comma 5 2 6 2 9 2 2" xfId="40247" xr:uid="{00000000-0005-0000-0000-0000D9110000}"/>
    <cellStyle name="Comma 5 2 6 2 9 3" xfId="27806" xr:uid="{00000000-0005-0000-0000-0000DA110000}"/>
    <cellStyle name="Comma 5 2 6 3" xfId="609" xr:uid="{00000000-0005-0000-0000-0000DB110000}"/>
    <cellStyle name="Comma 5 2 6 3 2" xfId="1307" xr:uid="{00000000-0005-0000-0000-0000DC110000}"/>
    <cellStyle name="Comma 5 2 6 3 2 2" xfId="9106" xr:uid="{00000000-0005-0000-0000-0000DD110000}"/>
    <cellStyle name="Comma 5 2 6 3 2 2 2" xfId="21549" xr:uid="{00000000-0005-0000-0000-0000DE110000}"/>
    <cellStyle name="Comma 5 2 6 3 2 2 2 2" xfId="46423" xr:uid="{00000000-0005-0000-0000-0000DF110000}"/>
    <cellStyle name="Comma 5 2 6 3 2 2 3" xfId="33990" xr:uid="{00000000-0005-0000-0000-0000E0110000}"/>
    <cellStyle name="Comma 5 2 6 3 2 3" xfId="4088" xr:uid="{00000000-0005-0000-0000-0000E1110000}"/>
    <cellStyle name="Comma 5 2 6 3 2 3 2" xfId="16542" xr:uid="{00000000-0005-0000-0000-0000E2110000}"/>
    <cellStyle name="Comma 5 2 6 3 2 3 2 2" xfId="41416" xr:uid="{00000000-0005-0000-0000-0000E3110000}"/>
    <cellStyle name="Comma 5 2 6 3 2 3 3" xfId="28983" xr:uid="{00000000-0005-0000-0000-0000E4110000}"/>
    <cellStyle name="Comma 5 2 6 3 2 4" xfId="14107" xr:uid="{00000000-0005-0000-0000-0000E5110000}"/>
    <cellStyle name="Comma 5 2 6 3 2 4 2" xfId="38981" xr:uid="{00000000-0005-0000-0000-0000E6110000}"/>
    <cellStyle name="Comma 5 2 6 3 2 5" xfId="26540" xr:uid="{00000000-0005-0000-0000-0000E7110000}"/>
    <cellStyle name="Comma 5 2 6 3 3" xfId="5452" xr:uid="{00000000-0005-0000-0000-0000E8110000}"/>
    <cellStyle name="Comma 5 2 6 3 3 2" xfId="10468" xr:uid="{00000000-0005-0000-0000-0000E9110000}"/>
    <cellStyle name="Comma 5 2 6 3 3 2 2" xfId="22911" xr:uid="{00000000-0005-0000-0000-0000EA110000}"/>
    <cellStyle name="Comma 5 2 6 3 3 2 2 2" xfId="47785" xr:uid="{00000000-0005-0000-0000-0000EB110000}"/>
    <cellStyle name="Comma 5 2 6 3 3 2 3" xfId="35352" xr:uid="{00000000-0005-0000-0000-0000EC110000}"/>
    <cellStyle name="Comma 5 2 6 3 3 3" xfId="17904" xr:uid="{00000000-0005-0000-0000-0000ED110000}"/>
    <cellStyle name="Comma 5 2 6 3 3 3 2" xfId="42778" xr:uid="{00000000-0005-0000-0000-0000EE110000}"/>
    <cellStyle name="Comma 5 2 6 3 3 4" xfId="30345" xr:uid="{00000000-0005-0000-0000-0000EF110000}"/>
    <cellStyle name="Comma 5 2 6 3 4" xfId="8222" xr:uid="{00000000-0005-0000-0000-0000F0110000}"/>
    <cellStyle name="Comma 5 2 6 3 4 2" xfId="20666" xr:uid="{00000000-0005-0000-0000-0000F1110000}"/>
    <cellStyle name="Comma 5 2 6 3 4 2 2" xfId="45540" xr:uid="{00000000-0005-0000-0000-0000F2110000}"/>
    <cellStyle name="Comma 5 2 6 3 4 3" xfId="33107" xr:uid="{00000000-0005-0000-0000-0000F3110000}"/>
    <cellStyle name="Comma 5 2 6 3 5" xfId="11922" xr:uid="{00000000-0005-0000-0000-0000F4110000}"/>
    <cellStyle name="Comma 5 2 6 3 5 2" xfId="24356" xr:uid="{00000000-0005-0000-0000-0000F5110000}"/>
    <cellStyle name="Comma 5 2 6 3 5 2 2" xfId="49230" xr:uid="{00000000-0005-0000-0000-0000F6110000}"/>
    <cellStyle name="Comma 5 2 6 3 5 3" xfId="36797" xr:uid="{00000000-0005-0000-0000-0000F7110000}"/>
    <cellStyle name="Comma 5 2 6 3 6" xfId="6699" xr:uid="{00000000-0005-0000-0000-0000F8110000}"/>
    <cellStyle name="Comma 5 2 6 3 6 2" xfId="19148" xr:uid="{00000000-0005-0000-0000-0000F9110000}"/>
    <cellStyle name="Comma 5 2 6 3 6 2 2" xfId="44022" xr:uid="{00000000-0005-0000-0000-0000FA110000}"/>
    <cellStyle name="Comma 5 2 6 3 6 3" xfId="31589" xr:uid="{00000000-0005-0000-0000-0000FB110000}"/>
    <cellStyle name="Comma 5 2 6 3 7" xfId="3153" xr:uid="{00000000-0005-0000-0000-0000FC110000}"/>
    <cellStyle name="Comma 5 2 6 3 7 2" xfId="15659" xr:uid="{00000000-0005-0000-0000-0000FD110000}"/>
    <cellStyle name="Comma 5 2 6 3 7 2 2" xfId="40533" xr:uid="{00000000-0005-0000-0000-0000FE110000}"/>
    <cellStyle name="Comma 5 2 6 3 7 3" xfId="28092" xr:uid="{00000000-0005-0000-0000-0000FF110000}"/>
    <cellStyle name="Comma 5 2 6 3 8" xfId="13416" xr:uid="{00000000-0005-0000-0000-000000120000}"/>
    <cellStyle name="Comma 5 2 6 3 8 2" xfId="38290" xr:uid="{00000000-0005-0000-0000-000001120000}"/>
    <cellStyle name="Comma 5 2 6 3 9" xfId="25849" xr:uid="{00000000-0005-0000-0000-000002120000}"/>
    <cellStyle name="Comma 5 2 6 4" xfId="1655" xr:uid="{00000000-0005-0000-0000-000003120000}"/>
    <cellStyle name="Comma 5 2 6 4 2" xfId="4393" xr:uid="{00000000-0005-0000-0000-000004120000}"/>
    <cellStyle name="Comma 5 2 6 4 2 2" xfId="9411" xr:uid="{00000000-0005-0000-0000-000005120000}"/>
    <cellStyle name="Comma 5 2 6 4 2 2 2" xfId="21854" xr:uid="{00000000-0005-0000-0000-000006120000}"/>
    <cellStyle name="Comma 5 2 6 4 2 2 2 2" xfId="46728" xr:uid="{00000000-0005-0000-0000-000007120000}"/>
    <cellStyle name="Comma 5 2 6 4 2 2 3" xfId="34295" xr:uid="{00000000-0005-0000-0000-000008120000}"/>
    <cellStyle name="Comma 5 2 6 4 2 3" xfId="16847" xr:uid="{00000000-0005-0000-0000-000009120000}"/>
    <cellStyle name="Comma 5 2 6 4 2 3 2" xfId="41721" xr:uid="{00000000-0005-0000-0000-00000A120000}"/>
    <cellStyle name="Comma 5 2 6 4 2 4" xfId="29288" xr:uid="{00000000-0005-0000-0000-00000B120000}"/>
    <cellStyle name="Comma 5 2 6 4 3" xfId="5801" xr:uid="{00000000-0005-0000-0000-00000C120000}"/>
    <cellStyle name="Comma 5 2 6 4 3 2" xfId="10816" xr:uid="{00000000-0005-0000-0000-00000D120000}"/>
    <cellStyle name="Comma 5 2 6 4 3 2 2" xfId="23259" xr:uid="{00000000-0005-0000-0000-00000E120000}"/>
    <cellStyle name="Comma 5 2 6 4 3 2 2 2" xfId="48133" xr:uid="{00000000-0005-0000-0000-00000F120000}"/>
    <cellStyle name="Comma 5 2 6 4 3 2 3" xfId="35700" xr:uid="{00000000-0005-0000-0000-000010120000}"/>
    <cellStyle name="Comma 5 2 6 4 3 3" xfId="18252" xr:uid="{00000000-0005-0000-0000-000011120000}"/>
    <cellStyle name="Comma 5 2 6 4 3 3 2" xfId="43126" xr:uid="{00000000-0005-0000-0000-000012120000}"/>
    <cellStyle name="Comma 5 2 6 4 3 4" xfId="30693" xr:uid="{00000000-0005-0000-0000-000013120000}"/>
    <cellStyle name="Comma 5 2 6 4 4" xfId="8527" xr:uid="{00000000-0005-0000-0000-000014120000}"/>
    <cellStyle name="Comma 5 2 6 4 4 2" xfId="20971" xr:uid="{00000000-0005-0000-0000-000015120000}"/>
    <cellStyle name="Comma 5 2 6 4 4 2 2" xfId="45845" xr:uid="{00000000-0005-0000-0000-000016120000}"/>
    <cellStyle name="Comma 5 2 6 4 4 3" xfId="33412" xr:uid="{00000000-0005-0000-0000-000017120000}"/>
    <cellStyle name="Comma 5 2 6 4 5" xfId="12270" xr:uid="{00000000-0005-0000-0000-000018120000}"/>
    <cellStyle name="Comma 5 2 6 4 5 2" xfId="24704" xr:uid="{00000000-0005-0000-0000-000019120000}"/>
    <cellStyle name="Comma 5 2 6 4 5 2 2" xfId="49578" xr:uid="{00000000-0005-0000-0000-00001A120000}"/>
    <cellStyle name="Comma 5 2 6 4 5 3" xfId="37145" xr:uid="{00000000-0005-0000-0000-00001B120000}"/>
    <cellStyle name="Comma 5 2 6 4 6" xfId="7004" xr:uid="{00000000-0005-0000-0000-00001C120000}"/>
    <cellStyle name="Comma 5 2 6 4 6 2" xfId="19453" xr:uid="{00000000-0005-0000-0000-00001D120000}"/>
    <cellStyle name="Comma 5 2 6 4 6 2 2" xfId="44327" xr:uid="{00000000-0005-0000-0000-00001E120000}"/>
    <cellStyle name="Comma 5 2 6 4 6 3" xfId="31894" xr:uid="{00000000-0005-0000-0000-00001F120000}"/>
    <cellStyle name="Comma 5 2 6 4 7" xfId="3458" xr:uid="{00000000-0005-0000-0000-000020120000}"/>
    <cellStyle name="Comma 5 2 6 4 7 2" xfId="15964" xr:uid="{00000000-0005-0000-0000-000021120000}"/>
    <cellStyle name="Comma 5 2 6 4 7 2 2" xfId="40838" xr:uid="{00000000-0005-0000-0000-000022120000}"/>
    <cellStyle name="Comma 5 2 6 4 7 3" xfId="28397" xr:uid="{00000000-0005-0000-0000-000023120000}"/>
    <cellStyle name="Comma 5 2 6 4 8" xfId="14455" xr:uid="{00000000-0005-0000-0000-000024120000}"/>
    <cellStyle name="Comma 5 2 6 4 8 2" xfId="39329" xr:uid="{00000000-0005-0000-0000-000025120000}"/>
    <cellStyle name="Comma 5 2 6 4 9" xfId="26888" xr:uid="{00000000-0005-0000-0000-000026120000}"/>
    <cellStyle name="Comma 5 2 6 5" xfId="2165" xr:uid="{00000000-0005-0000-0000-000027120000}"/>
    <cellStyle name="Comma 5 2 6 5 2" xfId="4798" xr:uid="{00000000-0005-0000-0000-000028120000}"/>
    <cellStyle name="Comma 5 2 6 5 2 2" xfId="9815" xr:uid="{00000000-0005-0000-0000-000029120000}"/>
    <cellStyle name="Comma 5 2 6 5 2 2 2" xfId="22258" xr:uid="{00000000-0005-0000-0000-00002A120000}"/>
    <cellStyle name="Comma 5 2 6 5 2 2 2 2" xfId="47132" xr:uid="{00000000-0005-0000-0000-00002B120000}"/>
    <cellStyle name="Comma 5 2 6 5 2 2 3" xfId="34699" xr:uid="{00000000-0005-0000-0000-00002C120000}"/>
    <cellStyle name="Comma 5 2 6 5 2 3" xfId="17251" xr:uid="{00000000-0005-0000-0000-00002D120000}"/>
    <cellStyle name="Comma 5 2 6 5 2 3 2" xfId="42125" xr:uid="{00000000-0005-0000-0000-00002E120000}"/>
    <cellStyle name="Comma 5 2 6 5 2 4" xfId="29692" xr:uid="{00000000-0005-0000-0000-00002F120000}"/>
    <cellStyle name="Comma 5 2 6 5 3" xfId="6196" xr:uid="{00000000-0005-0000-0000-000030120000}"/>
    <cellStyle name="Comma 5 2 6 5 3 2" xfId="11211" xr:uid="{00000000-0005-0000-0000-000031120000}"/>
    <cellStyle name="Comma 5 2 6 5 3 2 2" xfId="23654" xr:uid="{00000000-0005-0000-0000-000032120000}"/>
    <cellStyle name="Comma 5 2 6 5 3 2 2 2" xfId="48528" xr:uid="{00000000-0005-0000-0000-000033120000}"/>
    <cellStyle name="Comma 5 2 6 5 3 2 3" xfId="36095" xr:uid="{00000000-0005-0000-0000-000034120000}"/>
    <cellStyle name="Comma 5 2 6 5 3 3" xfId="18647" xr:uid="{00000000-0005-0000-0000-000035120000}"/>
    <cellStyle name="Comma 5 2 6 5 3 3 2" xfId="43521" xr:uid="{00000000-0005-0000-0000-000036120000}"/>
    <cellStyle name="Comma 5 2 6 5 3 4" xfId="31088" xr:uid="{00000000-0005-0000-0000-000037120000}"/>
    <cellStyle name="Comma 5 2 6 5 4" xfId="8108" xr:uid="{00000000-0005-0000-0000-000038120000}"/>
    <cellStyle name="Comma 5 2 6 5 4 2" xfId="20554" xr:uid="{00000000-0005-0000-0000-000039120000}"/>
    <cellStyle name="Comma 5 2 6 5 4 2 2" xfId="45428" xr:uid="{00000000-0005-0000-0000-00003A120000}"/>
    <cellStyle name="Comma 5 2 6 5 4 3" xfId="32995" xr:uid="{00000000-0005-0000-0000-00003B120000}"/>
    <cellStyle name="Comma 5 2 6 5 5" xfId="12665" xr:uid="{00000000-0005-0000-0000-00003C120000}"/>
    <cellStyle name="Comma 5 2 6 5 5 2" xfId="25099" xr:uid="{00000000-0005-0000-0000-00003D120000}"/>
    <cellStyle name="Comma 5 2 6 5 5 2 2" xfId="49973" xr:uid="{00000000-0005-0000-0000-00003E120000}"/>
    <cellStyle name="Comma 5 2 6 5 5 3" xfId="37540" xr:uid="{00000000-0005-0000-0000-00003F120000}"/>
    <cellStyle name="Comma 5 2 6 5 6" xfId="7409" xr:uid="{00000000-0005-0000-0000-000040120000}"/>
    <cellStyle name="Comma 5 2 6 5 6 2" xfId="19857" xr:uid="{00000000-0005-0000-0000-000041120000}"/>
    <cellStyle name="Comma 5 2 6 5 6 2 2" xfId="44731" xr:uid="{00000000-0005-0000-0000-000042120000}"/>
    <cellStyle name="Comma 5 2 6 5 6 3" xfId="32298" xr:uid="{00000000-0005-0000-0000-000043120000}"/>
    <cellStyle name="Comma 5 2 6 5 7" xfId="3038" xr:uid="{00000000-0005-0000-0000-000044120000}"/>
    <cellStyle name="Comma 5 2 6 5 7 2" xfId="15547" xr:uid="{00000000-0005-0000-0000-000045120000}"/>
    <cellStyle name="Comma 5 2 6 5 7 2 2" xfId="40421" xr:uid="{00000000-0005-0000-0000-000046120000}"/>
    <cellStyle name="Comma 5 2 6 5 7 3" xfId="27980" xr:uid="{00000000-0005-0000-0000-000047120000}"/>
    <cellStyle name="Comma 5 2 6 5 8" xfId="14850" xr:uid="{00000000-0005-0000-0000-000048120000}"/>
    <cellStyle name="Comma 5 2 6 5 8 2" xfId="39724" xr:uid="{00000000-0005-0000-0000-000049120000}"/>
    <cellStyle name="Comma 5 2 6 5 9" xfId="27283" xr:uid="{00000000-0005-0000-0000-00004A120000}"/>
    <cellStyle name="Comma 5 2 6 6" xfId="1007" xr:uid="{00000000-0005-0000-0000-00004B120000}"/>
    <cellStyle name="Comma 5 2 6 6 2" xfId="8994" xr:uid="{00000000-0005-0000-0000-00004C120000}"/>
    <cellStyle name="Comma 5 2 6 6 2 2" xfId="21437" xr:uid="{00000000-0005-0000-0000-00004D120000}"/>
    <cellStyle name="Comma 5 2 6 6 2 2 2" xfId="46311" xr:uid="{00000000-0005-0000-0000-00004E120000}"/>
    <cellStyle name="Comma 5 2 6 6 2 3" xfId="33878" xr:uid="{00000000-0005-0000-0000-00004F120000}"/>
    <cellStyle name="Comma 5 2 6 6 3" xfId="3976" xr:uid="{00000000-0005-0000-0000-000050120000}"/>
    <cellStyle name="Comma 5 2 6 6 3 2" xfId="16430" xr:uid="{00000000-0005-0000-0000-000051120000}"/>
    <cellStyle name="Comma 5 2 6 6 3 2 2" xfId="41304" xr:uid="{00000000-0005-0000-0000-000052120000}"/>
    <cellStyle name="Comma 5 2 6 6 3 3" xfId="28871" xr:uid="{00000000-0005-0000-0000-000053120000}"/>
    <cellStyle name="Comma 5 2 6 6 4" xfId="13807" xr:uid="{00000000-0005-0000-0000-000054120000}"/>
    <cellStyle name="Comma 5 2 6 6 4 2" xfId="38681" xr:uid="{00000000-0005-0000-0000-000055120000}"/>
    <cellStyle name="Comma 5 2 6 6 5" xfId="26240" xr:uid="{00000000-0005-0000-0000-000056120000}"/>
    <cellStyle name="Comma 5 2 6 7" xfId="5152" xr:uid="{00000000-0005-0000-0000-000057120000}"/>
    <cellStyle name="Comma 5 2 6 7 2" xfId="10168" xr:uid="{00000000-0005-0000-0000-000058120000}"/>
    <cellStyle name="Comma 5 2 6 7 2 2" xfId="22611" xr:uid="{00000000-0005-0000-0000-000059120000}"/>
    <cellStyle name="Comma 5 2 6 7 2 2 2" xfId="47485" xr:uid="{00000000-0005-0000-0000-00005A120000}"/>
    <cellStyle name="Comma 5 2 6 7 2 3" xfId="35052" xr:uid="{00000000-0005-0000-0000-00005B120000}"/>
    <cellStyle name="Comma 5 2 6 7 3" xfId="17604" xr:uid="{00000000-0005-0000-0000-00005C120000}"/>
    <cellStyle name="Comma 5 2 6 7 3 2" xfId="42478" xr:uid="{00000000-0005-0000-0000-00005D120000}"/>
    <cellStyle name="Comma 5 2 6 7 4" xfId="30045" xr:uid="{00000000-0005-0000-0000-00005E120000}"/>
    <cellStyle name="Comma 5 2 6 8" xfId="7729" xr:uid="{00000000-0005-0000-0000-00005F120000}"/>
    <cellStyle name="Comma 5 2 6 8 2" xfId="20175" xr:uid="{00000000-0005-0000-0000-000060120000}"/>
    <cellStyle name="Comma 5 2 6 8 2 2" xfId="45049" xr:uid="{00000000-0005-0000-0000-000061120000}"/>
    <cellStyle name="Comma 5 2 6 8 3" xfId="32616" xr:uid="{00000000-0005-0000-0000-000062120000}"/>
    <cellStyle name="Comma 5 2 6 9" xfId="11622" xr:uid="{00000000-0005-0000-0000-000063120000}"/>
    <cellStyle name="Comma 5 2 6 9 2" xfId="24056" xr:uid="{00000000-0005-0000-0000-000064120000}"/>
    <cellStyle name="Comma 5 2 6 9 2 2" xfId="48930" xr:uid="{00000000-0005-0000-0000-000065120000}"/>
    <cellStyle name="Comma 5 2 6 9 3" xfId="36497" xr:uid="{00000000-0005-0000-0000-000066120000}"/>
    <cellStyle name="Comma 5 2 7" xfId="517" xr:uid="{00000000-0005-0000-0000-000067120000}"/>
    <cellStyle name="Comma 5 2 7 10" xfId="2911" xr:uid="{00000000-0005-0000-0000-000068120000}"/>
    <cellStyle name="Comma 5 2 7 10 2" xfId="15429" xr:uid="{00000000-0005-0000-0000-000069120000}"/>
    <cellStyle name="Comma 5 2 7 10 2 2" xfId="40303" xr:uid="{00000000-0005-0000-0000-00006A120000}"/>
    <cellStyle name="Comma 5 2 7 10 3" xfId="27862" xr:uid="{00000000-0005-0000-0000-00006B120000}"/>
    <cellStyle name="Comma 5 2 7 11" xfId="13330" xr:uid="{00000000-0005-0000-0000-00006C120000}"/>
    <cellStyle name="Comma 5 2 7 11 2" xfId="38204" xr:uid="{00000000-0005-0000-0000-00006D120000}"/>
    <cellStyle name="Comma 5 2 7 12" xfId="25763" xr:uid="{00000000-0005-0000-0000-00006E120000}"/>
    <cellStyle name="Comma 5 2 7 2" xfId="876" xr:uid="{00000000-0005-0000-0000-00006F120000}"/>
    <cellStyle name="Comma 5 2 7 2 2" xfId="1309" xr:uid="{00000000-0005-0000-0000-000070120000}"/>
    <cellStyle name="Comma 5 2 7 2 2 2" xfId="9367" xr:uid="{00000000-0005-0000-0000-000071120000}"/>
    <cellStyle name="Comma 5 2 7 2 2 2 2" xfId="21810" xr:uid="{00000000-0005-0000-0000-000072120000}"/>
    <cellStyle name="Comma 5 2 7 2 2 2 2 2" xfId="46684" xr:uid="{00000000-0005-0000-0000-000073120000}"/>
    <cellStyle name="Comma 5 2 7 2 2 2 3" xfId="34251" xr:uid="{00000000-0005-0000-0000-000074120000}"/>
    <cellStyle name="Comma 5 2 7 2 2 3" xfId="4349" xr:uid="{00000000-0005-0000-0000-000075120000}"/>
    <cellStyle name="Comma 5 2 7 2 2 3 2" xfId="16803" xr:uid="{00000000-0005-0000-0000-000076120000}"/>
    <cellStyle name="Comma 5 2 7 2 2 3 2 2" xfId="41677" xr:uid="{00000000-0005-0000-0000-000077120000}"/>
    <cellStyle name="Comma 5 2 7 2 2 3 3" xfId="29244" xr:uid="{00000000-0005-0000-0000-000078120000}"/>
    <cellStyle name="Comma 5 2 7 2 2 4" xfId="14109" xr:uid="{00000000-0005-0000-0000-000079120000}"/>
    <cellStyle name="Comma 5 2 7 2 2 4 2" xfId="38983" xr:uid="{00000000-0005-0000-0000-00007A120000}"/>
    <cellStyle name="Comma 5 2 7 2 2 5" xfId="26542" xr:uid="{00000000-0005-0000-0000-00007B120000}"/>
    <cellStyle name="Comma 5 2 7 2 3" xfId="5454" xr:uid="{00000000-0005-0000-0000-00007C120000}"/>
    <cellStyle name="Comma 5 2 7 2 3 2" xfId="10470" xr:uid="{00000000-0005-0000-0000-00007D120000}"/>
    <cellStyle name="Comma 5 2 7 2 3 2 2" xfId="22913" xr:uid="{00000000-0005-0000-0000-00007E120000}"/>
    <cellStyle name="Comma 5 2 7 2 3 2 2 2" xfId="47787" xr:uid="{00000000-0005-0000-0000-00007F120000}"/>
    <cellStyle name="Comma 5 2 7 2 3 2 3" xfId="35354" xr:uid="{00000000-0005-0000-0000-000080120000}"/>
    <cellStyle name="Comma 5 2 7 2 3 3" xfId="17906" xr:uid="{00000000-0005-0000-0000-000081120000}"/>
    <cellStyle name="Comma 5 2 7 2 3 3 2" xfId="42780" xr:uid="{00000000-0005-0000-0000-000082120000}"/>
    <cellStyle name="Comma 5 2 7 2 3 4" xfId="30347" xr:uid="{00000000-0005-0000-0000-000083120000}"/>
    <cellStyle name="Comma 5 2 7 2 4" xfId="8483" xr:uid="{00000000-0005-0000-0000-000084120000}"/>
    <cellStyle name="Comma 5 2 7 2 4 2" xfId="20927" xr:uid="{00000000-0005-0000-0000-000085120000}"/>
    <cellStyle name="Comma 5 2 7 2 4 2 2" xfId="45801" xr:uid="{00000000-0005-0000-0000-000086120000}"/>
    <cellStyle name="Comma 5 2 7 2 4 3" xfId="33368" xr:uid="{00000000-0005-0000-0000-000087120000}"/>
    <cellStyle name="Comma 5 2 7 2 5" xfId="11924" xr:uid="{00000000-0005-0000-0000-000088120000}"/>
    <cellStyle name="Comma 5 2 7 2 5 2" xfId="24358" xr:uid="{00000000-0005-0000-0000-000089120000}"/>
    <cellStyle name="Comma 5 2 7 2 5 2 2" xfId="49232" xr:uid="{00000000-0005-0000-0000-00008A120000}"/>
    <cellStyle name="Comma 5 2 7 2 5 3" xfId="36799" xr:uid="{00000000-0005-0000-0000-00008B120000}"/>
    <cellStyle name="Comma 5 2 7 2 6" xfId="6960" xr:uid="{00000000-0005-0000-0000-00008C120000}"/>
    <cellStyle name="Comma 5 2 7 2 6 2" xfId="19409" xr:uid="{00000000-0005-0000-0000-00008D120000}"/>
    <cellStyle name="Comma 5 2 7 2 6 2 2" xfId="44283" xr:uid="{00000000-0005-0000-0000-00008E120000}"/>
    <cellStyle name="Comma 5 2 7 2 6 3" xfId="31850" xr:uid="{00000000-0005-0000-0000-00008F120000}"/>
    <cellStyle name="Comma 5 2 7 2 7" xfId="3414" xr:uid="{00000000-0005-0000-0000-000090120000}"/>
    <cellStyle name="Comma 5 2 7 2 7 2" xfId="15920" xr:uid="{00000000-0005-0000-0000-000091120000}"/>
    <cellStyle name="Comma 5 2 7 2 7 2 2" xfId="40794" xr:uid="{00000000-0005-0000-0000-000092120000}"/>
    <cellStyle name="Comma 5 2 7 2 7 3" xfId="28353" xr:uid="{00000000-0005-0000-0000-000093120000}"/>
    <cellStyle name="Comma 5 2 7 2 8" xfId="13677" xr:uid="{00000000-0005-0000-0000-000094120000}"/>
    <cellStyle name="Comma 5 2 7 2 8 2" xfId="38551" xr:uid="{00000000-0005-0000-0000-000095120000}"/>
    <cellStyle name="Comma 5 2 7 2 9" xfId="26110" xr:uid="{00000000-0005-0000-0000-000096120000}"/>
    <cellStyle name="Comma 5 2 7 3" xfId="1657" xr:uid="{00000000-0005-0000-0000-000097120000}"/>
    <cellStyle name="Comma 5 2 7 3 2" xfId="4395" xr:uid="{00000000-0005-0000-0000-000098120000}"/>
    <cellStyle name="Comma 5 2 7 3 2 2" xfId="9413" xr:uid="{00000000-0005-0000-0000-000099120000}"/>
    <cellStyle name="Comma 5 2 7 3 2 2 2" xfId="21856" xr:uid="{00000000-0005-0000-0000-00009A120000}"/>
    <cellStyle name="Comma 5 2 7 3 2 2 2 2" xfId="46730" xr:uid="{00000000-0005-0000-0000-00009B120000}"/>
    <cellStyle name="Comma 5 2 7 3 2 2 3" xfId="34297" xr:uid="{00000000-0005-0000-0000-00009C120000}"/>
    <cellStyle name="Comma 5 2 7 3 2 3" xfId="16849" xr:uid="{00000000-0005-0000-0000-00009D120000}"/>
    <cellStyle name="Comma 5 2 7 3 2 3 2" xfId="41723" xr:uid="{00000000-0005-0000-0000-00009E120000}"/>
    <cellStyle name="Comma 5 2 7 3 2 4" xfId="29290" xr:uid="{00000000-0005-0000-0000-00009F120000}"/>
    <cellStyle name="Comma 5 2 7 3 3" xfId="5803" xr:uid="{00000000-0005-0000-0000-0000A0120000}"/>
    <cellStyle name="Comma 5 2 7 3 3 2" xfId="10818" xr:uid="{00000000-0005-0000-0000-0000A1120000}"/>
    <cellStyle name="Comma 5 2 7 3 3 2 2" xfId="23261" xr:uid="{00000000-0005-0000-0000-0000A2120000}"/>
    <cellStyle name="Comma 5 2 7 3 3 2 2 2" xfId="48135" xr:uid="{00000000-0005-0000-0000-0000A3120000}"/>
    <cellStyle name="Comma 5 2 7 3 3 2 3" xfId="35702" xr:uid="{00000000-0005-0000-0000-0000A4120000}"/>
    <cellStyle name="Comma 5 2 7 3 3 3" xfId="18254" xr:uid="{00000000-0005-0000-0000-0000A5120000}"/>
    <cellStyle name="Comma 5 2 7 3 3 3 2" xfId="43128" xr:uid="{00000000-0005-0000-0000-0000A6120000}"/>
    <cellStyle name="Comma 5 2 7 3 3 4" xfId="30695" xr:uid="{00000000-0005-0000-0000-0000A7120000}"/>
    <cellStyle name="Comma 5 2 7 3 4" xfId="8529" xr:uid="{00000000-0005-0000-0000-0000A8120000}"/>
    <cellStyle name="Comma 5 2 7 3 4 2" xfId="20973" xr:uid="{00000000-0005-0000-0000-0000A9120000}"/>
    <cellStyle name="Comma 5 2 7 3 4 2 2" xfId="45847" xr:uid="{00000000-0005-0000-0000-0000AA120000}"/>
    <cellStyle name="Comma 5 2 7 3 4 3" xfId="33414" xr:uid="{00000000-0005-0000-0000-0000AB120000}"/>
    <cellStyle name="Comma 5 2 7 3 5" xfId="12272" xr:uid="{00000000-0005-0000-0000-0000AC120000}"/>
    <cellStyle name="Comma 5 2 7 3 5 2" xfId="24706" xr:uid="{00000000-0005-0000-0000-0000AD120000}"/>
    <cellStyle name="Comma 5 2 7 3 5 2 2" xfId="49580" xr:uid="{00000000-0005-0000-0000-0000AE120000}"/>
    <cellStyle name="Comma 5 2 7 3 5 3" xfId="37147" xr:uid="{00000000-0005-0000-0000-0000AF120000}"/>
    <cellStyle name="Comma 5 2 7 3 6" xfId="7006" xr:uid="{00000000-0005-0000-0000-0000B0120000}"/>
    <cellStyle name="Comma 5 2 7 3 6 2" xfId="19455" xr:uid="{00000000-0005-0000-0000-0000B1120000}"/>
    <cellStyle name="Comma 5 2 7 3 6 2 2" xfId="44329" xr:uid="{00000000-0005-0000-0000-0000B2120000}"/>
    <cellStyle name="Comma 5 2 7 3 6 3" xfId="31896" xr:uid="{00000000-0005-0000-0000-0000B3120000}"/>
    <cellStyle name="Comma 5 2 7 3 7" xfId="3460" xr:uid="{00000000-0005-0000-0000-0000B4120000}"/>
    <cellStyle name="Comma 5 2 7 3 7 2" xfId="15966" xr:uid="{00000000-0005-0000-0000-0000B5120000}"/>
    <cellStyle name="Comma 5 2 7 3 7 2 2" xfId="40840" xr:uid="{00000000-0005-0000-0000-0000B6120000}"/>
    <cellStyle name="Comma 5 2 7 3 7 3" xfId="28399" xr:uid="{00000000-0005-0000-0000-0000B7120000}"/>
    <cellStyle name="Comma 5 2 7 3 8" xfId="14457" xr:uid="{00000000-0005-0000-0000-0000B8120000}"/>
    <cellStyle name="Comma 5 2 7 3 8 2" xfId="39331" xr:uid="{00000000-0005-0000-0000-0000B9120000}"/>
    <cellStyle name="Comma 5 2 7 3 9" xfId="26890" xr:uid="{00000000-0005-0000-0000-0000BA120000}"/>
    <cellStyle name="Comma 5 2 7 4" xfId="2435" xr:uid="{00000000-0005-0000-0000-0000BB120000}"/>
    <cellStyle name="Comma 5 2 7 4 2" xfId="5059" xr:uid="{00000000-0005-0000-0000-0000BC120000}"/>
    <cellStyle name="Comma 5 2 7 4 2 2" xfId="10076" xr:uid="{00000000-0005-0000-0000-0000BD120000}"/>
    <cellStyle name="Comma 5 2 7 4 2 2 2" xfId="22519" xr:uid="{00000000-0005-0000-0000-0000BE120000}"/>
    <cellStyle name="Comma 5 2 7 4 2 2 2 2" xfId="47393" xr:uid="{00000000-0005-0000-0000-0000BF120000}"/>
    <cellStyle name="Comma 5 2 7 4 2 2 3" xfId="34960" xr:uid="{00000000-0005-0000-0000-0000C0120000}"/>
    <cellStyle name="Comma 5 2 7 4 2 3" xfId="17512" xr:uid="{00000000-0005-0000-0000-0000C1120000}"/>
    <cellStyle name="Comma 5 2 7 4 2 3 2" xfId="42386" xr:uid="{00000000-0005-0000-0000-0000C2120000}"/>
    <cellStyle name="Comma 5 2 7 4 2 4" xfId="29953" xr:uid="{00000000-0005-0000-0000-0000C3120000}"/>
    <cellStyle name="Comma 5 2 7 4 3" xfId="6457" xr:uid="{00000000-0005-0000-0000-0000C4120000}"/>
    <cellStyle name="Comma 5 2 7 4 3 2" xfId="11472" xr:uid="{00000000-0005-0000-0000-0000C5120000}"/>
    <cellStyle name="Comma 5 2 7 4 3 2 2" xfId="23915" xr:uid="{00000000-0005-0000-0000-0000C6120000}"/>
    <cellStyle name="Comma 5 2 7 4 3 2 2 2" xfId="48789" xr:uid="{00000000-0005-0000-0000-0000C7120000}"/>
    <cellStyle name="Comma 5 2 7 4 3 2 3" xfId="36356" xr:uid="{00000000-0005-0000-0000-0000C8120000}"/>
    <cellStyle name="Comma 5 2 7 4 3 3" xfId="18908" xr:uid="{00000000-0005-0000-0000-0000C9120000}"/>
    <cellStyle name="Comma 5 2 7 4 3 3 2" xfId="43782" xr:uid="{00000000-0005-0000-0000-0000CA120000}"/>
    <cellStyle name="Comma 5 2 7 4 3 4" xfId="31349" xr:uid="{00000000-0005-0000-0000-0000CB120000}"/>
    <cellStyle name="Comma 5 2 7 4 4" xfId="8164" xr:uid="{00000000-0005-0000-0000-0000CC120000}"/>
    <cellStyle name="Comma 5 2 7 4 4 2" xfId="20610" xr:uid="{00000000-0005-0000-0000-0000CD120000}"/>
    <cellStyle name="Comma 5 2 7 4 4 2 2" xfId="45484" xr:uid="{00000000-0005-0000-0000-0000CE120000}"/>
    <cellStyle name="Comma 5 2 7 4 4 3" xfId="33051" xr:uid="{00000000-0005-0000-0000-0000CF120000}"/>
    <cellStyle name="Comma 5 2 7 4 5" xfId="12926" xr:uid="{00000000-0005-0000-0000-0000D0120000}"/>
    <cellStyle name="Comma 5 2 7 4 5 2" xfId="25360" xr:uid="{00000000-0005-0000-0000-0000D1120000}"/>
    <cellStyle name="Comma 5 2 7 4 5 2 2" xfId="50234" xr:uid="{00000000-0005-0000-0000-0000D2120000}"/>
    <cellStyle name="Comma 5 2 7 4 5 3" xfId="37801" xr:uid="{00000000-0005-0000-0000-0000D3120000}"/>
    <cellStyle name="Comma 5 2 7 4 6" xfId="7670" xr:uid="{00000000-0005-0000-0000-0000D4120000}"/>
    <cellStyle name="Comma 5 2 7 4 6 2" xfId="20118" xr:uid="{00000000-0005-0000-0000-0000D5120000}"/>
    <cellStyle name="Comma 5 2 7 4 6 2 2" xfId="44992" xr:uid="{00000000-0005-0000-0000-0000D6120000}"/>
    <cellStyle name="Comma 5 2 7 4 6 3" xfId="32559" xr:uid="{00000000-0005-0000-0000-0000D7120000}"/>
    <cellStyle name="Comma 5 2 7 4 7" xfId="3094" xr:uid="{00000000-0005-0000-0000-0000D8120000}"/>
    <cellStyle name="Comma 5 2 7 4 7 2" xfId="15603" xr:uid="{00000000-0005-0000-0000-0000D9120000}"/>
    <cellStyle name="Comma 5 2 7 4 7 2 2" xfId="40477" xr:uid="{00000000-0005-0000-0000-0000DA120000}"/>
    <cellStyle name="Comma 5 2 7 4 7 3" xfId="28036" xr:uid="{00000000-0005-0000-0000-0000DB120000}"/>
    <cellStyle name="Comma 5 2 7 4 8" xfId="15111" xr:uid="{00000000-0005-0000-0000-0000DC120000}"/>
    <cellStyle name="Comma 5 2 7 4 8 2" xfId="39985" xr:uid="{00000000-0005-0000-0000-0000DD120000}"/>
    <cellStyle name="Comma 5 2 7 4 9" xfId="27544" xr:uid="{00000000-0005-0000-0000-0000DE120000}"/>
    <cellStyle name="Comma 5 2 7 5" xfId="1268" xr:uid="{00000000-0005-0000-0000-0000DF120000}"/>
    <cellStyle name="Comma 5 2 7 5 2" xfId="9050" xr:uid="{00000000-0005-0000-0000-0000E0120000}"/>
    <cellStyle name="Comma 5 2 7 5 2 2" xfId="21493" xr:uid="{00000000-0005-0000-0000-0000E1120000}"/>
    <cellStyle name="Comma 5 2 7 5 2 2 2" xfId="46367" xr:uid="{00000000-0005-0000-0000-0000E2120000}"/>
    <cellStyle name="Comma 5 2 7 5 2 3" xfId="33934" xr:uid="{00000000-0005-0000-0000-0000E3120000}"/>
    <cellStyle name="Comma 5 2 7 5 3" xfId="4032" xr:uid="{00000000-0005-0000-0000-0000E4120000}"/>
    <cellStyle name="Comma 5 2 7 5 3 2" xfId="16486" xr:uid="{00000000-0005-0000-0000-0000E5120000}"/>
    <cellStyle name="Comma 5 2 7 5 3 2 2" xfId="41360" xr:uid="{00000000-0005-0000-0000-0000E6120000}"/>
    <cellStyle name="Comma 5 2 7 5 3 3" xfId="28927" xr:uid="{00000000-0005-0000-0000-0000E7120000}"/>
    <cellStyle name="Comma 5 2 7 5 4" xfId="14068" xr:uid="{00000000-0005-0000-0000-0000E8120000}"/>
    <cellStyle name="Comma 5 2 7 5 4 2" xfId="38942" xr:uid="{00000000-0005-0000-0000-0000E9120000}"/>
    <cellStyle name="Comma 5 2 7 5 5" xfId="26501" xr:uid="{00000000-0005-0000-0000-0000EA120000}"/>
    <cellStyle name="Comma 5 2 7 6" xfId="5413" xr:uid="{00000000-0005-0000-0000-0000EB120000}"/>
    <cellStyle name="Comma 5 2 7 6 2" xfId="10429" xr:uid="{00000000-0005-0000-0000-0000EC120000}"/>
    <cellStyle name="Comma 5 2 7 6 2 2" xfId="22872" xr:uid="{00000000-0005-0000-0000-0000ED120000}"/>
    <cellStyle name="Comma 5 2 7 6 2 2 2" xfId="47746" xr:uid="{00000000-0005-0000-0000-0000EE120000}"/>
    <cellStyle name="Comma 5 2 7 6 2 3" xfId="35313" xr:uid="{00000000-0005-0000-0000-0000EF120000}"/>
    <cellStyle name="Comma 5 2 7 6 3" xfId="17865" xr:uid="{00000000-0005-0000-0000-0000F0120000}"/>
    <cellStyle name="Comma 5 2 7 6 3 2" xfId="42739" xr:uid="{00000000-0005-0000-0000-0000F1120000}"/>
    <cellStyle name="Comma 5 2 7 6 4" xfId="30306" xr:uid="{00000000-0005-0000-0000-0000F2120000}"/>
    <cellStyle name="Comma 5 2 7 7" xfId="7990" xr:uid="{00000000-0005-0000-0000-0000F3120000}"/>
    <cellStyle name="Comma 5 2 7 7 2" xfId="20436" xr:uid="{00000000-0005-0000-0000-0000F4120000}"/>
    <cellStyle name="Comma 5 2 7 7 2 2" xfId="45310" xr:uid="{00000000-0005-0000-0000-0000F5120000}"/>
    <cellStyle name="Comma 5 2 7 7 3" xfId="32877" xr:uid="{00000000-0005-0000-0000-0000F6120000}"/>
    <cellStyle name="Comma 5 2 7 8" xfId="11883" xr:uid="{00000000-0005-0000-0000-0000F7120000}"/>
    <cellStyle name="Comma 5 2 7 8 2" xfId="24317" xr:uid="{00000000-0005-0000-0000-0000F8120000}"/>
    <cellStyle name="Comma 5 2 7 8 2 2" xfId="49191" xr:uid="{00000000-0005-0000-0000-0000F9120000}"/>
    <cellStyle name="Comma 5 2 7 8 3" xfId="36758" xr:uid="{00000000-0005-0000-0000-0000FA120000}"/>
    <cellStyle name="Comma 5 2 7 9" xfId="6643" xr:uid="{00000000-0005-0000-0000-0000FB120000}"/>
    <cellStyle name="Comma 5 2 7 9 2" xfId="19092" xr:uid="{00000000-0005-0000-0000-0000FC120000}"/>
    <cellStyle name="Comma 5 2 7 9 2 2" xfId="43966" xr:uid="{00000000-0005-0000-0000-0000FD120000}"/>
    <cellStyle name="Comma 5 2 7 9 3" xfId="31533" xr:uid="{00000000-0005-0000-0000-0000FE120000}"/>
    <cellStyle name="Comma 5 2 8" xfId="353" xr:uid="{00000000-0005-0000-0000-0000FF120000}"/>
    <cellStyle name="Comma 5 2 8 10" xfId="13169" xr:uid="{00000000-0005-0000-0000-000000130000}"/>
    <cellStyle name="Comma 5 2 8 10 2" xfId="38043" xr:uid="{00000000-0005-0000-0000-000001130000}"/>
    <cellStyle name="Comma 5 2 8 11" xfId="25602" xr:uid="{00000000-0005-0000-0000-000002130000}"/>
    <cellStyle name="Comma 5 2 8 2" xfId="713" xr:uid="{00000000-0005-0000-0000-000003130000}"/>
    <cellStyle name="Comma 5 2 8 2 2" xfId="1310" xr:uid="{00000000-0005-0000-0000-000004130000}"/>
    <cellStyle name="Comma 5 2 8 2 2 2" xfId="9414" xr:uid="{00000000-0005-0000-0000-000005130000}"/>
    <cellStyle name="Comma 5 2 8 2 2 2 2" xfId="21857" xr:uid="{00000000-0005-0000-0000-000006130000}"/>
    <cellStyle name="Comma 5 2 8 2 2 2 2 2" xfId="46731" xr:uid="{00000000-0005-0000-0000-000007130000}"/>
    <cellStyle name="Comma 5 2 8 2 2 2 3" xfId="34298" xr:uid="{00000000-0005-0000-0000-000008130000}"/>
    <cellStyle name="Comma 5 2 8 2 2 3" xfId="4396" xr:uid="{00000000-0005-0000-0000-000009130000}"/>
    <cellStyle name="Comma 5 2 8 2 2 3 2" xfId="16850" xr:uid="{00000000-0005-0000-0000-00000A130000}"/>
    <cellStyle name="Comma 5 2 8 2 2 3 2 2" xfId="41724" xr:uid="{00000000-0005-0000-0000-00000B130000}"/>
    <cellStyle name="Comma 5 2 8 2 2 3 3" xfId="29291" xr:uid="{00000000-0005-0000-0000-00000C130000}"/>
    <cellStyle name="Comma 5 2 8 2 2 4" xfId="14110" xr:uid="{00000000-0005-0000-0000-00000D130000}"/>
    <cellStyle name="Comma 5 2 8 2 2 4 2" xfId="38984" xr:uid="{00000000-0005-0000-0000-00000E130000}"/>
    <cellStyle name="Comma 5 2 8 2 2 5" xfId="26543" xr:uid="{00000000-0005-0000-0000-00000F130000}"/>
    <cellStyle name="Comma 5 2 8 2 3" xfId="5455" xr:uid="{00000000-0005-0000-0000-000010130000}"/>
    <cellStyle name="Comma 5 2 8 2 3 2" xfId="10471" xr:uid="{00000000-0005-0000-0000-000011130000}"/>
    <cellStyle name="Comma 5 2 8 2 3 2 2" xfId="22914" xr:uid="{00000000-0005-0000-0000-000012130000}"/>
    <cellStyle name="Comma 5 2 8 2 3 2 2 2" xfId="47788" xr:uid="{00000000-0005-0000-0000-000013130000}"/>
    <cellStyle name="Comma 5 2 8 2 3 2 3" xfId="35355" xr:uid="{00000000-0005-0000-0000-000014130000}"/>
    <cellStyle name="Comma 5 2 8 2 3 3" xfId="17907" xr:uid="{00000000-0005-0000-0000-000015130000}"/>
    <cellStyle name="Comma 5 2 8 2 3 3 2" xfId="42781" xr:uid="{00000000-0005-0000-0000-000016130000}"/>
    <cellStyle name="Comma 5 2 8 2 3 4" xfId="30348" xr:uid="{00000000-0005-0000-0000-000017130000}"/>
    <cellStyle name="Comma 5 2 8 2 4" xfId="8530" xr:uid="{00000000-0005-0000-0000-000018130000}"/>
    <cellStyle name="Comma 5 2 8 2 4 2" xfId="20974" xr:uid="{00000000-0005-0000-0000-000019130000}"/>
    <cellStyle name="Comma 5 2 8 2 4 2 2" xfId="45848" xr:uid="{00000000-0005-0000-0000-00001A130000}"/>
    <cellStyle name="Comma 5 2 8 2 4 3" xfId="33415" xr:uid="{00000000-0005-0000-0000-00001B130000}"/>
    <cellStyle name="Comma 5 2 8 2 5" xfId="11925" xr:uid="{00000000-0005-0000-0000-00001C130000}"/>
    <cellStyle name="Comma 5 2 8 2 5 2" xfId="24359" xr:uid="{00000000-0005-0000-0000-00001D130000}"/>
    <cellStyle name="Comma 5 2 8 2 5 2 2" xfId="49233" xr:uid="{00000000-0005-0000-0000-00001E130000}"/>
    <cellStyle name="Comma 5 2 8 2 5 3" xfId="36800" xr:uid="{00000000-0005-0000-0000-00001F130000}"/>
    <cellStyle name="Comma 5 2 8 2 6" xfId="7007" xr:uid="{00000000-0005-0000-0000-000020130000}"/>
    <cellStyle name="Comma 5 2 8 2 6 2" xfId="19456" xr:uid="{00000000-0005-0000-0000-000021130000}"/>
    <cellStyle name="Comma 5 2 8 2 6 2 2" xfId="44330" xr:uid="{00000000-0005-0000-0000-000022130000}"/>
    <cellStyle name="Comma 5 2 8 2 6 3" xfId="31897" xr:uid="{00000000-0005-0000-0000-000023130000}"/>
    <cellStyle name="Comma 5 2 8 2 7" xfId="3461" xr:uid="{00000000-0005-0000-0000-000024130000}"/>
    <cellStyle name="Comma 5 2 8 2 7 2" xfId="15967" xr:uid="{00000000-0005-0000-0000-000025130000}"/>
    <cellStyle name="Comma 5 2 8 2 7 2 2" xfId="40841" xr:uid="{00000000-0005-0000-0000-000026130000}"/>
    <cellStyle name="Comma 5 2 8 2 7 3" xfId="28400" xr:uid="{00000000-0005-0000-0000-000027130000}"/>
    <cellStyle name="Comma 5 2 8 2 8" xfId="13516" xr:uid="{00000000-0005-0000-0000-000028130000}"/>
    <cellStyle name="Comma 5 2 8 2 8 2" xfId="38390" xr:uid="{00000000-0005-0000-0000-000029130000}"/>
    <cellStyle name="Comma 5 2 8 2 9" xfId="25949" xr:uid="{00000000-0005-0000-0000-00002A130000}"/>
    <cellStyle name="Comma 5 2 8 3" xfId="1658" xr:uid="{00000000-0005-0000-0000-00002B130000}"/>
    <cellStyle name="Comma 5 2 8 3 2" xfId="4898" xr:uid="{00000000-0005-0000-0000-00002C130000}"/>
    <cellStyle name="Comma 5 2 8 3 2 2" xfId="9915" xr:uid="{00000000-0005-0000-0000-00002D130000}"/>
    <cellStyle name="Comma 5 2 8 3 2 2 2" xfId="22358" xr:uid="{00000000-0005-0000-0000-00002E130000}"/>
    <cellStyle name="Comma 5 2 8 3 2 2 2 2" xfId="47232" xr:uid="{00000000-0005-0000-0000-00002F130000}"/>
    <cellStyle name="Comma 5 2 8 3 2 2 3" xfId="34799" xr:uid="{00000000-0005-0000-0000-000030130000}"/>
    <cellStyle name="Comma 5 2 8 3 2 3" xfId="17351" xr:uid="{00000000-0005-0000-0000-000031130000}"/>
    <cellStyle name="Comma 5 2 8 3 2 3 2" xfId="42225" xr:uid="{00000000-0005-0000-0000-000032130000}"/>
    <cellStyle name="Comma 5 2 8 3 2 4" xfId="29792" xr:uid="{00000000-0005-0000-0000-000033130000}"/>
    <cellStyle name="Comma 5 2 8 3 3" xfId="5804" xr:uid="{00000000-0005-0000-0000-000034130000}"/>
    <cellStyle name="Comma 5 2 8 3 3 2" xfId="10819" xr:uid="{00000000-0005-0000-0000-000035130000}"/>
    <cellStyle name="Comma 5 2 8 3 3 2 2" xfId="23262" xr:uid="{00000000-0005-0000-0000-000036130000}"/>
    <cellStyle name="Comma 5 2 8 3 3 2 2 2" xfId="48136" xr:uid="{00000000-0005-0000-0000-000037130000}"/>
    <cellStyle name="Comma 5 2 8 3 3 2 3" xfId="35703" xr:uid="{00000000-0005-0000-0000-000038130000}"/>
    <cellStyle name="Comma 5 2 8 3 3 3" xfId="18255" xr:uid="{00000000-0005-0000-0000-000039130000}"/>
    <cellStyle name="Comma 5 2 8 3 3 3 2" xfId="43129" xr:uid="{00000000-0005-0000-0000-00003A130000}"/>
    <cellStyle name="Comma 5 2 8 3 3 4" xfId="30696" xr:uid="{00000000-0005-0000-0000-00003B130000}"/>
    <cellStyle name="Comma 5 2 8 3 4" xfId="8322" xr:uid="{00000000-0005-0000-0000-00003C130000}"/>
    <cellStyle name="Comma 5 2 8 3 4 2" xfId="20766" xr:uid="{00000000-0005-0000-0000-00003D130000}"/>
    <cellStyle name="Comma 5 2 8 3 4 2 2" xfId="45640" xr:uid="{00000000-0005-0000-0000-00003E130000}"/>
    <cellStyle name="Comma 5 2 8 3 4 3" xfId="33207" xr:uid="{00000000-0005-0000-0000-00003F130000}"/>
    <cellStyle name="Comma 5 2 8 3 5" xfId="12273" xr:uid="{00000000-0005-0000-0000-000040130000}"/>
    <cellStyle name="Comma 5 2 8 3 5 2" xfId="24707" xr:uid="{00000000-0005-0000-0000-000041130000}"/>
    <cellStyle name="Comma 5 2 8 3 5 2 2" xfId="49581" xr:uid="{00000000-0005-0000-0000-000042130000}"/>
    <cellStyle name="Comma 5 2 8 3 5 3" xfId="37148" xr:uid="{00000000-0005-0000-0000-000043130000}"/>
    <cellStyle name="Comma 5 2 8 3 6" xfId="7509" xr:uid="{00000000-0005-0000-0000-000044130000}"/>
    <cellStyle name="Comma 5 2 8 3 6 2" xfId="19957" xr:uid="{00000000-0005-0000-0000-000045130000}"/>
    <cellStyle name="Comma 5 2 8 3 6 2 2" xfId="44831" xr:uid="{00000000-0005-0000-0000-000046130000}"/>
    <cellStyle name="Comma 5 2 8 3 6 3" xfId="32398" xr:uid="{00000000-0005-0000-0000-000047130000}"/>
    <cellStyle name="Comma 5 2 8 3 7" xfId="3253" xr:uid="{00000000-0005-0000-0000-000048130000}"/>
    <cellStyle name="Comma 5 2 8 3 7 2" xfId="15759" xr:uid="{00000000-0005-0000-0000-000049130000}"/>
    <cellStyle name="Comma 5 2 8 3 7 2 2" xfId="40633" xr:uid="{00000000-0005-0000-0000-00004A130000}"/>
    <cellStyle name="Comma 5 2 8 3 7 3" xfId="28192" xr:uid="{00000000-0005-0000-0000-00004B130000}"/>
    <cellStyle name="Comma 5 2 8 3 8" xfId="14458" xr:uid="{00000000-0005-0000-0000-00004C130000}"/>
    <cellStyle name="Comma 5 2 8 3 8 2" xfId="39332" xr:uid="{00000000-0005-0000-0000-00004D130000}"/>
    <cellStyle name="Comma 5 2 8 3 9" xfId="26891" xr:uid="{00000000-0005-0000-0000-00004E130000}"/>
    <cellStyle name="Comma 5 2 8 4" xfId="2271" xr:uid="{00000000-0005-0000-0000-00004F130000}"/>
    <cellStyle name="Comma 5 2 8 4 2" xfId="6296" xr:uid="{00000000-0005-0000-0000-000050130000}"/>
    <cellStyle name="Comma 5 2 8 4 2 2" xfId="11311" xr:uid="{00000000-0005-0000-0000-000051130000}"/>
    <cellStyle name="Comma 5 2 8 4 2 2 2" xfId="23754" xr:uid="{00000000-0005-0000-0000-000052130000}"/>
    <cellStyle name="Comma 5 2 8 4 2 2 2 2" xfId="48628" xr:uid="{00000000-0005-0000-0000-000053130000}"/>
    <cellStyle name="Comma 5 2 8 4 2 2 3" xfId="36195" xr:uid="{00000000-0005-0000-0000-000054130000}"/>
    <cellStyle name="Comma 5 2 8 4 2 3" xfId="18747" xr:uid="{00000000-0005-0000-0000-000055130000}"/>
    <cellStyle name="Comma 5 2 8 4 2 3 2" xfId="43621" xr:uid="{00000000-0005-0000-0000-000056130000}"/>
    <cellStyle name="Comma 5 2 8 4 2 4" xfId="31188" xr:uid="{00000000-0005-0000-0000-000057130000}"/>
    <cellStyle name="Comma 5 2 8 4 3" xfId="12765" xr:uid="{00000000-0005-0000-0000-000058130000}"/>
    <cellStyle name="Comma 5 2 8 4 3 2" xfId="25199" xr:uid="{00000000-0005-0000-0000-000059130000}"/>
    <cellStyle name="Comma 5 2 8 4 3 2 2" xfId="50073" xr:uid="{00000000-0005-0000-0000-00005A130000}"/>
    <cellStyle name="Comma 5 2 8 4 3 3" xfId="37640" xr:uid="{00000000-0005-0000-0000-00005B130000}"/>
    <cellStyle name="Comma 5 2 8 4 4" xfId="9206" xr:uid="{00000000-0005-0000-0000-00005C130000}"/>
    <cellStyle name="Comma 5 2 8 4 4 2" xfId="21649" xr:uid="{00000000-0005-0000-0000-00005D130000}"/>
    <cellStyle name="Comma 5 2 8 4 4 2 2" xfId="46523" xr:uid="{00000000-0005-0000-0000-00005E130000}"/>
    <cellStyle name="Comma 5 2 8 4 4 3" xfId="34090" xr:uid="{00000000-0005-0000-0000-00005F130000}"/>
    <cellStyle name="Comma 5 2 8 4 5" xfId="4188" xr:uid="{00000000-0005-0000-0000-000060130000}"/>
    <cellStyle name="Comma 5 2 8 4 5 2" xfId="16642" xr:uid="{00000000-0005-0000-0000-000061130000}"/>
    <cellStyle name="Comma 5 2 8 4 5 2 2" xfId="41516" xr:uid="{00000000-0005-0000-0000-000062130000}"/>
    <cellStyle name="Comma 5 2 8 4 5 3" xfId="29083" xr:uid="{00000000-0005-0000-0000-000063130000}"/>
    <cellStyle name="Comma 5 2 8 4 6" xfId="14950" xr:uid="{00000000-0005-0000-0000-000064130000}"/>
    <cellStyle name="Comma 5 2 8 4 6 2" xfId="39824" xr:uid="{00000000-0005-0000-0000-000065130000}"/>
    <cellStyle name="Comma 5 2 8 4 7" xfId="27383" xr:uid="{00000000-0005-0000-0000-000066130000}"/>
    <cellStyle name="Comma 5 2 8 5" xfId="1107" xr:uid="{00000000-0005-0000-0000-000067130000}"/>
    <cellStyle name="Comma 5 2 8 5 2" xfId="10268" xr:uid="{00000000-0005-0000-0000-000068130000}"/>
    <cellStyle name="Comma 5 2 8 5 2 2" xfId="22711" xr:uid="{00000000-0005-0000-0000-000069130000}"/>
    <cellStyle name="Comma 5 2 8 5 2 2 2" xfId="47585" xr:uid="{00000000-0005-0000-0000-00006A130000}"/>
    <cellStyle name="Comma 5 2 8 5 2 3" xfId="35152" xr:uid="{00000000-0005-0000-0000-00006B130000}"/>
    <cellStyle name="Comma 5 2 8 5 3" xfId="5252" xr:uid="{00000000-0005-0000-0000-00006C130000}"/>
    <cellStyle name="Comma 5 2 8 5 3 2" xfId="17704" xr:uid="{00000000-0005-0000-0000-00006D130000}"/>
    <cellStyle name="Comma 5 2 8 5 3 2 2" xfId="42578" xr:uid="{00000000-0005-0000-0000-00006E130000}"/>
    <cellStyle name="Comma 5 2 8 5 3 3" xfId="30145" xr:uid="{00000000-0005-0000-0000-00006F130000}"/>
    <cellStyle name="Comma 5 2 8 5 4" xfId="13907" xr:uid="{00000000-0005-0000-0000-000070130000}"/>
    <cellStyle name="Comma 5 2 8 5 4 2" xfId="38781" xr:uid="{00000000-0005-0000-0000-000071130000}"/>
    <cellStyle name="Comma 5 2 8 5 5" xfId="26340" xr:uid="{00000000-0005-0000-0000-000072130000}"/>
    <cellStyle name="Comma 5 2 8 6" xfId="7829" xr:uid="{00000000-0005-0000-0000-000073130000}"/>
    <cellStyle name="Comma 5 2 8 6 2" xfId="20275" xr:uid="{00000000-0005-0000-0000-000074130000}"/>
    <cellStyle name="Comma 5 2 8 6 2 2" xfId="45149" xr:uid="{00000000-0005-0000-0000-000075130000}"/>
    <cellStyle name="Comma 5 2 8 6 3" xfId="32716" xr:uid="{00000000-0005-0000-0000-000076130000}"/>
    <cellStyle name="Comma 5 2 8 7" xfId="11722" xr:uid="{00000000-0005-0000-0000-000077130000}"/>
    <cellStyle name="Comma 5 2 8 7 2" xfId="24156" xr:uid="{00000000-0005-0000-0000-000078130000}"/>
    <cellStyle name="Comma 5 2 8 7 2 2" xfId="49030" xr:uid="{00000000-0005-0000-0000-000079130000}"/>
    <cellStyle name="Comma 5 2 8 7 3" xfId="36597" xr:uid="{00000000-0005-0000-0000-00007A130000}"/>
    <cellStyle name="Comma 5 2 8 8" xfId="6799" xr:uid="{00000000-0005-0000-0000-00007B130000}"/>
    <cellStyle name="Comma 5 2 8 8 2" xfId="19248" xr:uid="{00000000-0005-0000-0000-00007C130000}"/>
    <cellStyle name="Comma 5 2 8 8 2 2" xfId="44122" xr:uid="{00000000-0005-0000-0000-00007D130000}"/>
    <cellStyle name="Comma 5 2 8 8 3" xfId="31689" xr:uid="{00000000-0005-0000-0000-00007E130000}"/>
    <cellStyle name="Comma 5 2 8 9" xfId="2750" xr:uid="{00000000-0005-0000-0000-00007F130000}"/>
    <cellStyle name="Comma 5 2 8 9 2" xfId="15268" xr:uid="{00000000-0005-0000-0000-000080130000}"/>
    <cellStyle name="Comma 5 2 8 9 2 2" xfId="40142" xr:uid="{00000000-0005-0000-0000-000081130000}"/>
    <cellStyle name="Comma 5 2 8 9 3" xfId="27701" xr:uid="{00000000-0005-0000-0000-000082130000}"/>
    <cellStyle name="Comma 5 2 9" xfId="200" xr:uid="{00000000-0005-0000-0000-000083130000}"/>
    <cellStyle name="Comma 5 2 9 10" xfId="13030" xr:uid="{00000000-0005-0000-0000-000084130000}"/>
    <cellStyle name="Comma 5 2 9 10 2" xfId="37904" xr:uid="{00000000-0005-0000-0000-000085130000}"/>
    <cellStyle name="Comma 5 2 9 11" xfId="25463" xr:uid="{00000000-0005-0000-0000-000086130000}"/>
    <cellStyle name="Comma 5 2 9 2" xfId="567" xr:uid="{00000000-0005-0000-0000-000087130000}"/>
    <cellStyle name="Comma 5 2 9 2 2" xfId="1311" xr:uid="{00000000-0005-0000-0000-000088130000}"/>
    <cellStyle name="Comma 5 2 9 2 2 2" xfId="9415" xr:uid="{00000000-0005-0000-0000-000089130000}"/>
    <cellStyle name="Comma 5 2 9 2 2 2 2" xfId="21858" xr:uid="{00000000-0005-0000-0000-00008A130000}"/>
    <cellStyle name="Comma 5 2 9 2 2 2 2 2" xfId="46732" xr:uid="{00000000-0005-0000-0000-00008B130000}"/>
    <cellStyle name="Comma 5 2 9 2 2 2 3" xfId="34299" xr:uid="{00000000-0005-0000-0000-00008C130000}"/>
    <cellStyle name="Comma 5 2 9 2 2 3" xfId="4397" xr:uid="{00000000-0005-0000-0000-00008D130000}"/>
    <cellStyle name="Comma 5 2 9 2 2 3 2" xfId="16851" xr:uid="{00000000-0005-0000-0000-00008E130000}"/>
    <cellStyle name="Comma 5 2 9 2 2 3 2 2" xfId="41725" xr:uid="{00000000-0005-0000-0000-00008F130000}"/>
    <cellStyle name="Comma 5 2 9 2 2 3 3" xfId="29292" xr:uid="{00000000-0005-0000-0000-000090130000}"/>
    <cellStyle name="Comma 5 2 9 2 2 4" xfId="14111" xr:uid="{00000000-0005-0000-0000-000091130000}"/>
    <cellStyle name="Comma 5 2 9 2 2 4 2" xfId="38985" xr:uid="{00000000-0005-0000-0000-000092130000}"/>
    <cellStyle name="Comma 5 2 9 2 2 5" xfId="26544" xr:uid="{00000000-0005-0000-0000-000093130000}"/>
    <cellStyle name="Comma 5 2 9 2 3" xfId="5456" xr:uid="{00000000-0005-0000-0000-000094130000}"/>
    <cellStyle name="Comma 5 2 9 2 3 2" xfId="10472" xr:uid="{00000000-0005-0000-0000-000095130000}"/>
    <cellStyle name="Comma 5 2 9 2 3 2 2" xfId="22915" xr:uid="{00000000-0005-0000-0000-000096130000}"/>
    <cellStyle name="Comma 5 2 9 2 3 2 2 2" xfId="47789" xr:uid="{00000000-0005-0000-0000-000097130000}"/>
    <cellStyle name="Comma 5 2 9 2 3 2 3" xfId="35356" xr:uid="{00000000-0005-0000-0000-000098130000}"/>
    <cellStyle name="Comma 5 2 9 2 3 3" xfId="17908" xr:uid="{00000000-0005-0000-0000-000099130000}"/>
    <cellStyle name="Comma 5 2 9 2 3 3 2" xfId="42782" xr:uid="{00000000-0005-0000-0000-00009A130000}"/>
    <cellStyle name="Comma 5 2 9 2 3 4" xfId="30349" xr:uid="{00000000-0005-0000-0000-00009B130000}"/>
    <cellStyle name="Comma 5 2 9 2 4" xfId="8531" xr:uid="{00000000-0005-0000-0000-00009C130000}"/>
    <cellStyle name="Comma 5 2 9 2 4 2" xfId="20975" xr:uid="{00000000-0005-0000-0000-00009D130000}"/>
    <cellStyle name="Comma 5 2 9 2 4 2 2" xfId="45849" xr:uid="{00000000-0005-0000-0000-00009E130000}"/>
    <cellStyle name="Comma 5 2 9 2 4 3" xfId="33416" xr:uid="{00000000-0005-0000-0000-00009F130000}"/>
    <cellStyle name="Comma 5 2 9 2 5" xfId="11926" xr:uid="{00000000-0005-0000-0000-0000A0130000}"/>
    <cellStyle name="Comma 5 2 9 2 5 2" xfId="24360" xr:uid="{00000000-0005-0000-0000-0000A1130000}"/>
    <cellStyle name="Comma 5 2 9 2 5 2 2" xfId="49234" xr:uid="{00000000-0005-0000-0000-0000A2130000}"/>
    <cellStyle name="Comma 5 2 9 2 5 3" xfId="36801" xr:uid="{00000000-0005-0000-0000-0000A3130000}"/>
    <cellStyle name="Comma 5 2 9 2 6" xfId="7008" xr:uid="{00000000-0005-0000-0000-0000A4130000}"/>
    <cellStyle name="Comma 5 2 9 2 6 2" xfId="19457" xr:uid="{00000000-0005-0000-0000-0000A5130000}"/>
    <cellStyle name="Comma 5 2 9 2 6 2 2" xfId="44331" xr:uid="{00000000-0005-0000-0000-0000A6130000}"/>
    <cellStyle name="Comma 5 2 9 2 6 3" xfId="31898" xr:uid="{00000000-0005-0000-0000-0000A7130000}"/>
    <cellStyle name="Comma 5 2 9 2 7" xfId="3462" xr:uid="{00000000-0005-0000-0000-0000A8130000}"/>
    <cellStyle name="Comma 5 2 9 2 7 2" xfId="15968" xr:uid="{00000000-0005-0000-0000-0000A9130000}"/>
    <cellStyle name="Comma 5 2 9 2 7 2 2" xfId="40842" xr:uid="{00000000-0005-0000-0000-0000AA130000}"/>
    <cellStyle name="Comma 5 2 9 2 7 3" xfId="28401" xr:uid="{00000000-0005-0000-0000-0000AB130000}"/>
    <cellStyle name="Comma 5 2 9 2 8" xfId="13377" xr:uid="{00000000-0005-0000-0000-0000AC130000}"/>
    <cellStyle name="Comma 5 2 9 2 8 2" xfId="38251" xr:uid="{00000000-0005-0000-0000-0000AD130000}"/>
    <cellStyle name="Comma 5 2 9 2 9" xfId="25810" xr:uid="{00000000-0005-0000-0000-0000AE130000}"/>
    <cellStyle name="Comma 5 2 9 3" xfId="1659" xr:uid="{00000000-0005-0000-0000-0000AF130000}"/>
    <cellStyle name="Comma 5 2 9 3 2" xfId="4759" xr:uid="{00000000-0005-0000-0000-0000B0130000}"/>
    <cellStyle name="Comma 5 2 9 3 2 2" xfId="9776" xr:uid="{00000000-0005-0000-0000-0000B1130000}"/>
    <cellStyle name="Comma 5 2 9 3 2 2 2" xfId="22219" xr:uid="{00000000-0005-0000-0000-0000B2130000}"/>
    <cellStyle name="Comma 5 2 9 3 2 2 2 2" xfId="47093" xr:uid="{00000000-0005-0000-0000-0000B3130000}"/>
    <cellStyle name="Comma 5 2 9 3 2 2 3" xfId="34660" xr:uid="{00000000-0005-0000-0000-0000B4130000}"/>
    <cellStyle name="Comma 5 2 9 3 2 3" xfId="17212" xr:uid="{00000000-0005-0000-0000-0000B5130000}"/>
    <cellStyle name="Comma 5 2 9 3 2 3 2" xfId="42086" xr:uid="{00000000-0005-0000-0000-0000B6130000}"/>
    <cellStyle name="Comma 5 2 9 3 2 4" xfId="29653" xr:uid="{00000000-0005-0000-0000-0000B7130000}"/>
    <cellStyle name="Comma 5 2 9 3 3" xfId="5805" xr:uid="{00000000-0005-0000-0000-0000B8130000}"/>
    <cellStyle name="Comma 5 2 9 3 3 2" xfId="10820" xr:uid="{00000000-0005-0000-0000-0000B9130000}"/>
    <cellStyle name="Comma 5 2 9 3 3 2 2" xfId="23263" xr:uid="{00000000-0005-0000-0000-0000BA130000}"/>
    <cellStyle name="Comma 5 2 9 3 3 2 2 2" xfId="48137" xr:uid="{00000000-0005-0000-0000-0000BB130000}"/>
    <cellStyle name="Comma 5 2 9 3 3 2 3" xfId="35704" xr:uid="{00000000-0005-0000-0000-0000BC130000}"/>
    <cellStyle name="Comma 5 2 9 3 3 3" xfId="18256" xr:uid="{00000000-0005-0000-0000-0000BD130000}"/>
    <cellStyle name="Comma 5 2 9 3 3 3 2" xfId="43130" xr:uid="{00000000-0005-0000-0000-0000BE130000}"/>
    <cellStyle name="Comma 5 2 9 3 3 4" xfId="30697" xr:uid="{00000000-0005-0000-0000-0000BF130000}"/>
    <cellStyle name="Comma 5 2 9 3 4" xfId="8862" xr:uid="{00000000-0005-0000-0000-0000C0130000}"/>
    <cellStyle name="Comma 5 2 9 3 4 2" xfId="21305" xr:uid="{00000000-0005-0000-0000-0000C1130000}"/>
    <cellStyle name="Comma 5 2 9 3 4 2 2" xfId="46179" xr:uid="{00000000-0005-0000-0000-0000C2130000}"/>
    <cellStyle name="Comma 5 2 9 3 4 3" xfId="33746" xr:uid="{00000000-0005-0000-0000-0000C3130000}"/>
    <cellStyle name="Comma 5 2 9 3 5" xfId="12274" xr:uid="{00000000-0005-0000-0000-0000C4130000}"/>
    <cellStyle name="Comma 5 2 9 3 5 2" xfId="24708" xr:uid="{00000000-0005-0000-0000-0000C5130000}"/>
    <cellStyle name="Comma 5 2 9 3 5 2 2" xfId="49582" xr:uid="{00000000-0005-0000-0000-0000C6130000}"/>
    <cellStyle name="Comma 5 2 9 3 5 3" xfId="37149" xr:uid="{00000000-0005-0000-0000-0000C7130000}"/>
    <cellStyle name="Comma 5 2 9 3 6" xfId="7370" xr:uid="{00000000-0005-0000-0000-0000C8130000}"/>
    <cellStyle name="Comma 5 2 9 3 6 2" xfId="19818" xr:uid="{00000000-0005-0000-0000-0000C9130000}"/>
    <cellStyle name="Comma 5 2 9 3 6 2 2" xfId="44692" xr:uid="{00000000-0005-0000-0000-0000CA130000}"/>
    <cellStyle name="Comma 5 2 9 3 6 3" xfId="32259" xr:uid="{00000000-0005-0000-0000-0000CB130000}"/>
    <cellStyle name="Comma 5 2 9 3 7" xfId="3844" xr:uid="{00000000-0005-0000-0000-0000CC130000}"/>
    <cellStyle name="Comma 5 2 9 3 7 2" xfId="16298" xr:uid="{00000000-0005-0000-0000-0000CD130000}"/>
    <cellStyle name="Comma 5 2 9 3 7 2 2" xfId="41172" xr:uid="{00000000-0005-0000-0000-0000CE130000}"/>
    <cellStyle name="Comma 5 2 9 3 7 3" xfId="28739" xr:uid="{00000000-0005-0000-0000-0000CF130000}"/>
    <cellStyle name="Comma 5 2 9 3 8" xfId="14459" xr:uid="{00000000-0005-0000-0000-0000D0130000}"/>
    <cellStyle name="Comma 5 2 9 3 8 2" xfId="39333" xr:uid="{00000000-0005-0000-0000-0000D1130000}"/>
    <cellStyle name="Comma 5 2 9 3 9" xfId="26892" xr:uid="{00000000-0005-0000-0000-0000D2130000}"/>
    <cellStyle name="Comma 5 2 9 4" xfId="2118" xr:uid="{00000000-0005-0000-0000-0000D3130000}"/>
    <cellStyle name="Comma 5 2 9 4 2" xfId="6157" xr:uid="{00000000-0005-0000-0000-0000D4130000}"/>
    <cellStyle name="Comma 5 2 9 4 2 2" xfId="11172" xr:uid="{00000000-0005-0000-0000-0000D5130000}"/>
    <cellStyle name="Comma 5 2 9 4 2 2 2" xfId="23615" xr:uid="{00000000-0005-0000-0000-0000D6130000}"/>
    <cellStyle name="Comma 5 2 9 4 2 2 2 2" xfId="48489" xr:uid="{00000000-0005-0000-0000-0000D7130000}"/>
    <cellStyle name="Comma 5 2 9 4 2 2 3" xfId="36056" xr:uid="{00000000-0005-0000-0000-0000D8130000}"/>
    <cellStyle name="Comma 5 2 9 4 2 3" xfId="18608" xr:uid="{00000000-0005-0000-0000-0000D9130000}"/>
    <cellStyle name="Comma 5 2 9 4 2 3 2" xfId="43482" xr:uid="{00000000-0005-0000-0000-0000DA130000}"/>
    <cellStyle name="Comma 5 2 9 4 2 4" xfId="31049" xr:uid="{00000000-0005-0000-0000-0000DB130000}"/>
    <cellStyle name="Comma 5 2 9 4 3" xfId="12626" xr:uid="{00000000-0005-0000-0000-0000DC130000}"/>
    <cellStyle name="Comma 5 2 9 4 3 2" xfId="25060" xr:uid="{00000000-0005-0000-0000-0000DD130000}"/>
    <cellStyle name="Comma 5 2 9 4 3 2 2" xfId="49934" xr:uid="{00000000-0005-0000-0000-0000DE130000}"/>
    <cellStyle name="Comma 5 2 9 4 3 3" xfId="37501" xr:uid="{00000000-0005-0000-0000-0000DF130000}"/>
    <cellStyle name="Comma 5 2 9 4 4" xfId="9067" xr:uid="{00000000-0005-0000-0000-0000E0130000}"/>
    <cellStyle name="Comma 5 2 9 4 4 2" xfId="21510" xr:uid="{00000000-0005-0000-0000-0000E1130000}"/>
    <cellStyle name="Comma 5 2 9 4 4 2 2" xfId="46384" xr:uid="{00000000-0005-0000-0000-0000E2130000}"/>
    <cellStyle name="Comma 5 2 9 4 4 3" xfId="33951" xr:uid="{00000000-0005-0000-0000-0000E3130000}"/>
    <cellStyle name="Comma 5 2 9 4 5" xfId="4049" xr:uid="{00000000-0005-0000-0000-0000E4130000}"/>
    <cellStyle name="Comma 5 2 9 4 5 2" xfId="16503" xr:uid="{00000000-0005-0000-0000-0000E5130000}"/>
    <cellStyle name="Comma 5 2 9 4 5 2 2" xfId="41377" xr:uid="{00000000-0005-0000-0000-0000E6130000}"/>
    <cellStyle name="Comma 5 2 9 4 5 3" xfId="28944" xr:uid="{00000000-0005-0000-0000-0000E7130000}"/>
    <cellStyle name="Comma 5 2 9 4 6" xfId="14811" xr:uid="{00000000-0005-0000-0000-0000E8130000}"/>
    <cellStyle name="Comma 5 2 9 4 6 2" xfId="39685" xr:uid="{00000000-0005-0000-0000-0000E9130000}"/>
    <cellStyle name="Comma 5 2 9 4 7" xfId="27244" xr:uid="{00000000-0005-0000-0000-0000EA130000}"/>
    <cellStyle name="Comma 5 2 9 5" xfId="968" xr:uid="{00000000-0005-0000-0000-0000EB130000}"/>
    <cellStyle name="Comma 5 2 9 5 2" xfId="10127" xr:uid="{00000000-0005-0000-0000-0000EC130000}"/>
    <cellStyle name="Comma 5 2 9 5 2 2" xfId="22570" xr:uid="{00000000-0005-0000-0000-0000ED130000}"/>
    <cellStyle name="Comma 5 2 9 5 2 2 2" xfId="47444" xr:uid="{00000000-0005-0000-0000-0000EE130000}"/>
    <cellStyle name="Comma 5 2 9 5 2 3" xfId="35011" xr:uid="{00000000-0005-0000-0000-0000EF130000}"/>
    <cellStyle name="Comma 5 2 9 5 3" xfId="5111" xr:uid="{00000000-0005-0000-0000-0000F0130000}"/>
    <cellStyle name="Comma 5 2 9 5 3 2" xfId="17563" xr:uid="{00000000-0005-0000-0000-0000F1130000}"/>
    <cellStyle name="Comma 5 2 9 5 3 2 2" xfId="42437" xr:uid="{00000000-0005-0000-0000-0000F2130000}"/>
    <cellStyle name="Comma 5 2 9 5 3 3" xfId="30004" xr:uid="{00000000-0005-0000-0000-0000F3130000}"/>
    <cellStyle name="Comma 5 2 9 5 4" xfId="13768" xr:uid="{00000000-0005-0000-0000-0000F4130000}"/>
    <cellStyle name="Comma 5 2 9 5 4 2" xfId="38642" xr:uid="{00000000-0005-0000-0000-0000F5130000}"/>
    <cellStyle name="Comma 5 2 9 5 5" xfId="26201" xr:uid="{00000000-0005-0000-0000-0000F6130000}"/>
    <cellStyle name="Comma 5 2 9 6" xfId="8183" xr:uid="{00000000-0005-0000-0000-0000F7130000}"/>
    <cellStyle name="Comma 5 2 9 6 2" xfId="20627" xr:uid="{00000000-0005-0000-0000-0000F8130000}"/>
    <cellStyle name="Comma 5 2 9 6 2 2" xfId="45501" xr:uid="{00000000-0005-0000-0000-0000F9130000}"/>
    <cellStyle name="Comma 5 2 9 6 3" xfId="33068" xr:uid="{00000000-0005-0000-0000-0000FA130000}"/>
    <cellStyle name="Comma 5 2 9 7" xfId="11583" xr:uid="{00000000-0005-0000-0000-0000FB130000}"/>
    <cellStyle name="Comma 5 2 9 7 2" xfId="24017" xr:uid="{00000000-0005-0000-0000-0000FC130000}"/>
    <cellStyle name="Comma 5 2 9 7 2 2" xfId="48891" xr:uid="{00000000-0005-0000-0000-0000FD130000}"/>
    <cellStyle name="Comma 5 2 9 7 3" xfId="36458" xr:uid="{00000000-0005-0000-0000-0000FE130000}"/>
    <cellStyle name="Comma 5 2 9 8" xfId="6660" xr:uid="{00000000-0005-0000-0000-0000FF130000}"/>
    <cellStyle name="Comma 5 2 9 8 2" xfId="19109" xr:uid="{00000000-0005-0000-0000-000000140000}"/>
    <cellStyle name="Comma 5 2 9 8 2 2" xfId="43983" xr:uid="{00000000-0005-0000-0000-000001140000}"/>
    <cellStyle name="Comma 5 2 9 8 3" xfId="31550" xr:uid="{00000000-0005-0000-0000-000002140000}"/>
    <cellStyle name="Comma 5 2 9 9" xfId="3114" xr:uid="{00000000-0005-0000-0000-000003140000}"/>
    <cellStyle name="Comma 5 2 9 9 2" xfId="15620" xr:uid="{00000000-0005-0000-0000-000004140000}"/>
    <cellStyle name="Comma 5 2 9 9 2 2" xfId="40494" xr:uid="{00000000-0005-0000-0000-000005140000}"/>
    <cellStyle name="Comma 5 2 9 9 3" xfId="28053" xr:uid="{00000000-0005-0000-0000-000006140000}"/>
    <cellStyle name="Comma 5 20" xfId="25376" xr:uid="{00000000-0005-0000-0000-000007140000}"/>
    <cellStyle name="Comma 5 3" xfId="123" xr:uid="{00000000-0005-0000-0000-000008140000}"/>
    <cellStyle name="Comma 5 3 10" xfId="947" xr:uid="{00000000-0005-0000-0000-000009140000}"/>
    <cellStyle name="Comma 5 3 10 2" xfId="11562" xr:uid="{00000000-0005-0000-0000-00000A140000}"/>
    <cellStyle name="Comma 5 3 10 2 2" xfId="23996" xr:uid="{00000000-0005-0000-0000-00000B140000}"/>
    <cellStyle name="Comma 5 3 10 2 2 2" xfId="48870" xr:uid="{00000000-0005-0000-0000-00000C140000}"/>
    <cellStyle name="Comma 5 3 10 2 3" xfId="36437" xr:uid="{00000000-0005-0000-0000-00000D140000}"/>
    <cellStyle name="Comma 5 3 10 3" xfId="10106" xr:uid="{00000000-0005-0000-0000-00000E140000}"/>
    <cellStyle name="Comma 5 3 10 3 2" xfId="22549" xr:uid="{00000000-0005-0000-0000-00000F140000}"/>
    <cellStyle name="Comma 5 3 10 3 2 2" xfId="47423" xr:uid="{00000000-0005-0000-0000-000010140000}"/>
    <cellStyle name="Comma 5 3 10 3 3" xfId="34990" xr:uid="{00000000-0005-0000-0000-000011140000}"/>
    <cellStyle name="Comma 5 3 10 4" xfId="5090" xr:uid="{00000000-0005-0000-0000-000012140000}"/>
    <cellStyle name="Comma 5 3 10 4 2" xfId="17542" xr:uid="{00000000-0005-0000-0000-000013140000}"/>
    <cellStyle name="Comma 5 3 10 4 2 2" xfId="42416" xr:uid="{00000000-0005-0000-0000-000014140000}"/>
    <cellStyle name="Comma 5 3 10 4 3" xfId="29983" xr:uid="{00000000-0005-0000-0000-000015140000}"/>
    <cellStyle name="Comma 5 3 10 5" xfId="13747" xr:uid="{00000000-0005-0000-0000-000016140000}"/>
    <cellStyle name="Comma 5 3 10 5 2" xfId="38621" xr:uid="{00000000-0005-0000-0000-000017140000}"/>
    <cellStyle name="Comma 5 3 10 6" xfId="26180" xr:uid="{00000000-0005-0000-0000-000018140000}"/>
    <cellStyle name="Comma 5 3 11" xfId="917" xr:uid="{00000000-0005-0000-0000-000019140000}"/>
    <cellStyle name="Comma 5 3 11 2" xfId="7714" xr:uid="{00000000-0005-0000-0000-00001A140000}"/>
    <cellStyle name="Comma 5 3 11 2 2" xfId="20160" xr:uid="{00000000-0005-0000-0000-00001B140000}"/>
    <cellStyle name="Comma 5 3 11 2 2 2" xfId="45034" xr:uid="{00000000-0005-0000-0000-00001C140000}"/>
    <cellStyle name="Comma 5 3 11 2 3" xfId="32601" xr:uid="{00000000-0005-0000-0000-00001D140000}"/>
    <cellStyle name="Comma 5 3 11 3" xfId="13717" xr:uid="{00000000-0005-0000-0000-00001E140000}"/>
    <cellStyle name="Comma 5 3 11 3 2" xfId="38591" xr:uid="{00000000-0005-0000-0000-00001F140000}"/>
    <cellStyle name="Comma 5 3 11 4" xfId="26150" xr:uid="{00000000-0005-0000-0000-000020140000}"/>
    <cellStyle name="Comma 5 3 12" xfId="11532" xr:uid="{00000000-0005-0000-0000-000021140000}"/>
    <cellStyle name="Comma 5 3 12 2" xfId="23966" xr:uid="{00000000-0005-0000-0000-000022140000}"/>
    <cellStyle name="Comma 5 3 12 2 2" xfId="48840" xr:uid="{00000000-0005-0000-0000-000023140000}"/>
    <cellStyle name="Comma 5 3 12 3" xfId="36407" xr:uid="{00000000-0005-0000-0000-000024140000}"/>
    <cellStyle name="Comma 5 3 13" xfId="6494" xr:uid="{00000000-0005-0000-0000-000025140000}"/>
    <cellStyle name="Comma 5 3 13 2" xfId="18943" xr:uid="{00000000-0005-0000-0000-000026140000}"/>
    <cellStyle name="Comma 5 3 13 2 2" xfId="43817" xr:uid="{00000000-0005-0000-0000-000027140000}"/>
    <cellStyle name="Comma 5 3 13 3" xfId="31384" xr:uid="{00000000-0005-0000-0000-000028140000}"/>
    <cellStyle name="Comma 5 3 14" xfId="2635" xr:uid="{00000000-0005-0000-0000-000029140000}"/>
    <cellStyle name="Comma 5 3 14 2" xfId="15153" xr:uid="{00000000-0005-0000-0000-00002A140000}"/>
    <cellStyle name="Comma 5 3 14 2 2" xfId="40027" xr:uid="{00000000-0005-0000-0000-00002B140000}"/>
    <cellStyle name="Comma 5 3 14 3" xfId="27586" xr:uid="{00000000-0005-0000-0000-00002C140000}"/>
    <cellStyle name="Comma 5 3 15" xfId="12955" xr:uid="{00000000-0005-0000-0000-00002D140000}"/>
    <cellStyle name="Comma 5 3 15 2" xfId="37829" xr:uid="{00000000-0005-0000-0000-00002E140000}"/>
    <cellStyle name="Comma 5 3 16" xfId="25388" xr:uid="{00000000-0005-0000-0000-00002F140000}"/>
    <cellStyle name="Comma 5 3 2" xfId="149" xr:uid="{00000000-0005-0000-0000-000030140000}"/>
    <cellStyle name="Comma 5 3 2 10" xfId="11664" xr:uid="{00000000-0005-0000-0000-000031140000}"/>
    <cellStyle name="Comma 5 3 2 10 2" xfId="24098" xr:uid="{00000000-0005-0000-0000-000032140000}"/>
    <cellStyle name="Comma 5 3 2 10 2 2" xfId="48972" xr:uid="{00000000-0005-0000-0000-000033140000}"/>
    <cellStyle name="Comma 5 3 2 10 3" xfId="36539" xr:uid="{00000000-0005-0000-0000-000034140000}"/>
    <cellStyle name="Comma 5 3 2 11" xfId="6524" xr:uid="{00000000-0005-0000-0000-000035140000}"/>
    <cellStyle name="Comma 5 3 2 11 2" xfId="18973" xr:uid="{00000000-0005-0000-0000-000036140000}"/>
    <cellStyle name="Comma 5 3 2 11 2 2" xfId="43847" xr:uid="{00000000-0005-0000-0000-000037140000}"/>
    <cellStyle name="Comma 5 3 2 11 3" xfId="31414" xr:uid="{00000000-0005-0000-0000-000038140000}"/>
    <cellStyle name="Comma 5 3 2 12" xfId="2692" xr:uid="{00000000-0005-0000-0000-000039140000}"/>
    <cellStyle name="Comma 5 3 2 12 2" xfId="15210" xr:uid="{00000000-0005-0000-0000-00003A140000}"/>
    <cellStyle name="Comma 5 3 2 12 2 2" xfId="40084" xr:uid="{00000000-0005-0000-0000-00003B140000}"/>
    <cellStyle name="Comma 5 3 2 12 3" xfId="27643" xr:uid="{00000000-0005-0000-0000-00003C140000}"/>
    <cellStyle name="Comma 5 3 2 13" xfId="12979" xr:uid="{00000000-0005-0000-0000-00003D140000}"/>
    <cellStyle name="Comma 5 3 2 13 2" xfId="37853" xr:uid="{00000000-0005-0000-0000-00003E140000}"/>
    <cellStyle name="Comma 5 3 2 14" xfId="25412" xr:uid="{00000000-0005-0000-0000-00003F140000}"/>
    <cellStyle name="Comma 5 3 2 2" xfId="502" xr:uid="{00000000-0005-0000-0000-000040140000}"/>
    <cellStyle name="Comma 5 3 2 2 10" xfId="2896" xr:uid="{00000000-0005-0000-0000-000041140000}"/>
    <cellStyle name="Comma 5 3 2 2 10 2" xfId="15414" xr:uid="{00000000-0005-0000-0000-000042140000}"/>
    <cellStyle name="Comma 5 3 2 2 10 2 2" xfId="40288" xr:uid="{00000000-0005-0000-0000-000043140000}"/>
    <cellStyle name="Comma 5 3 2 2 10 3" xfId="27847" xr:uid="{00000000-0005-0000-0000-000044140000}"/>
    <cellStyle name="Comma 5 3 2 2 11" xfId="13315" xr:uid="{00000000-0005-0000-0000-000045140000}"/>
    <cellStyle name="Comma 5 3 2 2 11 2" xfId="38189" xr:uid="{00000000-0005-0000-0000-000046140000}"/>
    <cellStyle name="Comma 5 3 2 2 12" xfId="25748" xr:uid="{00000000-0005-0000-0000-000047140000}"/>
    <cellStyle name="Comma 5 3 2 2 2" xfId="861" xr:uid="{00000000-0005-0000-0000-000048140000}"/>
    <cellStyle name="Comma 5 3 2 2 2 2" xfId="1314" xr:uid="{00000000-0005-0000-0000-000049140000}"/>
    <cellStyle name="Comma 5 3 2 2 2 2 2" xfId="9352" xr:uid="{00000000-0005-0000-0000-00004A140000}"/>
    <cellStyle name="Comma 5 3 2 2 2 2 2 2" xfId="21795" xr:uid="{00000000-0005-0000-0000-00004B140000}"/>
    <cellStyle name="Comma 5 3 2 2 2 2 2 2 2" xfId="46669" xr:uid="{00000000-0005-0000-0000-00004C140000}"/>
    <cellStyle name="Comma 5 3 2 2 2 2 2 3" xfId="34236" xr:uid="{00000000-0005-0000-0000-00004D140000}"/>
    <cellStyle name="Comma 5 3 2 2 2 2 3" xfId="4334" xr:uid="{00000000-0005-0000-0000-00004E140000}"/>
    <cellStyle name="Comma 5 3 2 2 2 2 3 2" xfId="16788" xr:uid="{00000000-0005-0000-0000-00004F140000}"/>
    <cellStyle name="Comma 5 3 2 2 2 2 3 2 2" xfId="41662" xr:uid="{00000000-0005-0000-0000-000050140000}"/>
    <cellStyle name="Comma 5 3 2 2 2 2 3 3" xfId="29229" xr:uid="{00000000-0005-0000-0000-000051140000}"/>
    <cellStyle name="Comma 5 3 2 2 2 2 4" xfId="14114" xr:uid="{00000000-0005-0000-0000-000052140000}"/>
    <cellStyle name="Comma 5 3 2 2 2 2 4 2" xfId="38988" xr:uid="{00000000-0005-0000-0000-000053140000}"/>
    <cellStyle name="Comma 5 3 2 2 2 2 5" xfId="26547" xr:uid="{00000000-0005-0000-0000-000054140000}"/>
    <cellStyle name="Comma 5 3 2 2 2 3" xfId="5459" xr:uid="{00000000-0005-0000-0000-000055140000}"/>
    <cellStyle name="Comma 5 3 2 2 2 3 2" xfId="10475" xr:uid="{00000000-0005-0000-0000-000056140000}"/>
    <cellStyle name="Comma 5 3 2 2 2 3 2 2" xfId="22918" xr:uid="{00000000-0005-0000-0000-000057140000}"/>
    <cellStyle name="Comma 5 3 2 2 2 3 2 2 2" xfId="47792" xr:uid="{00000000-0005-0000-0000-000058140000}"/>
    <cellStyle name="Comma 5 3 2 2 2 3 2 3" xfId="35359" xr:uid="{00000000-0005-0000-0000-000059140000}"/>
    <cellStyle name="Comma 5 3 2 2 2 3 3" xfId="17911" xr:uid="{00000000-0005-0000-0000-00005A140000}"/>
    <cellStyle name="Comma 5 3 2 2 2 3 3 2" xfId="42785" xr:uid="{00000000-0005-0000-0000-00005B140000}"/>
    <cellStyle name="Comma 5 3 2 2 2 3 4" xfId="30352" xr:uid="{00000000-0005-0000-0000-00005C140000}"/>
    <cellStyle name="Comma 5 3 2 2 2 4" xfId="8468" xr:uid="{00000000-0005-0000-0000-00005D140000}"/>
    <cellStyle name="Comma 5 3 2 2 2 4 2" xfId="20912" xr:uid="{00000000-0005-0000-0000-00005E140000}"/>
    <cellStyle name="Comma 5 3 2 2 2 4 2 2" xfId="45786" xr:uid="{00000000-0005-0000-0000-00005F140000}"/>
    <cellStyle name="Comma 5 3 2 2 2 4 3" xfId="33353" xr:uid="{00000000-0005-0000-0000-000060140000}"/>
    <cellStyle name="Comma 5 3 2 2 2 5" xfId="11929" xr:uid="{00000000-0005-0000-0000-000061140000}"/>
    <cellStyle name="Comma 5 3 2 2 2 5 2" xfId="24363" xr:uid="{00000000-0005-0000-0000-000062140000}"/>
    <cellStyle name="Comma 5 3 2 2 2 5 2 2" xfId="49237" xr:uid="{00000000-0005-0000-0000-000063140000}"/>
    <cellStyle name="Comma 5 3 2 2 2 5 3" xfId="36804" xr:uid="{00000000-0005-0000-0000-000064140000}"/>
    <cellStyle name="Comma 5 3 2 2 2 6" xfId="6945" xr:uid="{00000000-0005-0000-0000-000065140000}"/>
    <cellStyle name="Comma 5 3 2 2 2 6 2" xfId="19394" xr:uid="{00000000-0005-0000-0000-000066140000}"/>
    <cellStyle name="Comma 5 3 2 2 2 6 2 2" xfId="44268" xr:uid="{00000000-0005-0000-0000-000067140000}"/>
    <cellStyle name="Comma 5 3 2 2 2 6 3" xfId="31835" xr:uid="{00000000-0005-0000-0000-000068140000}"/>
    <cellStyle name="Comma 5 3 2 2 2 7" xfId="3399" xr:uid="{00000000-0005-0000-0000-000069140000}"/>
    <cellStyle name="Comma 5 3 2 2 2 7 2" xfId="15905" xr:uid="{00000000-0005-0000-0000-00006A140000}"/>
    <cellStyle name="Comma 5 3 2 2 2 7 2 2" xfId="40779" xr:uid="{00000000-0005-0000-0000-00006B140000}"/>
    <cellStyle name="Comma 5 3 2 2 2 7 3" xfId="28338" xr:uid="{00000000-0005-0000-0000-00006C140000}"/>
    <cellStyle name="Comma 5 3 2 2 2 8" xfId="13662" xr:uid="{00000000-0005-0000-0000-00006D140000}"/>
    <cellStyle name="Comma 5 3 2 2 2 8 2" xfId="38536" xr:uid="{00000000-0005-0000-0000-00006E140000}"/>
    <cellStyle name="Comma 5 3 2 2 2 9" xfId="26095" xr:uid="{00000000-0005-0000-0000-00006F140000}"/>
    <cellStyle name="Comma 5 3 2 2 3" xfId="1662" xr:uid="{00000000-0005-0000-0000-000070140000}"/>
    <cellStyle name="Comma 5 3 2 2 3 2" xfId="4400" xr:uid="{00000000-0005-0000-0000-000071140000}"/>
    <cellStyle name="Comma 5 3 2 2 3 2 2" xfId="9418" xr:uid="{00000000-0005-0000-0000-000072140000}"/>
    <cellStyle name="Comma 5 3 2 2 3 2 2 2" xfId="21861" xr:uid="{00000000-0005-0000-0000-000073140000}"/>
    <cellStyle name="Comma 5 3 2 2 3 2 2 2 2" xfId="46735" xr:uid="{00000000-0005-0000-0000-000074140000}"/>
    <cellStyle name="Comma 5 3 2 2 3 2 2 3" xfId="34302" xr:uid="{00000000-0005-0000-0000-000075140000}"/>
    <cellStyle name="Comma 5 3 2 2 3 2 3" xfId="16854" xr:uid="{00000000-0005-0000-0000-000076140000}"/>
    <cellStyle name="Comma 5 3 2 2 3 2 3 2" xfId="41728" xr:uid="{00000000-0005-0000-0000-000077140000}"/>
    <cellStyle name="Comma 5 3 2 2 3 2 4" xfId="29295" xr:uid="{00000000-0005-0000-0000-000078140000}"/>
    <cellStyle name="Comma 5 3 2 2 3 3" xfId="5808" xr:uid="{00000000-0005-0000-0000-000079140000}"/>
    <cellStyle name="Comma 5 3 2 2 3 3 2" xfId="10823" xr:uid="{00000000-0005-0000-0000-00007A140000}"/>
    <cellStyle name="Comma 5 3 2 2 3 3 2 2" xfId="23266" xr:uid="{00000000-0005-0000-0000-00007B140000}"/>
    <cellStyle name="Comma 5 3 2 2 3 3 2 2 2" xfId="48140" xr:uid="{00000000-0005-0000-0000-00007C140000}"/>
    <cellStyle name="Comma 5 3 2 2 3 3 2 3" xfId="35707" xr:uid="{00000000-0005-0000-0000-00007D140000}"/>
    <cellStyle name="Comma 5 3 2 2 3 3 3" xfId="18259" xr:uid="{00000000-0005-0000-0000-00007E140000}"/>
    <cellStyle name="Comma 5 3 2 2 3 3 3 2" xfId="43133" xr:uid="{00000000-0005-0000-0000-00007F140000}"/>
    <cellStyle name="Comma 5 3 2 2 3 3 4" xfId="30700" xr:uid="{00000000-0005-0000-0000-000080140000}"/>
    <cellStyle name="Comma 5 3 2 2 3 4" xfId="8534" xr:uid="{00000000-0005-0000-0000-000081140000}"/>
    <cellStyle name="Comma 5 3 2 2 3 4 2" xfId="20978" xr:uid="{00000000-0005-0000-0000-000082140000}"/>
    <cellStyle name="Comma 5 3 2 2 3 4 2 2" xfId="45852" xr:uid="{00000000-0005-0000-0000-000083140000}"/>
    <cellStyle name="Comma 5 3 2 2 3 4 3" xfId="33419" xr:uid="{00000000-0005-0000-0000-000084140000}"/>
    <cellStyle name="Comma 5 3 2 2 3 5" xfId="12277" xr:uid="{00000000-0005-0000-0000-000085140000}"/>
    <cellStyle name="Comma 5 3 2 2 3 5 2" xfId="24711" xr:uid="{00000000-0005-0000-0000-000086140000}"/>
    <cellStyle name="Comma 5 3 2 2 3 5 2 2" xfId="49585" xr:uid="{00000000-0005-0000-0000-000087140000}"/>
    <cellStyle name="Comma 5 3 2 2 3 5 3" xfId="37152" xr:uid="{00000000-0005-0000-0000-000088140000}"/>
    <cellStyle name="Comma 5 3 2 2 3 6" xfId="7011" xr:uid="{00000000-0005-0000-0000-000089140000}"/>
    <cellStyle name="Comma 5 3 2 2 3 6 2" xfId="19460" xr:uid="{00000000-0005-0000-0000-00008A140000}"/>
    <cellStyle name="Comma 5 3 2 2 3 6 2 2" xfId="44334" xr:uid="{00000000-0005-0000-0000-00008B140000}"/>
    <cellStyle name="Comma 5 3 2 2 3 6 3" xfId="31901" xr:uid="{00000000-0005-0000-0000-00008C140000}"/>
    <cellStyle name="Comma 5 3 2 2 3 7" xfId="3465" xr:uid="{00000000-0005-0000-0000-00008D140000}"/>
    <cellStyle name="Comma 5 3 2 2 3 7 2" xfId="15971" xr:uid="{00000000-0005-0000-0000-00008E140000}"/>
    <cellStyle name="Comma 5 3 2 2 3 7 2 2" xfId="40845" xr:uid="{00000000-0005-0000-0000-00008F140000}"/>
    <cellStyle name="Comma 5 3 2 2 3 7 3" xfId="28404" xr:uid="{00000000-0005-0000-0000-000090140000}"/>
    <cellStyle name="Comma 5 3 2 2 3 8" xfId="14462" xr:uid="{00000000-0005-0000-0000-000091140000}"/>
    <cellStyle name="Comma 5 3 2 2 3 8 2" xfId="39336" xr:uid="{00000000-0005-0000-0000-000092140000}"/>
    <cellStyle name="Comma 5 3 2 2 3 9" xfId="26895" xr:uid="{00000000-0005-0000-0000-000093140000}"/>
    <cellStyle name="Comma 5 3 2 2 4" xfId="2420" xr:uid="{00000000-0005-0000-0000-000094140000}"/>
    <cellStyle name="Comma 5 3 2 2 4 2" xfId="5044" xr:uid="{00000000-0005-0000-0000-000095140000}"/>
    <cellStyle name="Comma 5 3 2 2 4 2 2" xfId="10061" xr:uid="{00000000-0005-0000-0000-000096140000}"/>
    <cellStyle name="Comma 5 3 2 2 4 2 2 2" xfId="22504" xr:uid="{00000000-0005-0000-0000-000097140000}"/>
    <cellStyle name="Comma 5 3 2 2 4 2 2 2 2" xfId="47378" xr:uid="{00000000-0005-0000-0000-000098140000}"/>
    <cellStyle name="Comma 5 3 2 2 4 2 2 3" xfId="34945" xr:uid="{00000000-0005-0000-0000-000099140000}"/>
    <cellStyle name="Comma 5 3 2 2 4 2 3" xfId="17497" xr:uid="{00000000-0005-0000-0000-00009A140000}"/>
    <cellStyle name="Comma 5 3 2 2 4 2 3 2" xfId="42371" xr:uid="{00000000-0005-0000-0000-00009B140000}"/>
    <cellStyle name="Comma 5 3 2 2 4 2 4" xfId="29938" xr:uid="{00000000-0005-0000-0000-00009C140000}"/>
    <cellStyle name="Comma 5 3 2 2 4 3" xfId="6442" xr:uid="{00000000-0005-0000-0000-00009D140000}"/>
    <cellStyle name="Comma 5 3 2 2 4 3 2" xfId="11457" xr:uid="{00000000-0005-0000-0000-00009E140000}"/>
    <cellStyle name="Comma 5 3 2 2 4 3 2 2" xfId="23900" xr:uid="{00000000-0005-0000-0000-00009F140000}"/>
    <cellStyle name="Comma 5 3 2 2 4 3 2 2 2" xfId="48774" xr:uid="{00000000-0005-0000-0000-0000A0140000}"/>
    <cellStyle name="Comma 5 3 2 2 4 3 2 3" xfId="36341" xr:uid="{00000000-0005-0000-0000-0000A1140000}"/>
    <cellStyle name="Comma 5 3 2 2 4 3 3" xfId="18893" xr:uid="{00000000-0005-0000-0000-0000A2140000}"/>
    <cellStyle name="Comma 5 3 2 2 4 3 3 2" xfId="43767" xr:uid="{00000000-0005-0000-0000-0000A3140000}"/>
    <cellStyle name="Comma 5 3 2 2 4 3 4" xfId="31334" xr:uid="{00000000-0005-0000-0000-0000A4140000}"/>
    <cellStyle name="Comma 5 3 2 2 4 4" xfId="8149" xr:uid="{00000000-0005-0000-0000-0000A5140000}"/>
    <cellStyle name="Comma 5 3 2 2 4 4 2" xfId="20595" xr:uid="{00000000-0005-0000-0000-0000A6140000}"/>
    <cellStyle name="Comma 5 3 2 2 4 4 2 2" xfId="45469" xr:uid="{00000000-0005-0000-0000-0000A7140000}"/>
    <cellStyle name="Comma 5 3 2 2 4 4 3" xfId="33036" xr:uid="{00000000-0005-0000-0000-0000A8140000}"/>
    <cellStyle name="Comma 5 3 2 2 4 5" xfId="12911" xr:uid="{00000000-0005-0000-0000-0000A9140000}"/>
    <cellStyle name="Comma 5 3 2 2 4 5 2" xfId="25345" xr:uid="{00000000-0005-0000-0000-0000AA140000}"/>
    <cellStyle name="Comma 5 3 2 2 4 5 2 2" xfId="50219" xr:uid="{00000000-0005-0000-0000-0000AB140000}"/>
    <cellStyle name="Comma 5 3 2 2 4 5 3" xfId="37786" xr:uid="{00000000-0005-0000-0000-0000AC140000}"/>
    <cellStyle name="Comma 5 3 2 2 4 6" xfId="7655" xr:uid="{00000000-0005-0000-0000-0000AD140000}"/>
    <cellStyle name="Comma 5 3 2 2 4 6 2" xfId="20103" xr:uid="{00000000-0005-0000-0000-0000AE140000}"/>
    <cellStyle name="Comma 5 3 2 2 4 6 2 2" xfId="44977" xr:uid="{00000000-0005-0000-0000-0000AF140000}"/>
    <cellStyle name="Comma 5 3 2 2 4 6 3" xfId="32544" xr:uid="{00000000-0005-0000-0000-0000B0140000}"/>
    <cellStyle name="Comma 5 3 2 2 4 7" xfId="3079" xr:uid="{00000000-0005-0000-0000-0000B1140000}"/>
    <cellStyle name="Comma 5 3 2 2 4 7 2" xfId="15588" xr:uid="{00000000-0005-0000-0000-0000B2140000}"/>
    <cellStyle name="Comma 5 3 2 2 4 7 2 2" xfId="40462" xr:uid="{00000000-0005-0000-0000-0000B3140000}"/>
    <cellStyle name="Comma 5 3 2 2 4 7 3" xfId="28021" xr:uid="{00000000-0005-0000-0000-0000B4140000}"/>
    <cellStyle name="Comma 5 3 2 2 4 8" xfId="15096" xr:uid="{00000000-0005-0000-0000-0000B5140000}"/>
    <cellStyle name="Comma 5 3 2 2 4 8 2" xfId="39970" xr:uid="{00000000-0005-0000-0000-0000B6140000}"/>
    <cellStyle name="Comma 5 3 2 2 4 9" xfId="27529" xr:uid="{00000000-0005-0000-0000-0000B7140000}"/>
    <cellStyle name="Comma 5 3 2 2 5" xfId="1253" xr:uid="{00000000-0005-0000-0000-0000B8140000}"/>
    <cellStyle name="Comma 5 3 2 2 5 2" xfId="9035" xr:uid="{00000000-0005-0000-0000-0000B9140000}"/>
    <cellStyle name="Comma 5 3 2 2 5 2 2" xfId="21478" xr:uid="{00000000-0005-0000-0000-0000BA140000}"/>
    <cellStyle name="Comma 5 3 2 2 5 2 2 2" xfId="46352" xr:uid="{00000000-0005-0000-0000-0000BB140000}"/>
    <cellStyle name="Comma 5 3 2 2 5 2 3" xfId="33919" xr:uid="{00000000-0005-0000-0000-0000BC140000}"/>
    <cellStyle name="Comma 5 3 2 2 5 3" xfId="4017" xr:uid="{00000000-0005-0000-0000-0000BD140000}"/>
    <cellStyle name="Comma 5 3 2 2 5 3 2" xfId="16471" xr:uid="{00000000-0005-0000-0000-0000BE140000}"/>
    <cellStyle name="Comma 5 3 2 2 5 3 2 2" xfId="41345" xr:uid="{00000000-0005-0000-0000-0000BF140000}"/>
    <cellStyle name="Comma 5 3 2 2 5 3 3" xfId="28912" xr:uid="{00000000-0005-0000-0000-0000C0140000}"/>
    <cellStyle name="Comma 5 3 2 2 5 4" xfId="14053" xr:uid="{00000000-0005-0000-0000-0000C1140000}"/>
    <cellStyle name="Comma 5 3 2 2 5 4 2" xfId="38927" xr:uid="{00000000-0005-0000-0000-0000C2140000}"/>
    <cellStyle name="Comma 5 3 2 2 5 5" xfId="26486" xr:uid="{00000000-0005-0000-0000-0000C3140000}"/>
    <cellStyle name="Comma 5 3 2 2 6" xfId="5398" xr:uid="{00000000-0005-0000-0000-0000C4140000}"/>
    <cellStyle name="Comma 5 3 2 2 6 2" xfId="10414" xr:uid="{00000000-0005-0000-0000-0000C5140000}"/>
    <cellStyle name="Comma 5 3 2 2 6 2 2" xfId="22857" xr:uid="{00000000-0005-0000-0000-0000C6140000}"/>
    <cellStyle name="Comma 5 3 2 2 6 2 2 2" xfId="47731" xr:uid="{00000000-0005-0000-0000-0000C7140000}"/>
    <cellStyle name="Comma 5 3 2 2 6 2 3" xfId="35298" xr:uid="{00000000-0005-0000-0000-0000C8140000}"/>
    <cellStyle name="Comma 5 3 2 2 6 3" xfId="17850" xr:uid="{00000000-0005-0000-0000-0000C9140000}"/>
    <cellStyle name="Comma 5 3 2 2 6 3 2" xfId="42724" xr:uid="{00000000-0005-0000-0000-0000CA140000}"/>
    <cellStyle name="Comma 5 3 2 2 6 4" xfId="30291" xr:uid="{00000000-0005-0000-0000-0000CB140000}"/>
    <cellStyle name="Comma 5 3 2 2 7" xfId="7975" xr:uid="{00000000-0005-0000-0000-0000CC140000}"/>
    <cellStyle name="Comma 5 3 2 2 7 2" xfId="20421" xr:uid="{00000000-0005-0000-0000-0000CD140000}"/>
    <cellStyle name="Comma 5 3 2 2 7 2 2" xfId="45295" xr:uid="{00000000-0005-0000-0000-0000CE140000}"/>
    <cellStyle name="Comma 5 3 2 2 7 3" xfId="32862" xr:uid="{00000000-0005-0000-0000-0000CF140000}"/>
    <cellStyle name="Comma 5 3 2 2 8" xfId="11868" xr:uid="{00000000-0005-0000-0000-0000D0140000}"/>
    <cellStyle name="Comma 5 3 2 2 8 2" xfId="24302" xr:uid="{00000000-0005-0000-0000-0000D1140000}"/>
    <cellStyle name="Comma 5 3 2 2 8 2 2" xfId="49176" xr:uid="{00000000-0005-0000-0000-0000D2140000}"/>
    <cellStyle name="Comma 5 3 2 2 8 3" xfId="36743" xr:uid="{00000000-0005-0000-0000-0000D3140000}"/>
    <cellStyle name="Comma 5 3 2 2 9" xfId="6628" xr:uid="{00000000-0005-0000-0000-0000D4140000}"/>
    <cellStyle name="Comma 5 3 2 2 9 2" xfId="19077" xr:uid="{00000000-0005-0000-0000-0000D5140000}"/>
    <cellStyle name="Comma 5 3 2 2 9 2 2" xfId="43951" xr:uid="{00000000-0005-0000-0000-0000D6140000}"/>
    <cellStyle name="Comma 5 3 2 2 9 3" xfId="31518" xr:uid="{00000000-0005-0000-0000-0000D7140000}"/>
    <cellStyle name="Comma 5 3 2 3" xfId="395" xr:uid="{00000000-0005-0000-0000-0000D8140000}"/>
    <cellStyle name="Comma 5 3 2 3 10" xfId="13211" xr:uid="{00000000-0005-0000-0000-0000D9140000}"/>
    <cellStyle name="Comma 5 3 2 3 10 2" xfId="38085" xr:uid="{00000000-0005-0000-0000-0000DA140000}"/>
    <cellStyle name="Comma 5 3 2 3 11" xfId="25644" xr:uid="{00000000-0005-0000-0000-0000DB140000}"/>
    <cellStyle name="Comma 5 3 2 3 2" xfId="755" xr:uid="{00000000-0005-0000-0000-0000DC140000}"/>
    <cellStyle name="Comma 5 3 2 3 2 2" xfId="1315" xr:uid="{00000000-0005-0000-0000-0000DD140000}"/>
    <cellStyle name="Comma 5 3 2 3 2 2 2" xfId="9419" xr:uid="{00000000-0005-0000-0000-0000DE140000}"/>
    <cellStyle name="Comma 5 3 2 3 2 2 2 2" xfId="21862" xr:uid="{00000000-0005-0000-0000-0000DF140000}"/>
    <cellStyle name="Comma 5 3 2 3 2 2 2 2 2" xfId="46736" xr:uid="{00000000-0005-0000-0000-0000E0140000}"/>
    <cellStyle name="Comma 5 3 2 3 2 2 2 3" xfId="34303" xr:uid="{00000000-0005-0000-0000-0000E1140000}"/>
    <cellStyle name="Comma 5 3 2 3 2 2 3" xfId="4401" xr:uid="{00000000-0005-0000-0000-0000E2140000}"/>
    <cellStyle name="Comma 5 3 2 3 2 2 3 2" xfId="16855" xr:uid="{00000000-0005-0000-0000-0000E3140000}"/>
    <cellStyle name="Comma 5 3 2 3 2 2 3 2 2" xfId="41729" xr:uid="{00000000-0005-0000-0000-0000E4140000}"/>
    <cellStyle name="Comma 5 3 2 3 2 2 3 3" xfId="29296" xr:uid="{00000000-0005-0000-0000-0000E5140000}"/>
    <cellStyle name="Comma 5 3 2 3 2 2 4" xfId="14115" xr:uid="{00000000-0005-0000-0000-0000E6140000}"/>
    <cellStyle name="Comma 5 3 2 3 2 2 4 2" xfId="38989" xr:uid="{00000000-0005-0000-0000-0000E7140000}"/>
    <cellStyle name="Comma 5 3 2 3 2 2 5" xfId="26548" xr:uid="{00000000-0005-0000-0000-0000E8140000}"/>
    <cellStyle name="Comma 5 3 2 3 2 3" xfId="5460" xr:uid="{00000000-0005-0000-0000-0000E9140000}"/>
    <cellStyle name="Comma 5 3 2 3 2 3 2" xfId="10476" xr:uid="{00000000-0005-0000-0000-0000EA140000}"/>
    <cellStyle name="Comma 5 3 2 3 2 3 2 2" xfId="22919" xr:uid="{00000000-0005-0000-0000-0000EB140000}"/>
    <cellStyle name="Comma 5 3 2 3 2 3 2 2 2" xfId="47793" xr:uid="{00000000-0005-0000-0000-0000EC140000}"/>
    <cellStyle name="Comma 5 3 2 3 2 3 2 3" xfId="35360" xr:uid="{00000000-0005-0000-0000-0000ED140000}"/>
    <cellStyle name="Comma 5 3 2 3 2 3 3" xfId="17912" xr:uid="{00000000-0005-0000-0000-0000EE140000}"/>
    <cellStyle name="Comma 5 3 2 3 2 3 3 2" xfId="42786" xr:uid="{00000000-0005-0000-0000-0000EF140000}"/>
    <cellStyle name="Comma 5 3 2 3 2 3 4" xfId="30353" xr:uid="{00000000-0005-0000-0000-0000F0140000}"/>
    <cellStyle name="Comma 5 3 2 3 2 4" xfId="8535" xr:uid="{00000000-0005-0000-0000-0000F1140000}"/>
    <cellStyle name="Comma 5 3 2 3 2 4 2" xfId="20979" xr:uid="{00000000-0005-0000-0000-0000F2140000}"/>
    <cellStyle name="Comma 5 3 2 3 2 4 2 2" xfId="45853" xr:uid="{00000000-0005-0000-0000-0000F3140000}"/>
    <cellStyle name="Comma 5 3 2 3 2 4 3" xfId="33420" xr:uid="{00000000-0005-0000-0000-0000F4140000}"/>
    <cellStyle name="Comma 5 3 2 3 2 5" xfId="11930" xr:uid="{00000000-0005-0000-0000-0000F5140000}"/>
    <cellStyle name="Comma 5 3 2 3 2 5 2" xfId="24364" xr:uid="{00000000-0005-0000-0000-0000F6140000}"/>
    <cellStyle name="Comma 5 3 2 3 2 5 2 2" xfId="49238" xr:uid="{00000000-0005-0000-0000-0000F7140000}"/>
    <cellStyle name="Comma 5 3 2 3 2 5 3" xfId="36805" xr:uid="{00000000-0005-0000-0000-0000F8140000}"/>
    <cellStyle name="Comma 5 3 2 3 2 6" xfId="7012" xr:uid="{00000000-0005-0000-0000-0000F9140000}"/>
    <cellStyle name="Comma 5 3 2 3 2 6 2" xfId="19461" xr:uid="{00000000-0005-0000-0000-0000FA140000}"/>
    <cellStyle name="Comma 5 3 2 3 2 6 2 2" xfId="44335" xr:uid="{00000000-0005-0000-0000-0000FB140000}"/>
    <cellStyle name="Comma 5 3 2 3 2 6 3" xfId="31902" xr:uid="{00000000-0005-0000-0000-0000FC140000}"/>
    <cellStyle name="Comma 5 3 2 3 2 7" xfId="3466" xr:uid="{00000000-0005-0000-0000-0000FD140000}"/>
    <cellStyle name="Comma 5 3 2 3 2 7 2" xfId="15972" xr:uid="{00000000-0005-0000-0000-0000FE140000}"/>
    <cellStyle name="Comma 5 3 2 3 2 7 2 2" xfId="40846" xr:uid="{00000000-0005-0000-0000-0000FF140000}"/>
    <cellStyle name="Comma 5 3 2 3 2 7 3" xfId="28405" xr:uid="{00000000-0005-0000-0000-000000150000}"/>
    <cellStyle name="Comma 5 3 2 3 2 8" xfId="13558" xr:uid="{00000000-0005-0000-0000-000001150000}"/>
    <cellStyle name="Comma 5 3 2 3 2 8 2" xfId="38432" xr:uid="{00000000-0005-0000-0000-000002150000}"/>
    <cellStyle name="Comma 5 3 2 3 2 9" xfId="25991" xr:uid="{00000000-0005-0000-0000-000003150000}"/>
    <cellStyle name="Comma 5 3 2 3 3" xfId="1663" xr:uid="{00000000-0005-0000-0000-000004150000}"/>
    <cellStyle name="Comma 5 3 2 3 3 2" xfId="4940" xr:uid="{00000000-0005-0000-0000-000005150000}"/>
    <cellStyle name="Comma 5 3 2 3 3 2 2" xfId="9957" xr:uid="{00000000-0005-0000-0000-000006150000}"/>
    <cellStyle name="Comma 5 3 2 3 3 2 2 2" xfId="22400" xr:uid="{00000000-0005-0000-0000-000007150000}"/>
    <cellStyle name="Comma 5 3 2 3 3 2 2 2 2" xfId="47274" xr:uid="{00000000-0005-0000-0000-000008150000}"/>
    <cellStyle name="Comma 5 3 2 3 3 2 2 3" xfId="34841" xr:uid="{00000000-0005-0000-0000-000009150000}"/>
    <cellStyle name="Comma 5 3 2 3 3 2 3" xfId="17393" xr:uid="{00000000-0005-0000-0000-00000A150000}"/>
    <cellStyle name="Comma 5 3 2 3 3 2 3 2" xfId="42267" xr:uid="{00000000-0005-0000-0000-00000B150000}"/>
    <cellStyle name="Comma 5 3 2 3 3 2 4" xfId="29834" xr:uid="{00000000-0005-0000-0000-00000C150000}"/>
    <cellStyle name="Comma 5 3 2 3 3 3" xfId="5809" xr:uid="{00000000-0005-0000-0000-00000D150000}"/>
    <cellStyle name="Comma 5 3 2 3 3 3 2" xfId="10824" xr:uid="{00000000-0005-0000-0000-00000E150000}"/>
    <cellStyle name="Comma 5 3 2 3 3 3 2 2" xfId="23267" xr:uid="{00000000-0005-0000-0000-00000F150000}"/>
    <cellStyle name="Comma 5 3 2 3 3 3 2 2 2" xfId="48141" xr:uid="{00000000-0005-0000-0000-000010150000}"/>
    <cellStyle name="Comma 5 3 2 3 3 3 2 3" xfId="35708" xr:uid="{00000000-0005-0000-0000-000011150000}"/>
    <cellStyle name="Comma 5 3 2 3 3 3 3" xfId="18260" xr:uid="{00000000-0005-0000-0000-000012150000}"/>
    <cellStyle name="Comma 5 3 2 3 3 3 3 2" xfId="43134" xr:uid="{00000000-0005-0000-0000-000013150000}"/>
    <cellStyle name="Comma 5 3 2 3 3 3 4" xfId="30701" xr:uid="{00000000-0005-0000-0000-000014150000}"/>
    <cellStyle name="Comma 5 3 2 3 3 4" xfId="8364" xr:uid="{00000000-0005-0000-0000-000015150000}"/>
    <cellStyle name="Comma 5 3 2 3 3 4 2" xfId="20808" xr:uid="{00000000-0005-0000-0000-000016150000}"/>
    <cellStyle name="Comma 5 3 2 3 3 4 2 2" xfId="45682" xr:uid="{00000000-0005-0000-0000-000017150000}"/>
    <cellStyle name="Comma 5 3 2 3 3 4 3" xfId="33249" xr:uid="{00000000-0005-0000-0000-000018150000}"/>
    <cellStyle name="Comma 5 3 2 3 3 5" xfId="12278" xr:uid="{00000000-0005-0000-0000-000019150000}"/>
    <cellStyle name="Comma 5 3 2 3 3 5 2" xfId="24712" xr:uid="{00000000-0005-0000-0000-00001A150000}"/>
    <cellStyle name="Comma 5 3 2 3 3 5 2 2" xfId="49586" xr:uid="{00000000-0005-0000-0000-00001B150000}"/>
    <cellStyle name="Comma 5 3 2 3 3 5 3" xfId="37153" xr:uid="{00000000-0005-0000-0000-00001C150000}"/>
    <cellStyle name="Comma 5 3 2 3 3 6" xfId="7551" xr:uid="{00000000-0005-0000-0000-00001D150000}"/>
    <cellStyle name="Comma 5 3 2 3 3 6 2" xfId="19999" xr:uid="{00000000-0005-0000-0000-00001E150000}"/>
    <cellStyle name="Comma 5 3 2 3 3 6 2 2" xfId="44873" xr:uid="{00000000-0005-0000-0000-00001F150000}"/>
    <cellStyle name="Comma 5 3 2 3 3 6 3" xfId="32440" xr:uid="{00000000-0005-0000-0000-000020150000}"/>
    <cellStyle name="Comma 5 3 2 3 3 7" xfId="3295" xr:uid="{00000000-0005-0000-0000-000021150000}"/>
    <cellStyle name="Comma 5 3 2 3 3 7 2" xfId="15801" xr:uid="{00000000-0005-0000-0000-000022150000}"/>
    <cellStyle name="Comma 5 3 2 3 3 7 2 2" xfId="40675" xr:uid="{00000000-0005-0000-0000-000023150000}"/>
    <cellStyle name="Comma 5 3 2 3 3 7 3" xfId="28234" xr:uid="{00000000-0005-0000-0000-000024150000}"/>
    <cellStyle name="Comma 5 3 2 3 3 8" xfId="14463" xr:uid="{00000000-0005-0000-0000-000025150000}"/>
    <cellStyle name="Comma 5 3 2 3 3 8 2" xfId="39337" xr:uid="{00000000-0005-0000-0000-000026150000}"/>
    <cellStyle name="Comma 5 3 2 3 3 9" xfId="26896" xr:uid="{00000000-0005-0000-0000-000027150000}"/>
    <cellStyle name="Comma 5 3 2 3 4" xfId="2313" xr:uid="{00000000-0005-0000-0000-000028150000}"/>
    <cellStyle name="Comma 5 3 2 3 4 2" xfId="6338" xr:uid="{00000000-0005-0000-0000-000029150000}"/>
    <cellStyle name="Comma 5 3 2 3 4 2 2" xfId="11353" xr:uid="{00000000-0005-0000-0000-00002A150000}"/>
    <cellStyle name="Comma 5 3 2 3 4 2 2 2" xfId="23796" xr:uid="{00000000-0005-0000-0000-00002B150000}"/>
    <cellStyle name="Comma 5 3 2 3 4 2 2 2 2" xfId="48670" xr:uid="{00000000-0005-0000-0000-00002C150000}"/>
    <cellStyle name="Comma 5 3 2 3 4 2 2 3" xfId="36237" xr:uid="{00000000-0005-0000-0000-00002D150000}"/>
    <cellStyle name="Comma 5 3 2 3 4 2 3" xfId="18789" xr:uid="{00000000-0005-0000-0000-00002E150000}"/>
    <cellStyle name="Comma 5 3 2 3 4 2 3 2" xfId="43663" xr:uid="{00000000-0005-0000-0000-00002F150000}"/>
    <cellStyle name="Comma 5 3 2 3 4 2 4" xfId="31230" xr:uid="{00000000-0005-0000-0000-000030150000}"/>
    <cellStyle name="Comma 5 3 2 3 4 3" xfId="12807" xr:uid="{00000000-0005-0000-0000-000031150000}"/>
    <cellStyle name="Comma 5 3 2 3 4 3 2" xfId="25241" xr:uid="{00000000-0005-0000-0000-000032150000}"/>
    <cellStyle name="Comma 5 3 2 3 4 3 2 2" xfId="50115" xr:uid="{00000000-0005-0000-0000-000033150000}"/>
    <cellStyle name="Comma 5 3 2 3 4 3 3" xfId="37682" xr:uid="{00000000-0005-0000-0000-000034150000}"/>
    <cellStyle name="Comma 5 3 2 3 4 4" xfId="9248" xr:uid="{00000000-0005-0000-0000-000035150000}"/>
    <cellStyle name="Comma 5 3 2 3 4 4 2" xfId="21691" xr:uid="{00000000-0005-0000-0000-000036150000}"/>
    <cellStyle name="Comma 5 3 2 3 4 4 2 2" xfId="46565" xr:uid="{00000000-0005-0000-0000-000037150000}"/>
    <cellStyle name="Comma 5 3 2 3 4 4 3" xfId="34132" xr:uid="{00000000-0005-0000-0000-000038150000}"/>
    <cellStyle name="Comma 5 3 2 3 4 5" xfId="4230" xr:uid="{00000000-0005-0000-0000-000039150000}"/>
    <cellStyle name="Comma 5 3 2 3 4 5 2" xfId="16684" xr:uid="{00000000-0005-0000-0000-00003A150000}"/>
    <cellStyle name="Comma 5 3 2 3 4 5 2 2" xfId="41558" xr:uid="{00000000-0005-0000-0000-00003B150000}"/>
    <cellStyle name="Comma 5 3 2 3 4 5 3" xfId="29125" xr:uid="{00000000-0005-0000-0000-00003C150000}"/>
    <cellStyle name="Comma 5 3 2 3 4 6" xfId="14992" xr:uid="{00000000-0005-0000-0000-00003D150000}"/>
    <cellStyle name="Comma 5 3 2 3 4 6 2" xfId="39866" xr:uid="{00000000-0005-0000-0000-00003E150000}"/>
    <cellStyle name="Comma 5 3 2 3 4 7" xfId="27425" xr:uid="{00000000-0005-0000-0000-00003F150000}"/>
    <cellStyle name="Comma 5 3 2 3 5" xfId="1149" xr:uid="{00000000-0005-0000-0000-000040150000}"/>
    <cellStyle name="Comma 5 3 2 3 5 2" xfId="10310" xr:uid="{00000000-0005-0000-0000-000041150000}"/>
    <cellStyle name="Comma 5 3 2 3 5 2 2" xfId="22753" xr:uid="{00000000-0005-0000-0000-000042150000}"/>
    <cellStyle name="Comma 5 3 2 3 5 2 2 2" xfId="47627" xr:uid="{00000000-0005-0000-0000-000043150000}"/>
    <cellStyle name="Comma 5 3 2 3 5 2 3" xfId="35194" xr:uid="{00000000-0005-0000-0000-000044150000}"/>
    <cellStyle name="Comma 5 3 2 3 5 3" xfId="5294" xr:uid="{00000000-0005-0000-0000-000045150000}"/>
    <cellStyle name="Comma 5 3 2 3 5 3 2" xfId="17746" xr:uid="{00000000-0005-0000-0000-000046150000}"/>
    <cellStyle name="Comma 5 3 2 3 5 3 2 2" xfId="42620" xr:uid="{00000000-0005-0000-0000-000047150000}"/>
    <cellStyle name="Comma 5 3 2 3 5 3 3" xfId="30187" xr:uid="{00000000-0005-0000-0000-000048150000}"/>
    <cellStyle name="Comma 5 3 2 3 5 4" xfId="13949" xr:uid="{00000000-0005-0000-0000-000049150000}"/>
    <cellStyle name="Comma 5 3 2 3 5 4 2" xfId="38823" xr:uid="{00000000-0005-0000-0000-00004A150000}"/>
    <cellStyle name="Comma 5 3 2 3 5 5" xfId="26382" xr:uid="{00000000-0005-0000-0000-00004B150000}"/>
    <cellStyle name="Comma 5 3 2 3 6" xfId="7871" xr:uid="{00000000-0005-0000-0000-00004C150000}"/>
    <cellStyle name="Comma 5 3 2 3 6 2" xfId="20317" xr:uid="{00000000-0005-0000-0000-00004D150000}"/>
    <cellStyle name="Comma 5 3 2 3 6 2 2" xfId="45191" xr:uid="{00000000-0005-0000-0000-00004E150000}"/>
    <cellStyle name="Comma 5 3 2 3 6 3" xfId="32758" xr:uid="{00000000-0005-0000-0000-00004F150000}"/>
    <cellStyle name="Comma 5 3 2 3 7" xfId="11764" xr:uid="{00000000-0005-0000-0000-000050150000}"/>
    <cellStyle name="Comma 5 3 2 3 7 2" xfId="24198" xr:uid="{00000000-0005-0000-0000-000051150000}"/>
    <cellStyle name="Comma 5 3 2 3 7 2 2" xfId="49072" xr:uid="{00000000-0005-0000-0000-000052150000}"/>
    <cellStyle name="Comma 5 3 2 3 7 3" xfId="36639" xr:uid="{00000000-0005-0000-0000-000053150000}"/>
    <cellStyle name="Comma 5 3 2 3 8" xfId="6841" xr:uid="{00000000-0005-0000-0000-000054150000}"/>
    <cellStyle name="Comma 5 3 2 3 8 2" xfId="19290" xr:uid="{00000000-0005-0000-0000-000055150000}"/>
    <cellStyle name="Comma 5 3 2 3 8 2 2" xfId="44164" xr:uid="{00000000-0005-0000-0000-000056150000}"/>
    <cellStyle name="Comma 5 3 2 3 8 3" xfId="31731" xr:uid="{00000000-0005-0000-0000-000057150000}"/>
    <cellStyle name="Comma 5 3 2 3 9" xfId="2792" xr:uid="{00000000-0005-0000-0000-000058150000}"/>
    <cellStyle name="Comma 5 3 2 3 9 2" xfId="15310" xr:uid="{00000000-0005-0000-0000-000059150000}"/>
    <cellStyle name="Comma 5 3 2 3 9 2 2" xfId="40184" xr:uid="{00000000-0005-0000-0000-00005A150000}"/>
    <cellStyle name="Comma 5 3 2 3 9 3" xfId="27743" xr:uid="{00000000-0005-0000-0000-00005B150000}"/>
    <cellStyle name="Comma 5 3 2 4" xfId="293" xr:uid="{00000000-0005-0000-0000-00005C150000}"/>
    <cellStyle name="Comma 5 3 2 4 2" xfId="1313" xr:uid="{00000000-0005-0000-0000-00005D150000}"/>
    <cellStyle name="Comma 5 3 2 4 2 2" xfId="9148" xr:uid="{00000000-0005-0000-0000-00005E150000}"/>
    <cellStyle name="Comma 5 3 2 4 2 2 2" xfId="21591" xr:uid="{00000000-0005-0000-0000-00005F150000}"/>
    <cellStyle name="Comma 5 3 2 4 2 2 2 2" xfId="46465" xr:uid="{00000000-0005-0000-0000-000060150000}"/>
    <cellStyle name="Comma 5 3 2 4 2 2 3" xfId="34032" xr:uid="{00000000-0005-0000-0000-000061150000}"/>
    <cellStyle name="Comma 5 3 2 4 2 3" xfId="4130" xr:uid="{00000000-0005-0000-0000-000062150000}"/>
    <cellStyle name="Comma 5 3 2 4 2 3 2" xfId="16584" xr:uid="{00000000-0005-0000-0000-000063150000}"/>
    <cellStyle name="Comma 5 3 2 4 2 3 2 2" xfId="41458" xr:uid="{00000000-0005-0000-0000-000064150000}"/>
    <cellStyle name="Comma 5 3 2 4 2 3 3" xfId="29025" xr:uid="{00000000-0005-0000-0000-000065150000}"/>
    <cellStyle name="Comma 5 3 2 4 2 4" xfId="14113" xr:uid="{00000000-0005-0000-0000-000066150000}"/>
    <cellStyle name="Comma 5 3 2 4 2 4 2" xfId="38987" xr:uid="{00000000-0005-0000-0000-000067150000}"/>
    <cellStyle name="Comma 5 3 2 4 2 5" xfId="26546" xr:uid="{00000000-0005-0000-0000-000068150000}"/>
    <cellStyle name="Comma 5 3 2 4 3" xfId="5458" xr:uid="{00000000-0005-0000-0000-000069150000}"/>
    <cellStyle name="Comma 5 3 2 4 3 2" xfId="10474" xr:uid="{00000000-0005-0000-0000-00006A150000}"/>
    <cellStyle name="Comma 5 3 2 4 3 2 2" xfId="22917" xr:uid="{00000000-0005-0000-0000-00006B150000}"/>
    <cellStyle name="Comma 5 3 2 4 3 2 2 2" xfId="47791" xr:uid="{00000000-0005-0000-0000-00006C150000}"/>
    <cellStyle name="Comma 5 3 2 4 3 2 3" xfId="35358" xr:uid="{00000000-0005-0000-0000-00006D150000}"/>
    <cellStyle name="Comma 5 3 2 4 3 3" xfId="17910" xr:uid="{00000000-0005-0000-0000-00006E150000}"/>
    <cellStyle name="Comma 5 3 2 4 3 3 2" xfId="42784" xr:uid="{00000000-0005-0000-0000-00006F150000}"/>
    <cellStyle name="Comma 5 3 2 4 3 4" xfId="30351" xr:uid="{00000000-0005-0000-0000-000070150000}"/>
    <cellStyle name="Comma 5 3 2 4 4" xfId="8264" xr:uid="{00000000-0005-0000-0000-000071150000}"/>
    <cellStyle name="Comma 5 3 2 4 4 2" xfId="20708" xr:uid="{00000000-0005-0000-0000-000072150000}"/>
    <cellStyle name="Comma 5 3 2 4 4 2 2" xfId="45582" xr:uid="{00000000-0005-0000-0000-000073150000}"/>
    <cellStyle name="Comma 5 3 2 4 4 3" xfId="33149" xr:uid="{00000000-0005-0000-0000-000074150000}"/>
    <cellStyle name="Comma 5 3 2 4 5" xfId="11928" xr:uid="{00000000-0005-0000-0000-000075150000}"/>
    <cellStyle name="Comma 5 3 2 4 5 2" xfId="24362" xr:uid="{00000000-0005-0000-0000-000076150000}"/>
    <cellStyle name="Comma 5 3 2 4 5 2 2" xfId="49236" xr:uid="{00000000-0005-0000-0000-000077150000}"/>
    <cellStyle name="Comma 5 3 2 4 5 3" xfId="36803" xr:uid="{00000000-0005-0000-0000-000078150000}"/>
    <cellStyle name="Comma 5 3 2 4 6" xfId="6741" xr:uid="{00000000-0005-0000-0000-000079150000}"/>
    <cellStyle name="Comma 5 3 2 4 6 2" xfId="19190" xr:uid="{00000000-0005-0000-0000-00007A150000}"/>
    <cellStyle name="Comma 5 3 2 4 6 2 2" xfId="44064" xr:uid="{00000000-0005-0000-0000-00007B150000}"/>
    <cellStyle name="Comma 5 3 2 4 6 3" xfId="31631" xr:uid="{00000000-0005-0000-0000-00007C150000}"/>
    <cellStyle name="Comma 5 3 2 4 7" xfId="3195" xr:uid="{00000000-0005-0000-0000-00007D150000}"/>
    <cellStyle name="Comma 5 3 2 4 7 2" xfId="15701" xr:uid="{00000000-0005-0000-0000-00007E150000}"/>
    <cellStyle name="Comma 5 3 2 4 7 2 2" xfId="40575" xr:uid="{00000000-0005-0000-0000-00007F150000}"/>
    <cellStyle name="Comma 5 3 2 4 7 3" xfId="28134" xr:uid="{00000000-0005-0000-0000-000080150000}"/>
    <cellStyle name="Comma 5 3 2 4 8" xfId="13111" xr:uid="{00000000-0005-0000-0000-000081150000}"/>
    <cellStyle name="Comma 5 3 2 4 8 2" xfId="37985" xr:uid="{00000000-0005-0000-0000-000082150000}"/>
    <cellStyle name="Comma 5 3 2 4 9" xfId="25544" xr:uid="{00000000-0005-0000-0000-000083150000}"/>
    <cellStyle name="Comma 5 3 2 5" xfId="654" xr:uid="{00000000-0005-0000-0000-000084150000}"/>
    <cellStyle name="Comma 5 3 2 5 2" xfId="1661" xr:uid="{00000000-0005-0000-0000-000085150000}"/>
    <cellStyle name="Comma 5 3 2 5 2 2" xfId="9417" xr:uid="{00000000-0005-0000-0000-000086150000}"/>
    <cellStyle name="Comma 5 3 2 5 2 2 2" xfId="21860" xr:uid="{00000000-0005-0000-0000-000087150000}"/>
    <cellStyle name="Comma 5 3 2 5 2 2 2 2" xfId="46734" xr:uid="{00000000-0005-0000-0000-000088150000}"/>
    <cellStyle name="Comma 5 3 2 5 2 2 3" xfId="34301" xr:uid="{00000000-0005-0000-0000-000089150000}"/>
    <cellStyle name="Comma 5 3 2 5 2 3" xfId="4399" xr:uid="{00000000-0005-0000-0000-00008A150000}"/>
    <cellStyle name="Comma 5 3 2 5 2 3 2" xfId="16853" xr:uid="{00000000-0005-0000-0000-00008B150000}"/>
    <cellStyle name="Comma 5 3 2 5 2 3 2 2" xfId="41727" xr:uid="{00000000-0005-0000-0000-00008C150000}"/>
    <cellStyle name="Comma 5 3 2 5 2 3 3" xfId="29294" xr:uid="{00000000-0005-0000-0000-00008D150000}"/>
    <cellStyle name="Comma 5 3 2 5 2 4" xfId="14461" xr:uid="{00000000-0005-0000-0000-00008E150000}"/>
    <cellStyle name="Comma 5 3 2 5 2 4 2" xfId="39335" xr:uid="{00000000-0005-0000-0000-00008F150000}"/>
    <cellStyle name="Comma 5 3 2 5 2 5" xfId="26894" xr:uid="{00000000-0005-0000-0000-000090150000}"/>
    <cellStyle name="Comma 5 3 2 5 3" xfId="5807" xr:uid="{00000000-0005-0000-0000-000091150000}"/>
    <cellStyle name="Comma 5 3 2 5 3 2" xfId="10822" xr:uid="{00000000-0005-0000-0000-000092150000}"/>
    <cellStyle name="Comma 5 3 2 5 3 2 2" xfId="23265" xr:uid="{00000000-0005-0000-0000-000093150000}"/>
    <cellStyle name="Comma 5 3 2 5 3 2 2 2" xfId="48139" xr:uid="{00000000-0005-0000-0000-000094150000}"/>
    <cellStyle name="Comma 5 3 2 5 3 2 3" xfId="35706" xr:uid="{00000000-0005-0000-0000-000095150000}"/>
    <cellStyle name="Comma 5 3 2 5 3 3" xfId="18258" xr:uid="{00000000-0005-0000-0000-000096150000}"/>
    <cellStyle name="Comma 5 3 2 5 3 3 2" xfId="43132" xr:uid="{00000000-0005-0000-0000-000097150000}"/>
    <cellStyle name="Comma 5 3 2 5 3 4" xfId="30699" xr:uid="{00000000-0005-0000-0000-000098150000}"/>
    <cellStyle name="Comma 5 3 2 5 4" xfId="8533" xr:uid="{00000000-0005-0000-0000-000099150000}"/>
    <cellStyle name="Comma 5 3 2 5 4 2" xfId="20977" xr:uid="{00000000-0005-0000-0000-00009A150000}"/>
    <cellStyle name="Comma 5 3 2 5 4 2 2" xfId="45851" xr:uid="{00000000-0005-0000-0000-00009B150000}"/>
    <cellStyle name="Comma 5 3 2 5 4 3" xfId="33418" xr:uid="{00000000-0005-0000-0000-00009C150000}"/>
    <cellStyle name="Comma 5 3 2 5 5" xfId="12276" xr:uid="{00000000-0005-0000-0000-00009D150000}"/>
    <cellStyle name="Comma 5 3 2 5 5 2" xfId="24710" xr:uid="{00000000-0005-0000-0000-00009E150000}"/>
    <cellStyle name="Comma 5 3 2 5 5 2 2" xfId="49584" xr:uid="{00000000-0005-0000-0000-00009F150000}"/>
    <cellStyle name="Comma 5 3 2 5 5 3" xfId="37151" xr:uid="{00000000-0005-0000-0000-0000A0150000}"/>
    <cellStyle name="Comma 5 3 2 5 6" xfId="7010" xr:uid="{00000000-0005-0000-0000-0000A1150000}"/>
    <cellStyle name="Comma 5 3 2 5 6 2" xfId="19459" xr:uid="{00000000-0005-0000-0000-0000A2150000}"/>
    <cellStyle name="Comma 5 3 2 5 6 2 2" xfId="44333" xr:uid="{00000000-0005-0000-0000-0000A3150000}"/>
    <cellStyle name="Comma 5 3 2 5 6 3" xfId="31900" xr:uid="{00000000-0005-0000-0000-0000A4150000}"/>
    <cellStyle name="Comma 5 3 2 5 7" xfId="3464" xr:uid="{00000000-0005-0000-0000-0000A5150000}"/>
    <cellStyle name="Comma 5 3 2 5 7 2" xfId="15970" xr:uid="{00000000-0005-0000-0000-0000A6150000}"/>
    <cellStyle name="Comma 5 3 2 5 7 2 2" xfId="40844" xr:uid="{00000000-0005-0000-0000-0000A7150000}"/>
    <cellStyle name="Comma 5 3 2 5 7 3" xfId="28403" xr:uid="{00000000-0005-0000-0000-0000A8150000}"/>
    <cellStyle name="Comma 5 3 2 5 8" xfId="13458" xr:uid="{00000000-0005-0000-0000-0000A9150000}"/>
    <cellStyle name="Comma 5 3 2 5 8 2" xfId="38332" xr:uid="{00000000-0005-0000-0000-0000AA150000}"/>
    <cellStyle name="Comma 5 3 2 5 9" xfId="25891" xr:uid="{00000000-0005-0000-0000-0000AB150000}"/>
    <cellStyle name="Comma 5 3 2 6" xfId="2211" xr:uid="{00000000-0005-0000-0000-0000AC150000}"/>
    <cellStyle name="Comma 5 3 2 6 2" xfId="4840" xr:uid="{00000000-0005-0000-0000-0000AD150000}"/>
    <cellStyle name="Comma 5 3 2 6 2 2" xfId="9857" xr:uid="{00000000-0005-0000-0000-0000AE150000}"/>
    <cellStyle name="Comma 5 3 2 6 2 2 2" xfId="22300" xr:uid="{00000000-0005-0000-0000-0000AF150000}"/>
    <cellStyle name="Comma 5 3 2 6 2 2 2 2" xfId="47174" xr:uid="{00000000-0005-0000-0000-0000B0150000}"/>
    <cellStyle name="Comma 5 3 2 6 2 2 3" xfId="34741" xr:uid="{00000000-0005-0000-0000-0000B1150000}"/>
    <cellStyle name="Comma 5 3 2 6 2 3" xfId="17293" xr:uid="{00000000-0005-0000-0000-0000B2150000}"/>
    <cellStyle name="Comma 5 3 2 6 2 3 2" xfId="42167" xr:uid="{00000000-0005-0000-0000-0000B3150000}"/>
    <cellStyle name="Comma 5 3 2 6 2 4" xfId="29734" xr:uid="{00000000-0005-0000-0000-0000B4150000}"/>
    <cellStyle name="Comma 5 3 2 6 3" xfId="6238" xr:uid="{00000000-0005-0000-0000-0000B5150000}"/>
    <cellStyle name="Comma 5 3 2 6 3 2" xfId="11253" xr:uid="{00000000-0005-0000-0000-0000B6150000}"/>
    <cellStyle name="Comma 5 3 2 6 3 2 2" xfId="23696" xr:uid="{00000000-0005-0000-0000-0000B7150000}"/>
    <cellStyle name="Comma 5 3 2 6 3 2 2 2" xfId="48570" xr:uid="{00000000-0005-0000-0000-0000B8150000}"/>
    <cellStyle name="Comma 5 3 2 6 3 2 3" xfId="36137" xr:uid="{00000000-0005-0000-0000-0000B9150000}"/>
    <cellStyle name="Comma 5 3 2 6 3 3" xfId="18689" xr:uid="{00000000-0005-0000-0000-0000BA150000}"/>
    <cellStyle name="Comma 5 3 2 6 3 3 2" xfId="43563" xr:uid="{00000000-0005-0000-0000-0000BB150000}"/>
    <cellStyle name="Comma 5 3 2 6 3 4" xfId="31130" xr:uid="{00000000-0005-0000-0000-0000BC150000}"/>
    <cellStyle name="Comma 5 3 2 6 4" xfId="8045" xr:uid="{00000000-0005-0000-0000-0000BD150000}"/>
    <cellStyle name="Comma 5 3 2 6 4 2" xfId="20491" xr:uid="{00000000-0005-0000-0000-0000BE150000}"/>
    <cellStyle name="Comma 5 3 2 6 4 2 2" xfId="45365" xr:uid="{00000000-0005-0000-0000-0000BF150000}"/>
    <cellStyle name="Comma 5 3 2 6 4 3" xfId="32932" xr:uid="{00000000-0005-0000-0000-0000C0150000}"/>
    <cellStyle name="Comma 5 3 2 6 5" xfId="12707" xr:uid="{00000000-0005-0000-0000-0000C1150000}"/>
    <cellStyle name="Comma 5 3 2 6 5 2" xfId="25141" xr:uid="{00000000-0005-0000-0000-0000C2150000}"/>
    <cellStyle name="Comma 5 3 2 6 5 2 2" xfId="50015" xr:uid="{00000000-0005-0000-0000-0000C3150000}"/>
    <cellStyle name="Comma 5 3 2 6 5 3" xfId="37582" xr:uid="{00000000-0005-0000-0000-0000C4150000}"/>
    <cellStyle name="Comma 5 3 2 6 6" xfId="7451" xr:uid="{00000000-0005-0000-0000-0000C5150000}"/>
    <cellStyle name="Comma 5 3 2 6 6 2" xfId="19899" xr:uid="{00000000-0005-0000-0000-0000C6150000}"/>
    <cellStyle name="Comma 5 3 2 6 6 2 2" xfId="44773" xr:uid="{00000000-0005-0000-0000-0000C7150000}"/>
    <cellStyle name="Comma 5 3 2 6 6 3" xfId="32340" xr:uid="{00000000-0005-0000-0000-0000C8150000}"/>
    <cellStyle name="Comma 5 3 2 6 7" xfId="2972" xr:uid="{00000000-0005-0000-0000-0000C9150000}"/>
    <cellStyle name="Comma 5 3 2 6 7 2" xfId="15484" xr:uid="{00000000-0005-0000-0000-0000CA150000}"/>
    <cellStyle name="Comma 5 3 2 6 7 2 2" xfId="40358" xr:uid="{00000000-0005-0000-0000-0000CB150000}"/>
    <cellStyle name="Comma 5 3 2 6 7 3" xfId="27917" xr:uid="{00000000-0005-0000-0000-0000CC150000}"/>
    <cellStyle name="Comma 5 3 2 6 8" xfId="14892" xr:uid="{00000000-0005-0000-0000-0000CD150000}"/>
    <cellStyle name="Comma 5 3 2 6 8 2" xfId="39766" xr:uid="{00000000-0005-0000-0000-0000CE150000}"/>
    <cellStyle name="Comma 5 3 2 6 9" xfId="27325" xr:uid="{00000000-0005-0000-0000-0000CF150000}"/>
    <cellStyle name="Comma 5 3 2 7" xfId="1049" xr:uid="{00000000-0005-0000-0000-0000D0150000}"/>
    <cellStyle name="Comma 5 3 2 7 2" xfId="8931" xr:uid="{00000000-0005-0000-0000-0000D1150000}"/>
    <cellStyle name="Comma 5 3 2 7 2 2" xfId="21374" xr:uid="{00000000-0005-0000-0000-0000D2150000}"/>
    <cellStyle name="Comma 5 3 2 7 2 2 2" xfId="46248" xr:uid="{00000000-0005-0000-0000-0000D3150000}"/>
    <cellStyle name="Comma 5 3 2 7 2 3" xfId="33815" xr:uid="{00000000-0005-0000-0000-0000D4150000}"/>
    <cellStyle name="Comma 5 3 2 7 3" xfId="3913" xr:uid="{00000000-0005-0000-0000-0000D5150000}"/>
    <cellStyle name="Comma 5 3 2 7 3 2" xfId="16367" xr:uid="{00000000-0005-0000-0000-0000D6150000}"/>
    <cellStyle name="Comma 5 3 2 7 3 2 2" xfId="41241" xr:uid="{00000000-0005-0000-0000-0000D7150000}"/>
    <cellStyle name="Comma 5 3 2 7 3 3" xfId="28808" xr:uid="{00000000-0005-0000-0000-0000D8150000}"/>
    <cellStyle name="Comma 5 3 2 7 4" xfId="13849" xr:uid="{00000000-0005-0000-0000-0000D9150000}"/>
    <cellStyle name="Comma 5 3 2 7 4 2" xfId="38723" xr:uid="{00000000-0005-0000-0000-0000DA150000}"/>
    <cellStyle name="Comma 5 3 2 7 5" xfId="26282" xr:uid="{00000000-0005-0000-0000-0000DB150000}"/>
    <cellStyle name="Comma 5 3 2 8" xfId="5194" xr:uid="{00000000-0005-0000-0000-0000DC150000}"/>
    <cellStyle name="Comma 5 3 2 8 2" xfId="10210" xr:uid="{00000000-0005-0000-0000-0000DD150000}"/>
    <cellStyle name="Comma 5 3 2 8 2 2" xfId="22653" xr:uid="{00000000-0005-0000-0000-0000DE150000}"/>
    <cellStyle name="Comma 5 3 2 8 2 2 2" xfId="47527" xr:uid="{00000000-0005-0000-0000-0000DF150000}"/>
    <cellStyle name="Comma 5 3 2 8 2 3" xfId="35094" xr:uid="{00000000-0005-0000-0000-0000E0150000}"/>
    <cellStyle name="Comma 5 3 2 8 3" xfId="17646" xr:uid="{00000000-0005-0000-0000-0000E1150000}"/>
    <cellStyle name="Comma 5 3 2 8 3 2" xfId="42520" xr:uid="{00000000-0005-0000-0000-0000E2150000}"/>
    <cellStyle name="Comma 5 3 2 8 4" xfId="30087" xr:uid="{00000000-0005-0000-0000-0000E3150000}"/>
    <cellStyle name="Comma 5 3 2 9" xfId="7771" xr:uid="{00000000-0005-0000-0000-0000E4150000}"/>
    <cellStyle name="Comma 5 3 2 9 2" xfId="20217" xr:uid="{00000000-0005-0000-0000-0000E5150000}"/>
    <cellStyle name="Comma 5 3 2 9 2 2" xfId="45091" xr:uid="{00000000-0005-0000-0000-0000E6150000}"/>
    <cellStyle name="Comma 5 3 2 9 3" xfId="32658" xr:uid="{00000000-0005-0000-0000-0000E7150000}"/>
    <cellStyle name="Comma 5 3 3" xfId="179" xr:uid="{00000000-0005-0000-0000-0000E8150000}"/>
    <cellStyle name="Comma 5 3 3 10" xfId="6567" xr:uid="{00000000-0005-0000-0000-0000E9150000}"/>
    <cellStyle name="Comma 5 3 3 10 2" xfId="19016" xr:uid="{00000000-0005-0000-0000-0000EA150000}"/>
    <cellStyle name="Comma 5 3 3 10 2 2" xfId="43890" xr:uid="{00000000-0005-0000-0000-0000EB150000}"/>
    <cellStyle name="Comma 5 3 3 10 3" xfId="31457" xr:uid="{00000000-0005-0000-0000-0000EC150000}"/>
    <cellStyle name="Comma 5 3 3 11" xfId="2735" xr:uid="{00000000-0005-0000-0000-0000ED150000}"/>
    <cellStyle name="Comma 5 3 3 11 2" xfId="15253" xr:uid="{00000000-0005-0000-0000-0000EE150000}"/>
    <cellStyle name="Comma 5 3 3 11 2 2" xfId="40127" xr:uid="{00000000-0005-0000-0000-0000EF150000}"/>
    <cellStyle name="Comma 5 3 3 11 3" xfId="27686" xr:uid="{00000000-0005-0000-0000-0000F0150000}"/>
    <cellStyle name="Comma 5 3 3 12" xfId="13009" xr:uid="{00000000-0005-0000-0000-0000F1150000}"/>
    <cellStyle name="Comma 5 3 3 12 2" xfId="37883" xr:uid="{00000000-0005-0000-0000-0000F2150000}"/>
    <cellStyle name="Comma 5 3 3 13" xfId="25442" xr:uid="{00000000-0005-0000-0000-0000F3150000}"/>
    <cellStyle name="Comma 5 3 3 2" xfId="440" xr:uid="{00000000-0005-0000-0000-0000F4150000}"/>
    <cellStyle name="Comma 5 3 3 2 10" xfId="13254" xr:uid="{00000000-0005-0000-0000-0000F5150000}"/>
    <cellStyle name="Comma 5 3 3 2 10 2" xfId="38128" xr:uid="{00000000-0005-0000-0000-0000F6150000}"/>
    <cellStyle name="Comma 5 3 3 2 11" xfId="25687" xr:uid="{00000000-0005-0000-0000-0000F7150000}"/>
    <cellStyle name="Comma 5 3 3 2 2" xfId="800" xr:uid="{00000000-0005-0000-0000-0000F8150000}"/>
    <cellStyle name="Comma 5 3 3 2 2 2" xfId="1317" xr:uid="{00000000-0005-0000-0000-0000F9150000}"/>
    <cellStyle name="Comma 5 3 3 2 2 2 2" xfId="9421" xr:uid="{00000000-0005-0000-0000-0000FA150000}"/>
    <cellStyle name="Comma 5 3 3 2 2 2 2 2" xfId="21864" xr:uid="{00000000-0005-0000-0000-0000FB150000}"/>
    <cellStyle name="Comma 5 3 3 2 2 2 2 2 2" xfId="46738" xr:uid="{00000000-0005-0000-0000-0000FC150000}"/>
    <cellStyle name="Comma 5 3 3 2 2 2 2 3" xfId="34305" xr:uid="{00000000-0005-0000-0000-0000FD150000}"/>
    <cellStyle name="Comma 5 3 3 2 2 2 3" xfId="4403" xr:uid="{00000000-0005-0000-0000-0000FE150000}"/>
    <cellStyle name="Comma 5 3 3 2 2 2 3 2" xfId="16857" xr:uid="{00000000-0005-0000-0000-0000FF150000}"/>
    <cellStyle name="Comma 5 3 3 2 2 2 3 2 2" xfId="41731" xr:uid="{00000000-0005-0000-0000-000000160000}"/>
    <cellStyle name="Comma 5 3 3 2 2 2 3 3" xfId="29298" xr:uid="{00000000-0005-0000-0000-000001160000}"/>
    <cellStyle name="Comma 5 3 3 2 2 2 4" xfId="14117" xr:uid="{00000000-0005-0000-0000-000002160000}"/>
    <cellStyle name="Comma 5 3 3 2 2 2 4 2" xfId="38991" xr:uid="{00000000-0005-0000-0000-000003160000}"/>
    <cellStyle name="Comma 5 3 3 2 2 2 5" xfId="26550" xr:uid="{00000000-0005-0000-0000-000004160000}"/>
    <cellStyle name="Comma 5 3 3 2 2 3" xfId="5462" xr:uid="{00000000-0005-0000-0000-000005160000}"/>
    <cellStyle name="Comma 5 3 3 2 2 3 2" xfId="10478" xr:uid="{00000000-0005-0000-0000-000006160000}"/>
    <cellStyle name="Comma 5 3 3 2 2 3 2 2" xfId="22921" xr:uid="{00000000-0005-0000-0000-000007160000}"/>
    <cellStyle name="Comma 5 3 3 2 2 3 2 2 2" xfId="47795" xr:uid="{00000000-0005-0000-0000-000008160000}"/>
    <cellStyle name="Comma 5 3 3 2 2 3 2 3" xfId="35362" xr:uid="{00000000-0005-0000-0000-000009160000}"/>
    <cellStyle name="Comma 5 3 3 2 2 3 3" xfId="17914" xr:uid="{00000000-0005-0000-0000-00000A160000}"/>
    <cellStyle name="Comma 5 3 3 2 2 3 3 2" xfId="42788" xr:uid="{00000000-0005-0000-0000-00000B160000}"/>
    <cellStyle name="Comma 5 3 3 2 2 3 4" xfId="30355" xr:uid="{00000000-0005-0000-0000-00000C160000}"/>
    <cellStyle name="Comma 5 3 3 2 2 4" xfId="8537" xr:uid="{00000000-0005-0000-0000-00000D160000}"/>
    <cellStyle name="Comma 5 3 3 2 2 4 2" xfId="20981" xr:uid="{00000000-0005-0000-0000-00000E160000}"/>
    <cellStyle name="Comma 5 3 3 2 2 4 2 2" xfId="45855" xr:uid="{00000000-0005-0000-0000-00000F160000}"/>
    <cellStyle name="Comma 5 3 3 2 2 4 3" xfId="33422" xr:uid="{00000000-0005-0000-0000-000010160000}"/>
    <cellStyle name="Comma 5 3 3 2 2 5" xfId="11932" xr:uid="{00000000-0005-0000-0000-000011160000}"/>
    <cellStyle name="Comma 5 3 3 2 2 5 2" xfId="24366" xr:uid="{00000000-0005-0000-0000-000012160000}"/>
    <cellStyle name="Comma 5 3 3 2 2 5 2 2" xfId="49240" xr:uid="{00000000-0005-0000-0000-000013160000}"/>
    <cellStyle name="Comma 5 3 3 2 2 5 3" xfId="36807" xr:uid="{00000000-0005-0000-0000-000014160000}"/>
    <cellStyle name="Comma 5 3 3 2 2 6" xfId="7014" xr:uid="{00000000-0005-0000-0000-000015160000}"/>
    <cellStyle name="Comma 5 3 3 2 2 6 2" xfId="19463" xr:uid="{00000000-0005-0000-0000-000016160000}"/>
    <cellStyle name="Comma 5 3 3 2 2 6 2 2" xfId="44337" xr:uid="{00000000-0005-0000-0000-000017160000}"/>
    <cellStyle name="Comma 5 3 3 2 2 6 3" xfId="31904" xr:uid="{00000000-0005-0000-0000-000018160000}"/>
    <cellStyle name="Comma 5 3 3 2 2 7" xfId="3468" xr:uid="{00000000-0005-0000-0000-000019160000}"/>
    <cellStyle name="Comma 5 3 3 2 2 7 2" xfId="15974" xr:uid="{00000000-0005-0000-0000-00001A160000}"/>
    <cellStyle name="Comma 5 3 3 2 2 7 2 2" xfId="40848" xr:uid="{00000000-0005-0000-0000-00001B160000}"/>
    <cellStyle name="Comma 5 3 3 2 2 7 3" xfId="28407" xr:uid="{00000000-0005-0000-0000-00001C160000}"/>
    <cellStyle name="Comma 5 3 3 2 2 8" xfId="13601" xr:uid="{00000000-0005-0000-0000-00001D160000}"/>
    <cellStyle name="Comma 5 3 3 2 2 8 2" xfId="38475" xr:uid="{00000000-0005-0000-0000-00001E160000}"/>
    <cellStyle name="Comma 5 3 3 2 2 9" xfId="26034" xr:uid="{00000000-0005-0000-0000-00001F160000}"/>
    <cellStyle name="Comma 5 3 3 2 3" xfId="1665" xr:uid="{00000000-0005-0000-0000-000020160000}"/>
    <cellStyle name="Comma 5 3 3 2 3 2" xfId="4983" xr:uid="{00000000-0005-0000-0000-000021160000}"/>
    <cellStyle name="Comma 5 3 3 2 3 2 2" xfId="10000" xr:uid="{00000000-0005-0000-0000-000022160000}"/>
    <cellStyle name="Comma 5 3 3 2 3 2 2 2" xfId="22443" xr:uid="{00000000-0005-0000-0000-000023160000}"/>
    <cellStyle name="Comma 5 3 3 2 3 2 2 2 2" xfId="47317" xr:uid="{00000000-0005-0000-0000-000024160000}"/>
    <cellStyle name="Comma 5 3 3 2 3 2 2 3" xfId="34884" xr:uid="{00000000-0005-0000-0000-000025160000}"/>
    <cellStyle name="Comma 5 3 3 2 3 2 3" xfId="17436" xr:uid="{00000000-0005-0000-0000-000026160000}"/>
    <cellStyle name="Comma 5 3 3 2 3 2 3 2" xfId="42310" xr:uid="{00000000-0005-0000-0000-000027160000}"/>
    <cellStyle name="Comma 5 3 3 2 3 2 4" xfId="29877" xr:uid="{00000000-0005-0000-0000-000028160000}"/>
    <cellStyle name="Comma 5 3 3 2 3 3" xfId="5811" xr:uid="{00000000-0005-0000-0000-000029160000}"/>
    <cellStyle name="Comma 5 3 3 2 3 3 2" xfId="10826" xr:uid="{00000000-0005-0000-0000-00002A160000}"/>
    <cellStyle name="Comma 5 3 3 2 3 3 2 2" xfId="23269" xr:uid="{00000000-0005-0000-0000-00002B160000}"/>
    <cellStyle name="Comma 5 3 3 2 3 3 2 2 2" xfId="48143" xr:uid="{00000000-0005-0000-0000-00002C160000}"/>
    <cellStyle name="Comma 5 3 3 2 3 3 2 3" xfId="35710" xr:uid="{00000000-0005-0000-0000-00002D160000}"/>
    <cellStyle name="Comma 5 3 3 2 3 3 3" xfId="18262" xr:uid="{00000000-0005-0000-0000-00002E160000}"/>
    <cellStyle name="Comma 5 3 3 2 3 3 3 2" xfId="43136" xr:uid="{00000000-0005-0000-0000-00002F160000}"/>
    <cellStyle name="Comma 5 3 3 2 3 3 4" xfId="30703" xr:uid="{00000000-0005-0000-0000-000030160000}"/>
    <cellStyle name="Comma 5 3 3 2 3 4" xfId="8407" xr:uid="{00000000-0005-0000-0000-000031160000}"/>
    <cellStyle name="Comma 5 3 3 2 3 4 2" xfId="20851" xr:uid="{00000000-0005-0000-0000-000032160000}"/>
    <cellStyle name="Comma 5 3 3 2 3 4 2 2" xfId="45725" xr:uid="{00000000-0005-0000-0000-000033160000}"/>
    <cellStyle name="Comma 5 3 3 2 3 4 3" xfId="33292" xr:uid="{00000000-0005-0000-0000-000034160000}"/>
    <cellStyle name="Comma 5 3 3 2 3 5" xfId="12280" xr:uid="{00000000-0005-0000-0000-000035160000}"/>
    <cellStyle name="Comma 5 3 3 2 3 5 2" xfId="24714" xr:uid="{00000000-0005-0000-0000-000036160000}"/>
    <cellStyle name="Comma 5 3 3 2 3 5 2 2" xfId="49588" xr:uid="{00000000-0005-0000-0000-000037160000}"/>
    <cellStyle name="Comma 5 3 3 2 3 5 3" xfId="37155" xr:uid="{00000000-0005-0000-0000-000038160000}"/>
    <cellStyle name="Comma 5 3 3 2 3 6" xfId="7594" xr:uid="{00000000-0005-0000-0000-000039160000}"/>
    <cellStyle name="Comma 5 3 3 2 3 6 2" xfId="20042" xr:uid="{00000000-0005-0000-0000-00003A160000}"/>
    <cellStyle name="Comma 5 3 3 2 3 6 2 2" xfId="44916" xr:uid="{00000000-0005-0000-0000-00003B160000}"/>
    <cellStyle name="Comma 5 3 3 2 3 6 3" xfId="32483" xr:uid="{00000000-0005-0000-0000-00003C160000}"/>
    <cellStyle name="Comma 5 3 3 2 3 7" xfId="3338" xr:uid="{00000000-0005-0000-0000-00003D160000}"/>
    <cellStyle name="Comma 5 3 3 2 3 7 2" xfId="15844" xr:uid="{00000000-0005-0000-0000-00003E160000}"/>
    <cellStyle name="Comma 5 3 3 2 3 7 2 2" xfId="40718" xr:uid="{00000000-0005-0000-0000-00003F160000}"/>
    <cellStyle name="Comma 5 3 3 2 3 7 3" xfId="28277" xr:uid="{00000000-0005-0000-0000-000040160000}"/>
    <cellStyle name="Comma 5 3 3 2 3 8" xfId="14465" xr:uid="{00000000-0005-0000-0000-000041160000}"/>
    <cellStyle name="Comma 5 3 3 2 3 8 2" xfId="39339" xr:uid="{00000000-0005-0000-0000-000042160000}"/>
    <cellStyle name="Comma 5 3 3 2 3 9" xfId="26898" xr:uid="{00000000-0005-0000-0000-000043160000}"/>
    <cellStyle name="Comma 5 3 3 2 4" xfId="2358" xr:uid="{00000000-0005-0000-0000-000044160000}"/>
    <cellStyle name="Comma 5 3 3 2 4 2" xfId="6381" xr:uid="{00000000-0005-0000-0000-000045160000}"/>
    <cellStyle name="Comma 5 3 3 2 4 2 2" xfId="11396" xr:uid="{00000000-0005-0000-0000-000046160000}"/>
    <cellStyle name="Comma 5 3 3 2 4 2 2 2" xfId="23839" xr:uid="{00000000-0005-0000-0000-000047160000}"/>
    <cellStyle name="Comma 5 3 3 2 4 2 2 2 2" xfId="48713" xr:uid="{00000000-0005-0000-0000-000048160000}"/>
    <cellStyle name="Comma 5 3 3 2 4 2 2 3" xfId="36280" xr:uid="{00000000-0005-0000-0000-000049160000}"/>
    <cellStyle name="Comma 5 3 3 2 4 2 3" xfId="18832" xr:uid="{00000000-0005-0000-0000-00004A160000}"/>
    <cellStyle name="Comma 5 3 3 2 4 2 3 2" xfId="43706" xr:uid="{00000000-0005-0000-0000-00004B160000}"/>
    <cellStyle name="Comma 5 3 3 2 4 2 4" xfId="31273" xr:uid="{00000000-0005-0000-0000-00004C160000}"/>
    <cellStyle name="Comma 5 3 3 2 4 3" xfId="12850" xr:uid="{00000000-0005-0000-0000-00004D160000}"/>
    <cellStyle name="Comma 5 3 3 2 4 3 2" xfId="25284" xr:uid="{00000000-0005-0000-0000-00004E160000}"/>
    <cellStyle name="Comma 5 3 3 2 4 3 2 2" xfId="50158" xr:uid="{00000000-0005-0000-0000-00004F160000}"/>
    <cellStyle name="Comma 5 3 3 2 4 3 3" xfId="37725" xr:uid="{00000000-0005-0000-0000-000050160000}"/>
    <cellStyle name="Comma 5 3 3 2 4 4" xfId="9291" xr:uid="{00000000-0005-0000-0000-000051160000}"/>
    <cellStyle name="Comma 5 3 3 2 4 4 2" xfId="21734" xr:uid="{00000000-0005-0000-0000-000052160000}"/>
    <cellStyle name="Comma 5 3 3 2 4 4 2 2" xfId="46608" xr:uid="{00000000-0005-0000-0000-000053160000}"/>
    <cellStyle name="Comma 5 3 3 2 4 4 3" xfId="34175" xr:uid="{00000000-0005-0000-0000-000054160000}"/>
    <cellStyle name="Comma 5 3 3 2 4 5" xfId="4273" xr:uid="{00000000-0005-0000-0000-000055160000}"/>
    <cellStyle name="Comma 5 3 3 2 4 5 2" xfId="16727" xr:uid="{00000000-0005-0000-0000-000056160000}"/>
    <cellStyle name="Comma 5 3 3 2 4 5 2 2" xfId="41601" xr:uid="{00000000-0005-0000-0000-000057160000}"/>
    <cellStyle name="Comma 5 3 3 2 4 5 3" xfId="29168" xr:uid="{00000000-0005-0000-0000-000058160000}"/>
    <cellStyle name="Comma 5 3 3 2 4 6" xfId="15035" xr:uid="{00000000-0005-0000-0000-000059160000}"/>
    <cellStyle name="Comma 5 3 3 2 4 6 2" xfId="39909" xr:uid="{00000000-0005-0000-0000-00005A160000}"/>
    <cellStyle name="Comma 5 3 3 2 4 7" xfId="27468" xr:uid="{00000000-0005-0000-0000-00005B160000}"/>
    <cellStyle name="Comma 5 3 3 2 5" xfId="1192" xr:uid="{00000000-0005-0000-0000-00005C160000}"/>
    <cellStyle name="Comma 5 3 3 2 5 2" xfId="10353" xr:uid="{00000000-0005-0000-0000-00005D160000}"/>
    <cellStyle name="Comma 5 3 3 2 5 2 2" xfId="22796" xr:uid="{00000000-0005-0000-0000-00005E160000}"/>
    <cellStyle name="Comma 5 3 3 2 5 2 2 2" xfId="47670" xr:uid="{00000000-0005-0000-0000-00005F160000}"/>
    <cellStyle name="Comma 5 3 3 2 5 2 3" xfId="35237" xr:uid="{00000000-0005-0000-0000-000060160000}"/>
    <cellStyle name="Comma 5 3 3 2 5 3" xfId="5337" xr:uid="{00000000-0005-0000-0000-000061160000}"/>
    <cellStyle name="Comma 5 3 3 2 5 3 2" xfId="17789" xr:uid="{00000000-0005-0000-0000-000062160000}"/>
    <cellStyle name="Comma 5 3 3 2 5 3 2 2" xfId="42663" xr:uid="{00000000-0005-0000-0000-000063160000}"/>
    <cellStyle name="Comma 5 3 3 2 5 3 3" xfId="30230" xr:uid="{00000000-0005-0000-0000-000064160000}"/>
    <cellStyle name="Comma 5 3 3 2 5 4" xfId="13992" xr:uid="{00000000-0005-0000-0000-000065160000}"/>
    <cellStyle name="Comma 5 3 3 2 5 4 2" xfId="38866" xr:uid="{00000000-0005-0000-0000-000066160000}"/>
    <cellStyle name="Comma 5 3 3 2 5 5" xfId="26425" xr:uid="{00000000-0005-0000-0000-000067160000}"/>
    <cellStyle name="Comma 5 3 3 2 6" xfId="7914" xr:uid="{00000000-0005-0000-0000-000068160000}"/>
    <cellStyle name="Comma 5 3 3 2 6 2" xfId="20360" xr:uid="{00000000-0005-0000-0000-000069160000}"/>
    <cellStyle name="Comma 5 3 3 2 6 2 2" xfId="45234" xr:uid="{00000000-0005-0000-0000-00006A160000}"/>
    <cellStyle name="Comma 5 3 3 2 6 3" xfId="32801" xr:uid="{00000000-0005-0000-0000-00006B160000}"/>
    <cellStyle name="Comma 5 3 3 2 7" xfId="11807" xr:uid="{00000000-0005-0000-0000-00006C160000}"/>
    <cellStyle name="Comma 5 3 3 2 7 2" xfId="24241" xr:uid="{00000000-0005-0000-0000-00006D160000}"/>
    <cellStyle name="Comma 5 3 3 2 7 2 2" xfId="49115" xr:uid="{00000000-0005-0000-0000-00006E160000}"/>
    <cellStyle name="Comma 5 3 3 2 7 3" xfId="36682" xr:uid="{00000000-0005-0000-0000-00006F160000}"/>
    <cellStyle name="Comma 5 3 3 2 8" xfId="6884" xr:uid="{00000000-0005-0000-0000-000070160000}"/>
    <cellStyle name="Comma 5 3 3 2 8 2" xfId="19333" xr:uid="{00000000-0005-0000-0000-000071160000}"/>
    <cellStyle name="Comma 5 3 3 2 8 2 2" xfId="44207" xr:uid="{00000000-0005-0000-0000-000072160000}"/>
    <cellStyle name="Comma 5 3 3 2 8 3" xfId="31774" xr:uid="{00000000-0005-0000-0000-000073160000}"/>
    <cellStyle name="Comma 5 3 3 2 9" xfId="2835" xr:uid="{00000000-0005-0000-0000-000074160000}"/>
    <cellStyle name="Comma 5 3 3 2 9 2" xfId="15353" xr:uid="{00000000-0005-0000-0000-000075160000}"/>
    <cellStyle name="Comma 5 3 3 2 9 2 2" xfId="40227" xr:uid="{00000000-0005-0000-0000-000076160000}"/>
    <cellStyle name="Comma 5 3 3 2 9 3" xfId="27786" xr:uid="{00000000-0005-0000-0000-000077160000}"/>
    <cellStyle name="Comma 5 3 3 3" xfId="338" xr:uid="{00000000-0005-0000-0000-000078160000}"/>
    <cellStyle name="Comma 5 3 3 3 2" xfId="1316" xr:uid="{00000000-0005-0000-0000-000079160000}"/>
    <cellStyle name="Comma 5 3 3 3 2 2" xfId="9191" xr:uid="{00000000-0005-0000-0000-00007A160000}"/>
    <cellStyle name="Comma 5 3 3 3 2 2 2" xfId="21634" xr:uid="{00000000-0005-0000-0000-00007B160000}"/>
    <cellStyle name="Comma 5 3 3 3 2 2 2 2" xfId="46508" xr:uid="{00000000-0005-0000-0000-00007C160000}"/>
    <cellStyle name="Comma 5 3 3 3 2 2 3" xfId="34075" xr:uid="{00000000-0005-0000-0000-00007D160000}"/>
    <cellStyle name="Comma 5 3 3 3 2 3" xfId="4173" xr:uid="{00000000-0005-0000-0000-00007E160000}"/>
    <cellStyle name="Comma 5 3 3 3 2 3 2" xfId="16627" xr:uid="{00000000-0005-0000-0000-00007F160000}"/>
    <cellStyle name="Comma 5 3 3 3 2 3 2 2" xfId="41501" xr:uid="{00000000-0005-0000-0000-000080160000}"/>
    <cellStyle name="Comma 5 3 3 3 2 3 3" xfId="29068" xr:uid="{00000000-0005-0000-0000-000081160000}"/>
    <cellStyle name="Comma 5 3 3 3 2 4" xfId="14116" xr:uid="{00000000-0005-0000-0000-000082160000}"/>
    <cellStyle name="Comma 5 3 3 3 2 4 2" xfId="38990" xr:uid="{00000000-0005-0000-0000-000083160000}"/>
    <cellStyle name="Comma 5 3 3 3 2 5" xfId="26549" xr:uid="{00000000-0005-0000-0000-000084160000}"/>
    <cellStyle name="Comma 5 3 3 3 3" xfId="5461" xr:uid="{00000000-0005-0000-0000-000085160000}"/>
    <cellStyle name="Comma 5 3 3 3 3 2" xfId="10477" xr:uid="{00000000-0005-0000-0000-000086160000}"/>
    <cellStyle name="Comma 5 3 3 3 3 2 2" xfId="22920" xr:uid="{00000000-0005-0000-0000-000087160000}"/>
    <cellStyle name="Comma 5 3 3 3 3 2 2 2" xfId="47794" xr:uid="{00000000-0005-0000-0000-000088160000}"/>
    <cellStyle name="Comma 5 3 3 3 3 2 3" xfId="35361" xr:uid="{00000000-0005-0000-0000-000089160000}"/>
    <cellStyle name="Comma 5 3 3 3 3 3" xfId="17913" xr:uid="{00000000-0005-0000-0000-00008A160000}"/>
    <cellStyle name="Comma 5 3 3 3 3 3 2" xfId="42787" xr:uid="{00000000-0005-0000-0000-00008B160000}"/>
    <cellStyle name="Comma 5 3 3 3 3 4" xfId="30354" xr:uid="{00000000-0005-0000-0000-00008C160000}"/>
    <cellStyle name="Comma 5 3 3 3 4" xfId="8307" xr:uid="{00000000-0005-0000-0000-00008D160000}"/>
    <cellStyle name="Comma 5 3 3 3 4 2" xfId="20751" xr:uid="{00000000-0005-0000-0000-00008E160000}"/>
    <cellStyle name="Comma 5 3 3 3 4 2 2" xfId="45625" xr:uid="{00000000-0005-0000-0000-00008F160000}"/>
    <cellStyle name="Comma 5 3 3 3 4 3" xfId="33192" xr:uid="{00000000-0005-0000-0000-000090160000}"/>
    <cellStyle name="Comma 5 3 3 3 5" xfId="11931" xr:uid="{00000000-0005-0000-0000-000091160000}"/>
    <cellStyle name="Comma 5 3 3 3 5 2" xfId="24365" xr:uid="{00000000-0005-0000-0000-000092160000}"/>
    <cellStyle name="Comma 5 3 3 3 5 2 2" xfId="49239" xr:uid="{00000000-0005-0000-0000-000093160000}"/>
    <cellStyle name="Comma 5 3 3 3 5 3" xfId="36806" xr:uid="{00000000-0005-0000-0000-000094160000}"/>
    <cellStyle name="Comma 5 3 3 3 6" xfId="6784" xr:uid="{00000000-0005-0000-0000-000095160000}"/>
    <cellStyle name="Comma 5 3 3 3 6 2" xfId="19233" xr:uid="{00000000-0005-0000-0000-000096160000}"/>
    <cellStyle name="Comma 5 3 3 3 6 2 2" xfId="44107" xr:uid="{00000000-0005-0000-0000-000097160000}"/>
    <cellStyle name="Comma 5 3 3 3 6 3" xfId="31674" xr:uid="{00000000-0005-0000-0000-000098160000}"/>
    <cellStyle name="Comma 5 3 3 3 7" xfId="3238" xr:uid="{00000000-0005-0000-0000-000099160000}"/>
    <cellStyle name="Comma 5 3 3 3 7 2" xfId="15744" xr:uid="{00000000-0005-0000-0000-00009A160000}"/>
    <cellStyle name="Comma 5 3 3 3 7 2 2" xfId="40618" xr:uid="{00000000-0005-0000-0000-00009B160000}"/>
    <cellStyle name="Comma 5 3 3 3 7 3" xfId="28177" xr:uid="{00000000-0005-0000-0000-00009C160000}"/>
    <cellStyle name="Comma 5 3 3 3 8" xfId="13154" xr:uid="{00000000-0005-0000-0000-00009D160000}"/>
    <cellStyle name="Comma 5 3 3 3 8 2" xfId="38028" xr:uid="{00000000-0005-0000-0000-00009E160000}"/>
    <cellStyle name="Comma 5 3 3 3 9" xfId="25587" xr:uid="{00000000-0005-0000-0000-00009F160000}"/>
    <cellStyle name="Comma 5 3 3 4" xfId="698" xr:uid="{00000000-0005-0000-0000-0000A0160000}"/>
    <cellStyle name="Comma 5 3 3 4 2" xfId="1664" xr:uid="{00000000-0005-0000-0000-0000A1160000}"/>
    <cellStyle name="Comma 5 3 3 4 2 2" xfId="9420" xr:uid="{00000000-0005-0000-0000-0000A2160000}"/>
    <cellStyle name="Comma 5 3 3 4 2 2 2" xfId="21863" xr:uid="{00000000-0005-0000-0000-0000A3160000}"/>
    <cellStyle name="Comma 5 3 3 4 2 2 2 2" xfId="46737" xr:uid="{00000000-0005-0000-0000-0000A4160000}"/>
    <cellStyle name="Comma 5 3 3 4 2 2 3" xfId="34304" xr:uid="{00000000-0005-0000-0000-0000A5160000}"/>
    <cellStyle name="Comma 5 3 3 4 2 3" xfId="4402" xr:uid="{00000000-0005-0000-0000-0000A6160000}"/>
    <cellStyle name="Comma 5 3 3 4 2 3 2" xfId="16856" xr:uid="{00000000-0005-0000-0000-0000A7160000}"/>
    <cellStyle name="Comma 5 3 3 4 2 3 2 2" xfId="41730" xr:uid="{00000000-0005-0000-0000-0000A8160000}"/>
    <cellStyle name="Comma 5 3 3 4 2 3 3" xfId="29297" xr:uid="{00000000-0005-0000-0000-0000A9160000}"/>
    <cellStyle name="Comma 5 3 3 4 2 4" xfId="14464" xr:uid="{00000000-0005-0000-0000-0000AA160000}"/>
    <cellStyle name="Comma 5 3 3 4 2 4 2" xfId="39338" xr:uid="{00000000-0005-0000-0000-0000AB160000}"/>
    <cellStyle name="Comma 5 3 3 4 2 5" xfId="26897" xr:uid="{00000000-0005-0000-0000-0000AC160000}"/>
    <cellStyle name="Comma 5 3 3 4 3" xfId="5810" xr:uid="{00000000-0005-0000-0000-0000AD160000}"/>
    <cellStyle name="Comma 5 3 3 4 3 2" xfId="10825" xr:uid="{00000000-0005-0000-0000-0000AE160000}"/>
    <cellStyle name="Comma 5 3 3 4 3 2 2" xfId="23268" xr:uid="{00000000-0005-0000-0000-0000AF160000}"/>
    <cellStyle name="Comma 5 3 3 4 3 2 2 2" xfId="48142" xr:uid="{00000000-0005-0000-0000-0000B0160000}"/>
    <cellStyle name="Comma 5 3 3 4 3 2 3" xfId="35709" xr:uid="{00000000-0005-0000-0000-0000B1160000}"/>
    <cellStyle name="Comma 5 3 3 4 3 3" xfId="18261" xr:uid="{00000000-0005-0000-0000-0000B2160000}"/>
    <cellStyle name="Comma 5 3 3 4 3 3 2" xfId="43135" xr:uid="{00000000-0005-0000-0000-0000B3160000}"/>
    <cellStyle name="Comma 5 3 3 4 3 4" xfId="30702" xr:uid="{00000000-0005-0000-0000-0000B4160000}"/>
    <cellStyle name="Comma 5 3 3 4 4" xfId="8536" xr:uid="{00000000-0005-0000-0000-0000B5160000}"/>
    <cellStyle name="Comma 5 3 3 4 4 2" xfId="20980" xr:uid="{00000000-0005-0000-0000-0000B6160000}"/>
    <cellStyle name="Comma 5 3 3 4 4 2 2" xfId="45854" xr:uid="{00000000-0005-0000-0000-0000B7160000}"/>
    <cellStyle name="Comma 5 3 3 4 4 3" xfId="33421" xr:uid="{00000000-0005-0000-0000-0000B8160000}"/>
    <cellStyle name="Comma 5 3 3 4 5" xfId="12279" xr:uid="{00000000-0005-0000-0000-0000B9160000}"/>
    <cellStyle name="Comma 5 3 3 4 5 2" xfId="24713" xr:uid="{00000000-0005-0000-0000-0000BA160000}"/>
    <cellStyle name="Comma 5 3 3 4 5 2 2" xfId="49587" xr:uid="{00000000-0005-0000-0000-0000BB160000}"/>
    <cellStyle name="Comma 5 3 3 4 5 3" xfId="37154" xr:uid="{00000000-0005-0000-0000-0000BC160000}"/>
    <cellStyle name="Comma 5 3 3 4 6" xfId="7013" xr:uid="{00000000-0005-0000-0000-0000BD160000}"/>
    <cellStyle name="Comma 5 3 3 4 6 2" xfId="19462" xr:uid="{00000000-0005-0000-0000-0000BE160000}"/>
    <cellStyle name="Comma 5 3 3 4 6 2 2" xfId="44336" xr:uid="{00000000-0005-0000-0000-0000BF160000}"/>
    <cellStyle name="Comma 5 3 3 4 6 3" xfId="31903" xr:uid="{00000000-0005-0000-0000-0000C0160000}"/>
    <cellStyle name="Comma 5 3 3 4 7" xfId="3467" xr:uid="{00000000-0005-0000-0000-0000C1160000}"/>
    <cellStyle name="Comma 5 3 3 4 7 2" xfId="15973" xr:uid="{00000000-0005-0000-0000-0000C2160000}"/>
    <cellStyle name="Comma 5 3 3 4 7 2 2" xfId="40847" xr:uid="{00000000-0005-0000-0000-0000C3160000}"/>
    <cellStyle name="Comma 5 3 3 4 7 3" xfId="28406" xr:uid="{00000000-0005-0000-0000-0000C4160000}"/>
    <cellStyle name="Comma 5 3 3 4 8" xfId="13501" xr:uid="{00000000-0005-0000-0000-0000C5160000}"/>
    <cellStyle name="Comma 5 3 3 4 8 2" xfId="38375" xr:uid="{00000000-0005-0000-0000-0000C6160000}"/>
    <cellStyle name="Comma 5 3 3 4 9" xfId="25934" xr:uid="{00000000-0005-0000-0000-0000C7160000}"/>
    <cellStyle name="Comma 5 3 3 5" xfId="2256" xr:uid="{00000000-0005-0000-0000-0000C8160000}"/>
    <cellStyle name="Comma 5 3 3 5 2" xfId="4883" xr:uid="{00000000-0005-0000-0000-0000C9160000}"/>
    <cellStyle name="Comma 5 3 3 5 2 2" xfId="9900" xr:uid="{00000000-0005-0000-0000-0000CA160000}"/>
    <cellStyle name="Comma 5 3 3 5 2 2 2" xfId="22343" xr:uid="{00000000-0005-0000-0000-0000CB160000}"/>
    <cellStyle name="Comma 5 3 3 5 2 2 2 2" xfId="47217" xr:uid="{00000000-0005-0000-0000-0000CC160000}"/>
    <cellStyle name="Comma 5 3 3 5 2 2 3" xfId="34784" xr:uid="{00000000-0005-0000-0000-0000CD160000}"/>
    <cellStyle name="Comma 5 3 3 5 2 3" xfId="17336" xr:uid="{00000000-0005-0000-0000-0000CE160000}"/>
    <cellStyle name="Comma 5 3 3 5 2 3 2" xfId="42210" xr:uid="{00000000-0005-0000-0000-0000CF160000}"/>
    <cellStyle name="Comma 5 3 3 5 2 4" xfId="29777" xr:uid="{00000000-0005-0000-0000-0000D0160000}"/>
    <cellStyle name="Comma 5 3 3 5 3" xfId="6281" xr:uid="{00000000-0005-0000-0000-0000D1160000}"/>
    <cellStyle name="Comma 5 3 3 5 3 2" xfId="11296" xr:uid="{00000000-0005-0000-0000-0000D2160000}"/>
    <cellStyle name="Comma 5 3 3 5 3 2 2" xfId="23739" xr:uid="{00000000-0005-0000-0000-0000D3160000}"/>
    <cellStyle name="Comma 5 3 3 5 3 2 2 2" xfId="48613" xr:uid="{00000000-0005-0000-0000-0000D4160000}"/>
    <cellStyle name="Comma 5 3 3 5 3 2 3" xfId="36180" xr:uid="{00000000-0005-0000-0000-0000D5160000}"/>
    <cellStyle name="Comma 5 3 3 5 3 3" xfId="18732" xr:uid="{00000000-0005-0000-0000-0000D6160000}"/>
    <cellStyle name="Comma 5 3 3 5 3 3 2" xfId="43606" xr:uid="{00000000-0005-0000-0000-0000D7160000}"/>
    <cellStyle name="Comma 5 3 3 5 3 4" xfId="31173" xr:uid="{00000000-0005-0000-0000-0000D8160000}"/>
    <cellStyle name="Comma 5 3 3 5 4" xfId="8088" xr:uid="{00000000-0005-0000-0000-0000D9160000}"/>
    <cellStyle name="Comma 5 3 3 5 4 2" xfId="20534" xr:uid="{00000000-0005-0000-0000-0000DA160000}"/>
    <cellStyle name="Comma 5 3 3 5 4 2 2" xfId="45408" xr:uid="{00000000-0005-0000-0000-0000DB160000}"/>
    <cellStyle name="Comma 5 3 3 5 4 3" xfId="32975" xr:uid="{00000000-0005-0000-0000-0000DC160000}"/>
    <cellStyle name="Comma 5 3 3 5 5" xfId="12750" xr:uid="{00000000-0005-0000-0000-0000DD160000}"/>
    <cellStyle name="Comma 5 3 3 5 5 2" xfId="25184" xr:uid="{00000000-0005-0000-0000-0000DE160000}"/>
    <cellStyle name="Comma 5 3 3 5 5 2 2" xfId="50058" xr:uid="{00000000-0005-0000-0000-0000DF160000}"/>
    <cellStyle name="Comma 5 3 3 5 5 3" xfId="37625" xr:uid="{00000000-0005-0000-0000-0000E0160000}"/>
    <cellStyle name="Comma 5 3 3 5 6" xfId="7494" xr:uid="{00000000-0005-0000-0000-0000E1160000}"/>
    <cellStyle name="Comma 5 3 3 5 6 2" xfId="19942" xr:uid="{00000000-0005-0000-0000-0000E2160000}"/>
    <cellStyle name="Comma 5 3 3 5 6 2 2" xfId="44816" xr:uid="{00000000-0005-0000-0000-0000E3160000}"/>
    <cellStyle name="Comma 5 3 3 5 6 3" xfId="32383" xr:uid="{00000000-0005-0000-0000-0000E4160000}"/>
    <cellStyle name="Comma 5 3 3 5 7" xfId="3018" xr:uid="{00000000-0005-0000-0000-0000E5160000}"/>
    <cellStyle name="Comma 5 3 3 5 7 2" xfId="15527" xr:uid="{00000000-0005-0000-0000-0000E6160000}"/>
    <cellStyle name="Comma 5 3 3 5 7 2 2" xfId="40401" xr:uid="{00000000-0005-0000-0000-0000E7160000}"/>
    <cellStyle name="Comma 5 3 3 5 7 3" xfId="27960" xr:uid="{00000000-0005-0000-0000-0000E8160000}"/>
    <cellStyle name="Comma 5 3 3 5 8" xfId="14935" xr:uid="{00000000-0005-0000-0000-0000E9160000}"/>
    <cellStyle name="Comma 5 3 3 5 8 2" xfId="39809" xr:uid="{00000000-0005-0000-0000-0000EA160000}"/>
    <cellStyle name="Comma 5 3 3 5 9" xfId="27368" xr:uid="{00000000-0005-0000-0000-0000EB160000}"/>
    <cellStyle name="Comma 5 3 3 6" xfId="1092" xr:uid="{00000000-0005-0000-0000-0000EC160000}"/>
    <cellStyle name="Comma 5 3 3 6 2" xfId="8974" xr:uid="{00000000-0005-0000-0000-0000ED160000}"/>
    <cellStyle name="Comma 5 3 3 6 2 2" xfId="21417" xr:uid="{00000000-0005-0000-0000-0000EE160000}"/>
    <cellStyle name="Comma 5 3 3 6 2 2 2" xfId="46291" xr:uid="{00000000-0005-0000-0000-0000EF160000}"/>
    <cellStyle name="Comma 5 3 3 6 2 3" xfId="33858" xr:uid="{00000000-0005-0000-0000-0000F0160000}"/>
    <cellStyle name="Comma 5 3 3 6 3" xfId="3956" xr:uid="{00000000-0005-0000-0000-0000F1160000}"/>
    <cellStyle name="Comma 5 3 3 6 3 2" xfId="16410" xr:uid="{00000000-0005-0000-0000-0000F2160000}"/>
    <cellStyle name="Comma 5 3 3 6 3 2 2" xfId="41284" xr:uid="{00000000-0005-0000-0000-0000F3160000}"/>
    <cellStyle name="Comma 5 3 3 6 3 3" xfId="28851" xr:uid="{00000000-0005-0000-0000-0000F4160000}"/>
    <cellStyle name="Comma 5 3 3 6 4" xfId="13892" xr:uid="{00000000-0005-0000-0000-0000F5160000}"/>
    <cellStyle name="Comma 5 3 3 6 4 2" xfId="38766" xr:uid="{00000000-0005-0000-0000-0000F6160000}"/>
    <cellStyle name="Comma 5 3 3 6 5" xfId="26325" xr:uid="{00000000-0005-0000-0000-0000F7160000}"/>
    <cellStyle name="Comma 5 3 3 7" xfId="5237" xr:uid="{00000000-0005-0000-0000-0000F8160000}"/>
    <cellStyle name="Comma 5 3 3 7 2" xfId="10253" xr:uid="{00000000-0005-0000-0000-0000F9160000}"/>
    <cellStyle name="Comma 5 3 3 7 2 2" xfId="22696" xr:uid="{00000000-0005-0000-0000-0000FA160000}"/>
    <cellStyle name="Comma 5 3 3 7 2 2 2" xfId="47570" xr:uid="{00000000-0005-0000-0000-0000FB160000}"/>
    <cellStyle name="Comma 5 3 3 7 2 3" xfId="35137" xr:uid="{00000000-0005-0000-0000-0000FC160000}"/>
    <cellStyle name="Comma 5 3 3 7 3" xfId="17689" xr:uid="{00000000-0005-0000-0000-0000FD160000}"/>
    <cellStyle name="Comma 5 3 3 7 3 2" xfId="42563" xr:uid="{00000000-0005-0000-0000-0000FE160000}"/>
    <cellStyle name="Comma 5 3 3 7 4" xfId="30130" xr:uid="{00000000-0005-0000-0000-0000FF160000}"/>
    <cellStyle name="Comma 5 3 3 8" xfId="7814" xr:uid="{00000000-0005-0000-0000-000000170000}"/>
    <cellStyle name="Comma 5 3 3 8 2" xfId="20260" xr:uid="{00000000-0005-0000-0000-000001170000}"/>
    <cellStyle name="Comma 5 3 3 8 2 2" xfId="45134" xr:uid="{00000000-0005-0000-0000-000002170000}"/>
    <cellStyle name="Comma 5 3 3 8 3" xfId="32701" xr:uid="{00000000-0005-0000-0000-000003170000}"/>
    <cellStyle name="Comma 5 3 3 9" xfId="11707" xr:uid="{00000000-0005-0000-0000-000004170000}"/>
    <cellStyle name="Comma 5 3 3 9 2" xfId="24141" xr:uid="{00000000-0005-0000-0000-000005170000}"/>
    <cellStyle name="Comma 5 3 3 9 2 2" xfId="49015" xr:uid="{00000000-0005-0000-0000-000006170000}"/>
    <cellStyle name="Comma 5 3 3 9 3" xfId="36582" xr:uid="{00000000-0005-0000-0000-000007170000}"/>
    <cellStyle name="Comma 5 3 4" xfId="259" xr:uid="{00000000-0005-0000-0000-000008170000}"/>
    <cellStyle name="Comma 5 3 4 10" xfId="6599" xr:uid="{00000000-0005-0000-0000-000009170000}"/>
    <cellStyle name="Comma 5 3 4 10 2" xfId="19048" xr:uid="{00000000-0005-0000-0000-00000A170000}"/>
    <cellStyle name="Comma 5 3 4 10 2 2" xfId="43922" xr:uid="{00000000-0005-0000-0000-00000B170000}"/>
    <cellStyle name="Comma 5 3 4 10 3" xfId="31489" xr:uid="{00000000-0005-0000-0000-00000C170000}"/>
    <cellStyle name="Comma 5 3 4 11" xfId="2662" xr:uid="{00000000-0005-0000-0000-00000D170000}"/>
    <cellStyle name="Comma 5 3 4 11 2" xfId="15180" xr:uid="{00000000-0005-0000-0000-00000E170000}"/>
    <cellStyle name="Comma 5 3 4 11 2 2" xfId="40054" xr:uid="{00000000-0005-0000-0000-00000F170000}"/>
    <cellStyle name="Comma 5 3 4 11 3" xfId="27613" xr:uid="{00000000-0005-0000-0000-000010170000}"/>
    <cellStyle name="Comma 5 3 4 12" xfId="13081" xr:uid="{00000000-0005-0000-0000-000011170000}"/>
    <cellStyle name="Comma 5 3 4 12 2" xfId="37955" xr:uid="{00000000-0005-0000-0000-000012170000}"/>
    <cellStyle name="Comma 5 3 4 13" xfId="25514" xr:uid="{00000000-0005-0000-0000-000013170000}"/>
    <cellStyle name="Comma 5 3 4 2" xfId="473" xr:uid="{00000000-0005-0000-0000-000014170000}"/>
    <cellStyle name="Comma 5 3 4 2 10" xfId="13286" xr:uid="{00000000-0005-0000-0000-000015170000}"/>
    <cellStyle name="Comma 5 3 4 2 10 2" xfId="38160" xr:uid="{00000000-0005-0000-0000-000016170000}"/>
    <cellStyle name="Comma 5 3 4 2 11" xfId="25719" xr:uid="{00000000-0005-0000-0000-000017170000}"/>
    <cellStyle name="Comma 5 3 4 2 2" xfId="832" xr:uid="{00000000-0005-0000-0000-000018170000}"/>
    <cellStyle name="Comma 5 3 4 2 2 2" xfId="1319" xr:uid="{00000000-0005-0000-0000-000019170000}"/>
    <cellStyle name="Comma 5 3 4 2 2 2 2" xfId="9423" xr:uid="{00000000-0005-0000-0000-00001A170000}"/>
    <cellStyle name="Comma 5 3 4 2 2 2 2 2" xfId="21866" xr:uid="{00000000-0005-0000-0000-00001B170000}"/>
    <cellStyle name="Comma 5 3 4 2 2 2 2 2 2" xfId="46740" xr:uid="{00000000-0005-0000-0000-00001C170000}"/>
    <cellStyle name="Comma 5 3 4 2 2 2 2 3" xfId="34307" xr:uid="{00000000-0005-0000-0000-00001D170000}"/>
    <cellStyle name="Comma 5 3 4 2 2 2 3" xfId="4405" xr:uid="{00000000-0005-0000-0000-00001E170000}"/>
    <cellStyle name="Comma 5 3 4 2 2 2 3 2" xfId="16859" xr:uid="{00000000-0005-0000-0000-00001F170000}"/>
    <cellStyle name="Comma 5 3 4 2 2 2 3 2 2" xfId="41733" xr:uid="{00000000-0005-0000-0000-000020170000}"/>
    <cellStyle name="Comma 5 3 4 2 2 2 3 3" xfId="29300" xr:uid="{00000000-0005-0000-0000-000021170000}"/>
    <cellStyle name="Comma 5 3 4 2 2 2 4" xfId="14119" xr:uid="{00000000-0005-0000-0000-000022170000}"/>
    <cellStyle name="Comma 5 3 4 2 2 2 4 2" xfId="38993" xr:uid="{00000000-0005-0000-0000-000023170000}"/>
    <cellStyle name="Comma 5 3 4 2 2 2 5" xfId="26552" xr:uid="{00000000-0005-0000-0000-000024170000}"/>
    <cellStyle name="Comma 5 3 4 2 2 3" xfId="5464" xr:uid="{00000000-0005-0000-0000-000025170000}"/>
    <cellStyle name="Comma 5 3 4 2 2 3 2" xfId="10480" xr:uid="{00000000-0005-0000-0000-000026170000}"/>
    <cellStyle name="Comma 5 3 4 2 2 3 2 2" xfId="22923" xr:uid="{00000000-0005-0000-0000-000027170000}"/>
    <cellStyle name="Comma 5 3 4 2 2 3 2 2 2" xfId="47797" xr:uid="{00000000-0005-0000-0000-000028170000}"/>
    <cellStyle name="Comma 5 3 4 2 2 3 2 3" xfId="35364" xr:uid="{00000000-0005-0000-0000-000029170000}"/>
    <cellStyle name="Comma 5 3 4 2 2 3 3" xfId="17916" xr:uid="{00000000-0005-0000-0000-00002A170000}"/>
    <cellStyle name="Comma 5 3 4 2 2 3 3 2" xfId="42790" xr:uid="{00000000-0005-0000-0000-00002B170000}"/>
    <cellStyle name="Comma 5 3 4 2 2 3 4" xfId="30357" xr:uid="{00000000-0005-0000-0000-00002C170000}"/>
    <cellStyle name="Comma 5 3 4 2 2 4" xfId="8539" xr:uid="{00000000-0005-0000-0000-00002D170000}"/>
    <cellStyle name="Comma 5 3 4 2 2 4 2" xfId="20983" xr:uid="{00000000-0005-0000-0000-00002E170000}"/>
    <cellStyle name="Comma 5 3 4 2 2 4 2 2" xfId="45857" xr:uid="{00000000-0005-0000-0000-00002F170000}"/>
    <cellStyle name="Comma 5 3 4 2 2 4 3" xfId="33424" xr:uid="{00000000-0005-0000-0000-000030170000}"/>
    <cellStyle name="Comma 5 3 4 2 2 5" xfId="11934" xr:uid="{00000000-0005-0000-0000-000031170000}"/>
    <cellStyle name="Comma 5 3 4 2 2 5 2" xfId="24368" xr:uid="{00000000-0005-0000-0000-000032170000}"/>
    <cellStyle name="Comma 5 3 4 2 2 5 2 2" xfId="49242" xr:uid="{00000000-0005-0000-0000-000033170000}"/>
    <cellStyle name="Comma 5 3 4 2 2 5 3" xfId="36809" xr:uid="{00000000-0005-0000-0000-000034170000}"/>
    <cellStyle name="Comma 5 3 4 2 2 6" xfId="7016" xr:uid="{00000000-0005-0000-0000-000035170000}"/>
    <cellStyle name="Comma 5 3 4 2 2 6 2" xfId="19465" xr:uid="{00000000-0005-0000-0000-000036170000}"/>
    <cellStyle name="Comma 5 3 4 2 2 6 2 2" xfId="44339" xr:uid="{00000000-0005-0000-0000-000037170000}"/>
    <cellStyle name="Comma 5 3 4 2 2 6 3" xfId="31906" xr:uid="{00000000-0005-0000-0000-000038170000}"/>
    <cellStyle name="Comma 5 3 4 2 2 7" xfId="3470" xr:uid="{00000000-0005-0000-0000-000039170000}"/>
    <cellStyle name="Comma 5 3 4 2 2 7 2" xfId="15976" xr:uid="{00000000-0005-0000-0000-00003A170000}"/>
    <cellStyle name="Comma 5 3 4 2 2 7 2 2" xfId="40850" xr:uid="{00000000-0005-0000-0000-00003B170000}"/>
    <cellStyle name="Comma 5 3 4 2 2 7 3" xfId="28409" xr:uid="{00000000-0005-0000-0000-00003C170000}"/>
    <cellStyle name="Comma 5 3 4 2 2 8" xfId="13633" xr:uid="{00000000-0005-0000-0000-00003D170000}"/>
    <cellStyle name="Comma 5 3 4 2 2 8 2" xfId="38507" xr:uid="{00000000-0005-0000-0000-00003E170000}"/>
    <cellStyle name="Comma 5 3 4 2 2 9" xfId="26066" xr:uid="{00000000-0005-0000-0000-00003F170000}"/>
    <cellStyle name="Comma 5 3 4 2 3" xfId="1667" xr:uid="{00000000-0005-0000-0000-000040170000}"/>
    <cellStyle name="Comma 5 3 4 2 3 2" xfId="5015" xr:uid="{00000000-0005-0000-0000-000041170000}"/>
    <cellStyle name="Comma 5 3 4 2 3 2 2" xfId="10032" xr:uid="{00000000-0005-0000-0000-000042170000}"/>
    <cellStyle name="Comma 5 3 4 2 3 2 2 2" xfId="22475" xr:uid="{00000000-0005-0000-0000-000043170000}"/>
    <cellStyle name="Comma 5 3 4 2 3 2 2 2 2" xfId="47349" xr:uid="{00000000-0005-0000-0000-000044170000}"/>
    <cellStyle name="Comma 5 3 4 2 3 2 2 3" xfId="34916" xr:uid="{00000000-0005-0000-0000-000045170000}"/>
    <cellStyle name="Comma 5 3 4 2 3 2 3" xfId="17468" xr:uid="{00000000-0005-0000-0000-000046170000}"/>
    <cellStyle name="Comma 5 3 4 2 3 2 3 2" xfId="42342" xr:uid="{00000000-0005-0000-0000-000047170000}"/>
    <cellStyle name="Comma 5 3 4 2 3 2 4" xfId="29909" xr:uid="{00000000-0005-0000-0000-000048170000}"/>
    <cellStyle name="Comma 5 3 4 2 3 3" xfId="5813" xr:uid="{00000000-0005-0000-0000-000049170000}"/>
    <cellStyle name="Comma 5 3 4 2 3 3 2" xfId="10828" xr:uid="{00000000-0005-0000-0000-00004A170000}"/>
    <cellStyle name="Comma 5 3 4 2 3 3 2 2" xfId="23271" xr:uid="{00000000-0005-0000-0000-00004B170000}"/>
    <cellStyle name="Comma 5 3 4 2 3 3 2 2 2" xfId="48145" xr:uid="{00000000-0005-0000-0000-00004C170000}"/>
    <cellStyle name="Comma 5 3 4 2 3 3 2 3" xfId="35712" xr:uid="{00000000-0005-0000-0000-00004D170000}"/>
    <cellStyle name="Comma 5 3 4 2 3 3 3" xfId="18264" xr:uid="{00000000-0005-0000-0000-00004E170000}"/>
    <cellStyle name="Comma 5 3 4 2 3 3 3 2" xfId="43138" xr:uid="{00000000-0005-0000-0000-00004F170000}"/>
    <cellStyle name="Comma 5 3 4 2 3 3 4" xfId="30705" xr:uid="{00000000-0005-0000-0000-000050170000}"/>
    <cellStyle name="Comma 5 3 4 2 3 4" xfId="8439" xr:uid="{00000000-0005-0000-0000-000051170000}"/>
    <cellStyle name="Comma 5 3 4 2 3 4 2" xfId="20883" xr:uid="{00000000-0005-0000-0000-000052170000}"/>
    <cellStyle name="Comma 5 3 4 2 3 4 2 2" xfId="45757" xr:uid="{00000000-0005-0000-0000-000053170000}"/>
    <cellStyle name="Comma 5 3 4 2 3 4 3" xfId="33324" xr:uid="{00000000-0005-0000-0000-000054170000}"/>
    <cellStyle name="Comma 5 3 4 2 3 5" xfId="12282" xr:uid="{00000000-0005-0000-0000-000055170000}"/>
    <cellStyle name="Comma 5 3 4 2 3 5 2" xfId="24716" xr:uid="{00000000-0005-0000-0000-000056170000}"/>
    <cellStyle name="Comma 5 3 4 2 3 5 2 2" xfId="49590" xr:uid="{00000000-0005-0000-0000-000057170000}"/>
    <cellStyle name="Comma 5 3 4 2 3 5 3" xfId="37157" xr:uid="{00000000-0005-0000-0000-000058170000}"/>
    <cellStyle name="Comma 5 3 4 2 3 6" xfId="7626" xr:uid="{00000000-0005-0000-0000-000059170000}"/>
    <cellStyle name="Comma 5 3 4 2 3 6 2" xfId="20074" xr:uid="{00000000-0005-0000-0000-00005A170000}"/>
    <cellStyle name="Comma 5 3 4 2 3 6 2 2" xfId="44948" xr:uid="{00000000-0005-0000-0000-00005B170000}"/>
    <cellStyle name="Comma 5 3 4 2 3 6 3" xfId="32515" xr:uid="{00000000-0005-0000-0000-00005C170000}"/>
    <cellStyle name="Comma 5 3 4 2 3 7" xfId="3370" xr:uid="{00000000-0005-0000-0000-00005D170000}"/>
    <cellStyle name="Comma 5 3 4 2 3 7 2" xfId="15876" xr:uid="{00000000-0005-0000-0000-00005E170000}"/>
    <cellStyle name="Comma 5 3 4 2 3 7 2 2" xfId="40750" xr:uid="{00000000-0005-0000-0000-00005F170000}"/>
    <cellStyle name="Comma 5 3 4 2 3 7 3" xfId="28309" xr:uid="{00000000-0005-0000-0000-000060170000}"/>
    <cellStyle name="Comma 5 3 4 2 3 8" xfId="14467" xr:uid="{00000000-0005-0000-0000-000061170000}"/>
    <cellStyle name="Comma 5 3 4 2 3 8 2" xfId="39341" xr:uid="{00000000-0005-0000-0000-000062170000}"/>
    <cellStyle name="Comma 5 3 4 2 3 9" xfId="26900" xr:uid="{00000000-0005-0000-0000-000063170000}"/>
    <cellStyle name="Comma 5 3 4 2 4" xfId="2391" xr:uid="{00000000-0005-0000-0000-000064170000}"/>
    <cellStyle name="Comma 5 3 4 2 4 2" xfId="6413" xr:uid="{00000000-0005-0000-0000-000065170000}"/>
    <cellStyle name="Comma 5 3 4 2 4 2 2" xfId="11428" xr:uid="{00000000-0005-0000-0000-000066170000}"/>
    <cellStyle name="Comma 5 3 4 2 4 2 2 2" xfId="23871" xr:uid="{00000000-0005-0000-0000-000067170000}"/>
    <cellStyle name="Comma 5 3 4 2 4 2 2 2 2" xfId="48745" xr:uid="{00000000-0005-0000-0000-000068170000}"/>
    <cellStyle name="Comma 5 3 4 2 4 2 2 3" xfId="36312" xr:uid="{00000000-0005-0000-0000-000069170000}"/>
    <cellStyle name="Comma 5 3 4 2 4 2 3" xfId="18864" xr:uid="{00000000-0005-0000-0000-00006A170000}"/>
    <cellStyle name="Comma 5 3 4 2 4 2 3 2" xfId="43738" xr:uid="{00000000-0005-0000-0000-00006B170000}"/>
    <cellStyle name="Comma 5 3 4 2 4 2 4" xfId="31305" xr:uid="{00000000-0005-0000-0000-00006C170000}"/>
    <cellStyle name="Comma 5 3 4 2 4 3" xfId="12882" xr:uid="{00000000-0005-0000-0000-00006D170000}"/>
    <cellStyle name="Comma 5 3 4 2 4 3 2" xfId="25316" xr:uid="{00000000-0005-0000-0000-00006E170000}"/>
    <cellStyle name="Comma 5 3 4 2 4 3 2 2" xfId="50190" xr:uid="{00000000-0005-0000-0000-00006F170000}"/>
    <cellStyle name="Comma 5 3 4 2 4 3 3" xfId="37757" xr:uid="{00000000-0005-0000-0000-000070170000}"/>
    <cellStyle name="Comma 5 3 4 2 4 4" xfId="9323" xr:uid="{00000000-0005-0000-0000-000071170000}"/>
    <cellStyle name="Comma 5 3 4 2 4 4 2" xfId="21766" xr:uid="{00000000-0005-0000-0000-000072170000}"/>
    <cellStyle name="Comma 5 3 4 2 4 4 2 2" xfId="46640" xr:uid="{00000000-0005-0000-0000-000073170000}"/>
    <cellStyle name="Comma 5 3 4 2 4 4 3" xfId="34207" xr:uid="{00000000-0005-0000-0000-000074170000}"/>
    <cellStyle name="Comma 5 3 4 2 4 5" xfId="4305" xr:uid="{00000000-0005-0000-0000-000075170000}"/>
    <cellStyle name="Comma 5 3 4 2 4 5 2" xfId="16759" xr:uid="{00000000-0005-0000-0000-000076170000}"/>
    <cellStyle name="Comma 5 3 4 2 4 5 2 2" xfId="41633" xr:uid="{00000000-0005-0000-0000-000077170000}"/>
    <cellStyle name="Comma 5 3 4 2 4 5 3" xfId="29200" xr:uid="{00000000-0005-0000-0000-000078170000}"/>
    <cellStyle name="Comma 5 3 4 2 4 6" xfId="15067" xr:uid="{00000000-0005-0000-0000-000079170000}"/>
    <cellStyle name="Comma 5 3 4 2 4 6 2" xfId="39941" xr:uid="{00000000-0005-0000-0000-00007A170000}"/>
    <cellStyle name="Comma 5 3 4 2 4 7" xfId="27500" xr:uid="{00000000-0005-0000-0000-00007B170000}"/>
    <cellStyle name="Comma 5 3 4 2 5" xfId="1224" xr:uid="{00000000-0005-0000-0000-00007C170000}"/>
    <cellStyle name="Comma 5 3 4 2 5 2" xfId="10385" xr:uid="{00000000-0005-0000-0000-00007D170000}"/>
    <cellStyle name="Comma 5 3 4 2 5 2 2" xfId="22828" xr:uid="{00000000-0005-0000-0000-00007E170000}"/>
    <cellStyle name="Comma 5 3 4 2 5 2 2 2" xfId="47702" xr:uid="{00000000-0005-0000-0000-00007F170000}"/>
    <cellStyle name="Comma 5 3 4 2 5 2 3" xfId="35269" xr:uid="{00000000-0005-0000-0000-000080170000}"/>
    <cellStyle name="Comma 5 3 4 2 5 3" xfId="5369" xr:uid="{00000000-0005-0000-0000-000081170000}"/>
    <cellStyle name="Comma 5 3 4 2 5 3 2" xfId="17821" xr:uid="{00000000-0005-0000-0000-000082170000}"/>
    <cellStyle name="Comma 5 3 4 2 5 3 2 2" xfId="42695" xr:uid="{00000000-0005-0000-0000-000083170000}"/>
    <cellStyle name="Comma 5 3 4 2 5 3 3" xfId="30262" xr:uid="{00000000-0005-0000-0000-000084170000}"/>
    <cellStyle name="Comma 5 3 4 2 5 4" xfId="14024" xr:uid="{00000000-0005-0000-0000-000085170000}"/>
    <cellStyle name="Comma 5 3 4 2 5 4 2" xfId="38898" xr:uid="{00000000-0005-0000-0000-000086170000}"/>
    <cellStyle name="Comma 5 3 4 2 5 5" xfId="26457" xr:uid="{00000000-0005-0000-0000-000087170000}"/>
    <cellStyle name="Comma 5 3 4 2 6" xfId="7946" xr:uid="{00000000-0005-0000-0000-000088170000}"/>
    <cellStyle name="Comma 5 3 4 2 6 2" xfId="20392" xr:uid="{00000000-0005-0000-0000-000089170000}"/>
    <cellStyle name="Comma 5 3 4 2 6 2 2" xfId="45266" xr:uid="{00000000-0005-0000-0000-00008A170000}"/>
    <cellStyle name="Comma 5 3 4 2 6 3" xfId="32833" xr:uid="{00000000-0005-0000-0000-00008B170000}"/>
    <cellStyle name="Comma 5 3 4 2 7" xfId="11839" xr:uid="{00000000-0005-0000-0000-00008C170000}"/>
    <cellStyle name="Comma 5 3 4 2 7 2" xfId="24273" xr:uid="{00000000-0005-0000-0000-00008D170000}"/>
    <cellStyle name="Comma 5 3 4 2 7 2 2" xfId="49147" xr:uid="{00000000-0005-0000-0000-00008E170000}"/>
    <cellStyle name="Comma 5 3 4 2 7 3" xfId="36714" xr:uid="{00000000-0005-0000-0000-00008F170000}"/>
    <cellStyle name="Comma 5 3 4 2 8" xfId="6916" xr:uid="{00000000-0005-0000-0000-000090170000}"/>
    <cellStyle name="Comma 5 3 4 2 8 2" xfId="19365" xr:uid="{00000000-0005-0000-0000-000091170000}"/>
    <cellStyle name="Comma 5 3 4 2 8 2 2" xfId="44239" xr:uid="{00000000-0005-0000-0000-000092170000}"/>
    <cellStyle name="Comma 5 3 4 2 8 3" xfId="31806" xr:uid="{00000000-0005-0000-0000-000093170000}"/>
    <cellStyle name="Comma 5 3 4 2 9" xfId="2867" xr:uid="{00000000-0005-0000-0000-000094170000}"/>
    <cellStyle name="Comma 5 3 4 2 9 2" xfId="15385" xr:uid="{00000000-0005-0000-0000-000095170000}"/>
    <cellStyle name="Comma 5 3 4 2 9 2 2" xfId="40259" xr:uid="{00000000-0005-0000-0000-000096170000}"/>
    <cellStyle name="Comma 5 3 4 2 9 3" xfId="27818" xr:uid="{00000000-0005-0000-0000-000097170000}"/>
    <cellStyle name="Comma 5 3 4 3" xfId="621" xr:uid="{00000000-0005-0000-0000-000098170000}"/>
    <cellStyle name="Comma 5 3 4 3 2" xfId="1318" xr:uid="{00000000-0005-0000-0000-000099170000}"/>
    <cellStyle name="Comma 5 3 4 3 2 2" xfId="9118" xr:uid="{00000000-0005-0000-0000-00009A170000}"/>
    <cellStyle name="Comma 5 3 4 3 2 2 2" xfId="21561" xr:uid="{00000000-0005-0000-0000-00009B170000}"/>
    <cellStyle name="Comma 5 3 4 3 2 2 2 2" xfId="46435" xr:uid="{00000000-0005-0000-0000-00009C170000}"/>
    <cellStyle name="Comma 5 3 4 3 2 2 3" xfId="34002" xr:uid="{00000000-0005-0000-0000-00009D170000}"/>
    <cellStyle name="Comma 5 3 4 3 2 3" xfId="4100" xr:uid="{00000000-0005-0000-0000-00009E170000}"/>
    <cellStyle name="Comma 5 3 4 3 2 3 2" xfId="16554" xr:uid="{00000000-0005-0000-0000-00009F170000}"/>
    <cellStyle name="Comma 5 3 4 3 2 3 2 2" xfId="41428" xr:uid="{00000000-0005-0000-0000-0000A0170000}"/>
    <cellStyle name="Comma 5 3 4 3 2 3 3" xfId="28995" xr:uid="{00000000-0005-0000-0000-0000A1170000}"/>
    <cellStyle name="Comma 5 3 4 3 2 4" xfId="14118" xr:uid="{00000000-0005-0000-0000-0000A2170000}"/>
    <cellStyle name="Comma 5 3 4 3 2 4 2" xfId="38992" xr:uid="{00000000-0005-0000-0000-0000A3170000}"/>
    <cellStyle name="Comma 5 3 4 3 2 5" xfId="26551" xr:uid="{00000000-0005-0000-0000-0000A4170000}"/>
    <cellStyle name="Comma 5 3 4 3 3" xfId="5463" xr:uid="{00000000-0005-0000-0000-0000A5170000}"/>
    <cellStyle name="Comma 5 3 4 3 3 2" xfId="10479" xr:uid="{00000000-0005-0000-0000-0000A6170000}"/>
    <cellStyle name="Comma 5 3 4 3 3 2 2" xfId="22922" xr:uid="{00000000-0005-0000-0000-0000A7170000}"/>
    <cellStyle name="Comma 5 3 4 3 3 2 2 2" xfId="47796" xr:uid="{00000000-0005-0000-0000-0000A8170000}"/>
    <cellStyle name="Comma 5 3 4 3 3 2 3" xfId="35363" xr:uid="{00000000-0005-0000-0000-0000A9170000}"/>
    <cellStyle name="Comma 5 3 4 3 3 3" xfId="17915" xr:uid="{00000000-0005-0000-0000-0000AA170000}"/>
    <cellStyle name="Comma 5 3 4 3 3 3 2" xfId="42789" xr:uid="{00000000-0005-0000-0000-0000AB170000}"/>
    <cellStyle name="Comma 5 3 4 3 3 4" xfId="30356" xr:uid="{00000000-0005-0000-0000-0000AC170000}"/>
    <cellStyle name="Comma 5 3 4 3 4" xfId="8234" xr:uid="{00000000-0005-0000-0000-0000AD170000}"/>
    <cellStyle name="Comma 5 3 4 3 4 2" xfId="20678" xr:uid="{00000000-0005-0000-0000-0000AE170000}"/>
    <cellStyle name="Comma 5 3 4 3 4 2 2" xfId="45552" xr:uid="{00000000-0005-0000-0000-0000AF170000}"/>
    <cellStyle name="Comma 5 3 4 3 4 3" xfId="33119" xr:uid="{00000000-0005-0000-0000-0000B0170000}"/>
    <cellStyle name="Comma 5 3 4 3 5" xfId="11933" xr:uid="{00000000-0005-0000-0000-0000B1170000}"/>
    <cellStyle name="Comma 5 3 4 3 5 2" xfId="24367" xr:uid="{00000000-0005-0000-0000-0000B2170000}"/>
    <cellStyle name="Comma 5 3 4 3 5 2 2" xfId="49241" xr:uid="{00000000-0005-0000-0000-0000B3170000}"/>
    <cellStyle name="Comma 5 3 4 3 5 3" xfId="36808" xr:uid="{00000000-0005-0000-0000-0000B4170000}"/>
    <cellStyle name="Comma 5 3 4 3 6" xfId="6711" xr:uid="{00000000-0005-0000-0000-0000B5170000}"/>
    <cellStyle name="Comma 5 3 4 3 6 2" xfId="19160" xr:uid="{00000000-0005-0000-0000-0000B6170000}"/>
    <cellStyle name="Comma 5 3 4 3 6 2 2" xfId="44034" xr:uid="{00000000-0005-0000-0000-0000B7170000}"/>
    <cellStyle name="Comma 5 3 4 3 6 3" xfId="31601" xr:uid="{00000000-0005-0000-0000-0000B8170000}"/>
    <cellStyle name="Comma 5 3 4 3 7" xfId="3165" xr:uid="{00000000-0005-0000-0000-0000B9170000}"/>
    <cellStyle name="Comma 5 3 4 3 7 2" xfId="15671" xr:uid="{00000000-0005-0000-0000-0000BA170000}"/>
    <cellStyle name="Comma 5 3 4 3 7 2 2" xfId="40545" xr:uid="{00000000-0005-0000-0000-0000BB170000}"/>
    <cellStyle name="Comma 5 3 4 3 7 3" xfId="28104" xr:uid="{00000000-0005-0000-0000-0000BC170000}"/>
    <cellStyle name="Comma 5 3 4 3 8" xfId="13428" xr:uid="{00000000-0005-0000-0000-0000BD170000}"/>
    <cellStyle name="Comma 5 3 4 3 8 2" xfId="38302" xr:uid="{00000000-0005-0000-0000-0000BE170000}"/>
    <cellStyle name="Comma 5 3 4 3 9" xfId="25861" xr:uid="{00000000-0005-0000-0000-0000BF170000}"/>
    <cellStyle name="Comma 5 3 4 4" xfId="1666" xr:uid="{00000000-0005-0000-0000-0000C0170000}"/>
    <cellStyle name="Comma 5 3 4 4 2" xfId="4404" xr:uid="{00000000-0005-0000-0000-0000C1170000}"/>
    <cellStyle name="Comma 5 3 4 4 2 2" xfId="9422" xr:uid="{00000000-0005-0000-0000-0000C2170000}"/>
    <cellStyle name="Comma 5 3 4 4 2 2 2" xfId="21865" xr:uid="{00000000-0005-0000-0000-0000C3170000}"/>
    <cellStyle name="Comma 5 3 4 4 2 2 2 2" xfId="46739" xr:uid="{00000000-0005-0000-0000-0000C4170000}"/>
    <cellStyle name="Comma 5 3 4 4 2 2 3" xfId="34306" xr:uid="{00000000-0005-0000-0000-0000C5170000}"/>
    <cellStyle name="Comma 5 3 4 4 2 3" xfId="16858" xr:uid="{00000000-0005-0000-0000-0000C6170000}"/>
    <cellStyle name="Comma 5 3 4 4 2 3 2" xfId="41732" xr:uid="{00000000-0005-0000-0000-0000C7170000}"/>
    <cellStyle name="Comma 5 3 4 4 2 4" xfId="29299" xr:uid="{00000000-0005-0000-0000-0000C8170000}"/>
    <cellStyle name="Comma 5 3 4 4 3" xfId="5812" xr:uid="{00000000-0005-0000-0000-0000C9170000}"/>
    <cellStyle name="Comma 5 3 4 4 3 2" xfId="10827" xr:uid="{00000000-0005-0000-0000-0000CA170000}"/>
    <cellStyle name="Comma 5 3 4 4 3 2 2" xfId="23270" xr:uid="{00000000-0005-0000-0000-0000CB170000}"/>
    <cellStyle name="Comma 5 3 4 4 3 2 2 2" xfId="48144" xr:uid="{00000000-0005-0000-0000-0000CC170000}"/>
    <cellStyle name="Comma 5 3 4 4 3 2 3" xfId="35711" xr:uid="{00000000-0005-0000-0000-0000CD170000}"/>
    <cellStyle name="Comma 5 3 4 4 3 3" xfId="18263" xr:uid="{00000000-0005-0000-0000-0000CE170000}"/>
    <cellStyle name="Comma 5 3 4 4 3 3 2" xfId="43137" xr:uid="{00000000-0005-0000-0000-0000CF170000}"/>
    <cellStyle name="Comma 5 3 4 4 3 4" xfId="30704" xr:uid="{00000000-0005-0000-0000-0000D0170000}"/>
    <cellStyle name="Comma 5 3 4 4 4" xfId="8538" xr:uid="{00000000-0005-0000-0000-0000D1170000}"/>
    <cellStyle name="Comma 5 3 4 4 4 2" xfId="20982" xr:uid="{00000000-0005-0000-0000-0000D2170000}"/>
    <cellStyle name="Comma 5 3 4 4 4 2 2" xfId="45856" xr:uid="{00000000-0005-0000-0000-0000D3170000}"/>
    <cellStyle name="Comma 5 3 4 4 4 3" xfId="33423" xr:uid="{00000000-0005-0000-0000-0000D4170000}"/>
    <cellStyle name="Comma 5 3 4 4 5" xfId="12281" xr:uid="{00000000-0005-0000-0000-0000D5170000}"/>
    <cellStyle name="Comma 5 3 4 4 5 2" xfId="24715" xr:uid="{00000000-0005-0000-0000-0000D6170000}"/>
    <cellStyle name="Comma 5 3 4 4 5 2 2" xfId="49589" xr:uid="{00000000-0005-0000-0000-0000D7170000}"/>
    <cellStyle name="Comma 5 3 4 4 5 3" xfId="37156" xr:uid="{00000000-0005-0000-0000-0000D8170000}"/>
    <cellStyle name="Comma 5 3 4 4 6" xfId="7015" xr:uid="{00000000-0005-0000-0000-0000D9170000}"/>
    <cellStyle name="Comma 5 3 4 4 6 2" xfId="19464" xr:uid="{00000000-0005-0000-0000-0000DA170000}"/>
    <cellStyle name="Comma 5 3 4 4 6 2 2" xfId="44338" xr:uid="{00000000-0005-0000-0000-0000DB170000}"/>
    <cellStyle name="Comma 5 3 4 4 6 3" xfId="31905" xr:uid="{00000000-0005-0000-0000-0000DC170000}"/>
    <cellStyle name="Comma 5 3 4 4 7" xfId="3469" xr:uid="{00000000-0005-0000-0000-0000DD170000}"/>
    <cellStyle name="Comma 5 3 4 4 7 2" xfId="15975" xr:uid="{00000000-0005-0000-0000-0000DE170000}"/>
    <cellStyle name="Comma 5 3 4 4 7 2 2" xfId="40849" xr:uid="{00000000-0005-0000-0000-0000DF170000}"/>
    <cellStyle name="Comma 5 3 4 4 7 3" xfId="28408" xr:uid="{00000000-0005-0000-0000-0000E0170000}"/>
    <cellStyle name="Comma 5 3 4 4 8" xfId="14466" xr:uid="{00000000-0005-0000-0000-0000E1170000}"/>
    <cellStyle name="Comma 5 3 4 4 8 2" xfId="39340" xr:uid="{00000000-0005-0000-0000-0000E2170000}"/>
    <cellStyle name="Comma 5 3 4 4 9" xfId="26899" xr:uid="{00000000-0005-0000-0000-0000E3170000}"/>
    <cellStyle name="Comma 5 3 4 5" xfId="2177" xr:uid="{00000000-0005-0000-0000-0000E4170000}"/>
    <cellStyle name="Comma 5 3 4 5 2" xfId="4810" xr:uid="{00000000-0005-0000-0000-0000E5170000}"/>
    <cellStyle name="Comma 5 3 4 5 2 2" xfId="9827" xr:uid="{00000000-0005-0000-0000-0000E6170000}"/>
    <cellStyle name="Comma 5 3 4 5 2 2 2" xfId="22270" xr:uid="{00000000-0005-0000-0000-0000E7170000}"/>
    <cellStyle name="Comma 5 3 4 5 2 2 2 2" xfId="47144" xr:uid="{00000000-0005-0000-0000-0000E8170000}"/>
    <cellStyle name="Comma 5 3 4 5 2 2 3" xfId="34711" xr:uid="{00000000-0005-0000-0000-0000E9170000}"/>
    <cellStyle name="Comma 5 3 4 5 2 3" xfId="17263" xr:uid="{00000000-0005-0000-0000-0000EA170000}"/>
    <cellStyle name="Comma 5 3 4 5 2 3 2" xfId="42137" xr:uid="{00000000-0005-0000-0000-0000EB170000}"/>
    <cellStyle name="Comma 5 3 4 5 2 4" xfId="29704" xr:uid="{00000000-0005-0000-0000-0000EC170000}"/>
    <cellStyle name="Comma 5 3 4 5 3" xfId="6208" xr:uid="{00000000-0005-0000-0000-0000ED170000}"/>
    <cellStyle name="Comma 5 3 4 5 3 2" xfId="11223" xr:uid="{00000000-0005-0000-0000-0000EE170000}"/>
    <cellStyle name="Comma 5 3 4 5 3 2 2" xfId="23666" xr:uid="{00000000-0005-0000-0000-0000EF170000}"/>
    <cellStyle name="Comma 5 3 4 5 3 2 2 2" xfId="48540" xr:uid="{00000000-0005-0000-0000-0000F0170000}"/>
    <cellStyle name="Comma 5 3 4 5 3 2 3" xfId="36107" xr:uid="{00000000-0005-0000-0000-0000F1170000}"/>
    <cellStyle name="Comma 5 3 4 5 3 3" xfId="18659" xr:uid="{00000000-0005-0000-0000-0000F2170000}"/>
    <cellStyle name="Comma 5 3 4 5 3 3 2" xfId="43533" xr:uid="{00000000-0005-0000-0000-0000F3170000}"/>
    <cellStyle name="Comma 5 3 4 5 3 4" xfId="31100" xr:uid="{00000000-0005-0000-0000-0000F4170000}"/>
    <cellStyle name="Comma 5 3 4 5 4" xfId="8120" xr:uid="{00000000-0005-0000-0000-0000F5170000}"/>
    <cellStyle name="Comma 5 3 4 5 4 2" xfId="20566" xr:uid="{00000000-0005-0000-0000-0000F6170000}"/>
    <cellStyle name="Comma 5 3 4 5 4 2 2" xfId="45440" xr:uid="{00000000-0005-0000-0000-0000F7170000}"/>
    <cellStyle name="Comma 5 3 4 5 4 3" xfId="33007" xr:uid="{00000000-0005-0000-0000-0000F8170000}"/>
    <cellStyle name="Comma 5 3 4 5 5" xfId="12677" xr:uid="{00000000-0005-0000-0000-0000F9170000}"/>
    <cellStyle name="Comma 5 3 4 5 5 2" xfId="25111" xr:uid="{00000000-0005-0000-0000-0000FA170000}"/>
    <cellStyle name="Comma 5 3 4 5 5 2 2" xfId="49985" xr:uid="{00000000-0005-0000-0000-0000FB170000}"/>
    <cellStyle name="Comma 5 3 4 5 5 3" xfId="37552" xr:uid="{00000000-0005-0000-0000-0000FC170000}"/>
    <cellStyle name="Comma 5 3 4 5 6" xfId="7421" xr:uid="{00000000-0005-0000-0000-0000FD170000}"/>
    <cellStyle name="Comma 5 3 4 5 6 2" xfId="19869" xr:uid="{00000000-0005-0000-0000-0000FE170000}"/>
    <cellStyle name="Comma 5 3 4 5 6 2 2" xfId="44743" xr:uid="{00000000-0005-0000-0000-0000FF170000}"/>
    <cellStyle name="Comma 5 3 4 5 6 3" xfId="32310" xr:uid="{00000000-0005-0000-0000-000000180000}"/>
    <cellStyle name="Comma 5 3 4 5 7" xfId="3050" xr:uid="{00000000-0005-0000-0000-000001180000}"/>
    <cellStyle name="Comma 5 3 4 5 7 2" xfId="15559" xr:uid="{00000000-0005-0000-0000-000002180000}"/>
    <cellStyle name="Comma 5 3 4 5 7 2 2" xfId="40433" xr:uid="{00000000-0005-0000-0000-000003180000}"/>
    <cellStyle name="Comma 5 3 4 5 7 3" xfId="27992" xr:uid="{00000000-0005-0000-0000-000004180000}"/>
    <cellStyle name="Comma 5 3 4 5 8" xfId="14862" xr:uid="{00000000-0005-0000-0000-000005180000}"/>
    <cellStyle name="Comma 5 3 4 5 8 2" xfId="39736" xr:uid="{00000000-0005-0000-0000-000006180000}"/>
    <cellStyle name="Comma 5 3 4 5 9" xfId="27295" xr:uid="{00000000-0005-0000-0000-000007180000}"/>
    <cellStyle name="Comma 5 3 4 6" xfId="1019" xr:uid="{00000000-0005-0000-0000-000008180000}"/>
    <cellStyle name="Comma 5 3 4 6 2" xfId="9006" xr:uid="{00000000-0005-0000-0000-000009180000}"/>
    <cellStyle name="Comma 5 3 4 6 2 2" xfId="21449" xr:uid="{00000000-0005-0000-0000-00000A180000}"/>
    <cellStyle name="Comma 5 3 4 6 2 2 2" xfId="46323" xr:uid="{00000000-0005-0000-0000-00000B180000}"/>
    <cellStyle name="Comma 5 3 4 6 2 3" xfId="33890" xr:uid="{00000000-0005-0000-0000-00000C180000}"/>
    <cellStyle name="Comma 5 3 4 6 3" xfId="3988" xr:uid="{00000000-0005-0000-0000-00000D180000}"/>
    <cellStyle name="Comma 5 3 4 6 3 2" xfId="16442" xr:uid="{00000000-0005-0000-0000-00000E180000}"/>
    <cellStyle name="Comma 5 3 4 6 3 2 2" xfId="41316" xr:uid="{00000000-0005-0000-0000-00000F180000}"/>
    <cellStyle name="Comma 5 3 4 6 3 3" xfId="28883" xr:uid="{00000000-0005-0000-0000-000010180000}"/>
    <cellStyle name="Comma 5 3 4 6 4" xfId="13819" xr:uid="{00000000-0005-0000-0000-000011180000}"/>
    <cellStyle name="Comma 5 3 4 6 4 2" xfId="38693" xr:uid="{00000000-0005-0000-0000-000012180000}"/>
    <cellStyle name="Comma 5 3 4 6 5" xfId="26252" xr:uid="{00000000-0005-0000-0000-000013180000}"/>
    <cellStyle name="Comma 5 3 4 7" xfId="5164" xr:uid="{00000000-0005-0000-0000-000014180000}"/>
    <cellStyle name="Comma 5 3 4 7 2" xfId="10180" xr:uid="{00000000-0005-0000-0000-000015180000}"/>
    <cellStyle name="Comma 5 3 4 7 2 2" xfId="22623" xr:uid="{00000000-0005-0000-0000-000016180000}"/>
    <cellStyle name="Comma 5 3 4 7 2 2 2" xfId="47497" xr:uid="{00000000-0005-0000-0000-000017180000}"/>
    <cellStyle name="Comma 5 3 4 7 2 3" xfId="35064" xr:uid="{00000000-0005-0000-0000-000018180000}"/>
    <cellStyle name="Comma 5 3 4 7 3" xfId="17616" xr:uid="{00000000-0005-0000-0000-000019180000}"/>
    <cellStyle name="Comma 5 3 4 7 3 2" xfId="42490" xr:uid="{00000000-0005-0000-0000-00001A180000}"/>
    <cellStyle name="Comma 5 3 4 7 4" xfId="30057" xr:uid="{00000000-0005-0000-0000-00001B180000}"/>
    <cellStyle name="Comma 5 3 4 8" xfId="7741" xr:uid="{00000000-0005-0000-0000-00001C180000}"/>
    <cellStyle name="Comma 5 3 4 8 2" xfId="20187" xr:uid="{00000000-0005-0000-0000-00001D180000}"/>
    <cellStyle name="Comma 5 3 4 8 2 2" xfId="45061" xr:uid="{00000000-0005-0000-0000-00001E180000}"/>
    <cellStyle name="Comma 5 3 4 8 3" xfId="32628" xr:uid="{00000000-0005-0000-0000-00001F180000}"/>
    <cellStyle name="Comma 5 3 4 9" xfId="11634" xr:uid="{00000000-0005-0000-0000-000020180000}"/>
    <cellStyle name="Comma 5 3 4 9 2" xfId="24068" xr:uid="{00000000-0005-0000-0000-000021180000}"/>
    <cellStyle name="Comma 5 3 4 9 2 2" xfId="48942" xr:uid="{00000000-0005-0000-0000-000022180000}"/>
    <cellStyle name="Comma 5 3 4 9 3" xfId="36509" xr:uid="{00000000-0005-0000-0000-000023180000}"/>
    <cellStyle name="Comma 5 3 5" xfId="365" xr:uid="{00000000-0005-0000-0000-000024180000}"/>
    <cellStyle name="Comma 5 3 5 10" xfId="13181" xr:uid="{00000000-0005-0000-0000-000025180000}"/>
    <cellStyle name="Comma 5 3 5 10 2" xfId="38055" xr:uid="{00000000-0005-0000-0000-000026180000}"/>
    <cellStyle name="Comma 5 3 5 11" xfId="25614" xr:uid="{00000000-0005-0000-0000-000027180000}"/>
    <cellStyle name="Comma 5 3 5 2" xfId="725" xr:uid="{00000000-0005-0000-0000-000028180000}"/>
    <cellStyle name="Comma 5 3 5 2 2" xfId="1320" xr:uid="{00000000-0005-0000-0000-000029180000}"/>
    <cellStyle name="Comma 5 3 5 2 2 2" xfId="9424" xr:uid="{00000000-0005-0000-0000-00002A180000}"/>
    <cellStyle name="Comma 5 3 5 2 2 2 2" xfId="21867" xr:uid="{00000000-0005-0000-0000-00002B180000}"/>
    <cellStyle name="Comma 5 3 5 2 2 2 2 2" xfId="46741" xr:uid="{00000000-0005-0000-0000-00002C180000}"/>
    <cellStyle name="Comma 5 3 5 2 2 2 3" xfId="34308" xr:uid="{00000000-0005-0000-0000-00002D180000}"/>
    <cellStyle name="Comma 5 3 5 2 2 3" xfId="4406" xr:uid="{00000000-0005-0000-0000-00002E180000}"/>
    <cellStyle name="Comma 5 3 5 2 2 3 2" xfId="16860" xr:uid="{00000000-0005-0000-0000-00002F180000}"/>
    <cellStyle name="Comma 5 3 5 2 2 3 2 2" xfId="41734" xr:uid="{00000000-0005-0000-0000-000030180000}"/>
    <cellStyle name="Comma 5 3 5 2 2 3 3" xfId="29301" xr:uid="{00000000-0005-0000-0000-000031180000}"/>
    <cellStyle name="Comma 5 3 5 2 2 4" xfId="14120" xr:uid="{00000000-0005-0000-0000-000032180000}"/>
    <cellStyle name="Comma 5 3 5 2 2 4 2" xfId="38994" xr:uid="{00000000-0005-0000-0000-000033180000}"/>
    <cellStyle name="Comma 5 3 5 2 2 5" xfId="26553" xr:uid="{00000000-0005-0000-0000-000034180000}"/>
    <cellStyle name="Comma 5 3 5 2 3" xfId="5465" xr:uid="{00000000-0005-0000-0000-000035180000}"/>
    <cellStyle name="Comma 5 3 5 2 3 2" xfId="10481" xr:uid="{00000000-0005-0000-0000-000036180000}"/>
    <cellStyle name="Comma 5 3 5 2 3 2 2" xfId="22924" xr:uid="{00000000-0005-0000-0000-000037180000}"/>
    <cellStyle name="Comma 5 3 5 2 3 2 2 2" xfId="47798" xr:uid="{00000000-0005-0000-0000-000038180000}"/>
    <cellStyle name="Comma 5 3 5 2 3 2 3" xfId="35365" xr:uid="{00000000-0005-0000-0000-000039180000}"/>
    <cellStyle name="Comma 5 3 5 2 3 3" xfId="17917" xr:uid="{00000000-0005-0000-0000-00003A180000}"/>
    <cellStyle name="Comma 5 3 5 2 3 3 2" xfId="42791" xr:uid="{00000000-0005-0000-0000-00003B180000}"/>
    <cellStyle name="Comma 5 3 5 2 3 4" xfId="30358" xr:uid="{00000000-0005-0000-0000-00003C180000}"/>
    <cellStyle name="Comma 5 3 5 2 4" xfId="8540" xr:uid="{00000000-0005-0000-0000-00003D180000}"/>
    <cellStyle name="Comma 5 3 5 2 4 2" xfId="20984" xr:uid="{00000000-0005-0000-0000-00003E180000}"/>
    <cellStyle name="Comma 5 3 5 2 4 2 2" xfId="45858" xr:uid="{00000000-0005-0000-0000-00003F180000}"/>
    <cellStyle name="Comma 5 3 5 2 4 3" xfId="33425" xr:uid="{00000000-0005-0000-0000-000040180000}"/>
    <cellStyle name="Comma 5 3 5 2 5" xfId="11935" xr:uid="{00000000-0005-0000-0000-000041180000}"/>
    <cellStyle name="Comma 5 3 5 2 5 2" xfId="24369" xr:uid="{00000000-0005-0000-0000-000042180000}"/>
    <cellStyle name="Comma 5 3 5 2 5 2 2" xfId="49243" xr:uid="{00000000-0005-0000-0000-000043180000}"/>
    <cellStyle name="Comma 5 3 5 2 5 3" xfId="36810" xr:uid="{00000000-0005-0000-0000-000044180000}"/>
    <cellStyle name="Comma 5 3 5 2 6" xfId="7017" xr:uid="{00000000-0005-0000-0000-000045180000}"/>
    <cellStyle name="Comma 5 3 5 2 6 2" xfId="19466" xr:uid="{00000000-0005-0000-0000-000046180000}"/>
    <cellStyle name="Comma 5 3 5 2 6 2 2" xfId="44340" xr:uid="{00000000-0005-0000-0000-000047180000}"/>
    <cellStyle name="Comma 5 3 5 2 6 3" xfId="31907" xr:uid="{00000000-0005-0000-0000-000048180000}"/>
    <cellStyle name="Comma 5 3 5 2 7" xfId="3471" xr:uid="{00000000-0005-0000-0000-000049180000}"/>
    <cellStyle name="Comma 5 3 5 2 7 2" xfId="15977" xr:uid="{00000000-0005-0000-0000-00004A180000}"/>
    <cellStyle name="Comma 5 3 5 2 7 2 2" xfId="40851" xr:uid="{00000000-0005-0000-0000-00004B180000}"/>
    <cellStyle name="Comma 5 3 5 2 7 3" xfId="28410" xr:uid="{00000000-0005-0000-0000-00004C180000}"/>
    <cellStyle name="Comma 5 3 5 2 8" xfId="13528" xr:uid="{00000000-0005-0000-0000-00004D180000}"/>
    <cellStyle name="Comma 5 3 5 2 8 2" xfId="38402" xr:uid="{00000000-0005-0000-0000-00004E180000}"/>
    <cellStyle name="Comma 5 3 5 2 9" xfId="25961" xr:uid="{00000000-0005-0000-0000-00004F180000}"/>
    <cellStyle name="Comma 5 3 5 3" xfId="1668" xr:uid="{00000000-0005-0000-0000-000050180000}"/>
    <cellStyle name="Comma 5 3 5 3 2" xfId="4910" xr:uid="{00000000-0005-0000-0000-000051180000}"/>
    <cellStyle name="Comma 5 3 5 3 2 2" xfId="9927" xr:uid="{00000000-0005-0000-0000-000052180000}"/>
    <cellStyle name="Comma 5 3 5 3 2 2 2" xfId="22370" xr:uid="{00000000-0005-0000-0000-000053180000}"/>
    <cellStyle name="Comma 5 3 5 3 2 2 2 2" xfId="47244" xr:uid="{00000000-0005-0000-0000-000054180000}"/>
    <cellStyle name="Comma 5 3 5 3 2 2 3" xfId="34811" xr:uid="{00000000-0005-0000-0000-000055180000}"/>
    <cellStyle name="Comma 5 3 5 3 2 3" xfId="17363" xr:uid="{00000000-0005-0000-0000-000056180000}"/>
    <cellStyle name="Comma 5 3 5 3 2 3 2" xfId="42237" xr:uid="{00000000-0005-0000-0000-000057180000}"/>
    <cellStyle name="Comma 5 3 5 3 2 4" xfId="29804" xr:uid="{00000000-0005-0000-0000-000058180000}"/>
    <cellStyle name="Comma 5 3 5 3 3" xfId="5814" xr:uid="{00000000-0005-0000-0000-000059180000}"/>
    <cellStyle name="Comma 5 3 5 3 3 2" xfId="10829" xr:uid="{00000000-0005-0000-0000-00005A180000}"/>
    <cellStyle name="Comma 5 3 5 3 3 2 2" xfId="23272" xr:uid="{00000000-0005-0000-0000-00005B180000}"/>
    <cellStyle name="Comma 5 3 5 3 3 2 2 2" xfId="48146" xr:uid="{00000000-0005-0000-0000-00005C180000}"/>
    <cellStyle name="Comma 5 3 5 3 3 2 3" xfId="35713" xr:uid="{00000000-0005-0000-0000-00005D180000}"/>
    <cellStyle name="Comma 5 3 5 3 3 3" xfId="18265" xr:uid="{00000000-0005-0000-0000-00005E180000}"/>
    <cellStyle name="Comma 5 3 5 3 3 3 2" xfId="43139" xr:uid="{00000000-0005-0000-0000-00005F180000}"/>
    <cellStyle name="Comma 5 3 5 3 3 4" xfId="30706" xr:uid="{00000000-0005-0000-0000-000060180000}"/>
    <cellStyle name="Comma 5 3 5 3 4" xfId="8334" xr:uid="{00000000-0005-0000-0000-000061180000}"/>
    <cellStyle name="Comma 5 3 5 3 4 2" xfId="20778" xr:uid="{00000000-0005-0000-0000-000062180000}"/>
    <cellStyle name="Comma 5 3 5 3 4 2 2" xfId="45652" xr:uid="{00000000-0005-0000-0000-000063180000}"/>
    <cellStyle name="Comma 5 3 5 3 4 3" xfId="33219" xr:uid="{00000000-0005-0000-0000-000064180000}"/>
    <cellStyle name="Comma 5 3 5 3 5" xfId="12283" xr:uid="{00000000-0005-0000-0000-000065180000}"/>
    <cellStyle name="Comma 5 3 5 3 5 2" xfId="24717" xr:uid="{00000000-0005-0000-0000-000066180000}"/>
    <cellStyle name="Comma 5 3 5 3 5 2 2" xfId="49591" xr:uid="{00000000-0005-0000-0000-000067180000}"/>
    <cellStyle name="Comma 5 3 5 3 5 3" xfId="37158" xr:uid="{00000000-0005-0000-0000-000068180000}"/>
    <cellStyle name="Comma 5 3 5 3 6" xfId="7521" xr:uid="{00000000-0005-0000-0000-000069180000}"/>
    <cellStyle name="Comma 5 3 5 3 6 2" xfId="19969" xr:uid="{00000000-0005-0000-0000-00006A180000}"/>
    <cellStyle name="Comma 5 3 5 3 6 2 2" xfId="44843" xr:uid="{00000000-0005-0000-0000-00006B180000}"/>
    <cellStyle name="Comma 5 3 5 3 6 3" xfId="32410" xr:uid="{00000000-0005-0000-0000-00006C180000}"/>
    <cellStyle name="Comma 5 3 5 3 7" xfId="3265" xr:uid="{00000000-0005-0000-0000-00006D180000}"/>
    <cellStyle name="Comma 5 3 5 3 7 2" xfId="15771" xr:uid="{00000000-0005-0000-0000-00006E180000}"/>
    <cellStyle name="Comma 5 3 5 3 7 2 2" xfId="40645" xr:uid="{00000000-0005-0000-0000-00006F180000}"/>
    <cellStyle name="Comma 5 3 5 3 7 3" xfId="28204" xr:uid="{00000000-0005-0000-0000-000070180000}"/>
    <cellStyle name="Comma 5 3 5 3 8" xfId="14468" xr:uid="{00000000-0005-0000-0000-000071180000}"/>
    <cellStyle name="Comma 5 3 5 3 8 2" xfId="39342" xr:uid="{00000000-0005-0000-0000-000072180000}"/>
    <cellStyle name="Comma 5 3 5 3 9" xfId="26901" xr:uid="{00000000-0005-0000-0000-000073180000}"/>
    <cellStyle name="Comma 5 3 5 4" xfId="2283" xr:uid="{00000000-0005-0000-0000-000074180000}"/>
    <cellStyle name="Comma 5 3 5 4 2" xfId="6308" xr:uid="{00000000-0005-0000-0000-000075180000}"/>
    <cellStyle name="Comma 5 3 5 4 2 2" xfId="11323" xr:uid="{00000000-0005-0000-0000-000076180000}"/>
    <cellStyle name="Comma 5 3 5 4 2 2 2" xfId="23766" xr:uid="{00000000-0005-0000-0000-000077180000}"/>
    <cellStyle name="Comma 5 3 5 4 2 2 2 2" xfId="48640" xr:uid="{00000000-0005-0000-0000-000078180000}"/>
    <cellStyle name="Comma 5 3 5 4 2 2 3" xfId="36207" xr:uid="{00000000-0005-0000-0000-000079180000}"/>
    <cellStyle name="Comma 5 3 5 4 2 3" xfId="18759" xr:uid="{00000000-0005-0000-0000-00007A180000}"/>
    <cellStyle name="Comma 5 3 5 4 2 3 2" xfId="43633" xr:uid="{00000000-0005-0000-0000-00007B180000}"/>
    <cellStyle name="Comma 5 3 5 4 2 4" xfId="31200" xr:uid="{00000000-0005-0000-0000-00007C180000}"/>
    <cellStyle name="Comma 5 3 5 4 3" xfId="12777" xr:uid="{00000000-0005-0000-0000-00007D180000}"/>
    <cellStyle name="Comma 5 3 5 4 3 2" xfId="25211" xr:uid="{00000000-0005-0000-0000-00007E180000}"/>
    <cellStyle name="Comma 5 3 5 4 3 2 2" xfId="50085" xr:uid="{00000000-0005-0000-0000-00007F180000}"/>
    <cellStyle name="Comma 5 3 5 4 3 3" xfId="37652" xr:uid="{00000000-0005-0000-0000-000080180000}"/>
    <cellStyle name="Comma 5 3 5 4 4" xfId="9218" xr:uid="{00000000-0005-0000-0000-000081180000}"/>
    <cellStyle name="Comma 5 3 5 4 4 2" xfId="21661" xr:uid="{00000000-0005-0000-0000-000082180000}"/>
    <cellStyle name="Comma 5 3 5 4 4 2 2" xfId="46535" xr:uid="{00000000-0005-0000-0000-000083180000}"/>
    <cellStyle name="Comma 5 3 5 4 4 3" xfId="34102" xr:uid="{00000000-0005-0000-0000-000084180000}"/>
    <cellStyle name="Comma 5 3 5 4 5" xfId="4200" xr:uid="{00000000-0005-0000-0000-000085180000}"/>
    <cellStyle name="Comma 5 3 5 4 5 2" xfId="16654" xr:uid="{00000000-0005-0000-0000-000086180000}"/>
    <cellStyle name="Comma 5 3 5 4 5 2 2" xfId="41528" xr:uid="{00000000-0005-0000-0000-000087180000}"/>
    <cellStyle name="Comma 5 3 5 4 5 3" xfId="29095" xr:uid="{00000000-0005-0000-0000-000088180000}"/>
    <cellStyle name="Comma 5 3 5 4 6" xfId="14962" xr:uid="{00000000-0005-0000-0000-000089180000}"/>
    <cellStyle name="Comma 5 3 5 4 6 2" xfId="39836" xr:uid="{00000000-0005-0000-0000-00008A180000}"/>
    <cellStyle name="Comma 5 3 5 4 7" xfId="27395" xr:uid="{00000000-0005-0000-0000-00008B180000}"/>
    <cellStyle name="Comma 5 3 5 5" xfId="1119" xr:uid="{00000000-0005-0000-0000-00008C180000}"/>
    <cellStyle name="Comma 5 3 5 5 2" xfId="10280" xr:uid="{00000000-0005-0000-0000-00008D180000}"/>
    <cellStyle name="Comma 5 3 5 5 2 2" xfId="22723" xr:uid="{00000000-0005-0000-0000-00008E180000}"/>
    <cellStyle name="Comma 5 3 5 5 2 2 2" xfId="47597" xr:uid="{00000000-0005-0000-0000-00008F180000}"/>
    <cellStyle name="Comma 5 3 5 5 2 3" xfId="35164" xr:uid="{00000000-0005-0000-0000-000090180000}"/>
    <cellStyle name="Comma 5 3 5 5 3" xfId="5264" xr:uid="{00000000-0005-0000-0000-000091180000}"/>
    <cellStyle name="Comma 5 3 5 5 3 2" xfId="17716" xr:uid="{00000000-0005-0000-0000-000092180000}"/>
    <cellStyle name="Comma 5 3 5 5 3 2 2" xfId="42590" xr:uid="{00000000-0005-0000-0000-000093180000}"/>
    <cellStyle name="Comma 5 3 5 5 3 3" xfId="30157" xr:uid="{00000000-0005-0000-0000-000094180000}"/>
    <cellStyle name="Comma 5 3 5 5 4" xfId="13919" xr:uid="{00000000-0005-0000-0000-000095180000}"/>
    <cellStyle name="Comma 5 3 5 5 4 2" xfId="38793" xr:uid="{00000000-0005-0000-0000-000096180000}"/>
    <cellStyle name="Comma 5 3 5 5 5" xfId="26352" xr:uid="{00000000-0005-0000-0000-000097180000}"/>
    <cellStyle name="Comma 5 3 5 6" xfId="7841" xr:uid="{00000000-0005-0000-0000-000098180000}"/>
    <cellStyle name="Comma 5 3 5 6 2" xfId="20287" xr:uid="{00000000-0005-0000-0000-000099180000}"/>
    <cellStyle name="Comma 5 3 5 6 2 2" xfId="45161" xr:uid="{00000000-0005-0000-0000-00009A180000}"/>
    <cellStyle name="Comma 5 3 5 6 3" xfId="32728" xr:uid="{00000000-0005-0000-0000-00009B180000}"/>
    <cellStyle name="Comma 5 3 5 7" xfId="11734" xr:uid="{00000000-0005-0000-0000-00009C180000}"/>
    <cellStyle name="Comma 5 3 5 7 2" xfId="24168" xr:uid="{00000000-0005-0000-0000-00009D180000}"/>
    <cellStyle name="Comma 5 3 5 7 2 2" xfId="49042" xr:uid="{00000000-0005-0000-0000-00009E180000}"/>
    <cellStyle name="Comma 5 3 5 7 3" xfId="36609" xr:uid="{00000000-0005-0000-0000-00009F180000}"/>
    <cellStyle name="Comma 5 3 5 8" xfId="6811" xr:uid="{00000000-0005-0000-0000-0000A0180000}"/>
    <cellStyle name="Comma 5 3 5 8 2" xfId="19260" xr:uid="{00000000-0005-0000-0000-0000A1180000}"/>
    <cellStyle name="Comma 5 3 5 8 2 2" xfId="44134" xr:uid="{00000000-0005-0000-0000-0000A2180000}"/>
    <cellStyle name="Comma 5 3 5 8 3" xfId="31701" xr:uid="{00000000-0005-0000-0000-0000A3180000}"/>
    <cellStyle name="Comma 5 3 5 9" xfId="2762" xr:uid="{00000000-0005-0000-0000-0000A4180000}"/>
    <cellStyle name="Comma 5 3 5 9 2" xfId="15280" xr:uid="{00000000-0005-0000-0000-0000A5180000}"/>
    <cellStyle name="Comma 5 3 5 9 2 2" xfId="40154" xr:uid="{00000000-0005-0000-0000-0000A6180000}"/>
    <cellStyle name="Comma 5 3 5 9 3" xfId="27713" xr:uid="{00000000-0005-0000-0000-0000A7180000}"/>
    <cellStyle name="Comma 5 3 6" xfId="228" xr:uid="{00000000-0005-0000-0000-0000A8180000}"/>
    <cellStyle name="Comma 5 3 6 10" xfId="13054" xr:uid="{00000000-0005-0000-0000-0000A9180000}"/>
    <cellStyle name="Comma 5 3 6 10 2" xfId="37928" xr:uid="{00000000-0005-0000-0000-0000AA180000}"/>
    <cellStyle name="Comma 5 3 6 11" xfId="25487" xr:uid="{00000000-0005-0000-0000-0000AB180000}"/>
    <cellStyle name="Comma 5 3 6 2" xfId="592" xr:uid="{00000000-0005-0000-0000-0000AC180000}"/>
    <cellStyle name="Comma 5 3 6 2 2" xfId="1321" xr:uid="{00000000-0005-0000-0000-0000AD180000}"/>
    <cellStyle name="Comma 5 3 6 2 2 2" xfId="9425" xr:uid="{00000000-0005-0000-0000-0000AE180000}"/>
    <cellStyle name="Comma 5 3 6 2 2 2 2" xfId="21868" xr:uid="{00000000-0005-0000-0000-0000AF180000}"/>
    <cellStyle name="Comma 5 3 6 2 2 2 2 2" xfId="46742" xr:uid="{00000000-0005-0000-0000-0000B0180000}"/>
    <cellStyle name="Comma 5 3 6 2 2 2 3" xfId="34309" xr:uid="{00000000-0005-0000-0000-0000B1180000}"/>
    <cellStyle name="Comma 5 3 6 2 2 3" xfId="4407" xr:uid="{00000000-0005-0000-0000-0000B2180000}"/>
    <cellStyle name="Comma 5 3 6 2 2 3 2" xfId="16861" xr:uid="{00000000-0005-0000-0000-0000B3180000}"/>
    <cellStyle name="Comma 5 3 6 2 2 3 2 2" xfId="41735" xr:uid="{00000000-0005-0000-0000-0000B4180000}"/>
    <cellStyle name="Comma 5 3 6 2 2 3 3" xfId="29302" xr:uid="{00000000-0005-0000-0000-0000B5180000}"/>
    <cellStyle name="Comma 5 3 6 2 2 4" xfId="14121" xr:uid="{00000000-0005-0000-0000-0000B6180000}"/>
    <cellStyle name="Comma 5 3 6 2 2 4 2" xfId="38995" xr:uid="{00000000-0005-0000-0000-0000B7180000}"/>
    <cellStyle name="Comma 5 3 6 2 2 5" xfId="26554" xr:uid="{00000000-0005-0000-0000-0000B8180000}"/>
    <cellStyle name="Comma 5 3 6 2 3" xfId="5466" xr:uid="{00000000-0005-0000-0000-0000B9180000}"/>
    <cellStyle name="Comma 5 3 6 2 3 2" xfId="10482" xr:uid="{00000000-0005-0000-0000-0000BA180000}"/>
    <cellStyle name="Comma 5 3 6 2 3 2 2" xfId="22925" xr:uid="{00000000-0005-0000-0000-0000BB180000}"/>
    <cellStyle name="Comma 5 3 6 2 3 2 2 2" xfId="47799" xr:uid="{00000000-0005-0000-0000-0000BC180000}"/>
    <cellStyle name="Comma 5 3 6 2 3 2 3" xfId="35366" xr:uid="{00000000-0005-0000-0000-0000BD180000}"/>
    <cellStyle name="Comma 5 3 6 2 3 3" xfId="17918" xr:uid="{00000000-0005-0000-0000-0000BE180000}"/>
    <cellStyle name="Comma 5 3 6 2 3 3 2" xfId="42792" xr:uid="{00000000-0005-0000-0000-0000BF180000}"/>
    <cellStyle name="Comma 5 3 6 2 3 4" xfId="30359" xr:uid="{00000000-0005-0000-0000-0000C0180000}"/>
    <cellStyle name="Comma 5 3 6 2 4" xfId="8541" xr:uid="{00000000-0005-0000-0000-0000C1180000}"/>
    <cellStyle name="Comma 5 3 6 2 4 2" xfId="20985" xr:uid="{00000000-0005-0000-0000-0000C2180000}"/>
    <cellStyle name="Comma 5 3 6 2 4 2 2" xfId="45859" xr:uid="{00000000-0005-0000-0000-0000C3180000}"/>
    <cellStyle name="Comma 5 3 6 2 4 3" xfId="33426" xr:uid="{00000000-0005-0000-0000-0000C4180000}"/>
    <cellStyle name="Comma 5 3 6 2 5" xfId="11936" xr:uid="{00000000-0005-0000-0000-0000C5180000}"/>
    <cellStyle name="Comma 5 3 6 2 5 2" xfId="24370" xr:uid="{00000000-0005-0000-0000-0000C6180000}"/>
    <cellStyle name="Comma 5 3 6 2 5 2 2" xfId="49244" xr:uid="{00000000-0005-0000-0000-0000C7180000}"/>
    <cellStyle name="Comma 5 3 6 2 5 3" xfId="36811" xr:uid="{00000000-0005-0000-0000-0000C8180000}"/>
    <cellStyle name="Comma 5 3 6 2 6" xfId="7018" xr:uid="{00000000-0005-0000-0000-0000C9180000}"/>
    <cellStyle name="Comma 5 3 6 2 6 2" xfId="19467" xr:uid="{00000000-0005-0000-0000-0000CA180000}"/>
    <cellStyle name="Comma 5 3 6 2 6 2 2" xfId="44341" xr:uid="{00000000-0005-0000-0000-0000CB180000}"/>
    <cellStyle name="Comma 5 3 6 2 6 3" xfId="31908" xr:uid="{00000000-0005-0000-0000-0000CC180000}"/>
    <cellStyle name="Comma 5 3 6 2 7" xfId="3472" xr:uid="{00000000-0005-0000-0000-0000CD180000}"/>
    <cellStyle name="Comma 5 3 6 2 7 2" xfId="15978" xr:uid="{00000000-0005-0000-0000-0000CE180000}"/>
    <cellStyle name="Comma 5 3 6 2 7 2 2" xfId="40852" xr:uid="{00000000-0005-0000-0000-0000CF180000}"/>
    <cellStyle name="Comma 5 3 6 2 7 3" xfId="28411" xr:uid="{00000000-0005-0000-0000-0000D0180000}"/>
    <cellStyle name="Comma 5 3 6 2 8" xfId="13401" xr:uid="{00000000-0005-0000-0000-0000D1180000}"/>
    <cellStyle name="Comma 5 3 6 2 8 2" xfId="38275" xr:uid="{00000000-0005-0000-0000-0000D2180000}"/>
    <cellStyle name="Comma 5 3 6 2 9" xfId="25834" xr:uid="{00000000-0005-0000-0000-0000D3180000}"/>
    <cellStyle name="Comma 5 3 6 3" xfId="1669" xr:uid="{00000000-0005-0000-0000-0000D4180000}"/>
    <cellStyle name="Comma 5 3 6 3 2" xfId="4783" xr:uid="{00000000-0005-0000-0000-0000D5180000}"/>
    <cellStyle name="Comma 5 3 6 3 2 2" xfId="9800" xr:uid="{00000000-0005-0000-0000-0000D6180000}"/>
    <cellStyle name="Comma 5 3 6 3 2 2 2" xfId="22243" xr:uid="{00000000-0005-0000-0000-0000D7180000}"/>
    <cellStyle name="Comma 5 3 6 3 2 2 2 2" xfId="47117" xr:uid="{00000000-0005-0000-0000-0000D8180000}"/>
    <cellStyle name="Comma 5 3 6 3 2 2 3" xfId="34684" xr:uid="{00000000-0005-0000-0000-0000D9180000}"/>
    <cellStyle name="Comma 5 3 6 3 2 3" xfId="17236" xr:uid="{00000000-0005-0000-0000-0000DA180000}"/>
    <cellStyle name="Comma 5 3 6 3 2 3 2" xfId="42110" xr:uid="{00000000-0005-0000-0000-0000DB180000}"/>
    <cellStyle name="Comma 5 3 6 3 2 4" xfId="29677" xr:uid="{00000000-0005-0000-0000-0000DC180000}"/>
    <cellStyle name="Comma 5 3 6 3 3" xfId="5815" xr:uid="{00000000-0005-0000-0000-0000DD180000}"/>
    <cellStyle name="Comma 5 3 6 3 3 2" xfId="10830" xr:uid="{00000000-0005-0000-0000-0000DE180000}"/>
    <cellStyle name="Comma 5 3 6 3 3 2 2" xfId="23273" xr:uid="{00000000-0005-0000-0000-0000DF180000}"/>
    <cellStyle name="Comma 5 3 6 3 3 2 2 2" xfId="48147" xr:uid="{00000000-0005-0000-0000-0000E0180000}"/>
    <cellStyle name="Comma 5 3 6 3 3 2 3" xfId="35714" xr:uid="{00000000-0005-0000-0000-0000E1180000}"/>
    <cellStyle name="Comma 5 3 6 3 3 3" xfId="18266" xr:uid="{00000000-0005-0000-0000-0000E2180000}"/>
    <cellStyle name="Comma 5 3 6 3 3 3 2" xfId="43140" xr:uid="{00000000-0005-0000-0000-0000E3180000}"/>
    <cellStyle name="Comma 5 3 6 3 3 4" xfId="30707" xr:uid="{00000000-0005-0000-0000-0000E4180000}"/>
    <cellStyle name="Comma 5 3 6 3 4" xfId="8871" xr:uid="{00000000-0005-0000-0000-0000E5180000}"/>
    <cellStyle name="Comma 5 3 6 3 4 2" xfId="21314" xr:uid="{00000000-0005-0000-0000-0000E6180000}"/>
    <cellStyle name="Comma 5 3 6 3 4 2 2" xfId="46188" xr:uid="{00000000-0005-0000-0000-0000E7180000}"/>
    <cellStyle name="Comma 5 3 6 3 4 3" xfId="33755" xr:uid="{00000000-0005-0000-0000-0000E8180000}"/>
    <cellStyle name="Comma 5 3 6 3 5" xfId="12284" xr:uid="{00000000-0005-0000-0000-0000E9180000}"/>
    <cellStyle name="Comma 5 3 6 3 5 2" xfId="24718" xr:uid="{00000000-0005-0000-0000-0000EA180000}"/>
    <cellStyle name="Comma 5 3 6 3 5 2 2" xfId="49592" xr:uid="{00000000-0005-0000-0000-0000EB180000}"/>
    <cellStyle name="Comma 5 3 6 3 5 3" xfId="37159" xr:uid="{00000000-0005-0000-0000-0000EC180000}"/>
    <cellStyle name="Comma 5 3 6 3 6" xfId="7394" xr:uid="{00000000-0005-0000-0000-0000ED180000}"/>
    <cellStyle name="Comma 5 3 6 3 6 2" xfId="19842" xr:uid="{00000000-0005-0000-0000-0000EE180000}"/>
    <cellStyle name="Comma 5 3 6 3 6 2 2" xfId="44716" xr:uid="{00000000-0005-0000-0000-0000EF180000}"/>
    <cellStyle name="Comma 5 3 6 3 6 3" xfId="32283" xr:uid="{00000000-0005-0000-0000-0000F0180000}"/>
    <cellStyle name="Comma 5 3 6 3 7" xfId="3853" xr:uid="{00000000-0005-0000-0000-0000F1180000}"/>
    <cellStyle name="Comma 5 3 6 3 7 2" xfId="16307" xr:uid="{00000000-0005-0000-0000-0000F2180000}"/>
    <cellStyle name="Comma 5 3 6 3 7 2 2" xfId="41181" xr:uid="{00000000-0005-0000-0000-0000F3180000}"/>
    <cellStyle name="Comma 5 3 6 3 7 3" xfId="28748" xr:uid="{00000000-0005-0000-0000-0000F4180000}"/>
    <cellStyle name="Comma 5 3 6 3 8" xfId="14469" xr:uid="{00000000-0005-0000-0000-0000F5180000}"/>
    <cellStyle name="Comma 5 3 6 3 8 2" xfId="39343" xr:uid="{00000000-0005-0000-0000-0000F6180000}"/>
    <cellStyle name="Comma 5 3 6 3 9" xfId="26902" xr:uid="{00000000-0005-0000-0000-0000F7180000}"/>
    <cellStyle name="Comma 5 3 6 4" xfId="2146" xr:uid="{00000000-0005-0000-0000-0000F8180000}"/>
    <cellStyle name="Comma 5 3 6 4 2" xfId="6181" xr:uid="{00000000-0005-0000-0000-0000F9180000}"/>
    <cellStyle name="Comma 5 3 6 4 2 2" xfId="11196" xr:uid="{00000000-0005-0000-0000-0000FA180000}"/>
    <cellStyle name="Comma 5 3 6 4 2 2 2" xfId="23639" xr:uid="{00000000-0005-0000-0000-0000FB180000}"/>
    <cellStyle name="Comma 5 3 6 4 2 2 2 2" xfId="48513" xr:uid="{00000000-0005-0000-0000-0000FC180000}"/>
    <cellStyle name="Comma 5 3 6 4 2 2 3" xfId="36080" xr:uid="{00000000-0005-0000-0000-0000FD180000}"/>
    <cellStyle name="Comma 5 3 6 4 2 3" xfId="18632" xr:uid="{00000000-0005-0000-0000-0000FE180000}"/>
    <cellStyle name="Comma 5 3 6 4 2 3 2" xfId="43506" xr:uid="{00000000-0005-0000-0000-0000FF180000}"/>
    <cellStyle name="Comma 5 3 6 4 2 4" xfId="31073" xr:uid="{00000000-0005-0000-0000-000000190000}"/>
    <cellStyle name="Comma 5 3 6 4 3" xfId="12650" xr:uid="{00000000-0005-0000-0000-000001190000}"/>
    <cellStyle name="Comma 5 3 6 4 3 2" xfId="25084" xr:uid="{00000000-0005-0000-0000-000002190000}"/>
    <cellStyle name="Comma 5 3 6 4 3 2 2" xfId="49958" xr:uid="{00000000-0005-0000-0000-000003190000}"/>
    <cellStyle name="Comma 5 3 6 4 3 3" xfId="37525" xr:uid="{00000000-0005-0000-0000-000004190000}"/>
    <cellStyle name="Comma 5 3 6 4 4" xfId="9091" xr:uid="{00000000-0005-0000-0000-000005190000}"/>
    <cellStyle name="Comma 5 3 6 4 4 2" xfId="21534" xr:uid="{00000000-0005-0000-0000-000006190000}"/>
    <cellStyle name="Comma 5 3 6 4 4 2 2" xfId="46408" xr:uid="{00000000-0005-0000-0000-000007190000}"/>
    <cellStyle name="Comma 5 3 6 4 4 3" xfId="33975" xr:uid="{00000000-0005-0000-0000-000008190000}"/>
    <cellStyle name="Comma 5 3 6 4 5" xfId="4073" xr:uid="{00000000-0005-0000-0000-000009190000}"/>
    <cellStyle name="Comma 5 3 6 4 5 2" xfId="16527" xr:uid="{00000000-0005-0000-0000-00000A190000}"/>
    <cellStyle name="Comma 5 3 6 4 5 2 2" xfId="41401" xr:uid="{00000000-0005-0000-0000-00000B190000}"/>
    <cellStyle name="Comma 5 3 6 4 5 3" xfId="28968" xr:uid="{00000000-0005-0000-0000-00000C190000}"/>
    <cellStyle name="Comma 5 3 6 4 6" xfId="14835" xr:uid="{00000000-0005-0000-0000-00000D190000}"/>
    <cellStyle name="Comma 5 3 6 4 6 2" xfId="39709" xr:uid="{00000000-0005-0000-0000-00000E190000}"/>
    <cellStyle name="Comma 5 3 6 4 7" xfId="27268" xr:uid="{00000000-0005-0000-0000-00000F190000}"/>
    <cellStyle name="Comma 5 3 6 5" xfId="992" xr:uid="{00000000-0005-0000-0000-000010190000}"/>
    <cellStyle name="Comma 5 3 6 5 2" xfId="10151" xr:uid="{00000000-0005-0000-0000-000011190000}"/>
    <cellStyle name="Comma 5 3 6 5 2 2" xfId="22594" xr:uid="{00000000-0005-0000-0000-000012190000}"/>
    <cellStyle name="Comma 5 3 6 5 2 2 2" xfId="47468" xr:uid="{00000000-0005-0000-0000-000013190000}"/>
    <cellStyle name="Comma 5 3 6 5 2 3" xfId="35035" xr:uid="{00000000-0005-0000-0000-000014190000}"/>
    <cellStyle name="Comma 5 3 6 5 3" xfId="5135" xr:uid="{00000000-0005-0000-0000-000015190000}"/>
    <cellStyle name="Comma 5 3 6 5 3 2" xfId="17587" xr:uid="{00000000-0005-0000-0000-000016190000}"/>
    <cellStyle name="Comma 5 3 6 5 3 2 2" xfId="42461" xr:uid="{00000000-0005-0000-0000-000017190000}"/>
    <cellStyle name="Comma 5 3 6 5 3 3" xfId="30028" xr:uid="{00000000-0005-0000-0000-000018190000}"/>
    <cellStyle name="Comma 5 3 6 5 4" xfId="13792" xr:uid="{00000000-0005-0000-0000-000019190000}"/>
    <cellStyle name="Comma 5 3 6 5 4 2" xfId="38666" xr:uid="{00000000-0005-0000-0000-00001A190000}"/>
    <cellStyle name="Comma 5 3 6 5 5" xfId="26225" xr:uid="{00000000-0005-0000-0000-00001B190000}"/>
    <cellStyle name="Comma 5 3 6 6" xfId="8207" xr:uid="{00000000-0005-0000-0000-00001C190000}"/>
    <cellStyle name="Comma 5 3 6 6 2" xfId="20651" xr:uid="{00000000-0005-0000-0000-00001D190000}"/>
    <cellStyle name="Comma 5 3 6 6 2 2" xfId="45525" xr:uid="{00000000-0005-0000-0000-00001E190000}"/>
    <cellStyle name="Comma 5 3 6 6 3" xfId="33092" xr:uid="{00000000-0005-0000-0000-00001F190000}"/>
    <cellStyle name="Comma 5 3 6 7" xfId="11607" xr:uid="{00000000-0005-0000-0000-000020190000}"/>
    <cellStyle name="Comma 5 3 6 7 2" xfId="24041" xr:uid="{00000000-0005-0000-0000-000021190000}"/>
    <cellStyle name="Comma 5 3 6 7 2 2" xfId="48915" xr:uid="{00000000-0005-0000-0000-000022190000}"/>
    <cellStyle name="Comma 5 3 6 7 3" xfId="36482" xr:uid="{00000000-0005-0000-0000-000023190000}"/>
    <cellStyle name="Comma 5 3 6 8" xfId="6684" xr:uid="{00000000-0005-0000-0000-000024190000}"/>
    <cellStyle name="Comma 5 3 6 8 2" xfId="19133" xr:uid="{00000000-0005-0000-0000-000025190000}"/>
    <cellStyle name="Comma 5 3 6 8 2 2" xfId="44007" xr:uid="{00000000-0005-0000-0000-000026190000}"/>
    <cellStyle name="Comma 5 3 6 8 3" xfId="31574" xr:uid="{00000000-0005-0000-0000-000027190000}"/>
    <cellStyle name="Comma 5 3 6 9" xfId="3138" xr:uid="{00000000-0005-0000-0000-000028190000}"/>
    <cellStyle name="Comma 5 3 6 9 2" xfId="15644" xr:uid="{00000000-0005-0000-0000-000029190000}"/>
    <cellStyle name="Comma 5 3 6 9 2 2" xfId="40518" xr:uid="{00000000-0005-0000-0000-00002A190000}"/>
    <cellStyle name="Comma 5 3 6 9 3" xfId="28077" xr:uid="{00000000-0005-0000-0000-00002B190000}"/>
    <cellStyle name="Comma 5 3 7" xfId="546" xr:uid="{00000000-0005-0000-0000-00002C190000}"/>
    <cellStyle name="Comma 5 3 7 2" xfId="1312" xr:uid="{00000000-0005-0000-0000-00002D190000}"/>
    <cellStyle name="Comma 5 3 7 2 2" xfId="9416" xr:uid="{00000000-0005-0000-0000-00002E190000}"/>
    <cellStyle name="Comma 5 3 7 2 2 2" xfId="21859" xr:uid="{00000000-0005-0000-0000-00002F190000}"/>
    <cellStyle name="Comma 5 3 7 2 2 2 2" xfId="46733" xr:uid="{00000000-0005-0000-0000-000030190000}"/>
    <cellStyle name="Comma 5 3 7 2 2 3" xfId="34300" xr:uid="{00000000-0005-0000-0000-000031190000}"/>
    <cellStyle name="Comma 5 3 7 2 3" xfId="4398" xr:uid="{00000000-0005-0000-0000-000032190000}"/>
    <cellStyle name="Comma 5 3 7 2 3 2" xfId="16852" xr:uid="{00000000-0005-0000-0000-000033190000}"/>
    <cellStyle name="Comma 5 3 7 2 3 2 2" xfId="41726" xr:uid="{00000000-0005-0000-0000-000034190000}"/>
    <cellStyle name="Comma 5 3 7 2 3 3" xfId="29293" xr:uid="{00000000-0005-0000-0000-000035190000}"/>
    <cellStyle name="Comma 5 3 7 2 4" xfId="14112" xr:uid="{00000000-0005-0000-0000-000036190000}"/>
    <cellStyle name="Comma 5 3 7 2 4 2" xfId="38986" xr:uid="{00000000-0005-0000-0000-000037190000}"/>
    <cellStyle name="Comma 5 3 7 2 5" xfId="26545" xr:uid="{00000000-0005-0000-0000-000038190000}"/>
    <cellStyle name="Comma 5 3 7 3" xfId="5457" xr:uid="{00000000-0005-0000-0000-000039190000}"/>
    <cellStyle name="Comma 5 3 7 3 2" xfId="10473" xr:uid="{00000000-0005-0000-0000-00003A190000}"/>
    <cellStyle name="Comma 5 3 7 3 2 2" xfId="22916" xr:uid="{00000000-0005-0000-0000-00003B190000}"/>
    <cellStyle name="Comma 5 3 7 3 2 2 2" xfId="47790" xr:uid="{00000000-0005-0000-0000-00003C190000}"/>
    <cellStyle name="Comma 5 3 7 3 2 3" xfId="35357" xr:uid="{00000000-0005-0000-0000-00003D190000}"/>
    <cellStyle name="Comma 5 3 7 3 3" xfId="17909" xr:uid="{00000000-0005-0000-0000-00003E190000}"/>
    <cellStyle name="Comma 5 3 7 3 3 2" xfId="42783" xr:uid="{00000000-0005-0000-0000-00003F190000}"/>
    <cellStyle name="Comma 5 3 7 3 4" xfId="30350" xr:uid="{00000000-0005-0000-0000-000040190000}"/>
    <cellStyle name="Comma 5 3 7 4" xfId="8532" xr:uid="{00000000-0005-0000-0000-000041190000}"/>
    <cellStyle name="Comma 5 3 7 4 2" xfId="20976" xr:uid="{00000000-0005-0000-0000-000042190000}"/>
    <cellStyle name="Comma 5 3 7 4 2 2" xfId="45850" xr:uid="{00000000-0005-0000-0000-000043190000}"/>
    <cellStyle name="Comma 5 3 7 4 3" xfId="33417" xr:uid="{00000000-0005-0000-0000-000044190000}"/>
    <cellStyle name="Comma 5 3 7 5" xfId="11927" xr:uid="{00000000-0005-0000-0000-000045190000}"/>
    <cellStyle name="Comma 5 3 7 5 2" xfId="24361" xr:uid="{00000000-0005-0000-0000-000046190000}"/>
    <cellStyle name="Comma 5 3 7 5 2 2" xfId="49235" xr:uid="{00000000-0005-0000-0000-000047190000}"/>
    <cellStyle name="Comma 5 3 7 5 3" xfId="36802" xr:uid="{00000000-0005-0000-0000-000048190000}"/>
    <cellStyle name="Comma 5 3 7 6" xfId="7009" xr:uid="{00000000-0005-0000-0000-000049190000}"/>
    <cellStyle name="Comma 5 3 7 6 2" xfId="19458" xr:uid="{00000000-0005-0000-0000-00004A190000}"/>
    <cellStyle name="Comma 5 3 7 6 2 2" xfId="44332" xr:uid="{00000000-0005-0000-0000-00004B190000}"/>
    <cellStyle name="Comma 5 3 7 6 3" xfId="31899" xr:uid="{00000000-0005-0000-0000-00004C190000}"/>
    <cellStyle name="Comma 5 3 7 7" xfId="3463" xr:uid="{00000000-0005-0000-0000-00004D190000}"/>
    <cellStyle name="Comma 5 3 7 7 2" xfId="15969" xr:uid="{00000000-0005-0000-0000-00004E190000}"/>
    <cellStyle name="Comma 5 3 7 7 2 2" xfId="40843" xr:uid="{00000000-0005-0000-0000-00004F190000}"/>
    <cellStyle name="Comma 5 3 7 7 3" xfId="28402" xr:uid="{00000000-0005-0000-0000-000050190000}"/>
    <cellStyle name="Comma 5 3 7 8" xfId="13356" xr:uid="{00000000-0005-0000-0000-000051190000}"/>
    <cellStyle name="Comma 5 3 7 8 2" xfId="38230" xr:uid="{00000000-0005-0000-0000-000052190000}"/>
    <cellStyle name="Comma 5 3 7 9" xfId="25789" xr:uid="{00000000-0005-0000-0000-000053190000}"/>
    <cellStyle name="Comma 5 3 8" xfId="1660" xr:uid="{00000000-0005-0000-0000-000054190000}"/>
    <cellStyle name="Comma 5 3 8 2" xfId="4738" xr:uid="{00000000-0005-0000-0000-000055190000}"/>
    <cellStyle name="Comma 5 3 8 2 2" xfId="9755" xr:uid="{00000000-0005-0000-0000-000056190000}"/>
    <cellStyle name="Comma 5 3 8 2 2 2" xfId="22198" xr:uid="{00000000-0005-0000-0000-000057190000}"/>
    <cellStyle name="Comma 5 3 8 2 2 2 2" xfId="47072" xr:uid="{00000000-0005-0000-0000-000058190000}"/>
    <cellStyle name="Comma 5 3 8 2 2 3" xfId="34639" xr:uid="{00000000-0005-0000-0000-000059190000}"/>
    <cellStyle name="Comma 5 3 8 2 3" xfId="17191" xr:uid="{00000000-0005-0000-0000-00005A190000}"/>
    <cellStyle name="Comma 5 3 8 2 3 2" xfId="42065" xr:uid="{00000000-0005-0000-0000-00005B190000}"/>
    <cellStyle name="Comma 5 3 8 2 4" xfId="29632" xr:uid="{00000000-0005-0000-0000-00005C190000}"/>
    <cellStyle name="Comma 5 3 8 3" xfId="5806" xr:uid="{00000000-0005-0000-0000-00005D190000}"/>
    <cellStyle name="Comma 5 3 8 3 2" xfId="10821" xr:uid="{00000000-0005-0000-0000-00005E190000}"/>
    <cellStyle name="Comma 5 3 8 3 2 2" xfId="23264" xr:uid="{00000000-0005-0000-0000-00005F190000}"/>
    <cellStyle name="Comma 5 3 8 3 2 2 2" xfId="48138" xr:uid="{00000000-0005-0000-0000-000060190000}"/>
    <cellStyle name="Comma 5 3 8 3 2 3" xfId="35705" xr:uid="{00000000-0005-0000-0000-000061190000}"/>
    <cellStyle name="Comma 5 3 8 3 3" xfId="18257" xr:uid="{00000000-0005-0000-0000-000062190000}"/>
    <cellStyle name="Comma 5 3 8 3 3 2" xfId="43131" xr:uid="{00000000-0005-0000-0000-000063190000}"/>
    <cellStyle name="Comma 5 3 8 3 4" xfId="30698" xr:uid="{00000000-0005-0000-0000-000064190000}"/>
    <cellStyle name="Comma 5 3 8 4" xfId="8014" xr:uid="{00000000-0005-0000-0000-000065190000}"/>
    <cellStyle name="Comma 5 3 8 4 2" xfId="20460" xr:uid="{00000000-0005-0000-0000-000066190000}"/>
    <cellStyle name="Comma 5 3 8 4 2 2" xfId="45334" xr:uid="{00000000-0005-0000-0000-000067190000}"/>
    <cellStyle name="Comma 5 3 8 4 3" xfId="32901" xr:uid="{00000000-0005-0000-0000-000068190000}"/>
    <cellStyle name="Comma 5 3 8 5" xfId="12275" xr:uid="{00000000-0005-0000-0000-000069190000}"/>
    <cellStyle name="Comma 5 3 8 5 2" xfId="24709" xr:uid="{00000000-0005-0000-0000-00006A190000}"/>
    <cellStyle name="Comma 5 3 8 5 2 2" xfId="49583" xr:uid="{00000000-0005-0000-0000-00006B190000}"/>
    <cellStyle name="Comma 5 3 8 5 3" xfId="37150" xr:uid="{00000000-0005-0000-0000-00006C190000}"/>
    <cellStyle name="Comma 5 3 8 6" xfId="7349" xr:uid="{00000000-0005-0000-0000-00006D190000}"/>
    <cellStyle name="Comma 5 3 8 6 2" xfId="19797" xr:uid="{00000000-0005-0000-0000-00006E190000}"/>
    <cellStyle name="Comma 5 3 8 6 2 2" xfId="44671" xr:uid="{00000000-0005-0000-0000-00006F190000}"/>
    <cellStyle name="Comma 5 3 8 6 3" xfId="32238" xr:uid="{00000000-0005-0000-0000-000070190000}"/>
    <cellStyle name="Comma 5 3 8 7" xfId="2938" xr:uid="{00000000-0005-0000-0000-000071190000}"/>
    <cellStyle name="Comma 5 3 8 7 2" xfId="15453" xr:uid="{00000000-0005-0000-0000-000072190000}"/>
    <cellStyle name="Comma 5 3 8 7 2 2" xfId="40327" xr:uid="{00000000-0005-0000-0000-000073190000}"/>
    <cellStyle name="Comma 5 3 8 7 3" xfId="27886" xr:uid="{00000000-0005-0000-0000-000074190000}"/>
    <cellStyle name="Comma 5 3 8 8" xfId="14460" xr:uid="{00000000-0005-0000-0000-000075190000}"/>
    <cellStyle name="Comma 5 3 8 8 2" xfId="39334" xr:uid="{00000000-0005-0000-0000-000076190000}"/>
    <cellStyle name="Comma 5 3 8 9" xfId="26893" xr:uid="{00000000-0005-0000-0000-000077190000}"/>
    <cellStyle name="Comma 5 3 9" xfId="2095" xr:uid="{00000000-0005-0000-0000-000078190000}"/>
    <cellStyle name="Comma 5 3 9 2" xfId="6136" xr:uid="{00000000-0005-0000-0000-000079190000}"/>
    <cellStyle name="Comma 5 3 9 2 2" xfId="11151" xr:uid="{00000000-0005-0000-0000-00007A190000}"/>
    <cellStyle name="Comma 5 3 9 2 2 2" xfId="23594" xr:uid="{00000000-0005-0000-0000-00007B190000}"/>
    <cellStyle name="Comma 5 3 9 2 2 2 2" xfId="48468" xr:uid="{00000000-0005-0000-0000-00007C190000}"/>
    <cellStyle name="Comma 5 3 9 2 2 3" xfId="36035" xr:uid="{00000000-0005-0000-0000-00007D190000}"/>
    <cellStyle name="Comma 5 3 9 2 3" xfId="18587" xr:uid="{00000000-0005-0000-0000-00007E190000}"/>
    <cellStyle name="Comma 5 3 9 2 3 2" xfId="43461" xr:uid="{00000000-0005-0000-0000-00007F190000}"/>
    <cellStyle name="Comma 5 3 9 2 4" xfId="31028" xr:uid="{00000000-0005-0000-0000-000080190000}"/>
    <cellStyle name="Comma 5 3 9 3" xfId="12605" xr:uid="{00000000-0005-0000-0000-000081190000}"/>
    <cellStyle name="Comma 5 3 9 3 2" xfId="25039" xr:uid="{00000000-0005-0000-0000-000082190000}"/>
    <cellStyle name="Comma 5 3 9 3 2 2" xfId="49913" xr:uid="{00000000-0005-0000-0000-000083190000}"/>
    <cellStyle name="Comma 5 3 9 3 3" xfId="37480" xr:uid="{00000000-0005-0000-0000-000084190000}"/>
    <cellStyle name="Comma 5 3 9 4" xfId="8900" xr:uid="{00000000-0005-0000-0000-000085190000}"/>
    <cellStyle name="Comma 5 3 9 4 2" xfId="21343" xr:uid="{00000000-0005-0000-0000-000086190000}"/>
    <cellStyle name="Comma 5 3 9 4 2 2" xfId="46217" xr:uid="{00000000-0005-0000-0000-000087190000}"/>
    <cellStyle name="Comma 5 3 9 4 3" xfId="33784" xr:uid="{00000000-0005-0000-0000-000088190000}"/>
    <cellStyle name="Comma 5 3 9 5" xfId="3882" xr:uid="{00000000-0005-0000-0000-000089190000}"/>
    <cellStyle name="Comma 5 3 9 5 2" xfId="16336" xr:uid="{00000000-0005-0000-0000-00008A190000}"/>
    <cellStyle name="Comma 5 3 9 5 2 2" xfId="41210" xr:uid="{00000000-0005-0000-0000-00008B190000}"/>
    <cellStyle name="Comma 5 3 9 5 3" xfId="28777" xr:uid="{00000000-0005-0000-0000-00008C190000}"/>
    <cellStyle name="Comma 5 3 9 6" xfId="14790" xr:uid="{00000000-0005-0000-0000-00008D190000}"/>
    <cellStyle name="Comma 5 3 9 6 2" xfId="39664" xr:uid="{00000000-0005-0000-0000-00008E190000}"/>
    <cellStyle name="Comma 5 3 9 7" xfId="27223" xr:uid="{00000000-0005-0000-0000-00008F190000}"/>
    <cellStyle name="Comma 5 4" xfId="157" xr:uid="{00000000-0005-0000-0000-000090190000}"/>
    <cellStyle name="Comma 5 4 10" xfId="955" xr:uid="{00000000-0005-0000-0000-000091190000}"/>
    <cellStyle name="Comma 5 4 10 2" xfId="11570" xr:uid="{00000000-0005-0000-0000-000092190000}"/>
    <cellStyle name="Comma 5 4 10 2 2" xfId="24004" xr:uid="{00000000-0005-0000-0000-000093190000}"/>
    <cellStyle name="Comma 5 4 10 2 2 2" xfId="48878" xr:uid="{00000000-0005-0000-0000-000094190000}"/>
    <cellStyle name="Comma 5 4 10 2 3" xfId="36445" xr:uid="{00000000-0005-0000-0000-000095190000}"/>
    <cellStyle name="Comma 5 4 10 3" xfId="10114" xr:uid="{00000000-0005-0000-0000-000096190000}"/>
    <cellStyle name="Comma 5 4 10 3 2" xfId="22557" xr:uid="{00000000-0005-0000-0000-000097190000}"/>
    <cellStyle name="Comma 5 4 10 3 2 2" xfId="47431" xr:uid="{00000000-0005-0000-0000-000098190000}"/>
    <cellStyle name="Comma 5 4 10 3 3" xfId="34998" xr:uid="{00000000-0005-0000-0000-000099190000}"/>
    <cellStyle name="Comma 5 4 10 4" xfId="5098" xr:uid="{00000000-0005-0000-0000-00009A190000}"/>
    <cellStyle name="Comma 5 4 10 4 2" xfId="17550" xr:uid="{00000000-0005-0000-0000-00009B190000}"/>
    <cellStyle name="Comma 5 4 10 4 2 2" xfId="42424" xr:uid="{00000000-0005-0000-0000-00009C190000}"/>
    <cellStyle name="Comma 5 4 10 4 3" xfId="29991" xr:uid="{00000000-0005-0000-0000-00009D190000}"/>
    <cellStyle name="Comma 5 4 10 5" xfId="13755" xr:uid="{00000000-0005-0000-0000-00009E190000}"/>
    <cellStyle name="Comma 5 4 10 5 2" xfId="38629" xr:uid="{00000000-0005-0000-0000-00009F190000}"/>
    <cellStyle name="Comma 5 4 10 6" xfId="26188" xr:uid="{00000000-0005-0000-0000-0000A0190000}"/>
    <cellStyle name="Comma 5 4 11" xfId="925" xr:uid="{00000000-0005-0000-0000-0000A1190000}"/>
    <cellStyle name="Comma 5 4 11 2" xfId="7722" xr:uid="{00000000-0005-0000-0000-0000A2190000}"/>
    <cellStyle name="Comma 5 4 11 2 2" xfId="20168" xr:uid="{00000000-0005-0000-0000-0000A3190000}"/>
    <cellStyle name="Comma 5 4 11 2 2 2" xfId="45042" xr:uid="{00000000-0005-0000-0000-0000A4190000}"/>
    <cellStyle name="Comma 5 4 11 2 3" xfId="32609" xr:uid="{00000000-0005-0000-0000-0000A5190000}"/>
    <cellStyle name="Comma 5 4 11 3" xfId="13725" xr:uid="{00000000-0005-0000-0000-0000A6190000}"/>
    <cellStyle name="Comma 5 4 11 3 2" xfId="38599" xr:uid="{00000000-0005-0000-0000-0000A7190000}"/>
    <cellStyle name="Comma 5 4 11 4" xfId="26158" xr:uid="{00000000-0005-0000-0000-0000A8190000}"/>
    <cellStyle name="Comma 5 4 12" xfId="11540" xr:uid="{00000000-0005-0000-0000-0000A9190000}"/>
    <cellStyle name="Comma 5 4 12 2" xfId="23974" xr:uid="{00000000-0005-0000-0000-0000AA190000}"/>
    <cellStyle name="Comma 5 4 12 2 2" xfId="48848" xr:uid="{00000000-0005-0000-0000-0000AB190000}"/>
    <cellStyle name="Comma 5 4 12 3" xfId="36415" xr:uid="{00000000-0005-0000-0000-0000AC190000}"/>
    <cellStyle name="Comma 5 4 13" xfId="6500" xr:uid="{00000000-0005-0000-0000-0000AD190000}"/>
    <cellStyle name="Comma 5 4 13 2" xfId="18949" xr:uid="{00000000-0005-0000-0000-0000AE190000}"/>
    <cellStyle name="Comma 5 4 13 2 2" xfId="43823" xr:uid="{00000000-0005-0000-0000-0000AF190000}"/>
    <cellStyle name="Comma 5 4 13 3" xfId="31390" xr:uid="{00000000-0005-0000-0000-0000B0190000}"/>
    <cellStyle name="Comma 5 4 14" xfId="2643" xr:uid="{00000000-0005-0000-0000-0000B1190000}"/>
    <cellStyle name="Comma 5 4 14 2" xfId="15161" xr:uid="{00000000-0005-0000-0000-0000B2190000}"/>
    <cellStyle name="Comma 5 4 14 2 2" xfId="40035" xr:uid="{00000000-0005-0000-0000-0000B3190000}"/>
    <cellStyle name="Comma 5 4 14 3" xfId="27594" xr:uid="{00000000-0005-0000-0000-0000B4190000}"/>
    <cellStyle name="Comma 5 4 15" xfId="12987" xr:uid="{00000000-0005-0000-0000-0000B5190000}"/>
    <cellStyle name="Comma 5 4 15 2" xfId="37861" xr:uid="{00000000-0005-0000-0000-0000B6190000}"/>
    <cellStyle name="Comma 5 4 16" xfId="25420" xr:uid="{00000000-0005-0000-0000-0000B7190000}"/>
    <cellStyle name="Comma 5 4 2" xfId="187" xr:uid="{00000000-0005-0000-0000-0000B8190000}"/>
    <cellStyle name="Comma 5 4 2 10" xfId="11672" xr:uid="{00000000-0005-0000-0000-0000B9190000}"/>
    <cellStyle name="Comma 5 4 2 10 2" xfId="24106" xr:uid="{00000000-0005-0000-0000-0000BA190000}"/>
    <cellStyle name="Comma 5 4 2 10 2 2" xfId="48980" xr:uid="{00000000-0005-0000-0000-0000BB190000}"/>
    <cellStyle name="Comma 5 4 2 10 3" xfId="36547" xr:uid="{00000000-0005-0000-0000-0000BC190000}"/>
    <cellStyle name="Comma 5 4 2 11" xfId="6532" xr:uid="{00000000-0005-0000-0000-0000BD190000}"/>
    <cellStyle name="Comma 5 4 2 11 2" xfId="18981" xr:uid="{00000000-0005-0000-0000-0000BE190000}"/>
    <cellStyle name="Comma 5 4 2 11 2 2" xfId="43855" xr:uid="{00000000-0005-0000-0000-0000BF190000}"/>
    <cellStyle name="Comma 5 4 2 11 3" xfId="31422" xr:uid="{00000000-0005-0000-0000-0000C0190000}"/>
    <cellStyle name="Comma 5 4 2 12" xfId="2700" xr:uid="{00000000-0005-0000-0000-0000C1190000}"/>
    <cellStyle name="Comma 5 4 2 12 2" xfId="15218" xr:uid="{00000000-0005-0000-0000-0000C2190000}"/>
    <cellStyle name="Comma 5 4 2 12 2 2" xfId="40092" xr:uid="{00000000-0005-0000-0000-0000C3190000}"/>
    <cellStyle name="Comma 5 4 2 12 3" xfId="27651" xr:uid="{00000000-0005-0000-0000-0000C4190000}"/>
    <cellStyle name="Comma 5 4 2 13" xfId="13017" xr:uid="{00000000-0005-0000-0000-0000C5190000}"/>
    <cellStyle name="Comma 5 4 2 13 2" xfId="37891" xr:uid="{00000000-0005-0000-0000-0000C6190000}"/>
    <cellStyle name="Comma 5 4 2 14" xfId="25450" xr:uid="{00000000-0005-0000-0000-0000C7190000}"/>
    <cellStyle name="Comma 5 4 2 2" xfId="510" xr:uid="{00000000-0005-0000-0000-0000C8190000}"/>
    <cellStyle name="Comma 5 4 2 2 10" xfId="2904" xr:uid="{00000000-0005-0000-0000-0000C9190000}"/>
    <cellStyle name="Comma 5 4 2 2 10 2" xfId="15422" xr:uid="{00000000-0005-0000-0000-0000CA190000}"/>
    <cellStyle name="Comma 5 4 2 2 10 2 2" xfId="40296" xr:uid="{00000000-0005-0000-0000-0000CB190000}"/>
    <cellStyle name="Comma 5 4 2 2 10 3" xfId="27855" xr:uid="{00000000-0005-0000-0000-0000CC190000}"/>
    <cellStyle name="Comma 5 4 2 2 11" xfId="13323" xr:uid="{00000000-0005-0000-0000-0000CD190000}"/>
    <cellStyle name="Comma 5 4 2 2 11 2" xfId="38197" xr:uid="{00000000-0005-0000-0000-0000CE190000}"/>
    <cellStyle name="Comma 5 4 2 2 12" xfId="25756" xr:uid="{00000000-0005-0000-0000-0000CF190000}"/>
    <cellStyle name="Comma 5 4 2 2 2" xfId="869" xr:uid="{00000000-0005-0000-0000-0000D0190000}"/>
    <cellStyle name="Comma 5 4 2 2 2 2" xfId="1324" xr:uid="{00000000-0005-0000-0000-0000D1190000}"/>
    <cellStyle name="Comma 5 4 2 2 2 2 2" xfId="9360" xr:uid="{00000000-0005-0000-0000-0000D2190000}"/>
    <cellStyle name="Comma 5 4 2 2 2 2 2 2" xfId="21803" xr:uid="{00000000-0005-0000-0000-0000D3190000}"/>
    <cellStyle name="Comma 5 4 2 2 2 2 2 2 2" xfId="46677" xr:uid="{00000000-0005-0000-0000-0000D4190000}"/>
    <cellStyle name="Comma 5 4 2 2 2 2 2 3" xfId="34244" xr:uid="{00000000-0005-0000-0000-0000D5190000}"/>
    <cellStyle name="Comma 5 4 2 2 2 2 3" xfId="4342" xr:uid="{00000000-0005-0000-0000-0000D6190000}"/>
    <cellStyle name="Comma 5 4 2 2 2 2 3 2" xfId="16796" xr:uid="{00000000-0005-0000-0000-0000D7190000}"/>
    <cellStyle name="Comma 5 4 2 2 2 2 3 2 2" xfId="41670" xr:uid="{00000000-0005-0000-0000-0000D8190000}"/>
    <cellStyle name="Comma 5 4 2 2 2 2 3 3" xfId="29237" xr:uid="{00000000-0005-0000-0000-0000D9190000}"/>
    <cellStyle name="Comma 5 4 2 2 2 2 4" xfId="14124" xr:uid="{00000000-0005-0000-0000-0000DA190000}"/>
    <cellStyle name="Comma 5 4 2 2 2 2 4 2" xfId="38998" xr:uid="{00000000-0005-0000-0000-0000DB190000}"/>
    <cellStyle name="Comma 5 4 2 2 2 2 5" xfId="26557" xr:uid="{00000000-0005-0000-0000-0000DC190000}"/>
    <cellStyle name="Comma 5 4 2 2 2 3" xfId="5469" xr:uid="{00000000-0005-0000-0000-0000DD190000}"/>
    <cellStyle name="Comma 5 4 2 2 2 3 2" xfId="10485" xr:uid="{00000000-0005-0000-0000-0000DE190000}"/>
    <cellStyle name="Comma 5 4 2 2 2 3 2 2" xfId="22928" xr:uid="{00000000-0005-0000-0000-0000DF190000}"/>
    <cellStyle name="Comma 5 4 2 2 2 3 2 2 2" xfId="47802" xr:uid="{00000000-0005-0000-0000-0000E0190000}"/>
    <cellStyle name="Comma 5 4 2 2 2 3 2 3" xfId="35369" xr:uid="{00000000-0005-0000-0000-0000E1190000}"/>
    <cellStyle name="Comma 5 4 2 2 2 3 3" xfId="17921" xr:uid="{00000000-0005-0000-0000-0000E2190000}"/>
    <cellStyle name="Comma 5 4 2 2 2 3 3 2" xfId="42795" xr:uid="{00000000-0005-0000-0000-0000E3190000}"/>
    <cellStyle name="Comma 5 4 2 2 2 3 4" xfId="30362" xr:uid="{00000000-0005-0000-0000-0000E4190000}"/>
    <cellStyle name="Comma 5 4 2 2 2 4" xfId="8476" xr:uid="{00000000-0005-0000-0000-0000E5190000}"/>
    <cellStyle name="Comma 5 4 2 2 2 4 2" xfId="20920" xr:uid="{00000000-0005-0000-0000-0000E6190000}"/>
    <cellStyle name="Comma 5 4 2 2 2 4 2 2" xfId="45794" xr:uid="{00000000-0005-0000-0000-0000E7190000}"/>
    <cellStyle name="Comma 5 4 2 2 2 4 3" xfId="33361" xr:uid="{00000000-0005-0000-0000-0000E8190000}"/>
    <cellStyle name="Comma 5 4 2 2 2 5" xfId="11939" xr:uid="{00000000-0005-0000-0000-0000E9190000}"/>
    <cellStyle name="Comma 5 4 2 2 2 5 2" xfId="24373" xr:uid="{00000000-0005-0000-0000-0000EA190000}"/>
    <cellStyle name="Comma 5 4 2 2 2 5 2 2" xfId="49247" xr:uid="{00000000-0005-0000-0000-0000EB190000}"/>
    <cellStyle name="Comma 5 4 2 2 2 5 3" xfId="36814" xr:uid="{00000000-0005-0000-0000-0000EC190000}"/>
    <cellStyle name="Comma 5 4 2 2 2 6" xfId="6953" xr:uid="{00000000-0005-0000-0000-0000ED190000}"/>
    <cellStyle name="Comma 5 4 2 2 2 6 2" xfId="19402" xr:uid="{00000000-0005-0000-0000-0000EE190000}"/>
    <cellStyle name="Comma 5 4 2 2 2 6 2 2" xfId="44276" xr:uid="{00000000-0005-0000-0000-0000EF190000}"/>
    <cellStyle name="Comma 5 4 2 2 2 6 3" xfId="31843" xr:uid="{00000000-0005-0000-0000-0000F0190000}"/>
    <cellStyle name="Comma 5 4 2 2 2 7" xfId="3407" xr:uid="{00000000-0005-0000-0000-0000F1190000}"/>
    <cellStyle name="Comma 5 4 2 2 2 7 2" xfId="15913" xr:uid="{00000000-0005-0000-0000-0000F2190000}"/>
    <cellStyle name="Comma 5 4 2 2 2 7 2 2" xfId="40787" xr:uid="{00000000-0005-0000-0000-0000F3190000}"/>
    <cellStyle name="Comma 5 4 2 2 2 7 3" xfId="28346" xr:uid="{00000000-0005-0000-0000-0000F4190000}"/>
    <cellStyle name="Comma 5 4 2 2 2 8" xfId="13670" xr:uid="{00000000-0005-0000-0000-0000F5190000}"/>
    <cellStyle name="Comma 5 4 2 2 2 8 2" xfId="38544" xr:uid="{00000000-0005-0000-0000-0000F6190000}"/>
    <cellStyle name="Comma 5 4 2 2 2 9" xfId="26103" xr:uid="{00000000-0005-0000-0000-0000F7190000}"/>
    <cellStyle name="Comma 5 4 2 2 3" xfId="1672" xr:uid="{00000000-0005-0000-0000-0000F8190000}"/>
    <cellStyle name="Comma 5 4 2 2 3 2" xfId="4410" xr:uid="{00000000-0005-0000-0000-0000F9190000}"/>
    <cellStyle name="Comma 5 4 2 2 3 2 2" xfId="9428" xr:uid="{00000000-0005-0000-0000-0000FA190000}"/>
    <cellStyle name="Comma 5 4 2 2 3 2 2 2" xfId="21871" xr:uid="{00000000-0005-0000-0000-0000FB190000}"/>
    <cellStyle name="Comma 5 4 2 2 3 2 2 2 2" xfId="46745" xr:uid="{00000000-0005-0000-0000-0000FC190000}"/>
    <cellStyle name="Comma 5 4 2 2 3 2 2 3" xfId="34312" xr:uid="{00000000-0005-0000-0000-0000FD190000}"/>
    <cellStyle name="Comma 5 4 2 2 3 2 3" xfId="16864" xr:uid="{00000000-0005-0000-0000-0000FE190000}"/>
    <cellStyle name="Comma 5 4 2 2 3 2 3 2" xfId="41738" xr:uid="{00000000-0005-0000-0000-0000FF190000}"/>
    <cellStyle name="Comma 5 4 2 2 3 2 4" xfId="29305" xr:uid="{00000000-0005-0000-0000-0000001A0000}"/>
    <cellStyle name="Comma 5 4 2 2 3 3" xfId="5818" xr:uid="{00000000-0005-0000-0000-0000011A0000}"/>
    <cellStyle name="Comma 5 4 2 2 3 3 2" xfId="10833" xr:uid="{00000000-0005-0000-0000-0000021A0000}"/>
    <cellStyle name="Comma 5 4 2 2 3 3 2 2" xfId="23276" xr:uid="{00000000-0005-0000-0000-0000031A0000}"/>
    <cellStyle name="Comma 5 4 2 2 3 3 2 2 2" xfId="48150" xr:uid="{00000000-0005-0000-0000-0000041A0000}"/>
    <cellStyle name="Comma 5 4 2 2 3 3 2 3" xfId="35717" xr:uid="{00000000-0005-0000-0000-0000051A0000}"/>
    <cellStyle name="Comma 5 4 2 2 3 3 3" xfId="18269" xr:uid="{00000000-0005-0000-0000-0000061A0000}"/>
    <cellStyle name="Comma 5 4 2 2 3 3 3 2" xfId="43143" xr:uid="{00000000-0005-0000-0000-0000071A0000}"/>
    <cellStyle name="Comma 5 4 2 2 3 3 4" xfId="30710" xr:uid="{00000000-0005-0000-0000-0000081A0000}"/>
    <cellStyle name="Comma 5 4 2 2 3 4" xfId="8544" xr:uid="{00000000-0005-0000-0000-0000091A0000}"/>
    <cellStyle name="Comma 5 4 2 2 3 4 2" xfId="20988" xr:uid="{00000000-0005-0000-0000-00000A1A0000}"/>
    <cellStyle name="Comma 5 4 2 2 3 4 2 2" xfId="45862" xr:uid="{00000000-0005-0000-0000-00000B1A0000}"/>
    <cellStyle name="Comma 5 4 2 2 3 4 3" xfId="33429" xr:uid="{00000000-0005-0000-0000-00000C1A0000}"/>
    <cellStyle name="Comma 5 4 2 2 3 5" xfId="12287" xr:uid="{00000000-0005-0000-0000-00000D1A0000}"/>
    <cellStyle name="Comma 5 4 2 2 3 5 2" xfId="24721" xr:uid="{00000000-0005-0000-0000-00000E1A0000}"/>
    <cellStyle name="Comma 5 4 2 2 3 5 2 2" xfId="49595" xr:uid="{00000000-0005-0000-0000-00000F1A0000}"/>
    <cellStyle name="Comma 5 4 2 2 3 5 3" xfId="37162" xr:uid="{00000000-0005-0000-0000-0000101A0000}"/>
    <cellStyle name="Comma 5 4 2 2 3 6" xfId="7021" xr:uid="{00000000-0005-0000-0000-0000111A0000}"/>
    <cellStyle name="Comma 5 4 2 2 3 6 2" xfId="19470" xr:uid="{00000000-0005-0000-0000-0000121A0000}"/>
    <cellStyle name="Comma 5 4 2 2 3 6 2 2" xfId="44344" xr:uid="{00000000-0005-0000-0000-0000131A0000}"/>
    <cellStyle name="Comma 5 4 2 2 3 6 3" xfId="31911" xr:uid="{00000000-0005-0000-0000-0000141A0000}"/>
    <cellStyle name="Comma 5 4 2 2 3 7" xfId="3475" xr:uid="{00000000-0005-0000-0000-0000151A0000}"/>
    <cellStyle name="Comma 5 4 2 2 3 7 2" xfId="15981" xr:uid="{00000000-0005-0000-0000-0000161A0000}"/>
    <cellStyle name="Comma 5 4 2 2 3 7 2 2" xfId="40855" xr:uid="{00000000-0005-0000-0000-0000171A0000}"/>
    <cellStyle name="Comma 5 4 2 2 3 7 3" xfId="28414" xr:uid="{00000000-0005-0000-0000-0000181A0000}"/>
    <cellStyle name="Comma 5 4 2 2 3 8" xfId="14472" xr:uid="{00000000-0005-0000-0000-0000191A0000}"/>
    <cellStyle name="Comma 5 4 2 2 3 8 2" xfId="39346" xr:uid="{00000000-0005-0000-0000-00001A1A0000}"/>
    <cellStyle name="Comma 5 4 2 2 3 9" xfId="26905" xr:uid="{00000000-0005-0000-0000-00001B1A0000}"/>
    <cellStyle name="Comma 5 4 2 2 4" xfId="2428" xr:uid="{00000000-0005-0000-0000-00001C1A0000}"/>
    <cellStyle name="Comma 5 4 2 2 4 2" xfId="5052" xr:uid="{00000000-0005-0000-0000-00001D1A0000}"/>
    <cellStyle name="Comma 5 4 2 2 4 2 2" xfId="10069" xr:uid="{00000000-0005-0000-0000-00001E1A0000}"/>
    <cellStyle name="Comma 5 4 2 2 4 2 2 2" xfId="22512" xr:uid="{00000000-0005-0000-0000-00001F1A0000}"/>
    <cellStyle name="Comma 5 4 2 2 4 2 2 2 2" xfId="47386" xr:uid="{00000000-0005-0000-0000-0000201A0000}"/>
    <cellStyle name="Comma 5 4 2 2 4 2 2 3" xfId="34953" xr:uid="{00000000-0005-0000-0000-0000211A0000}"/>
    <cellStyle name="Comma 5 4 2 2 4 2 3" xfId="17505" xr:uid="{00000000-0005-0000-0000-0000221A0000}"/>
    <cellStyle name="Comma 5 4 2 2 4 2 3 2" xfId="42379" xr:uid="{00000000-0005-0000-0000-0000231A0000}"/>
    <cellStyle name="Comma 5 4 2 2 4 2 4" xfId="29946" xr:uid="{00000000-0005-0000-0000-0000241A0000}"/>
    <cellStyle name="Comma 5 4 2 2 4 3" xfId="6450" xr:uid="{00000000-0005-0000-0000-0000251A0000}"/>
    <cellStyle name="Comma 5 4 2 2 4 3 2" xfId="11465" xr:uid="{00000000-0005-0000-0000-0000261A0000}"/>
    <cellStyle name="Comma 5 4 2 2 4 3 2 2" xfId="23908" xr:uid="{00000000-0005-0000-0000-0000271A0000}"/>
    <cellStyle name="Comma 5 4 2 2 4 3 2 2 2" xfId="48782" xr:uid="{00000000-0005-0000-0000-0000281A0000}"/>
    <cellStyle name="Comma 5 4 2 2 4 3 2 3" xfId="36349" xr:uid="{00000000-0005-0000-0000-0000291A0000}"/>
    <cellStyle name="Comma 5 4 2 2 4 3 3" xfId="18901" xr:uid="{00000000-0005-0000-0000-00002A1A0000}"/>
    <cellStyle name="Comma 5 4 2 2 4 3 3 2" xfId="43775" xr:uid="{00000000-0005-0000-0000-00002B1A0000}"/>
    <cellStyle name="Comma 5 4 2 2 4 3 4" xfId="31342" xr:uid="{00000000-0005-0000-0000-00002C1A0000}"/>
    <cellStyle name="Comma 5 4 2 2 4 4" xfId="8157" xr:uid="{00000000-0005-0000-0000-00002D1A0000}"/>
    <cellStyle name="Comma 5 4 2 2 4 4 2" xfId="20603" xr:uid="{00000000-0005-0000-0000-00002E1A0000}"/>
    <cellStyle name="Comma 5 4 2 2 4 4 2 2" xfId="45477" xr:uid="{00000000-0005-0000-0000-00002F1A0000}"/>
    <cellStyle name="Comma 5 4 2 2 4 4 3" xfId="33044" xr:uid="{00000000-0005-0000-0000-0000301A0000}"/>
    <cellStyle name="Comma 5 4 2 2 4 5" xfId="12919" xr:uid="{00000000-0005-0000-0000-0000311A0000}"/>
    <cellStyle name="Comma 5 4 2 2 4 5 2" xfId="25353" xr:uid="{00000000-0005-0000-0000-0000321A0000}"/>
    <cellStyle name="Comma 5 4 2 2 4 5 2 2" xfId="50227" xr:uid="{00000000-0005-0000-0000-0000331A0000}"/>
    <cellStyle name="Comma 5 4 2 2 4 5 3" xfId="37794" xr:uid="{00000000-0005-0000-0000-0000341A0000}"/>
    <cellStyle name="Comma 5 4 2 2 4 6" xfId="7663" xr:uid="{00000000-0005-0000-0000-0000351A0000}"/>
    <cellStyle name="Comma 5 4 2 2 4 6 2" xfId="20111" xr:uid="{00000000-0005-0000-0000-0000361A0000}"/>
    <cellStyle name="Comma 5 4 2 2 4 6 2 2" xfId="44985" xr:uid="{00000000-0005-0000-0000-0000371A0000}"/>
    <cellStyle name="Comma 5 4 2 2 4 6 3" xfId="32552" xr:uid="{00000000-0005-0000-0000-0000381A0000}"/>
    <cellStyle name="Comma 5 4 2 2 4 7" xfId="3087" xr:uid="{00000000-0005-0000-0000-0000391A0000}"/>
    <cellStyle name="Comma 5 4 2 2 4 7 2" xfId="15596" xr:uid="{00000000-0005-0000-0000-00003A1A0000}"/>
    <cellStyle name="Comma 5 4 2 2 4 7 2 2" xfId="40470" xr:uid="{00000000-0005-0000-0000-00003B1A0000}"/>
    <cellStyle name="Comma 5 4 2 2 4 7 3" xfId="28029" xr:uid="{00000000-0005-0000-0000-00003C1A0000}"/>
    <cellStyle name="Comma 5 4 2 2 4 8" xfId="15104" xr:uid="{00000000-0005-0000-0000-00003D1A0000}"/>
    <cellStyle name="Comma 5 4 2 2 4 8 2" xfId="39978" xr:uid="{00000000-0005-0000-0000-00003E1A0000}"/>
    <cellStyle name="Comma 5 4 2 2 4 9" xfId="27537" xr:uid="{00000000-0005-0000-0000-00003F1A0000}"/>
    <cellStyle name="Comma 5 4 2 2 5" xfId="1261" xr:uid="{00000000-0005-0000-0000-0000401A0000}"/>
    <cellStyle name="Comma 5 4 2 2 5 2" xfId="9043" xr:uid="{00000000-0005-0000-0000-0000411A0000}"/>
    <cellStyle name="Comma 5 4 2 2 5 2 2" xfId="21486" xr:uid="{00000000-0005-0000-0000-0000421A0000}"/>
    <cellStyle name="Comma 5 4 2 2 5 2 2 2" xfId="46360" xr:uid="{00000000-0005-0000-0000-0000431A0000}"/>
    <cellStyle name="Comma 5 4 2 2 5 2 3" xfId="33927" xr:uid="{00000000-0005-0000-0000-0000441A0000}"/>
    <cellStyle name="Comma 5 4 2 2 5 3" xfId="4025" xr:uid="{00000000-0005-0000-0000-0000451A0000}"/>
    <cellStyle name="Comma 5 4 2 2 5 3 2" xfId="16479" xr:uid="{00000000-0005-0000-0000-0000461A0000}"/>
    <cellStyle name="Comma 5 4 2 2 5 3 2 2" xfId="41353" xr:uid="{00000000-0005-0000-0000-0000471A0000}"/>
    <cellStyle name="Comma 5 4 2 2 5 3 3" xfId="28920" xr:uid="{00000000-0005-0000-0000-0000481A0000}"/>
    <cellStyle name="Comma 5 4 2 2 5 4" xfId="14061" xr:uid="{00000000-0005-0000-0000-0000491A0000}"/>
    <cellStyle name="Comma 5 4 2 2 5 4 2" xfId="38935" xr:uid="{00000000-0005-0000-0000-00004A1A0000}"/>
    <cellStyle name="Comma 5 4 2 2 5 5" xfId="26494" xr:uid="{00000000-0005-0000-0000-00004B1A0000}"/>
    <cellStyle name="Comma 5 4 2 2 6" xfId="5406" xr:uid="{00000000-0005-0000-0000-00004C1A0000}"/>
    <cellStyle name="Comma 5 4 2 2 6 2" xfId="10422" xr:uid="{00000000-0005-0000-0000-00004D1A0000}"/>
    <cellStyle name="Comma 5 4 2 2 6 2 2" xfId="22865" xr:uid="{00000000-0005-0000-0000-00004E1A0000}"/>
    <cellStyle name="Comma 5 4 2 2 6 2 2 2" xfId="47739" xr:uid="{00000000-0005-0000-0000-00004F1A0000}"/>
    <cellStyle name="Comma 5 4 2 2 6 2 3" xfId="35306" xr:uid="{00000000-0005-0000-0000-0000501A0000}"/>
    <cellStyle name="Comma 5 4 2 2 6 3" xfId="17858" xr:uid="{00000000-0005-0000-0000-0000511A0000}"/>
    <cellStyle name="Comma 5 4 2 2 6 3 2" xfId="42732" xr:uid="{00000000-0005-0000-0000-0000521A0000}"/>
    <cellStyle name="Comma 5 4 2 2 6 4" xfId="30299" xr:uid="{00000000-0005-0000-0000-0000531A0000}"/>
    <cellStyle name="Comma 5 4 2 2 7" xfId="7983" xr:uid="{00000000-0005-0000-0000-0000541A0000}"/>
    <cellStyle name="Comma 5 4 2 2 7 2" xfId="20429" xr:uid="{00000000-0005-0000-0000-0000551A0000}"/>
    <cellStyle name="Comma 5 4 2 2 7 2 2" xfId="45303" xr:uid="{00000000-0005-0000-0000-0000561A0000}"/>
    <cellStyle name="Comma 5 4 2 2 7 3" xfId="32870" xr:uid="{00000000-0005-0000-0000-0000571A0000}"/>
    <cellStyle name="Comma 5 4 2 2 8" xfId="11876" xr:uid="{00000000-0005-0000-0000-0000581A0000}"/>
    <cellStyle name="Comma 5 4 2 2 8 2" xfId="24310" xr:uid="{00000000-0005-0000-0000-0000591A0000}"/>
    <cellStyle name="Comma 5 4 2 2 8 2 2" xfId="49184" xr:uid="{00000000-0005-0000-0000-00005A1A0000}"/>
    <cellStyle name="Comma 5 4 2 2 8 3" xfId="36751" xr:uid="{00000000-0005-0000-0000-00005B1A0000}"/>
    <cellStyle name="Comma 5 4 2 2 9" xfId="6636" xr:uid="{00000000-0005-0000-0000-00005C1A0000}"/>
    <cellStyle name="Comma 5 4 2 2 9 2" xfId="19085" xr:uid="{00000000-0005-0000-0000-00005D1A0000}"/>
    <cellStyle name="Comma 5 4 2 2 9 2 2" xfId="43959" xr:uid="{00000000-0005-0000-0000-00005E1A0000}"/>
    <cellStyle name="Comma 5 4 2 2 9 3" xfId="31526" xr:uid="{00000000-0005-0000-0000-00005F1A0000}"/>
    <cellStyle name="Comma 5 4 2 3" xfId="403" xr:uid="{00000000-0005-0000-0000-0000601A0000}"/>
    <cellStyle name="Comma 5 4 2 3 10" xfId="13219" xr:uid="{00000000-0005-0000-0000-0000611A0000}"/>
    <cellStyle name="Comma 5 4 2 3 10 2" xfId="38093" xr:uid="{00000000-0005-0000-0000-0000621A0000}"/>
    <cellStyle name="Comma 5 4 2 3 11" xfId="25652" xr:uid="{00000000-0005-0000-0000-0000631A0000}"/>
    <cellStyle name="Comma 5 4 2 3 2" xfId="763" xr:uid="{00000000-0005-0000-0000-0000641A0000}"/>
    <cellStyle name="Comma 5 4 2 3 2 2" xfId="1325" xr:uid="{00000000-0005-0000-0000-0000651A0000}"/>
    <cellStyle name="Comma 5 4 2 3 2 2 2" xfId="9429" xr:uid="{00000000-0005-0000-0000-0000661A0000}"/>
    <cellStyle name="Comma 5 4 2 3 2 2 2 2" xfId="21872" xr:uid="{00000000-0005-0000-0000-0000671A0000}"/>
    <cellStyle name="Comma 5 4 2 3 2 2 2 2 2" xfId="46746" xr:uid="{00000000-0005-0000-0000-0000681A0000}"/>
    <cellStyle name="Comma 5 4 2 3 2 2 2 3" xfId="34313" xr:uid="{00000000-0005-0000-0000-0000691A0000}"/>
    <cellStyle name="Comma 5 4 2 3 2 2 3" xfId="4411" xr:uid="{00000000-0005-0000-0000-00006A1A0000}"/>
    <cellStyle name="Comma 5 4 2 3 2 2 3 2" xfId="16865" xr:uid="{00000000-0005-0000-0000-00006B1A0000}"/>
    <cellStyle name="Comma 5 4 2 3 2 2 3 2 2" xfId="41739" xr:uid="{00000000-0005-0000-0000-00006C1A0000}"/>
    <cellStyle name="Comma 5 4 2 3 2 2 3 3" xfId="29306" xr:uid="{00000000-0005-0000-0000-00006D1A0000}"/>
    <cellStyle name="Comma 5 4 2 3 2 2 4" xfId="14125" xr:uid="{00000000-0005-0000-0000-00006E1A0000}"/>
    <cellStyle name="Comma 5 4 2 3 2 2 4 2" xfId="38999" xr:uid="{00000000-0005-0000-0000-00006F1A0000}"/>
    <cellStyle name="Comma 5 4 2 3 2 2 5" xfId="26558" xr:uid="{00000000-0005-0000-0000-0000701A0000}"/>
    <cellStyle name="Comma 5 4 2 3 2 3" xfId="5470" xr:uid="{00000000-0005-0000-0000-0000711A0000}"/>
    <cellStyle name="Comma 5 4 2 3 2 3 2" xfId="10486" xr:uid="{00000000-0005-0000-0000-0000721A0000}"/>
    <cellStyle name="Comma 5 4 2 3 2 3 2 2" xfId="22929" xr:uid="{00000000-0005-0000-0000-0000731A0000}"/>
    <cellStyle name="Comma 5 4 2 3 2 3 2 2 2" xfId="47803" xr:uid="{00000000-0005-0000-0000-0000741A0000}"/>
    <cellStyle name="Comma 5 4 2 3 2 3 2 3" xfId="35370" xr:uid="{00000000-0005-0000-0000-0000751A0000}"/>
    <cellStyle name="Comma 5 4 2 3 2 3 3" xfId="17922" xr:uid="{00000000-0005-0000-0000-0000761A0000}"/>
    <cellStyle name="Comma 5 4 2 3 2 3 3 2" xfId="42796" xr:uid="{00000000-0005-0000-0000-0000771A0000}"/>
    <cellStyle name="Comma 5 4 2 3 2 3 4" xfId="30363" xr:uid="{00000000-0005-0000-0000-0000781A0000}"/>
    <cellStyle name="Comma 5 4 2 3 2 4" xfId="8545" xr:uid="{00000000-0005-0000-0000-0000791A0000}"/>
    <cellStyle name="Comma 5 4 2 3 2 4 2" xfId="20989" xr:uid="{00000000-0005-0000-0000-00007A1A0000}"/>
    <cellStyle name="Comma 5 4 2 3 2 4 2 2" xfId="45863" xr:uid="{00000000-0005-0000-0000-00007B1A0000}"/>
    <cellStyle name="Comma 5 4 2 3 2 4 3" xfId="33430" xr:uid="{00000000-0005-0000-0000-00007C1A0000}"/>
    <cellStyle name="Comma 5 4 2 3 2 5" xfId="11940" xr:uid="{00000000-0005-0000-0000-00007D1A0000}"/>
    <cellStyle name="Comma 5 4 2 3 2 5 2" xfId="24374" xr:uid="{00000000-0005-0000-0000-00007E1A0000}"/>
    <cellStyle name="Comma 5 4 2 3 2 5 2 2" xfId="49248" xr:uid="{00000000-0005-0000-0000-00007F1A0000}"/>
    <cellStyle name="Comma 5 4 2 3 2 5 3" xfId="36815" xr:uid="{00000000-0005-0000-0000-0000801A0000}"/>
    <cellStyle name="Comma 5 4 2 3 2 6" xfId="7022" xr:uid="{00000000-0005-0000-0000-0000811A0000}"/>
    <cellStyle name="Comma 5 4 2 3 2 6 2" xfId="19471" xr:uid="{00000000-0005-0000-0000-0000821A0000}"/>
    <cellStyle name="Comma 5 4 2 3 2 6 2 2" xfId="44345" xr:uid="{00000000-0005-0000-0000-0000831A0000}"/>
    <cellStyle name="Comma 5 4 2 3 2 6 3" xfId="31912" xr:uid="{00000000-0005-0000-0000-0000841A0000}"/>
    <cellStyle name="Comma 5 4 2 3 2 7" xfId="3476" xr:uid="{00000000-0005-0000-0000-0000851A0000}"/>
    <cellStyle name="Comma 5 4 2 3 2 7 2" xfId="15982" xr:uid="{00000000-0005-0000-0000-0000861A0000}"/>
    <cellStyle name="Comma 5 4 2 3 2 7 2 2" xfId="40856" xr:uid="{00000000-0005-0000-0000-0000871A0000}"/>
    <cellStyle name="Comma 5 4 2 3 2 7 3" xfId="28415" xr:uid="{00000000-0005-0000-0000-0000881A0000}"/>
    <cellStyle name="Comma 5 4 2 3 2 8" xfId="13566" xr:uid="{00000000-0005-0000-0000-0000891A0000}"/>
    <cellStyle name="Comma 5 4 2 3 2 8 2" xfId="38440" xr:uid="{00000000-0005-0000-0000-00008A1A0000}"/>
    <cellStyle name="Comma 5 4 2 3 2 9" xfId="25999" xr:uid="{00000000-0005-0000-0000-00008B1A0000}"/>
    <cellStyle name="Comma 5 4 2 3 3" xfId="1673" xr:uid="{00000000-0005-0000-0000-00008C1A0000}"/>
    <cellStyle name="Comma 5 4 2 3 3 2" xfId="4948" xr:uid="{00000000-0005-0000-0000-00008D1A0000}"/>
    <cellStyle name="Comma 5 4 2 3 3 2 2" xfId="9965" xr:uid="{00000000-0005-0000-0000-00008E1A0000}"/>
    <cellStyle name="Comma 5 4 2 3 3 2 2 2" xfId="22408" xr:uid="{00000000-0005-0000-0000-00008F1A0000}"/>
    <cellStyle name="Comma 5 4 2 3 3 2 2 2 2" xfId="47282" xr:uid="{00000000-0005-0000-0000-0000901A0000}"/>
    <cellStyle name="Comma 5 4 2 3 3 2 2 3" xfId="34849" xr:uid="{00000000-0005-0000-0000-0000911A0000}"/>
    <cellStyle name="Comma 5 4 2 3 3 2 3" xfId="17401" xr:uid="{00000000-0005-0000-0000-0000921A0000}"/>
    <cellStyle name="Comma 5 4 2 3 3 2 3 2" xfId="42275" xr:uid="{00000000-0005-0000-0000-0000931A0000}"/>
    <cellStyle name="Comma 5 4 2 3 3 2 4" xfId="29842" xr:uid="{00000000-0005-0000-0000-0000941A0000}"/>
    <cellStyle name="Comma 5 4 2 3 3 3" xfId="5819" xr:uid="{00000000-0005-0000-0000-0000951A0000}"/>
    <cellStyle name="Comma 5 4 2 3 3 3 2" xfId="10834" xr:uid="{00000000-0005-0000-0000-0000961A0000}"/>
    <cellStyle name="Comma 5 4 2 3 3 3 2 2" xfId="23277" xr:uid="{00000000-0005-0000-0000-0000971A0000}"/>
    <cellStyle name="Comma 5 4 2 3 3 3 2 2 2" xfId="48151" xr:uid="{00000000-0005-0000-0000-0000981A0000}"/>
    <cellStyle name="Comma 5 4 2 3 3 3 2 3" xfId="35718" xr:uid="{00000000-0005-0000-0000-0000991A0000}"/>
    <cellStyle name="Comma 5 4 2 3 3 3 3" xfId="18270" xr:uid="{00000000-0005-0000-0000-00009A1A0000}"/>
    <cellStyle name="Comma 5 4 2 3 3 3 3 2" xfId="43144" xr:uid="{00000000-0005-0000-0000-00009B1A0000}"/>
    <cellStyle name="Comma 5 4 2 3 3 3 4" xfId="30711" xr:uid="{00000000-0005-0000-0000-00009C1A0000}"/>
    <cellStyle name="Comma 5 4 2 3 3 4" xfId="8372" xr:uid="{00000000-0005-0000-0000-00009D1A0000}"/>
    <cellStyle name="Comma 5 4 2 3 3 4 2" xfId="20816" xr:uid="{00000000-0005-0000-0000-00009E1A0000}"/>
    <cellStyle name="Comma 5 4 2 3 3 4 2 2" xfId="45690" xr:uid="{00000000-0005-0000-0000-00009F1A0000}"/>
    <cellStyle name="Comma 5 4 2 3 3 4 3" xfId="33257" xr:uid="{00000000-0005-0000-0000-0000A01A0000}"/>
    <cellStyle name="Comma 5 4 2 3 3 5" xfId="12288" xr:uid="{00000000-0005-0000-0000-0000A11A0000}"/>
    <cellStyle name="Comma 5 4 2 3 3 5 2" xfId="24722" xr:uid="{00000000-0005-0000-0000-0000A21A0000}"/>
    <cellStyle name="Comma 5 4 2 3 3 5 2 2" xfId="49596" xr:uid="{00000000-0005-0000-0000-0000A31A0000}"/>
    <cellStyle name="Comma 5 4 2 3 3 5 3" xfId="37163" xr:uid="{00000000-0005-0000-0000-0000A41A0000}"/>
    <cellStyle name="Comma 5 4 2 3 3 6" xfId="7559" xr:uid="{00000000-0005-0000-0000-0000A51A0000}"/>
    <cellStyle name="Comma 5 4 2 3 3 6 2" xfId="20007" xr:uid="{00000000-0005-0000-0000-0000A61A0000}"/>
    <cellStyle name="Comma 5 4 2 3 3 6 2 2" xfId="44881" xr:uid="{00000000-0005-0000-0000-0000A71A0000}"/>
    <cellStyle name="Comma 5 4 2 3 3 6 3" xfId="32448" xr:uid="{00000000-0005-0000-0000-0000A81A0000}"/>
    <cellStyle name="Comma 5 4 2 3 3 7" xfId="3303" xr:uid="{00000000-0005-0000-0000-0000A91A0000}"/>
    <cellStyle name="Comma 5 4 2 3 3 7 2" xfId="15809" xr:uid="{00000000-0005-0000-0000-0000AA1A0000}"/>
    <cellStyle name="Comma 5 4 2 3 3 7 2 2" xfId="40683" xr:uid="{00000000-0005-0000-0000-0000AB1A0000}"/>
    <cellStyle name="Comma 5 4 2 3 3 7 3" xfId="28242" xr:uid="{00000000-0005-0000-0000-0000AC1A0000}"/>
    <cellStyle name="Comma 5 4 2 3 3 8" xfId="14473" xr:uid="{00000000-0005-0000-0000-0000AD1A0000}"/>
    <cellStyle name="Comma 5 4 2 3 3 8 2" xfId="39347" xr:uid="{00000000-0005-0000-0000-0000AE1A0000}"/>
    <cellStyle name="Comma 5 4 2 3 3 9" xfId="26906" xr:uid="{00000000-0005-0000-0000-0000AF1A0000}"/>
    <cellStyle name="Comma 5 4 2 3 4" xfId="2321" xr:uid="{00000000-0005-0000-0000-0000B01A0000}"/>
    <cellStyle name="Comma 5 4 2 3 4 2" xfId="6346" xr:uid="{00000000-0005-0000-0000-0000B11A0000}"/>
    <cellStyle name="Comma 5 4 2 3 4 2 2" xfId="11361" xr:uid="{00000000-0005-0000-0000-0000B21A0000}"/>
    <cellStyle name="Comma 5 4 2 3 4 2 2 2" xfId="23804" xr:uid="{00000000-0005-0000-0000-0000B31A0000}"/>
    <cellStyle name="Comma 5 4 2 3 4 2 2 2 2" xfId="48678" xr:uid="{00000000-0005-0000-0000-0000B41A0000}"/>
    <cellStyle name="Comma 5 4 2 3 4 2 2 3" xfId="36245" xr:uid="{00000000-0005-0000-0000-0000B51A0000}"/>
    <cellStyle name="Comma 5 4 2 3 4 2 3" xfId="18797" xr:uid="{00000000-0005-0000-0000-0000B61A0000}"/>
    <cellStyle name="Comma 5 4 2 3 4 2 3 2" xfId="43671" xr:uid="{00000000-0005-0000-0000-0000B71A0000}"/>
    <cellStyle name="Comma 5 4 2 3 4 2 4" xfId="31238" xr:uid="{00000000-0005-0000-0000-0000B81A0000}"/>
    <cellStyle name="Comma 5 4 2 3 4 3" xfId="12815" xr:uid="{00000000-0005-0000-0000-0000B91A0000}"/>
    <cellStyle name="Comma 5 4 2 3 4 3 2" xfId="25249" xr:uid="{00000000-0005-0000-0000-0000BA1A0000}"/>
    <cellStyle name="Comma 5 4 2 3 4 3 2 2" xfId="50123" xr:uid="{00000000-0005-0000-0000-0000BB1A0000}"/>
    <cellStyle name="Comma 5 4 2 3 4 3 3" xfId="37690" xr:uid="{00000000-0005-0000-0000-0000BC1A0000}"/>
    <cellStyle name="Comma 5 4 2 3 4 4" xfId="9256" xr:uid="{00000000-0005-0000-0000-0000BD1A0000}"/>
    <cellStyle name="Comma 5 4 2 3 4 4 2" xfId="21699" xr:uid="{00000000-0005-0000-0000-0000BE1A0000}"/>
    <cellStyle name="Comma 5 4 2 3 4 4 2 2" xfId="46573" xr:uid="{00000000-0005-0000-0000-0000BF1A0000}"/>
    <cellStyle name="Comma 5 4 2 3 4 4 3" xfId="34140" xr:uid="{00000000-0005-0000-0000-0000C01A0000}"/>
    <cellStyle name="Comma 5 4 2 3 4 5" xfId="4238" xr:uid="{00000000-0005-0000-0000-0000C11A0000}"/>
    <cellStyle name="Comma 5 4 2 3 4 5 2" xfId="16692" xr:uid="{00000000-0005-0000-0000-0000C21A0000}"/>
    <cellStyle name="Comma 5 4 2 3 4 5 2 2" xfId="41566" xr:uid="{00000000-0005-0000-0000-0000C31A0000}"/>
    <cellStyle name="Comma 5 4 2 3 4 5 3" xfId="29133" xr:uid="{00000000-0005-0000-0000-0000C41A0000}"/>
    <cellStyle name="Comma 5 4 2 3 4 6" xfId="15000" xr:uid="{00000000-0005-0000-0000-0000C51A0000}"/>
    <cellStyle name="Comma 5 4 2 3 4 6 2" xfId="39874" xr:uid="{00000000-0005-0000-0000-0000C61A0000}"/>
    <cellStyle name="Comma 5 4 2 3 4 7" xfId="27433" xr:uid="{00000000-0005-0000-0000-0000C71A0000}"/>
    <cellStyle name="Comma 5 4 2 3 5" xfId="1157" xr:uid="{00000000-0005-0000-0000-0000C81A0000}"/>
    <cellStyle name="Comma 5 4 2 3 5 2" xfId="10318" xr:uid="{00000000-0005-0000-0000-0000C91A0000}"/>
    <cellStyle name="Comma 5 4 2 3 5 2 2" xfId="22761" xr:uid="{00000000-0005-0000-0000-0000CA1A0000}"/>
    <cellStyle name="Comma 5 4 2 3 5 2 2 2" xfId="47635" xr:uid="{00000000-0005-0000-0000-0000CB1A0000}"/>
    <cellStyle name="Comma 5 4 2 3 5 2 3" xfId="35202" xr:uid="{00000000-0005-0000-0000-0000CC1A0000}"/>
    <cellStyle name="Comma 5 4 2 3 5 3" xfId="5302" xr:uid="{00000000-0005-0000-0000-0000CD1A0000}"/>
    <cellStyle name="Comma 5 4 2 3 5 3 2" xfId="17754" xr:uid="{00000000-0005-0000-0000-0000CE1A0000}"/>
    <cellStyle name="Comma 5 4 2 3 5 3 2 2" xfId="42628" xr:uid="{00000000-0005-0000-0000-0000CF1A0000}"/>
    <cellStyle name="Comma 5 4 2 3 5 3 3" xfId="30195" xr:uid="{00000000-0005-0000-0000-0000D01A0000}"/>
    <cellStyle name="Comma 5 4 2 3 5 4" xfId="13957" xr:uid="{00000000-0005-0000-0000-0000D11A0000}"/>
    <cellStyle name="Comma 5 4 2 3 5 4 2" xfId="38831" xr:uid="{00000000-0005-0000-0000-0000D21A0000}"/>
    <cellStyle name="Comma 5 4 2 3 5 5" xfId="26390" xr:uid="{00000000-0005-0000-0000-0000D31A0000}"/>
    <cellStyle name="Comma 5 4 2 3 6" xfId="7879" xr:uid="{00000000-0005-0000-0000-0000D41A0000}"/>
    <cellStyle name="Comma 5 4 2 3 6 2" xfId="20325" xr:uid="{00000000-0005-0000-0000-0000D51A0000}"/>
    <cellStyle name="Comma 5 4 2 3 6 2 2" xfId="45199" xr:uid="{00000000-0005-0000-0000-0000D61A0000}"/>
    <cellStyle name="Comma 5 4 2 3 6 3" xfId="32766" xr:uid="{00000000-0005-0000-0000-0000D71A0000}"/>
    <cellStyle name="Comma 5 4 2 3 7" xfId="11772" xr:uid="{00000000-0005-0000-0000-0000D81A0000}"/>
    <cellStyle name="Comma 5 4 2 3 7 2" xfId="24206" xr:uid="{00000000-0005-0000-0000-0000D91A0000}"/>
    <cellStyle name="Comma 5 4 2 3 7 2 2" xfId="49080" xr:uid="{00000000-0005-0000-0000-0000DA1A0000}"/>
    <cellStyle name="Comma 5 4 2 3 7 3" xfId="36647" xr:uid="{00000000-0005-0000-0000-0000DB1A0000}"/>
    <cellStyle name="Comma 5 4 2 3 8" xfId="6849" xr:uid="{00000000-0005-0000-0000-0000DC1A0000}"/>
    <cellStyle name="Comma 5 4 2 3 8 2" xfId="19298" xr:uid="{00000000-0005-0000-0000-0000DD1A0000}"/>
    <cellStyle name="Comma 5 4 2 3 8 2 2" xfId="44172" xr:uid="{00000000-0005-0000-0000-0000DE1A0000}"/>
    <cellStyle name="Comma 5 4 2 3 8 3" xfId="31739" xr:uid="{00000000-0005-0000-0000-0000DF1A0000}"/>
    <cellStyle name="Comma 5 4 2 3 9" xfId="2800" xr:uid="{00000000-0005-0000-0000-0000E01A0000}"/>
    <cellStyle name="Comma 5 4 2 3 9 2" xfId="15318" xr:uid="{00000000-0005-0000-0000-0000E11A0000}"/>
    <cellStyle name="Comma 5 4 2 3 9 2 2" xfId="40192" xr:uid="{00000000-0005-0000-0000-0000E21A0000}"/>
    <cellStyle name="Comma 5 4 2 3 9 3" xfId="27751" xr:uid="{00000000-0005-0000-0000-0000E31A0000}"/>
    <cellStyle name="Comma 5 4 2 4" xfId="301" xr:uid="{00000000-0005-0000-0000-0000E41A0000}"/>
    <cellStyle name="Comma 5 4 2 4 2" xfId="1323" xr:uid="{00000000-0005-0000-0000-0000E51A0000}"/>
    <cellStyle name="Comma 5 4 2 4 2 2" xfId="9156" xr:uid="{00000000-0005-0000-0000-0000E61A0000}"/>
    <cellStyle name="Comma 5 4 2 4 2 2 2" xfId="21599" xr:uid="{00000000-0005-0000-0000-0000E71A0000}"/>
    <cellStyle name="Comma 5 4 2 4 2 2 2 2" xfId="46473" xr:uid="{00000000-0005-0000-0000-0000E81A0000}"/>
    <cellStyle name="Comma 5 4 2 4 2 2 3" xfId="34040" xr:uid="{00000000-0005-0000-0000-0000E91A0000}"/>
    <cellStyle name="Comma 5 4 2 4 2 3" xfId="4138" xr:uid="{00000000-0005-0000-0000-0000EA1A0000}"/>
    <cellStyle name="Comma 5 4 2 4 2 3 2" xfId="16592" xr:uid="{00000000-0005-0000-0000-0000EB1A0000}"/>
    <cellStyle name="Comma 5 4 2 4 2 3 2 2" xfId="41466" xr:uid="{00000000-0005-0000-0000-0000EC1A0000}"/>
    <cellStyle name="Comma 5 4 2 4 2 3 3" xfId="29033" xr:uid="{00000000-0005-0000-0000-0000ED1A0000}"/>
    <cellStyle name="Comma 5 4 2 4 2 4" xfId="14123" xr:uid="{00000000-0005-0000-0000-0000EE1A0000}"/>
    <cellStyle name="Comma 5 4 2 4 2 4 2" xfId="38997" xr:uid="{00000000-0005-0000-0000-0000EF1A0000}"/>
    <cellStyle name="Comma 5 4 2 4 2 5" xfId="26556" xr:uid="{00000000-0005-0000-0000-0000F01A0000}"/>
    <cellStyle name="Comma 5 4 2 4 3" xfId="5468" xr:uid="{00000000-0005-0000-0000-0000F11A0000}"/>
    <cellStyle name="Comma 5 4 2 4 3 2" xfId="10484" xr:uid="{00000000-0005-0000-0000-0000F21A0000}"/>
    <cellStyle name="Comma 5 4 2 4 3 2 2" xfId="22927" xr:uid="{00000000-0005-0000-0000-0000F31A0000}"/>
    <cellStyle name="Comma 5 4 2 4 3 2 2 2" xfId="47801" xr:uid="{00000000-0005-0000-0000-0000F41A0000}"/>
    <cellStyle name="Comma 5 4 2 4 3 2 3" xfId="35368" xr:uid="{00000000-0005-0000-0000-0000F51A0000}"/>
    <cellStyle name="Comma 5 4 2 4 3 3" xfId="17920" xr:uid="{00000000-0005-0000-0000-0000F61A0000}"/>
    <cellStyle name="Comma 5 4 2 4 3 3 2" xfId="42794" xr:uid="{00000000-0005-0000-0000-0000F71A0000}"/>
    <cellStyle name="Comma 5 4 2 4 3 4" xfId="30361" xr:uid="{00000000-0005-0000-0000-0000F81A0000}"/>
    <cellStyle name="Comma 5 4 2 4 4" xfId="8272" xr:uid="{00000000-0005-0000-0000-0000F91A0000}"/>
    <cellStyle name="Comma 5 4 2 4 4 2" xfId="20716" xr:uid="{00000000-0005-0000-0000-0000FA1A0000}"/>
    <cellStyle name="Comma 5 4 2 4 4 2 2" xfId="45590" xr:uid="{00000000-0005-0000-0000-0000FB1A0000}"/>
    <cellStyle name="Comma 5 4 2 4 4 3" xfId="33157" xr:uid="{00000000-0005-0000-0000-0000FC1A0000}"/>
    <cellStyle name="Comma 5 4 2 4 5" xfId="11938" xr:uid="{00000000-0005-0000-0000-0000FD1A0000}"/>
    <cellStyle name="Comma 5 4 2 4 5 2" xfId="24372" xr:uid="{00000000-0005-0000-0000-0000FE1A0000}"/>
    <cellStyle name="Comma 5 4 2 4 5 2 2" xfId="49246" xr:uid="{00000000-0005-0000-0000-0000FF1A0000}"/>
    <cellStyle name="Comma 5 4 2 4 5 3" xfId="36813" xr:uid="{00000000-0005-0000-0000-0000001B0000}"/>
    <cellStyle name="Comma 5 4 2 4 6" xfId="6749" xr:uid="{00000000-0005-0000-0000-0000011B0000}"/>
    <cellStyle name="Comma 5 4 2 4 6 2" xfId="19198" xr:uid="{00000000-0005-0000-0000-0000021B0000}"/>
    <cellStyle name="Comma 5 4 2 4 6 2 2" xfId="44072" xr:uid="{00000000-0005-0000-0000-0000031B0000}"/>
    <cellStyle name="Comma 5 4 2 4 6 3" xfId="31639" xr:uid="{00000000-0005-0000-0000-0000041B0000}"/>
    <cellStyle name="Comma 5 4 2 4 7" xfId="3203" xr:uid="{00000000-0005-0000-0000-0000051B0000}"/>
    <cellStyle name="Comma 5 4 2 4 7 2" xfId="15709" xr:uid="{00000000-0005-0000-0000-0000061B0000}"/>
    <cellStyle name="Comma 5 4 2 4 7 2 2" xfId="40583" xr:uid="{00000000-0005-0000-0000-0000071B0000}"/>
    <cellStyle name="Comma 5 4 2 4 7 3" xfId="28142" xr:uid="{00000000-0005-0000-0000-0000081B0000}"/>
    <cellStyle name="Comma 5 4 2 4 8" xfId="13119" xr:uid="{00000000-0005-0000-0000-0000091B0000}"/>
    <cellStyle name="Comma 5 4 2 4 8 2" xfId="37993" xr:uid="{00000000-0005-0000-0000-00000A1B0000}"/>
    <cellStyle name="Comma 5 4 2 4 9" xfId="25552" xr:uid="{00000000-0005-0000-0000-00000B1B0000}"/>
    <cellStyle name="Comma 5 4 2 5" xfId="662" xr:uid="{00000000-0005-0000-0000-00000C1B0000}"/>
    <cellStyle name="Comma 5 4 2 5 2" xfId="1671" xr:uid="{00000000-0005-0000-0000-00000D1B0000}"/>
    <cellStyle name="Comma 5 4 2 5 2 2" xfId="9427" xr:uid="{00000000-0005-0000-0000-00000E1B0000}"/>
    <cellStyle name="Comma 5 4 2 5 2 2 2" xfId="21870" xr:uid="{00000000-0005-0000-0000-00000F1B0000}"/>
    <cellStyle name="Comma 5 4 2 5 2 2 2 2" xfId="46744" xr:uid="{00000000-0005-0000-0000-0000101B0000}"/>
    <cellStyle name="Comma 5 4 2 5 2 2 3" xfId="34311" xr:uid="{00000000-0005-0000-0000-0000111B0000}"/>
    <cellStyle name="Comma 5 4 2 5 2 3" xfId="4409" xr:uid="{00000000-0005-0000-0000-0000121B0000}"/>
    <cellStyle name="Comma 5 4 2 5 2 3 2" xfId="16863" xr:uid="{00000000-0005-0000-0000-0000131B0000}"/>
    <cellStyle name="Comma 5 4 2 5 2 3 2 2" xfId="41737" xr:uid="{00000000-0005-0000-0000-0000141B0000}"/>
    <cellStyle name="Comma 5 4 2 5 2 3 3" xfId="29304" xr:uid="{00000000-0005-0000-0000-0000151B0000}"/>
    <cellStyle name="Comma 5 4 2 5 2 4" xfId="14471" xr:uid="{00000000-0005-0000-0000-0000161B0000}"/>
    <cellStyle name="Comma 5 4 2 5 2 4 2" xfId="39345" xr:uid="{00000000-0005-0000-0000-0000171B0000}"/>
    <cellStyle name="Comma 5 4 2 5 2 5" xfId="26904" xr:uid="{00000000-0005-0000-0000-0000181B0000}"/>
    <cellStyle name="Comma 5 4 2 5 3" xfId="5817" xr:uid="{00000000-0005-0000-0000-0000191B0000}"/>
    <cellStyle name="Comma 5 4 2 5 3 2" xfId="10832" xr:uid="{00000000-0005-0000-0000-00001A1B0000}"/>
    <cellStyle name="Comma 5 4 2 5 3 2 2" xfId="23275" xr:uid="{00000000-0005-0000-0000-00001B1B0000}"/>
    <cellStyle name="Comma 5 4 2 5 3 2 2 2" xfId="48149" xr:uid="{00000000-0005-0000-0000-00001C1B0000}"/>
    <cellStyle name="Comma 5 4 2 5 3 2 3" xfId="35716" xr:uid="{00000000-0005-0000-0000-00001D1B0000}"/>
    <cellStyle name="Comma 5 4 2 5 3 3" xfId="18268" xr:uid="{00000000-0005-0000-0000-00001E1B0000}"/>
    <cellStyle name="Comma 5 4 2 5 3 3 2" xfId="43142" xr:uid="{00000000-0005-0000-0000-00001F1B0000}"/>
    <cellStyle name="Comma 5 4 2 5 3 4" xfId="30709" xr:uid="{00000000-0005-0000-0000-0000201B0000}"/>
    <cellStyle name="Comma 5 4 2 5 4" xfId="8543" xr:uid="{00000000-0005-0000-0000-0000211B0000}"/>
    <cellStyle name="Comma 5 4 2 5 4 2" xfId="20987" xr:uid="{00000000-0005-0000-0000-0000221B0000}"/>
    <cellStyle name="Comma 5 4 2 5 4 2 2" xfId="45861" xr:uid="{00000000-0005-0000-0000-0000231B0000}"/>
    <cellStyle name="Comma 5 4 2 5 4 3" xfId="33428" xr:uid="{00000000-0005-0000-0000-0000241B0000}"/>
    <cellStyle name="Comma 5 4 2 5 5" xfId="12286" xr:uid="{00000000-0005-0000-0000-0000251B0000}"/>
    <cellStyle name="Comma 5 4 2 5 5 2" xfId="24720" xr:uid="{00000000-0005-0000-0000-0000261B0000}"/>
    <cellStyle name="Comma 5 4 2 5 5 2 2" xfId="49594" xr:uid="{00000000-0005-0000-0000-0000271B0000}"/>
    <cellStyle name="Comma 5 4 2 5 5 3" xfId="37161" xr:uid="{00000000-0005-0000-0000-0000281B0000}"/>
    <cellStyle name="Comma 5 4 2 5 6" xfId="7020" xr:uid="{00000000-0005-0000-0000-0000291B0000}"/>
    <cellStyle name="Comma 5 4 2 5 6 2" xfId="19469" xr:uid="{00000000-0005-0000-0000-00002A1B0000}"/>
    <cellStyle name="Comma 5 4 2 5 6 2 2" xfId="44343" xr:uid="{00000000-0005-0000-0000-00002B1B0000}"/>
    <cellStyle name="Comma 5 4 2 5 6 3" xfId="31910" xr:uid="{00000000-0005-0000-0000-00002C1B0000}"/>
    <cellStyle name="Comma 5 4 2 5 7" xfId="3474" xr:uid="{00000000-0005-0000-0000-00002D1B0000}"/>
    <cellStyle name="Comma 5 4 2 5 7 2" xfId="15980" xr:uid="{00000000-0005-0000-0000-00002E1B0000}"/>
    <cellStyle name="Comma 5 4 2 5 7 2 2" xfId="40854" xr:uid="{00000000-0005-0000-0000-00002F1B0000}"/>
    <cellStyle name="Comma 5 4 2 5 7 3" xfId="28413" xr:uid="{00000000-0005-0000-0000-0000301B0000}"/>
    <cellStyle name="Comma 5 4 2 5 8" xfId="13466" xr:uid="{00000000-0005-0000-0000-0000311B0000}"/>
    <cellStyle name="Comma 5 4 2 5 8 2" xfId="38340" xr:uid="{00000000-0005-0000-0000-0000321B0000}"/>
    <cellStyle name="Comma 5 4 2 5 9" xfId="25899" xr:uid="{00000000-0005-0000-0000-0000331B0000}"/>
    <cellStyle name="Comma 5 4 2 6" xfId="2219" xr:uid="{00000000-0005-0000-0000-0000341B0000}"/>
    <cellStyle name="Comma 5 4 2 6 2" xfId="4848" xr:uid="{00000000-0005-0000-0000-0000351B0000}"/>
    <cellStyle name="Comma 5 4 2 6 2 2" xfId="9865" xr:uid="{00000000-0005-0000-0000-0000361B0000}"/>
    <cellStyle name="Comma 5 4 2 6 2 2 2" xfId="22308" xr:uid="{00000000-0005-0000-0000-0000371B0000}"/>
    <cellStyle name="Comma 5 4 2 6 2 2 2 2" xfId="47182" xr:uid="{00000000-0005-0000-0000-0000381B0000}"/>
    <cellStyle name="Comma 5 4 2 6 2 2 3" xfId="34749" xr:uid="{00000000-0005-0000-0000-0000391B0000}"/>
    <cellStyle name="Comma 5 4 2 6 2 3" xfId="17301" xr:uid="{00000000-0005-0000-0000-00003A1B0000}"/>
    <cellStyle name="Comma 5 4 2 6 2 3 2" xfId="42175" xr:uid="{00000000-0005-0000-0000-00003B1B0000}"/>
    <cellStyle name="Comma 5 4 2 6 2 4" xfId="29742" xr:uid="{00000000-0005-0000-0000-00003C1B0000}"/>
    <cellStyle name="Comma 5 4 2 6 3" xfId="6246" xr:uid="{00000000-0005-0000-0000-00003D1B0000}"/>
    <cellStyle name="Comma 5 4 2 6 3 2" xfId="11261" xr:uid="{00000000-0005-0000-0000-00003E1B0000}"/>
    <cellStyle name="Comma 5 4 2 6 3 2 2" xfId="23704" xr:uid="{00000000-0005-0000-0000-00003F1B0000}"/>
    <cellStyle name="Comma 5 4 2 6 3 2 2 2" xfId="48578" xr:uid="{00000000-0005-0000-0000-0000401B0000}"/>
    <cellStyle name="Comma 5 4 2 6 3 2 3" xfId="36145" xr:uid="{00000000-0005-0000-0000-0000411B0000}"/>
    <cellStyle name="Comma 5 4 2 6 3 3" xfId="18697" xr:uid="{00000000-0005-0000-0000-0000421B0000}"/>
    <cellStyle name="Comma 5 4 2 6 3 3 2" xfId="43571" xr:uid="{00000000-0005-0000-0000-0000431B0000}"/>
    <cellStyle name="Comma 5 4 2 6 3 4" xfId="31138" xr:uid="{00000000-0005-0000-0000-0000441B0000}"/>
    <cellStyle name="Comma 5 4 2 6 4" xfId="8053" xr:uid="{00000000-0005-0000-0000-0000451B0000}"/>
    <cellStyle name="Comma 5 4 2 6 4 2" xfId="20499" xr:uid="{00000000-0005-0000-0000-0000461B0000}"/>
    <cellStyle name="Comma 5 4 2 6 4 2 2" xfId="45373" xr:uid="{00000000-0005-0000-0000-0000471B0000}"/>
    <cellStyle name="Comma 5 4 2 6 4 3" xfId="32940" xr:uid="{00000000-0005-0000-0000-0000481B0000}"/>
    <cellStyle name="Comma 5 4 2 6 5" xfId="12715" xr:uid="{00000000-0005-0000-0000-0000491B0000}"/>
    <cellStyle name="Comma 5 4 2 6 5 2" xfId="25149" xr:uid="{00000000-0005-0000-0000-00004A1B0000}"/>
    <cellStyle name="Comma 5 4 2 6 5 2 2" xfId="50023" xr:uid="{00000000-0005-0000-0000-00004B1B0000}"/>
    <cellStyle name="Comma 5 4 2 6 5 3" xfId="37590" xr:uid="{00000000-0005-0000-0000-00004C1B0000}"/>
    <cellStyle name="Comma 5 4 2 6 6" xfId="7459" xr:uid="{00000000-0005-0000-0000-00004D1B0000}"/>
    <cellStyle name="Comma 5 4 2 6 6 2" xfId="19907" xr:uid="{00000000-0005-0000-0000-00004E1B0000}"/>
    <cellStyle name="Comma 5 4 2 6 6 2 2" xfId="44781" xr:uid="{00000000-0005-0000-0000-00004F1B0000}"/>
    <cellStyle name="Comma 5 4 2 6 6 3" xfId="32348" xr:uid="{00000000-0005-0000-0000-0000501B0000}"/>
    <cellStyle name="Comma 5 4 2 6 7" xfId="2980" xr:uid="{00000000-0005-0000-0000-0000511B0000}"/>
    <cellStyle name="Comma 5 4 2 6 7 2" xfId="15492" xr:uid="{00000000-0005-0000-0000-0000521B0000}"/>
    <cellStyle name="Comma 5 4 2 6 7 2 2" xfId="40366" xr:uid="{00000000-0005-0000-0000-0000531B0000}"/>
    <cellStyle name="Comma 5 4 2 6 7 3" xfId="27925" xr:uid="{00000000-0005-0000-0000-0000541B0000}"/>
    <cellStyle name="Comma 5 4 2 6 8" xfId="14900" xr:uid="{00000000-0005-0000-0000-0000551B0000}"/>
    <cellStyle name="Comma 5 4 2 6 8 2" xfId="39774" xr:uid="{00000000-0005-0000-0000-0000561B0000}"/>
    <cellStyle name="Comma 5 4 2 6 9" xfId="27333" xr:uid="{00000000-0005-0000-0000-0000571B0000}"/>
    <cellStyle name="Comma 5 4 2 7" xfId="1057" xr:uid="{00000000-0005-0000-0000-0000581B0000}"/>
    <cellStyle name="Comma 5 4 2 7 2" xfId="8939" xr:uid="{00000000-0005-0000-0000-0000591B0000}"/>
    <cellStyle name="Comma 5 4 2 7 2 2" xfId="21382" xr:uid="{00000000-0005-0000-0000-00005A1B0000}"/>
    <cellStyle name="Comma 5 4 2 7 2 2 2" xfId="46256" xr:uid="{00000000-0005-0000-0000-00005B1B0000}"/>
    <cellStyle name="Comma 5 4 2 7 2 3" xfId="33823" xr:uid="{00000000-0005-0000-0000-00005C1B0000}"/>
    <cellStyle name="Comma 5 4 2 7 3" xfId="3921" xr:uid="{00000000-0005-0000-0000-00005D1B0000}"/>
    <cellStyle name="Comma 5 4 2 7 3 2" xfId="16375" xr:uid="{00000000-0005-0000-0000-00005E1B0000}"/>
    <cellStyle name="Comma 5 4 2 7 3 2 2" xfId="41249" xr:uid="{00000000-0005-0000-0000-00005F1B0000}"/>
    <cellStyle name="Comma 5 4 2 7 3 3" xfId="28816" xr:uid="{00000000-0005-0000-0000-0000601B0000}"/>
    <cellStyle name="Comma 5 4 2 7 4" xfId="13857" xr:uid="{00000000-0005-0000-0000-0000611B0000}"/>
    <cellStyle name="Comma 5 4 2 7 4 2" xfId="38731" xr:uid="{00000000-0005-0000-0000-0000621B0000}"/>
    <cellStyle name="Comma 5 4 2 7 5" xfId="26290" xr:uid="{00000000-0005-0000-0000-0000631B0000}"/>
    <cellStyle name="Comma 5 4 2 8" xfId="5202" xr:uid="{00000000-0005-0000-0000-0000641B0000}"/>
    <cellStyle name="Comma 5 4 2 8 2" xfId="10218" xr:uid="{00000000-0005-0000-0000-0000651B0000}"/>
    <cellStyle name="Comma 5 4 2 8 2 2" xfId="22661" xr:uid="{00000000-0005-0000-0000-0000661B0000}"/>
    <cellStyle name="Comma 5 4 2 8 2 2 2" xfId="47535" xr:uid="{00000000-0005-0000-0000-0000671B0000}"/>
    <cellStyle name="Comma 5 4 2 8 2 3" xfId="35102" xr:uid="{00000000-0005-0000-0000-0000681B0000}"/>
    <cellStyle name="Comma 5 4 2 8 3" xfId="17654" xr:uid="{00000000-0005-0000-0000-0000691B0000}"/>
    <cellStyle name="Comma 5 4 2 8 3 2" xfId="42528" xr:uid="{00000000-0005-0000-0000-00006A1B0000}"/>
    <cellStyle name="Comma 5 4 2 8 4" xfId="30095" xr:uid="{00000000-0005-0000-0000-00006B1B0000}"/>
    <cellStyle name="Comma 5 4 2 9" xfId="7779" xr:uid="{00000000-0005-0000-0000-00006C1B0000}"/>
    <cellStyle name="Comma 5 4 2 9 2" xfId="20225" xr:uid="{00000000-0005-0000-0000-00006D1B0000}"/>
    <cellStyle name="Comma 5 4 2 9 2 2" xfId="45099" xr:uid="{00000000-0005-0000-0000-00006E1B0000}"/>
    <cellStyle name="Comma 5 4 2 9 3" xfId="32666" xr:uid="{00000000-0005-0000-0000-00006F1B0000}"/>
    <cellStyle name="Comma 5 4 3" xfId="346" xr:uid="{00000000-0005-0000-0000-0000701B0000}"/>
    <cellStyle name="Comma 5 4 3 10" xfId="6575" xr:uid="{00000000-0005-0000-0000-0000711B0000}"/>
    <cellStyle name="Comma 5 4 3 10 2" xfId="19024" xr:uid="{00000000-0005-0000-0000-0000721B0000}"/>
    <cellStyle name="Comma 5 4 3 10 2 2" xfId="43898" xr:uid="{00000000-0005-0000-0000-0000731B0000}"/>
    <cellStyle name="Comma 5 4 3 10 3" xfId="31465" xr:uid="{00000000-0005-0000-0000-0000741B0000}"/>
    <cellStyle name="Comma 5 4 3 11" xfId="2743" xr:uid="{00000000-0005-0000-0000-0000751B0000}"/>
    <cellStyle name="Comma 5 4 3 11 2" xfId="15261" xr:uid="{00000000-0005-0000-0000-0000761B0000}"/>
    <cellStyle name="Comma 5 4 3 11 2 2" xfId="40135" xr:uid="{00000000-0005-0000-0000-0000771B0000}"/>
    <cellStyle name="Comma 5 4 3 11 3" xfId="27694" xr:uid="{00000000-0005-0000-0000-0000781B0000}"/>
    <cellStyle name="Comma 5 4 3 12" xfId="13162" xr:uid="{00000000-0005-0000-0000-0000791B0000}"/>
    <cellStyle name="Comma 5 4 3 12 2" xfId="38036" xr:uid="{00000000-0005-0000-0000-00007A1B0000}"/>
    <cellStyle name="Comma 5 4 3 13" xfId="25595" xr:uid="{00000000-0005-0000-0000-00007B1B0000}"/>
    <cellStyle name="Comma 5 4 3 2" xfId="448" xr:uid="{00000000-0005-0000-0000-00007C1B0000}"/>
    <cellStyle name="Comma 5 4 3 2 10" xfId="13262" xr:uid="{00000000-0005-0000-0000-00007D1B0000}"/>
    <cellStyle name="Comma 5 4 3 2 10 2" xfId="38136" xr:uid="{00000000-0005-0000-0000-00007E1B0000}"/>
    <cellStyle name="Comma 5 4 3 2 11" xfId="25695" xr:uid="{00000000-0005-0000-0000-00007F1B0000}"/>
    <cellStyle name="Comma 5 4 3 2 2" xfId="808" xr:uid="{00000000-0005-0000-0000-0000801B0000}"/>
    <cellStyle name="Comma 5 4 3 2 2 2" xfId="1327" xr:uid="{00000000-0005-0000-0000-0000811B0000}"/>
    <cellStyle name="Comma 5 4 3 2 2 2 2" xfId="9431" xr:uid="{00000000-0005-0000-0000-0000821B0000}"/>
    <cellStyle name="Comma 5 4 3 2 2 2 2 2" xfId="21874" xr:uid="{00000000-0005-0000-0000-0000831B0000}"/>
    <cellStyle name="Comma 5 4 3 2 2 2 2 2 2" xfId="46748" xr:uid="{00000000-0005-0000-0000-0000841B0000}"/>
    <cellStyle name="Comma 5 4 3 2 2 2 2 3" xfId="34315" xr:uid="{00000000-0005-0000-0000-0000851B0000}"/>
    <cellStyle name="Comma 5 4 3 2 2 2 3" xfId="4413" xr:uid="{00000000-0005-0000-0000-0000861B0000}"/>
    <cellStyle name="Comma 5 4 3 2 2 2 3 2" xfId="16867" xr:uid="{00000000-0005-0000-0000-0000871B0000}"/>
    <cellStyle name="Comma 5 4 3 2 2 2 3 2 2" xfId="41741" xr:uid="{00000000-0005-0000-0000-0000881B0000}"/>
    <cellStyle name="Comma 5 4 3 2 2 2 3 3" xfId="29308" xr:uid="{00000000-0005-0000-0000-0000891B0000}"/>
    <cellStyle name="Comma 5 4 3 2 2 2 4" xfId="14127" xr:uid="{00000000-0005-0000-0000-00008A1B0000}"/>
    <cellStyle name="Comma 5 4 3 2 2 2 4 2" xfId="39001" xr:uid="{00000000-0005-0000-0000-00008B1B0000}"/>
    <cellStyle name="Comma 5 4 3 2 2 2 5" xfId="26560" xr:uid="{00000000-0005-0000-0000-00008C1B0000}"/>
    <cellStyle name="Comma 5 4 3 2 2 3" xfId="5472" xr:uid="{00000000-0005-0000-0000-00008D1B0000}"/>
    <cellStyle name="Comma 5 4 3 2 2 3 2" xfId="10488" xr:uid="{00000000-0005-0000-0000-00008E1B0000}"/>
    <cellStyle name="Comma 5 4 3 2 2 3 2 2" xfId="22931" xr:uid="{00000000-0005-0000-0000-00008F1B0000}"/>
    <cellStyle name="Comma 5 4 3 2 2 3 2 2 2" xfId="47805" xr:uid="{00000000-0005-0000-0000-0000901B0000}"/>
    <cellStyle name="Comma 5 4 3 2 2 3 2 3" xfId="35372" xr:uid="{00000000-0005-0000-0000-0000911B0000}"/>
    <cellStyle name="Comma 5 4 3 2 2 3 3" xfId="17924" xr:uid="{00000000-0005-0000-0000-0000921B0000}"/>
    <cellStyle name="Comma 5 4 3 2 2 3 3 2" xfId="42798" xr:uid="{00000000-0005-0000-0000-0000931B0000}"/>
    <cellStyle name="Comma 5 4 3 2 2 3 4" xfId="30365" xr:uid="{00000000-0005-0000-0000-0000941B0000}"/>
    <cellStyle name="Comma 5 4 3 2 2 4" xfId="8547" xr:uid="{00000000-0005-0000-0000-0000951B0000}"/>
    <cellStyle name="Comma 5 4 3 2 2 4 2" xfId="20991" xr:uid="{00000000-0005-0000-0000-0000961B0000}"/>
    <cellStyle name="Comma 5 4 3 2 2 4 2 2" xfId="45865" xr:uid="{00000000-0005-0000-0000-0000971B0000}"/>
    <cellStyle name="Comma 5 4 3 2 2 4 3" xfId="33432" xr:uid="{00000000-0005-0000-0000-0000981B0000}"/>
    <cellStyle name="Comma 5 4 3 2 2 5" xfId="11942" xr:uid="{00000000-0005-0000-0000-0000991B0000}"/>
    <cellStyle name="Comma 5 4 3 2 2 5 2" xfId="24376" xr:uid="{00000000-0005-0000-0000-00009A1B0000}"/>
    <cellStyle name="Comma 5 4 3 2 2 5 2 2" xfId="49250" xr:uid="{00000000-0005-0000-0000-00009B1B0000}"/>
    <cellStyle name="Comma 5 4 3 2 2 5 3" xfId="36817" xr:uid="{00000000-0005-0000-0000-00009C1B0000}"/>
    <cellStyle name="Comma 5 4 3 2 2 6" xfId="7024" xr:uid="{00000000-0005-0000-0000-00009D1B0000}"/>
    <cellStyle name="Comma 5 4 3 2 2 6 2" xfId="19473" xr:uid="{00000000-0005-0000-0000-00009E1B0000}"/>
    <cellStyle name="Comma 5 4 3 2 2 6 2 2" xfId="44347" xr:uid="{00000000-0005-0000-0000-00009F1B0000}"/>
    <cellStyle name="Comma 5 4 3 2 2 6 3" xfId="31914" xr:uid="{00000000-0005-0000-0000-0000A01B0000}"/>
    <cellStyle name="Comma 5 4 3 2 2 7" xfId="3478" xr:uid="{00000000-0005-0000-0000-0000A11B0000}"/>
    <cellStyle name="Comma 5 4 3 2 2 7 2" xfId="15984" xr:uid="{00000000-0005-0000-0000-0000A21B0000}"/>
    <cellStyle name="Comma 5 4 3 2 2 7 2 2" xfId="40858" xr:uid="{00000000-0005-0000-0000-0000A31B0000}"/>
    <cellStyle name="Comma 5 4 3 2 2 7 3" xfId="28417" xr:uid="{00000000-0005-0000-0000-0000A41B0000}"/>
    <cellStyle name="Comma 5 4 3 2 2 8" xfId="13609" xr:uid="{00000000-0005-0000-0000-0000A51B0000}"/>
    <cellStyle name="Comma 5 4 3 2 2 8 2" xfId="38483" xr:uid="{00000000-0005-0000-0000-0000A61B0000}"/>
    <cellStyle name="Comma 5 4 3 2 2 9" xfId="26042" xr:uid="{00000000-0005-0000-0000-0000A71B0000}"/>
    <cellStyle name="Comma 5 4 3 2 3" xfId="1675" xr:uid="{00000000-0005-0000-0000-0000A81B0000}"/>
    <cellStyle name="Comma 5 4 3 2 3 2" xfId="4991" xr:uid="{00000000-0005-0000-0000-0000A91B0000}"/>
    <cellStyle name="Comma 5 4 3 2 3 2 2" xfId="10008" xr:uid="{00000000-0005-0000-0000-0000AA1B0000}"/>
    <cellStyle name="Comma 5 4 3 2 3 2 2 2" xfId="22451" xr:uid="{00000000-0005-0000-0000-0000AB1B0000}"/>
    <cellStyle name="Comma 5 4 3 2 3 2 2 2 2" xfId="47325" xr:uid="{00000000-0005-0000-0000-0000AC1B0000}"/>
    <cellStyle name="Comma 5 4 3 2 3 2 2 3" xfId="34892" xr:uid="{00000000-0005-0000-0000-0000AD1B0000}"/>
    <cellStyle name="Comma 5 4 3 2 3 2 3" xfId="17444" xr:uid="{00000000-0005-0000-0000-0000AE1B0000}"/>
    <cellStyle name="Comma 5 4 3 2 3 2 3 2" xfId="42318" xr:uid="{00000000-0005-0000-0000-0000AF1B0000}"/>
    <cellStyle name="Comma 5 4 3 2 3 2 4" xfId="29885" xr:uid="{00000000-0005-0000-0000-0000B01B0000}"/>
    <cellStyle name="Comma 5 4 3 2 3 3" xfId="5821" xr:uid="{00000000-0005-0000-0000-0000B11B0000}"/>
    <cellStyle name="Comma 5 4 3 2 3 3 2" xfId="10836" xr:uid="{00000000-0005-0000-0000-0000B21B0000}"/>
    <cellStyle name="Comma 5 4 3 2 3 3 2 2" xfId="23279" xr:uid="{00000000-0005-0000-0000-0000B31B0000}"/>
    <cellStyle name="Comma 5 4 3 2 3 3 2 2 2" xfId="48153" xr:uid="{00000000-0005-0000-0000-0000B41B0000}"/>
    <cellStyle name="Comma 5 4 3 2 3 3 2 3" xfId="35720" xr:uid="{00000000-0005-0000-0000-0000B51B0000}"/>
    <cellStyle name="Comma 5 4 3 2 3 3 3" xfId="18272" xr:uid="{00000000-0005-0000-0000-0000B61B0000}"/>
    <cellStyle name="Comma 5 4 3 2 3 3 3 2" xfId="43146" xr:uid="{00000000-0005-0000-0000-0000B71B0000}"/>
    <cellStyle name="Comma 5 4 3 2 3 3 4" xfId="30713" xr:uid="{00000000-0005-0000-0000-0000B81B0000}"/>
    <cellStyle name="Comma 5 4 3 2 3 4" xfId="8415" xr:uid="{00000000-0005-0000-0000-0000B91B0000}"/>
    <cellStyle name="Comma 5 4 3 2 3 4 2" xfId="20859" xr:uid="{00000000-0005-0000-0000-0000BA1B0000}"/>
    <cellStyle name="Comma 5 4 3 2 3 4 2 2" xfId="45733" xr:uid="{00000000-0005-0000-0000-0000BB1B0000}"/>
    <cellStyle name="Comma 5 4 3 2 3 4 3" xfId="33300" xr:uid="{00000000-0005-0000-0000-0000BC1B0000}"/>
    <cellStyle name="Comma 5 4 3 2 3 5" xfId="12290" xr:uid="{00000000-0005-0000-0000-0000BD1B0000}"/>
    <cellStyle name="Comma 5 4 3 2 3 5 2" xfId="24724" xr:uid="{00000000-0005-0000-0000-0000BE1B0000}"/>
    <cellStyle name="Comma 5 4 3 2 3 5 2 2" xfId="49598" xr:uid="{00000000-0005-0000-0000-0000BF1B0000}"/>
    <cellStyle name="Comma 5 4 3 2 3 5 3" xfId="37165" xr:uid="{00000000-0005-0000-0000-0000C01B0000}"/>
    <cellStyle name="Comma 5 4 3 2 3 6" xfId="7602" xr:uid="{00000000-0005-0000-0000-0000C11B0000}"/>
    <cellStyle name="Comma 5 4 3 2 3 6 2" xfId="20050" xr:uid="{00000000-0005-0000-0000-0000C21B0000}"/>
    <cellStyle name="Comma 5 4 3 2 3 6 2 2" xfId="44924" xr:uid="{00000000-0005-0000-0000-0000C31B0000}"/>
    <cellStyle name="Comma 5 4 3 2 3 6 3" xfId="32491" xr:uid="{00000000-0005-0000-0000-0000C41B0000}"/>
    <cellStyle name="Comma 5 4 3 2 3 7" xfId="3346" xr:uid="{00000000-0005-0000-0000-0000C51B0000}"/>
    <cellStyle name="Comma 5 4 3 2 3 7 2" xfId="15852" xr:uid="{00000000-0005-0000-0000-0000C61B0000}"/>
    <cellStyle name="Comma 5 4 3 2 3 7 2 2" xfId="40726" xr:uid="{00000000-0005-0000-0000-0000C71B0000}"/>
    <cellStyle name="Comma 5 4 3 2 3 7 3" xfId="28285" xr:uid="{00000000-0005-0000-0000-0000C81B0000}"/>
    <cellStyle name="Comma 5 4 3 2 3 8" xfId="14475" xr:uid="{00000000-0005-0000-0000-0000C91B0000}"/>
    <cellStyle name="Comma 5 4 3 2 3 8 2" xfId="39349" xr:uid="{00000000-0005-0000-0000-0000CA1B0000}"/>
    <cellStyle name="Comma 5 4 3 2 3 9" xfId="26908" xr:uid="{00000000-0005-0000-0000-0000CB1B0000}"/>
    <cellStyle name="Comma 5 4 3 2 4" xfId="2366" xr:uid="{00000000-0005-0000-0000-0000CC1B0000}"/>
    <cellStyle name="Comma 5 4 3 2 4 2" xfId="6389" xr:uid="{00000000-0005-0000-0000-0000CD1B0000}"/>
    <cellStyle name="Comma 5 4 3 2 4 2 2" xfId="11404" xr:uid="{00000000-0005-0000-0000-0000CE1B0000}"/>
    <cellStyle name="Comma 5 4 3 2 4 2 2 2" xfId="23847" xr:uid="{00000000-0005-0000-0000-0000CF1B0000}"/>
    <cellStyle name="Comma 5 4 3 2 4 2 2 2 2" xfId="48721" xr:uid="{00000000-0005-0000-0000-0000D01B0000}"/>
    <cellStyle name="Comma 5 4 3 2 4 2 2 3" xfId="36288" xr:uid="{00000000-0005-0000-0000-0000D11B0000}"/>
    <cellStyle name="Comma 5 4 3 2 4 2 3" xfId="18840" xr:uid="{00000000-0005-0000-0000-0000D21B0000}"/>
    <cellStyle name="Comma 5 4 3 2 4 2 3 2" xfId="43714" xr:uid="{00000000-0005-0000-0000-0000D31B0000}"/>
    <cellStyle name="Comma 5 4 3 2 4 2 4" xfId="31281" xr:uid="{00000000-0005-0000-0000-0000D41B0000}"/>
    <cellStyle name="Comma 5 4 3 2 4 3" xfId="12858" xr:uid="{00000000-0005-0000-0000-0000D51B0000}"/>
    <cellStyle name="Comma 5 4 3 2 4 3 2" xfId="25292" xr:uid="{00000000-0005-0000-0000-0000D61B0000}"/>
    <cellStyle name="Comma 5 4 3 2 4 3 2 2" xfId="50166" xr:uid="{00000000-0005-0000-0000-0000D71B0000}"/>
    <cellStyle name="Comma 5 4 3 2 4 3 3" xfId="37733" xr:uid="{00000000-0005-0000-0000-0000D81B0000}"/>
    <cellStyle name="Comma 5 4 3 2 4 4" xfId="9299" xr:uid="{00000000-0005-0000-0000-0000D91B0000}"/>
    <cellStyle name="Comma 5 4 3 2 4 4 2" xfId="21742" xr:uid="{00000000-0005-0000-0000-0000DA1B0000}"/>
    <cellStyle name="Comma 5 4 3 2 4 4 2 2" xfId="46616" xr:uid="{00000000-0005-0000-0000-0000DB1B0000}"/>
    <cellStyle name="Comma 5 4 3 2 4 4 3" xfId="34183" xr:uid="{00000000-0005-0000-0000-0000DC1B0000}"/>
    <cellStyle name="Comma 5 4 3 2 4 5" xfId="4281" xr:uid="{00000000-0005-0000-0000-0000DD1B0000}"/>
    <cellStyle name="Comma 5 4 3 2 4 5 2" xfId="16735" xr:uid="{00000000-0005-0000-0000-0000DE1B0000}"/>
    <cellStyle name="Comma 5 4 3 2 4 5 2 2" xfId="41609" xr:uid="{00000000-0005-0000-0000-0000DF1B0000}"/>
    <cellStyle name="Comma 5 4 3 2 4 5 3" xfId="29176" xr:uid="{00000000-0005-0000-0000-0000E01B0000}"/>
    <cellStyle name="Comma 5 4 3 2 4 6" xfId="15043" xr:uid="{00000000-0005-0000-0000-0000E11B0000}"/>
    <cellStyle name="Comma 5 4 3 2 4 6 2" xfId="39917" xr:uid="{00000000-0005-0000-0000-0000E21B0000}"/>
    <cellStyle name="Comma 5 4 3 2 4 7" xfId="27476" xr:uid="{00000000-0005-0000-0000-0000E31B0000}"/>
    <cellStyle name="Comma 5 4 3 2 5" xfId="1200" xr:uid="{00000000-0005-0000-0000-0000E41B0000}"/>
    <cellStyle name="Comma 5 4 3 2 5 2" xfId="10361" xr:uid="{00000000-0005-0000-0000-0000E51B0000}"/>
    <cellStyle name="Comma 5 4 3 2 5 2 2" xfId="22804" xr:uid="{00000000-0005-0000-0000-0000E61B0000}"/>
    <cellStyle name="Comma 5 4 3 2 5 2 2 2" xfId="47678" xr:uid="{00000000-0005-0000-0000-0000E71B0000}"/>
    <cellStyle name="Comma 5 4 3 2 5 2 3" xfId="35245" xr:uid="{00000000-0005-0000-0000-0000E81B0000}"/>
    <cellStyle name="Comma 5 4 3 2 5 3" xfId="5345" xr:uid="{00000000-0005-0000-0000-0000E91B0000}"/>
    <cellStyle name="Comma 5 4 3 2 5 3 2" xfId="17797" xr:uid="{00000000-0005-0000-0000-0000EA1B0000}"/>
    <cellStyle name="Comma 5 4 3 2 5 3 2 2" xfId="42671" xr:uid="{00000000-0005-0000-0000-0000EB1B0000}"/>
    <cellStyle name="Comma 5 4 3 2 5 3 3" xfId="30238" xr:uid="{00000000-0005-0000-0000-0000EC1B0000}"/>
    <cellStyle name="Comma 5 4 3 2 5 4" xfId="14000" xr:uid="{00000000-0005-0000-0000-0000ED1B0000}"/>
    <cellStyle name="Comma 5 4 3 2 5 4 2" xfId="38874" xr:uid="{00000000-0005-0000-0000-0000EE1B0000}"/>
    <cellStyle name="Comma 5 4 3 2 5 5" xfId="26433" xr:uid="{00000000-0005-0000-0000-0000EF1B0000}"/>
    <cellStyle name="Comma 5 4 3 2 6" xfId="7922" xr:uid="{00000000-0005-0000-0000-0000F01B0000}"/>
    <cellStyle name="Comma 5 4 3 2 6 2" xfId="20368" xr:uid="{00000000-0005-0000-0000-0000F11B0000}"/>
    <cellStyle name="Comma 5 4 3 2 6 2 2" xfId="45242" xr:uid="{00000000-0005-0000-0000-0000F21B0000}"/>
    <cellStyle name="Comma 5 4 3 2 6 3" xfId="32809" xr:uid="{00000000-0005-0000-0000-0000F31B0000}"/>
    <cellStyle name="Comma 5 4 3 2 7" xfId="11815" xr:uid="{00000000-0005-0000-0000-0000F41B0000}"/>
    <cellStyle name="Comma 5 4 3 2 7 2" xfId="24249" xr:uid="{00000000-0005-0000-0000-0000F51B0000}"/>
    <cellStyle name="Comma 5 4 3 2 7 2 2" xfId="49123" xr:uid="{00000000-0005-0000-0000-0000F61B0000}"/>
    <cellStyle name="Comma 5 4 3 2 7 3" xfId="36690" xr:uid="{00000000-0005-0000-0000-0000F71B0000}"/>
    <cellStyle name="Comma 5 4 3 2 8" xfId="6892" xr:uid="{00000000-0005-0000-0000-0000F81B0000}"/>
    <cellStyle name="Comma 5 4 3 2 8 2" xfId="19341" xr:uid="{00000000-0005-0000-0000-0000F91B0000}"/>
    <cellStyle name="Comma 5 4 3 2 8 2 2" xfId="44215" xr:uid="{00000000-0005-0000-0000-0000FA1B0000}"/>
    <cellStyle name="Comma 5 4 3 2 8 3" xfId="31782" xr:uid="{00000000-0005-0000-0000-0000FB1B0000}"/>
    <cellStyle name="Comma 5 4 3 2 9" xfId="2843" xr:uid="{00000000-0005-0000-0000-0000FC1B0000}"/>
    <cellStyle name="Comma 5 4 3 2 9 2" xfId="15361" xr:uid="{00000000-0005-0000-0000-0000FD1B0000}"/>
    <cellStyle name="Comma 5 4 3 2 9 2 2" xfId="40235" xr:uid="{00000000-0005-0000-0000-0000FE1B0000}"/>
    <cellStyle name="Comma 5 4 3 2 9 3" xfId="27794" xr:uid="{00000000-0005-0000-0000-0000FF1B0000}"/>
    <cellStyle name="Comma 5 4 3 3" xfId="706" xr:uid="{00000000-0005-0000-0000-0000001C0000}"/>
    <cellStyle name="Comma 5 4 3 3 2" xfId="1326" xr:uid="{00000000-0005-0000-0000-0000011C0000}"/>
    <cellStyle name="Comma 5 4 3 3 2 2" xfId="9199" xr:uid="{00000000-0005-0000-0000-0000021C0000}"/>
    <cellStyle name="Comma 5 4 3 3 2 2 2" xfId="21642" xr:uid="{00000000-0005-0000-0000-0000031C0000}"/>
    <cellStyle name="Comma 5 4 3 3 2 2 2 2" xfId="46516" xr:uid="{00000000-0005-0000-0000-0000041C0000}"/>
    <cellStyle name="Comma 5 4 3 3 2 2 3" xfId="34083" xr:uid="{00000000-0005-0000-0000-0000051C0000}"/>
    <cellStyle name="Comma 5 4 3 3 2 3" xfId="4181" xr:uid="{00000000-0005-0000-0000-0000061C0000}"/>
    <cellStyle name="Comma 5 4 3 3 2 3 2" xfId="16635" xr:uid="{00000000-0005-0000-0000-0000071C0000}"/>
    <cellStyle name="Comma 5 4 3 3 2 3 2 2" xfId="41509" xr:uid="{00000000-0005-0000-0000-0000081C0000}"/>
    <cellStyle name="Comma 5 4 3 3 2 3 3" xfId="29076" xr:uid="{00000000-0005-0000-0000-0000091C0000}"/>
    <cellStyle name="Comma 5 4 3 3 2 4" xfId="14126" xr:uid="{00000000-0005-0000-0000-00000A1C0000}"/>
    <cellStyle name="Comma 5 4 3 3 2 4 2" xfId="39000" xr:uid="{00000000-0005-0000-0000-00000B1C0000}"/>
    <cellStyle name="Comma 5 4 3 3 2 5" xfId="26559" xr:uid="{00000000-0005-0000-0000-00000C1C0000}"/>
    <cellStyle name="Comma 5 4 3 3 3" xfId="5471" xr:uid="{00000000-0005-0000-0000-00000D1C0000}"/>
    <cellStyle name="Comma 5 4 3 3 3 2" xfId="10487" xr:uid="{00000000-0005-0000-0000-00000E1C0000}"/>
    <cellStyle name="Comma 5 4 3 3 3 2 2" xfId="22930" xr:uid="{00000000-0005-0000-0000-00000F1C0000}"/>
    <cellStyle name="Comma 5 4 3 3 3 2 2 2" xfId="47804" xr:uid="{00000000-0005-0000-0000-0000101C0000}"/>
    <cellStyle name="Comma 5 4 3 3 3 2 3" xfId="35371" xr:uid="{00000000-0005-0000-0000-0000111C0000}"/>
    <cellStyle name="Comma 5 4 3 3 3 3" xfId="17923" xr:uid="{00000000-0005-0000-0000-0000121C0000}"/>
    <cellStyle name="Comma 5 4 3 3 3 3 2" xfId="42797" xr:uid="{00000000-0005-0000-0000-0000131C0000}"/>
    <cellStyle name="Comma 5 4 3 3 3 4" xfId="30364" xr:uid="{00000000-0005-0000-0000-0000141C0000}"/>
    <cellStyle name="Comma 5 4 3 3 4" xfId="8315" xr:uid="{00000000-0005-0000-0000-0000151C0000}"/>
    <cellStyle name="Comma 5 4 3 3 4 2" xfId="20759" xr:uid="{00000000-0005-0000-0000-0000161C0000}"/>
    <cellStyle name="Comma 5 4 3 3 4 2 2" xfId="45633" xr:uid="{00000000-0005-0000-0000-0000171C0000}"/>
    <cellStyle name="Comma 5 4 3 3 4 3" xfId="33200" xr:uid="{00000000-0005-0000-0000-0000181C0000}"/>
    <cellStyle name="Comma 5 4 3 3 5" xfId="11941" xr:uid="{00000000-0005-0000-0000-0000191C0000}"/>
    <cellStyle name="Comma 5 4 3 3 5 2" xfId="24375" xr:uid="{00000000-0005-0000-0000-00001A1C0000}"/>
    <cellStyle name="Comma 5 4 3 3 5 2 2" xfId="49249" xr:uid="{00000000-0005-0000-0000-00001B1C0000}"/>
    <cellStyle name="Comma 5 4 3 3 5 3" xfId="36816" xr:uid="{00000000-0005-0000-0000-00001C1C0000}"/>
    <cellStyle name="Comma 5 4 3 3 6" xfId="6792" xr:uid="{00000000-0005-0000-0000-00001D1C0000}"/>
    <cellStyle name="Comma 5 4 3 3 6 2" xfId="19241" xr:uid="{00000000-0005-0000-0000-00001E1C0000}"/>
    <cellStyle name="Comma 5 4 3 3 6 2 2" xfId="44115" xr:uid="{00000000-0005-0000-0000-00001F1C0000}"/>
    <cellStyle name="Comma 5 4 3 3 6 3" xfId="31682" xr:uid="{00000000-0005-0000-0000-0000201C0000}"/>
    <cellStyle name="Comma 5 4 3 3 7" xfId="3246" xr:uid="{00000000-0005-0000-0000-0000211C0000}"/>
    <cellStyle name="Comma 5 4 3 3 7 2" xfId="15752" xr:uid="{00000000-0005-0000-0000-0000221C0000}"/>
    <cellStyle name="Comma 5 4 3 3 7 2 2" xfId="40626" xr:uid="{00000000-0005-0000-0000-0000231C0000}"/>
    <cellStyle name="Comma 5 4 3 3 7 3" xfId="28185" xr:uid="{00000000-0005-0000-0000-0000241C0000}"/>
    <cellStyle name="Comma 5 4 3 3 8" xfId="13509" xr:uid="{00000000-0005-0000-0000-0000251C0000}"/>
    <cellStyle name="Comma 5 4 3 3 8 2" xfId="38383" xr:uid="{00000000-0005-0000-0000-0000261C0000}"/>
    <cellStyle name="Comma 5 4 3 3 9" xfId="25942" xr:uid="{00000000-0005-0000-0000-0000271C0000}"/>
    <cellStyle name="Comma 5 4 3 4" xfId="1674" xr:uid="{00000000-0005-0000-0000-0000281C0000}"/>
    <cellStyle name="Comma 5 4 3 4 2" xfId="4412" xr:uid="{00000000-0005-0000-0000-0000291C0000}"/>
    <cellStyle name="Comma 5 4 3 4 2 2" xfId="9430" xr:uid="{00000000-0005-0000-0000-00002A1C0000}"/>
    <cellStyle name="Comma 5 4 3 4 2 2 2" xfId="21873" xr:uid="{00000000-0005-0000-0000-00002B1C0000}"/>
    <cellStyle name="Comma 5 4 3 4 2 2 2 2" xfId="46747" xr:uid="{00000000-0005-0000-0000-00002C1C0000}"/>
    <cellStyle name="Comma 5 4 3 4 2 2 3" xfId="34314" xr:uid="{00000000-0005-0000-0000-00002D1C0000}"/>
    <cellStyle name="Comma 5 4 3 4 2 3" xfId="16866" xr:uid="{00000000-0005-0000-0000-00002E1C0000}"/>
    <cellStyle name="Comma 5 4 3 4 2 3 2" xfId="41740" xr:uid="{00000000-0005-0000-0000-00002F1C0000}"/>
    <cellStyle name="Comma 5 4 3 4 2 4" xfId="29307" xr:uid="{00000000-0005-0000-0000-0000301C0000}"/>
    <cellStyle name="Comma 5 4 3 4 3" xfId="5820" xr:uid="{00000000-0005-0000-0000-0000311C0000}"/>
    <cellStyle name="Comma 5 4 3 4 3 2" xfId="10835" xr:uid="{00000000-0005-0000-0000-0000321C0000}"/>
    <cellStyle name="Comma 5 4 3 4 3 2 2" xfId="23278" xr:uid="{00000000-0005-0000-0000-0000331C0000}"/>
    <cellStyle name="Comma 5 4 3 4 3 2 2 2" xfId="48152" xr:uid="{00000000-0005-0000-0000-0000341C0000}"/>
    <cellStyle name="Comma 5 4 3 4 3 2 3" xfId="35719" xr:uid="{00000000-0005-0000-0000-0000351C0000}"/>
    <cellStyle name="Comma 5 4 3 4 3 3" xfId="18271" xr:uid="{00000000-0005-0000-0000-0000361C0000}"/>
    <cellStyle name="Comma 5 4 3 4 3 3 2" xfId="43145" xr:uid="{00000000-0005-0000-0000-0000371C0000}"/>
    <cellStyle name="Comma 5 4 3 4 3 4" xfId="30712" xr:uid="{00000000-0005-0000-0000-0000381C0000}"/>
    <cellStyle name="Comma 5 4 3 4 4" xfId="8546" xr:uid="{00000000-0005-0000-0000-0000391C0000}"/>
    <cellStyle name="Comma 5 4 3 4 4 2" xfId="20990" xr:uid="{00000000-0005-0000-0000-00003A1C0000}"/>
    <cellStyle name="Comma 5 4 3 4 4 2 2" xfId="45864" xr:uid="{00000000-0005-0000-0000-00003B1C0000}"/>
    <cellStyle name="Comma 5 4 3 4 4 3" xfId="33431" xr:uid="{00000000-0005-0000-0000-00003C1C0000}"/>
    <cellStyle name="Comma 5 4 3 4 5" xfId="12289" xr:uid="{00000000-0005-0000-0000-00003D1C0000}"/>
    <cellStyle name="Comma 5 4 3 4 5 2" xfId="24723" xr:uid="{00000000-0005-0000-0000-00003E1C0000}"/>
    <cellStyle name="Comma 5 4 3 4 5 2 2" xfId="49597" xr:uid="{00000000-0005-0000-0000-00003F1C0000}"/>
    <cellStyle name="Comma 5 4 3 4 5 3" xfId="37164" xr:uid="{00000000-0005-0000-0000-0000401C0000}"/>
    <cellStyle name="Comma 5 4 3 4 6" xfId="7023" xr:uid="{00000000-0005-0000-0000-0000411C0000}"/>
    <cellStyle name="Comma 5 4 3 4 6 2" xfId="19472" xr:uid="{00000000-0005-0000-0000-0000421C0000}"/>
    <cellStyle name="Comma 5 4 3 4 6 2 2" xfId="44346" xr:uid="{00000000-0005-0000-0000-0000431C0000}"/>
    <cellStyle name="Comma 5 4 3 4 6 3" xfId="31913" xr:uid="{00000000-0005-0000-0000-0000441C0000}"/>
    <cellStyle name="Comma 5 4 3 4 7" xfId="3477" xr:uid="{00000000-0005-0000-0000-0000451C0000}"/>
    <cellStyle name="Comma 5 4 3 4 7 2" xfId="15983" xr:uid="{00000000-0005-0000-0000-0000461C0000}"/>
    <cellStyle name="Comma 5 4 3 4 7 2 2" xfId="40857" xr:uid="{00000000-0005-0000-0000-0000471C0000}"/>
    <cellStyle name="Comma 5 4 3 4 7 3" xfId="28416" xr:uid="{00000000-0005-0000-0000-0000481C0000}"/>
    <cellStyle name="Comma 5 4 3 4 8" xfId="14474" xr:uid="{00000000-0005-0000-0000-0000491C0000}"/>
    <cellStyle name="Comma 5 4 3 4 8 2" xfId="39348" xr:uid="{00000000-0005-0000-0000-00004A1C0000}"/>
    <cellStyle name="Comma 5 4 3 4 9" xfId="26907" xr:uid="{00000000-0005-0000-0000-00004B1C0000}"/>
    <cellStyle name="Comma 5 4 3 5" xfId="2264" xr:uid="{00000000-0005-0000-0000-00004C1C0000}"/>
    <cellStyle name="Comma 5 4 3 5 2" xfId="4891" xr:uid="{00000000-0005-0000-0000-00004D1C0000}"/>
    <cellStyle name="Comma 5 4 3 5 2 2" xfId="9908" xr:uid="{00000000-0005-0000-0000-00004E1C0000}"/>
    <cellStyle name="Comma 5 4 3 5 2 2 2" xfId="22351" xr:uid="{00000000-0005-0000-0000-00004F1C0000}"/>
    <cellStyle name="Comma 5 4 3 5 2 2 2 2" xfId="47225" xr:uid="{00000000-0005-0000-0000-0000501C0000}"/>
    <cellStyle name="Comma 5 4 3 5 2 2 3" xfId="34792" xr:uid="{00000000-0005-0000-0000-0000511C0000}"/>
    <cellStyle name="Comma 5 4 3 5 2 3" xfId="17344" xr:uid="{00000000-0005-0000-0000-0000521C0000}"/>
    <cellStyle name="Comma 5 4 3 5 2 3 2" xfId="42218" xr:uid="{00000000-0005-0000-0000-0000531C0000}"/>
    <cellStyle name="Comma 5 4 3 5 2 4" xfId="29785" xr:uid="{00000000-0005-0000-0000-0000541C0000}"/>
    <cellStyle name="Comma 5 4 3 5 3" xfId="6289" xr:uid="{00000000-0005-0000-0000-0000551C0000}"/>
    <cellStyle name="Comma 5 4 3 5 3 2" xfId="11304" xr:uid="{00000000-0005-0000-0000-0000561C0000}"/>
    <cellStyle name="Comma 5 4 3 5 3 2 2" xfId="23747" xr:uid="{00000000-0005-0000-0000-0000571C0000}"/>
    <cellStyle name="Comma 5 4 3 5 3 2 2 2" xfId="48621" xr:uid="{00000000-0005-0000-0000-0000581C0000}"/>
    <cellStyle name="Comma 5 4 3 5 3 2 3" xfId="36188" xr:uid="{00000000-0005-0000-0000-0000591C0000}"/>
    <cellStyle name="Comma 5 4 3 5 3 3" xfId="18740" xr:uid="{00000000-0005-0000-0000-00005A1C0000}"/>
    <cellStyle name="Comma 5 4 3 5 3 3 2" xfId="43614" xr:uid="{00000000-0005-0000-0000-00005B1C0000}"/>
    <cellStyle name="Comma 5 4 3 5 3 4" xfId="31181" xr:uid="{00000000-0005-0000-0000-00005C1C0000}"/>
    <cellStyle name="Comma 5 4 3 5 4" xfId="8096" xr:uid="{00000000-0005-0000-0000-00005D1C0000}"/>
    <cellStyle name="Comma 5 4 3 5 4 2" xfId="20542" xr:uid="{00000000-0005-0000-0000-00005E1C0000}"/>
    <cellStyle name="Comma 5 4 3 5 4 2 2" xfId="45416" xr:uid="{00000000-0005-0000-0000-00005F1C0000}"/>
    <cellStyle name="Comma 5 4 3 5 4 3" xfId="32983" xr:uid="{00000000-0005-0000-0000-0000601C0000}"/>
    <cellStyle name="Comma 5 4 3 5 5" xfId="12758" xr:uid="{00000000-0005-0000-0000-0000611C0000}"/>
    <cellStyle name="Comma 5 4 3 5 5 2" xfId="25192" xr:uid="{00000000-0005-0000-0000-0000621C0000}"/>
    <cellStyle name="Comma 5 4 3 5 5 2 2" xfId="50066" xr:uid="{00000000-0005-0000-0000-0000631C0000}"/>
    <cellStyle name="Comma 5 4 3 5 5 3" xfId="37633" xr:uid="{00000000-0005-0000-0000-0000641C0000}"/>
    <cellStyle name="Comma 5 4 3 5 6" xfId="7502" xr:uid="{00000000-0005-0000-0000-0000651C0000}"/>
    <cellStyle name="Comma 5 4 3 5 6 2" xfId="19950" xr:uid="{00000000-0005-0000-0000-0000661C0000}"/>
    <cellStyle name="Comma 5 4 3 5 6 2 2" xfId="44824" xr:uid="{00000000-0005-0000-0000-0000671C0000}"/>
    <cellStyle name="Comma 5 4 3 5 6 3" xfId="32391" xr:uid="{00000000-0005-0000-0000-0000681C0000}"/>
    <cellStyle name="Comma 5 4 3 5 7" xfId="3026" xr:uid="{00000000-0005-0000-0000-0000691C0000}"/>
    <cellStyle name="Comma 5 4 3 5 7 2" xfId="15535" xr:uid="{00000000-0005-0000-0000-00006A1C0000}"/>
    <cellStyle name="Comma 5 4 3 5 7 2 2" xfId="40409" xr:uid="{00000000-0005-0000-0000-00006B1C0000}"/>
    <cellStyle name="Comma 5 4 3 5 7 3" xfId="27968" xr:uid="{00000000-0005-0000-0000-00006C1C0000}"/>
    <cellStyle name="Comma 5 4 3 5 8" xfId="14943" xr:uid="{00000000-0005-0000-0000-00006D1C0000}"/>
    <cellStyle name="Comma 5 4 3 5 8 2" xfId="39817" xr:uid="{00000000-0005-0000-0000-00006E1C0000}"/>
    <cellStyle name="Comma 5 4 3 5 9" xfId="27376" xr:uid="{00000000-0005-0000-0000-00006F1C0000}"/>
    <cellStyle name="Comma 5 4 3 6" xfId="1100" xr:uid="{00000000-0005-0000-0000-0000701C0000}"/>
    <cellStyle name="Comma 5 4 3 6 2" xfId="8982" xr:uid="{00000000-0005-0000-0000-0000711C0000}"/>
    <cellStyle name="Comma 5 4 3 6 2 2" xfId="21425" xr:uid="{00000000-0005-0000-0000-0000721C0000}"/>
    <cellStyle name="Comma 5 4 3 6 2 2 2" xfId="46299" xr:uid="{00000000-0005-0000-0000-0000731C0000}"/>
    <cellStyle name="Comma 5 4 3 6 2 3" xfId="33866" xr:uid="{00000000-0005-0000-0000-0000741C0000}"/>
    <cellStyle name="Comma 5 4 3 6 3" xfId="3964" xr:uid="{00000000-0005-0000-0000-0000751C0000}"/>
    <cellStyle name="Comma 5 4 3 6 3 2" xfId="16418" xr:uid="{00000000-0005-0000-0000-0000761C0000}"/>
    <cellStyle name="Comma 5 4 3 6 3 2 2" xfId="41292" xr:uid="{00000000-0005-0000-0000-0000771C0000}"/>
    <cellStyle name="Comma 5 4 3 6 3 3" xfId="28859" xr:uid="{00000000-0005-0000-0000-0000781C0000}"/>
    <cellStyle name="Comma 5 4 3 6 4" xfId="13900" xr:uid="{00000000-0005-0000-0000-0000791C0000}"/>
    <cellStyle name="Comma 5 4 3 6 4 2" xfId="38774" xr:uid="{00000000-0005-0000-0000-00007A1C0000}"/>
    <cellStyle name="Comma 5 4 3 6 5" xfId="26333" xr:uid="{00000000-0005-0000-0000-00007B1C0000}"/>
    <cellStyle name="Comma 5 4 3 7" xfId="5245" xr:uid="{00000000-0005-0000-0000-00007C1C0000}"/>
    <cellStyle name="Comma 5 4 3 7 2" xfId="10261" xr:uid="{00000000-0005-0000-0000-00007D1C0000}"/>
    <cellStyle name="Comma 5 4 3 7 2 2" xfId="22704" xr:uid="{00000000-0005-0000-0000-00007E1C0000}"/>
    <cellStyle name="Comma 5 4 3 7 2 2 2" xfId="47578" xr:uid="{00000000-0005-0000-0000-00007F1C0000}"/>
    <cellStyle name="Comma 5 4 3 7 2 3" xfId="35145" xr:uid="{00000000-0005-0000-0000-0000801C0000}"/>
    <cellStyle name="Comma 5 4 3 7 3" xfId="17697" xr:uid="{00000000-0005-0000-0000-0000811C0000}"/>
    <cellStyle name="Comma 5 4 3 7 3 2" xfId="42571" xr:uid="{00000000-0005-0000-0000-0000821C0000}"/>
    <cellStyle name="Comma 5 4 3 7 4" xfId="30138" xr:uid="{00000000-0005-0000-0000-0000831C0000}"/>
    <cellStyle name="Comma 5 4 3 8" xfId="7822" xr:uid="{00000000-0005-0000-0000-0000841C0000}"/>
    <cellStyle name="Comma 5 4 3 8 2" xfId="20268" xr:uid="{00000000-0005-0000-0000-0000851C0000}"/>
    <cellStyle name="Comma 5 4 3 8 2 2" xfId="45142" xr:uid="{00000000-0005-0000-0000-0000861C0000}"/>
    <cellStyle name="Comma 5 4 3 8 3" xfId="32709" xr:uid="{00000000-0005-0000-0000-0000871C0000}"/>
    <cellStyle name="Comma 5 4 3 9" xfId="11715" xr:uid="{00000000-0005-0000-0000-0000881C0000}"/>
    <cellStyle name="Comma 5 4 3 9 2" xfId="24149" xr:uid="{00000000-0005-0000-0000-0000891C0000}"/>
    <cellStyle name="Comma 5 4 3 9 2 2" xfId="49023" xr:uid="{00000000-0005-0000-0000-00008A1C0000}"/>
    <cellStyle name="Comma 5 4 3 9 3" xfId="36590" xr:uid="{00000000-0005-0000-0000-00008B1C0000}"/>
    <cellStyle name="Comma 5 4 4" xfId="265" xr:uid="{00000000-0005-0000-0000-00008C1C0000}"/>
    <cellStyle name="Comma 5 4 4 10" xfId="6605" xr:uid="{00000000-0005-0000-0000-00008D1C0000}"/>
    <cellStyle name="Comma 5 4 4 10 2" xfId="19054" xr:uid="{00000000-0005-0000-0000-00008E1C0000}"/>
    <cellStyle name="Comma 5 4 4 10 2 2" xfId="43928" xr:uid="{00000000-0005-0000-0000-00008F1C0000}"/>
    <cellStyle name="Comma 5 4 4 10 3" xfId="31495" xr:uid="{00000000-0005-0000-0000-0000901C0000}"/>
    <cellStyle name="Comma 5 4 4 11" xfId="2668" xr:uid="{00000000-0005-0000-0000-0000911C0000}"/>
    <cellStyle name="Comma 5 4 4 11 2" xfId="15186" xr:uid="{00000000-0005-0000-0000-0000921C0000}"/>
    <cellStyle name="Comma 5 4 4 11 2 2" xfId="40060" xr:uid="{00000000-0005-0000-0000-0000931C0000}"/>
    <cellStyle name="Comma 5 4 4 11 3" xfId="27619" xr:uid="{00000000-0005-0000-0000-0000941C0000}"/>
    <cellStyle name="Comma 5 4 4 12" xfId="13087" xr:uid="{00000000-0005-0000-0000-0000951C0000}"/>
    <cellStyle name="Comma 5 4 4 12 2" xfId="37961" xr:uid="{00000000-0005-0000-0000-0000961C0000}"/>
    <cellStyle name="Comma 5 4 4 13" xfId="25520" xr:uid="{00000000-0005-0000-0000-0000971C0000}"/>
    <cellStyle name="Comma 5 4 4 2" xfId="479" xr:uid="{00000000-0005-0000-0000-0000981C0000}"/>
    <cellStyle name="Comma 5 4 4 2 10" xfId="13292" xr:uid="{00000000-0005-0000-0000-0000991C0000}"/>
    <cellStyle name="Comma 5 4 4 2 10 2" xfId="38166" xr:uid="{00000000-0005-0000-0000-00009A1C0000}"/>
    <cellStyle name="Comma 5 4 4 2 11" xfId="25725" xr:uid="{00000000-0005-0000-0000-00009B1C0000}"/>
    <cellStyle name="Comma 5 4 4 2 2" xfId="838" xr:uid="{00000000-0005-0000-0000-00009C1C0000}"/>
    <cellStyle name="Comma 5 4 4 2 2 2" xfId="1329" xr:uid="{00000000-0005-0000-0000-00009D1C0000}"/>
    <cellStyle name="Comma 5 4 4 2 2 2 2" xfId="9433" xr:uid="{00000000-0005-0000-0000-00009E1C0000}"/>
    <cellStyle name="Comma 5 4 4 2 2 2 2 2" xfId="21876" xr:uid="{00000000-0005-0000-0000-00009F1C0000}"/>
    <cellStyle name="Comma 5 4 4 2 2 2 2 2 2" xfId="46750" xr:uid="{00000000-0005-0000-0000-0000A01C0000}"/>
    <cellStyle name="Comma 5 4 4 2 2 2 2 3" xfId="34317" xr:uid="{00000000-0005-0000-0000-0000A11C0000}"/>
    <cellStyle name="Comma 5 4 4 2 2 2 3" xfId="4415" xr:uid="{00000000-0005-0000-0000-0000A21C0000}"/>
    <cellStyle name="Comma 5 4 4 2 2 2 3 2" xfId="16869" xr:uid="{00000000-0005-0000-0000-0000A31C0000}"/>
    <cellStyle name="Comma 5 4 4 2 2 2 3 2 2" xfId="41743" xr:uid="{00000000-0005-0000-0000-0000A41C0000}"/>
    <cellStyle name="Comma 5 4 4 2 2 2 3 3" xfId="29310" xr:uid="{00000000-0005-0000-0000-0000A51C0000}"/>
    <cellStyle name="Comma 5 4 4 2 2 2 4" xfId="14129" xr:uid="{00000000-0005-0000-0000-0000A61C0000}"/>
    <cellStyle name="Comma 5 4 4 2 2 2 4 2" xfId="39003" xr:uid="{00000000-0005-0000-0000-0000A71C0000}"/>
    <cellStyle name="Comma 5 4 4 2 2 2 5" xfId="26562" xr:uid="{00000000-0005-0000-0000-0000A81C0000}"/>
    <cellStyle name="Comma 5 4 4 2 2 3" xfId="5474" xr:uid="{00000000-0005-0000-0000-0000A91C0000}"/>
    <cellStyle name="Comma 5 4 4 2 2 3 2" xfId="10490" xr:uid="{00000000-0005-0000-0000-0000AA1C0000}"/>
    <cellStyle name="Comma 5 4 4 2 2 3 2 2" xfId="22933" xr:uid="{00000000-0005-0000-0000-0000AB1C0000}"/>
    <cellStyle name="Comma 5 4 4 2 2 3 2 2 2" xfId="47807" xr:uid="{00000000-0005-0000-0000-0000AC1C0000}"/>
    <cellStyle name="Comma 5 4 4 2 2 3 2 3" xfId="35374" xr:uid="{00000000-0005-0000-0000-0000AD1C0000}"/>
    <cellStyle name="Comma 5 4 4 2 2 3 3" xfId="17926" xr:uid="{00000000-0005-0000-0000-0000AE1C0000}"/>
    <cellStyle name="Comma 5 4 4 2 2 3 3 2" xfId="42800" xr:uid="{00000000-0005-0000-0000-0000AF1C0000}"/>
    <cellStyle name="Comma 5 4 4 2 2 3 4" xfId="30367" xr:uid="{00000000-0005-0000-0000-0000B01C0000}"/>
    <cellStyle name="Comma 5 4 4 2 2 4" xfId="8549" xr:uid="{00000000-0005-0000-0000-0000B11C0000}"/>
    <cellStyle name="Comma 5 4 4 2 2 4 2" xfId="20993" xr:uid="{00000000-0005-0000-0000-0000B21C0000}"/>
    <cellStyle name="Comma 5 4 4 2 2 4 2 2" xfId="45867" xr:uid="{00000000-0005-0000-0000-0000B31C0000}"/>
    <cellStyle name="Comma 5 4 4 2 2 4 3" xfId="33434" xr:uid="{00000000-0005-0000-0000-0000B41C0000}"/>
    <cellStyle name="Comma 5 4 4 2 2 5" xfId="11944" xr:uid="{00000000-0005-0000-0000-0000B51C0000}"/>
    <cellStyle name="Comma 5 4 4 2 2 5 2" xfId="24378" xr:uid="{00000000-0005-0000-0000-0000B61C0000}"/>
    <cellStyle name="Comma 5 4 4 2 2 5 2 2" xfId="49252" xr:uid="{00000000-0005-0000-0000-0000B71C0000}"/>
    <cellStyle name="Comma 5 4 4 2 2 5 3" xfId="36819" xr:uid="{00000000-0005-0000-0000-0000B81C0000}"/>
    <cellStyle name="Comma 5 4 4 2 2 6" xfId="7026" xr:uid="{00000000-0005-0000-0000-0000B91C0000}"/>
    <cellStyle name="Comma 5 4 4 2 2 6 2" xfId="19475" xr:uid="{00000000-0005-0000-0000-0000BA1C0000}"/>
    <cellStyle name="Comma 5 4 4 2 2 6 2 2" xfId="44349" xr:uid="{00000000-0005-0000-0000-0000BB1C0000}"/>
    <cellStyle name="Comma 5 4 4 2 2 6 3" xfId="31916" xr:uid="{00000000-0005-0000-0000-0000BC1C0000}"/>
    <cellStyle name="Comma 5 4 4 2 2 7" xfId="3480" xr:uid="{00000000-0005-0000-0000-0000BD1C0000}"/>
    <cellStyle name="Comma 5 4 4 2 2 7 2" xfId="15986" xr:uid="{00000000-0005-0000-0000-0000BE1C0000}"/>
    <cellStyle name="Comma 5 4 4 2 2 7 2 2" xfId="40860" xr:uid="{00000000-0005-0000-0000-0000BF1C0000}"/>
    <cellStyle name="Comma 5 4 4 2 2 7 3" xfId="28419" xr:uid="{00000000-0005-0000-0000-0000C01C0000}"/>
    <cellStyle name="Comma 5 4 4 2 2 8" xfId="13639" xr:uid="{00000000-0005-0000-0000-0000C11C0000}"/>
    <cellStyle name="Comma 5 4 4 2 2 8 2" xfId="38513" xr:uid="{00000000-0005-0000-0000-0000C21C0000}"/>
    <cellStyle name="Comma 5 4 4 2 2 9" xfId="26072" xr:uid="{00000000-0005-0000-0000-0000C31C0000}"/>
    <cellStyle name="Comma 5 4 4 2 3" xfId="1677" xr:uid="{00000000-0005-0000-0000-0000C41C0000}"/>
    <cellStyle name="Comma 5 4 4 2 3 2" xfId="5021" xr:uid="{00000000-0005-0000-0000-0000C51C0000}"/>
    <cellStyle name="Comma 5 4 4 2 3 2 2" xfId="10038" xr:uid="{00000000-0005-0000-0000-0000C61C0000}"/>
    <cellStyle name="Comma 5 4 4 2 3 2 2 2" xfId="22481" xr:uid="{00000000-0005-0000-0000-0000C71C0000}"/>
    <cellStyle name="Comma 5 4 4 2 3 2 2 2 2" xfId="47355" xr:uid="{00000000-0005-0000-0000-0000C81C0000}"/>
    <cellStyle name="Comma 5 4 4 2 3 2 2 3" xfId="34922" xr:uid="{00000000-0005-0000-0000-0000C91C0000}"/>
    <cellStyle name="Comma 5 4 4 2 3 2 3" xfId="17474" xr:uid="{00000000-0005-0000-0000-0000CA1C0000}"/>
    <cellStyle name="Comma 5 4 4 2 3 2 3 2" xfId="42348" xr:uid="{00000000-0005-0000-0000-0000CB1C0000}"/>
    <cellStyle name="Comma 5 4 4 2 3 2 4" xfId="29915" xr:uid="{00000000-0005-0000-0000-0000CC1C0000}"/>
    <cellStyle name="Comma 5 4 4 2 3 3" xfId="5823" xr:uid="{00000000-0005-0000-0000-0000CD1C0000}"/>
    <cellStyle name="Comma 5 4 4 2 3 3 2" xfId="10838" xr:uid="{00000000-0005-0000-0000-0000CE1C0000}"/>
    <cellStyle name="Comma 5 4 4 2 3 3 2 2" xfId="23281" xr:uid="{00000000-0005-0000-0000-0000CF1C0000}"/>
    <cellStyle name="Comma 5 4 4 2 3 3 2 2 2" xfId="48155" xr:uid="{00000000-0005-0000-0000-0000D01C0000}"/>
    <cellStyle name="Comma 5 4 4 2 3 3 2 3" xfId="35722" xr:uid="{00000000-0005-0000-0000-0000D11C0000}"/>
    <cellStyle name="Comma 5 4 4 2 3 3 3" xfId="18274" xr:uid="{00000000-0005-0000-0000-0000D21C0000}"/>
    <cellStyle name="Comma 5 4 4 2 3 3 3 2" xfId="43148" xr:uid="{00000000-0005-0000-0000-0000D31C0000}"/>
    <cellStyle name="Comma 5 4 4 2 3 3 4" xfId="30715" xr:uid="{00000000-0005-0000-0000-0000D41C0000}"/>
    <cellStyle name="Comma 5 4 4 2 3 4" xfId="8445" xr:uid="{00000000-0005-0000-0000-0000D51C0000}"/>
    <cellStyle name="Comma 5 4 4 2 3 4 2" xfId="20889" xr:uid="{00000000-0005-0000-0000-0000D61C0000}"/>
    <cellStyle name="Comma 5 4 4 2 3 4 2 2" xfId="45763" xr:uid="{00000000-0005-0000-0000-0000D71C0000}"/>
    <cellStyle name="Comma 5 4 4 2 3 4 3" xfId="33330" xr:uid="{00000000-0005-0000-0000-0000D81C0000}"/>
    <cellStyle name="Comma 5 4 4 2 3 5" xfId="12292" xr:uid="{00000000-0005-0000-0000-0000D91C0000}"/>
    <cellStyle name="Comma 5 4 4 2 3 5 2" xfId="24726" xr:uid="{00000000-0005-0000-0000-0000DA1C0000}"/>
    <cellStyle name="Comma 5 4 4 2 3 5 2 2" xfId="49600" xr:uid="{00000000-0005-0000-0000-0000DB1C0000}"/>
    <cellStyle name="Comma 5 4 4 2 3 5 3" xfId="37167" xr:uid="{00000000-0005-0000-0000-0000DC1C0000}"/>
    <cellStyle name="Comma 5 4 4 2 3 6" xfId="7632" xr:uid="{00000000-0005-0000-0000-0000DD1C0000}"/>
    <cellStyle name="Comma 5 4 4 2 3 6 2" xfId="20080" xr:uid="{00000000-0005-0000-0000-0000DE1C0000}"/>
    <cellStyle name="Comma 5 4 4 2 3 6 2 2" xfId="44954" xr:uid="{00000000-0005-0000-0000-0000DF1C0000}"/>
    <cellStyle name="Comma 5 4 4 2 3 6 3" xfId="32521" xr:uid="{00000000-0005-0000-0000-0000E01C0000}"/>
    <cellStyle name="Comma 5 4 4 2 3 7" xfId="3376" xr:uid="{00000000-0005-0000-0000-0000E11C0000}"/>
    <cellStyle name="Comma 5 4 4 2 3 7 2" xfId="15882" xr:uid="{00000000-0005-0000-0000-0000E21C0000}"/>
    <cellStyle name="Comma 5 4 4 2 3 7 2 2" xfId="40756" xr:uid="{00000000-0005-0000-0000-0000E31C0000}"/>
    <cellStyle name="Comma 5 4 4 2 3 7 3" xfId="28315" xr:uid="{00000000-0005-0000-0000-0000E41C0000}"/>
    <cellStyle name="Comma 5 4 4 2 3 8" xfId="14477" xr:uid="{00000000-0005-0000-0000-0000E51C0000}"/>
    <cellStyle name="Comma 5 4 4 2 3 8 2" xfId="39351" xr:uid="{00000000-0005-0000-0000-0000E61C0000}"/>
    <cellStyle name="Comma 5 4 4 2 3 9" xfId="26910" xr:uid="{00000000-0005-0000-0000-0000E71C0000}"/>
    <cellStyle name="Comma 5 4 4 2 4" xfId="2397" xr:uid="{00000000-0005-0000-0000-0000E81C0000}"/>
    <cellStyle name="Comma 5 4 4 2 4 2" xfId="6419" xr:uid="{00000000-0005-0000-0000-0000E91C0000}"/>
    <cellStyle name="Comma 5 4 4 2 4 2 2" xfId="11434" xr:uid="{00000000-0005-0000-0000-0000EA1C0000}"/>
    <cellStyle name="Comma 5 4 4 2 4 2 2 2" xfId="23877" xr:uid="{00000000-0005-0000-0000-0000EB1C0000}"/>
    <cellStyle name="Comma 5 4 4 2 4 2 2 2 2" xfId="48751" xr:uid="{00000000-0005-0000-0000-0000EC1C0000}"/>
    <cellStyle name="Comma 5 4 4 2 4 2 2 3" xfId="36318" xr:uid="{00000000-0005-0000-0000-0000ED1C0000}"/>
    <cellStyle name="Comma 5 4 4 2 4 2 3" xfId="18870" xr:uid="{00000000-0005-0000-0000-0000EE1C0000}"/>
    <cellStyle name="Comma 5 4 4 2 4 2 3 2" xfId="43744" xr:uid="{00000000-0005-0000-0000-0000EF1C0000}"/>
    <cellStyle name="Comma 5 4 4 2 4 2 4" xfId="31311" xr:uid="{00000000-0005-0000-0000-0000F01C0000}"/>
    <cellStyle name="Comma 5 4 4 2 4 3" xfId="12888" xr:uid="{00000000-0005-0000-0000-0000F11C0000}"/>
    <cellStyle name="Comma 5 4 4 2 4 3 2" xfId="25322" xr:uid="{00000000-0005-0000-0000-0000F21C0000}"/>
    <cellStyle name="Comma 5 4 4 2 4 3 2 2" xfId="50196" xr:uid="{00000000-0005-0000-0000-0000F31C0000}"/>
    <cellStyle name="Comma 5 4 4 2 4 3 3" xfId="37763" xr:uid="{00000000-0005-0000-0000-0000F41C0000}"/>
    <cellStyle name="Comma 5 4 4 2 4 4" xfId="9329" xr:uid="{00000000-0005-0000-0000-0000F51C0000}"/>
    <cellStyle name="Comma 5 4 4 2 4 4 2" xfId="21772" xr:uid="{00000000-0005-0000-0000-0000F61C0000}"/>
    <cellStyle name="Comma 5 4 4 2 4 4 2 2" xfId="46646" xr:uid="{00000000-0005-0000-0000-0000F71C0000}"/>
    <cellStyle name="Comma 5 4 4 2 4 4 3" xfId="34213" xr:uid="{00000000-0005-0000-0000-0000F81C0000}"/>
    <cellStyle name="Comma 5 4 4 2 4 5" xfId="4311" xr:uid="{00000000-0005-0000-0000-0000F91C0000}"/>
    <cellStyle name="Comma 5 4 4 2 4 5 2" xfId="16765" xr:uid="{00000000-0005-0000-0000-0000FA1C0000}"/>
    <cellStyle name="Comma 5 4 4 2 4 5 2 2" xfId="41639" xr:uid="{00000000-0005-0000-0000-0000FB1C0000}"/>
    <cellStyle name="Comma 5 4 4 2 4 5 3" xfId="29206" xr:uid="{00000000-0005-0000-0000-0000FC1C0000}"/>
    <cellStyle name="Comma 5 4 4 2 4 6" xfId="15073" xr:uid="{00000000-0005-0000-0000-0000FD1C0000}"/>
    <cellStyle name="Comma 5 4 4 2 4 6 2" xfId="39947" xr:uid="{00000000-0005-0000-0000-0000FE1C0000}"/>
    <cellStyle name="Comma 5 4 4 2 4 7" xfId="27506" xr:uid="{00000000-0005-0000-0000-0000FF1C0000}"/>
    <cellStyle name="Comma 5 4 4 2 5" xfId="1230" xr:uid="{00000000-0005-0000-0000-0000001D0000}"/>
    <cellStyle name="Comma 5 4 4 2 5 2" xfId="10391" xr:uid="{00000000-0005-0000-0000-0000011D0000}"/>
    <cellStyle name="Comma 5 4 4 2 5 2 2" xfId="22834" xr:uid="{00000000-0005-0000-0000-0000021D0000}"/>
    <cellStyle name="Comma 5 4 4 2 5 2 2 2" xfId="47708" xr:uid="{00000000-0005-0000-0000-0000031D0000}"/>
    <cellStyle name="Comma 5 4 4 2 5 2 3" xfId="35275" xr:uid="{00000000-0005-0000-0000-0000041D0000}"/>
    <cellStyle name="Comma 5 4 4 2 5 3" xfId="5375" xr:uid="{00000000-0005-0000-0000-0000051D0000}"/>
    <cellStyle name="Comma 5 4 4 2 5 3 2" xfId="17827" xr:uid="{00000000-0005-0000-0000-0000061D0000}"/>
    <cellStyle name="Comma 5 4 4 2 5 3 2 2" xfId="42701" xr:uid="{00000000-0005-0000-0000-0000071D0000}"/>
    <cellStyle name="Comma 5 4 4 2 5 3 3" xfId="30268" xr:uid="{00000000-0005-0000-0000-0000081D0000}"/>
    <cellStyle name="Comma 5 4 4 2 5 4" xfId="14030" xr:uid="{00000000-0005-0000-0000-0000091D0000}"/>
    <cellStyle name="Comma 5 4 4 2 5 4 2" xfId="38904" xr:uid="{00000000-0005-0000-0000-00000A1D0000}"/>
    <cellStyle name="Comma 5 4 4 2 5 5" xfId="26463" xr:uid="{00000000-0005-0000-0000-00000B1D0000}"/>
    <cellStyle name="Comma 5 4 4 2 6" xfId="7952" xr:uid="{00000000-0005-0000-0000-00000C1D0000}"/>
    <cellStyle name="Comma 5 4 4 2 6 2" xfId="20398" xr:uid="{00000000-0005-0000-0000-00000D1D0000}"/>
    <cellStyle name="Comma 5 4 4 2 6 2 2" xfId="45272" xr:uid="{00000000-0005-0000-0000-00000E1D0000}"/>
    <cellStyle name="Comma 5 4 4 2 6 3" xfId="32839" xr:uid="{00000000-0005-0000-0000-00000F1D0000}"/>
    <cellStyle name="Comma 5 4 4 2 7" xfId="11845" xr:uid="{00000000-0005-0000-0000-0000101D0000}"/>
    <cellStyle name="Comma 5 4 4 2 7 2" xfId="24279" xr:uid="{00000000-0005-0000-0000-0000111D0000}"/>
    <cellStyle name="Comma 5 4 4 2 7 2 2" xfId="49153" xr:uid="{00000000-0005-0000-0000-0000121D0000}"/>
    <cellStyle name="Comma 5 4 4 2 7 3" xfId="36720" xr:uid="{00000000-0005-0000-0000-0000131D0000}"/>
    <cellStyle name="Comma 5 4 4 2 8" xfId="6922" xr:uid="{00000000-0005-0000-0000-0000141D0000}"/>
    <cellStyle name="Comma 5 4 4 2 8 2" xfId="19371" xr:uid="{00000000-0005-0000-0000-0000151D0000}"/>
    <cellStyle name="Comma 5 4 4 2 8 2 2" xfId="44245" xr:uid="{00000000-0005-0000-0000-0000161D0000}"/>
    <cellStyle name="Comma 5 4 4 2 8 3" xfId="31812" xr:uid="{00000000-0005-0000-0000-0000171D0000}"/>
    <cellStyle name="Comma 5 4 4 2 9" xfId="2873" xr:uid="{00000000-0005-0000-0000-0000181D0000}"/>
    <cellStyle name="Comma 5 4 4 2 9 2" xfId="15391" xr:uid="{00000000-0005-0000-0000-0000191D0000}"/>
    <cellStyle name="Comma 5 4 4 2 9 2 2" xfId="40265" xr:uid="{00000000-0005-0000-0000-00001A1D0000}"/>
    <cellStyle name="Comma 5 4 4 2 9 3" xfId="27824" xr:uid="{00000000-0005-0000-0000-00001B1D0000}"/>
    <cellStyle name="Comma 5 4 4 3" xfId="627" xr:uid="{00000000-0005-0000-0000-00001C1D0000}"/>
    <cellStyle name="Comma 5 4 4 3 2" xfId="1328" xr:uid="{00000000-0005-0000-0000-00001D1D0000}"/>
    <cellStyle name="Comma 5 4 4 3 2 2" xfId="9124" xr:uid="{00000000-0005-0000-0000-00001E1D0000}"/>
    <cellStyle name="Comma 5 4 4 3 2 2 2" xfId="21567" xr:uid="{00000000-0005-0000-0000-00001F1D0000}"/>
    <cellStyle name="Comma 5 4 4 3 2 2 2 2" xfId="46441" xr:uid="{00000000-0005-0000-0000-0000201D0000}"/>
    <cellStyle name="Comma 5 4 4 3 2 2 3" xfId="34008" xr:uid="{00000000-0005-0000-0000-0000211D0000}"/>
    <cellStyle name="Comma 5 4 4 3 2 3" xfId="4106" xr:uid="{00000000-0005-0000-0000-0000221D0000}"/>
    <cellStyle name="Comma 5 4 4 3 2 3 2" xfId="16560" xr:uid="{00000000-0005-0000-0000-0000231D0000}"/>
    <cellStyle name="Comma 5 4 4 3 2 3 2 2" xfId="41434" xr:uid="{00000000-0005-0000-0000-0000241D0000}"/>
    <cellStyle name="Comma 5 4 4 3 2 3 3" xfId="29001" xr:uid="{00000000-0005-0000-0000-0000251D0000}"/>
    <cellStyle name="Comma 5 4 4 3 2 4" xfId="14128" xr:uid="{00000000-0005-0000-0000-0000261D0000}"/>
    <cellStyle name="Comma 5 4 4 3 2 4 2" xfId="39002" xr:uid="{00000000-0005-0000-0000-0000271D0000}"/>
    <cellStyle name="Comma 5 4 4 3 2 5" xfId="26561" xr:uid="{00000000-0005-0000-0000-0000281D0000}"/>
    <cellStyle name="Comma 5 4 4 3 3" xfId="5473" xr:uid="{00000000-0005-0000-0000-0000291D0000}"/>
    <cellStyle name="Comma 5 4 4 3 3 2" xfId="10489" xr:uid="{00000000-0005-0000-0000-00002A1D0000}"/>
    <cellStyle name="Comma 5 4 4 3 3 2 2" xfId="22932" xr:uid="{00000000-0005-0000-0000-00002B1D0000}"/>
    <cellStyle name="Comma 5 4 4 3 3 2 2 2" xfId="47806" xr:uid="{00000000-0005-0000-0000-00002C1D0000}"/>
    <cellStyle name="Comma 5 4 4 3 3 2 3" xfId="35373" xr:uid="{00000000-0005-0000-0000-00002D1D0000}"/>
    <cellStyle name="Comma 5 4 4 3 3 3" xfId="17925" xr:uid="{00000000-0005-0000-0000-00002E1D0000}"/>
    <cellStyle name="Comma 5 4 4 3 3 3 2" xfId="42799" xr:uid="{00000000-0005-0000-0000-00002F1D0000}"/>
    <cellStyle name="Comma 5 4 4 3 3 4" xfId="30366" xr:uid="{00000000-0005-0000-0000-0000301D0000}"/>
    <cellStyle name="Comma 5 4 4 3 4" xfId="8240" xr:uid="{00000000-0005-0000-0000-0000311D0000}"/>
    <cellStyle name="Comma 5 4 4 3 4 2" xfId="20684" xr:uid="{00000000-0005-0000-0000-0000321D0000}"/>
    <cellStyle name="Comma 5 4 4 3 4 2 2" xfId="45558" xr:uid="{00000000-0005-0000-0000-0000331D0000}"/>
    <cellStyle name="Comma 5 4 4 3 4 3" xfId="33125" xr:uid="{00000000-0005-0000-0000-0000341D0000}"/>
    <cellStyle name="Comma 5 4 4 3 5" xfId="11943" xr:uid="{00000000-0005-0000-0000-0000351D0000}"/>
    <cellStyle name="Comma 5 4 4 3 5 2" xfId="24377" xr:uid="{00000000-0005-0000-0000-0000361D0000}"/>
    <cellStyle name="Comma 5 4 4 3 5 2 2" xfId="49251" xr:uid="{00000000-0005-0000-0000-0000371D0000}"/>
    <cellStyle name="Comma 5 4 4 3 5 3" xfId="36818" xr:uid="{00000000-0005-0000-0000-0000381D0000}"/>
    <cellStyle name="Comma 5 4 4 3 6" xfId="6717" xr:uid="{00000000-0005-0000-0000-0000391D0000}"/>
    <cellStyle name="Comma 5 4 4 3 6 2" xfId="19166" xr:uid="{00000000-0005-0000-0000-00003A1D0000}"/>
    <cellStyle name="Comma 5 4 4 3 6 2 2" xfId="44040" xr:uid="{00000000-0005-0000-0000-00003B1D0000}"/>
    <cellStyle name="Comma 5 4 4 3 6 3" xfId="31607" xr:uid="{00000000-0005-0000-0000-00003C1D0000}"/>
    <cellStyle name="Comma 5 4 4 3 7" xfId="3171" xr:uid="{00000000-0005-0000-0000-00003D1D0000}"/>
    <cellStyle name="Comma 5 4 4 3 7 2" xfId="15677" xr:uid="{00000000-0005-0000-0000-00003E1D0000}"/>
    <cellStyle name="Comma 5 4 4 3 7 2 2" xfId="40551" xr:uid="{00000000-0005-0000-0000-00003F1D0000}"/>
    <cellStyle name="Comma 5 4 4 3 7 3" xfId="28110" xr:uid="{00000000-0005-0000-0000-0000401D0000}"/>
    <cellStyle name="Comma 5 4 4 3 8" xfId="13434" xr:uid="{00000000-0005-0000-0000-0000411D0000}"/>
    <cellStyle name="Comma 5 4 4 3 8 2" xfId="38308" xr:uid="{00000000-0005-0000-0000-0000421D0000}"/>
    <cellStyle name="Comma 5 4 4 3 9" xfId="25867" xr:uid="{00000000-0005-0000-0000-0000431D0000}"/>
    <cellStyle name="Comma 5 4 4 4" xfId="1676" xr:uid="{00000000-0005-0000-0000-0000441D0000}"/>
    <cellStyle name="Comma 5 4 4 4 2" xfId="4414" xr:uid="{00000000-0005-0000-0000-0000451D0000}"/>
    <cellStyle name="Comma 5 4 4 4 2 2" xfId="9432" xr:uid="{00000000-0005-0000-0000-0000461D0000}"/>
    <cellStyle name="Comma 5 4 4 4 2 2 2" xfId="21875" xr:uid="{00000000-0005-0000-0000-0000471D0000}"/>
    <cellStyle name="Comma 5 4 4 4 2 2 2 2" xfId="46749" xr:uid="{00000000-0005-0000-0000-0000481D0000}"/>
    <cellStyle name="Comma 5 4 4 4 2 2 3" xfId="34316" xr:uid="{00000000-0005-0000-0000-0000491D0000}"/>
    <cellStyle name="Comma 5 4 4 4 2 3" xfId="16868" xr:uid="{00000000-0005-0000-0000-00004A1D0000}"/>
    <cellStyle name="Comma 5 4 4 4 2 3 2" xfId="41742" xr:uid="{00000000-0005-0000-0000-00004B1D0000}"/>
    <cellStyle name="Comma 5 4 4 4 2 4" xfId="29309" xr:uid="{00000000-0005-0000-0000-00004C1D0000}"/>
    <cellStyle name="Comma 5 4 4 4 3" xfId="5822" xr:uid="{00000000-0005-0000-0000-00004D1D0000}"/>
    <cellStyle name="Comma 5 4 4 4 3 2" xfId="10837" xr:uid="{00000000-0005-0000-0000-00004E1D0000}"/>
    <cellStyle name="Comma 5 4 4 4 3 2 2" xfId="23280" xr:uid="{00000000-0005-0000-0000-00004F1D0000}"/>
    <cellStyle name="Comma 5 4 4 4 3 2 2 2" xfId="48154" xr:uid="{00000000-0005-0000-0000-0000501D0000}"/>
    <cellStyle name="Comma 5 4 4 4 3 2 3" xfId="35721" xr:uid="{00000000-0005-0000-0000-0000511D0000}"/>
    <cellStyle name="Comma 5 4 4 4 3 3" xfId="18273" xr:uid="{00000000-0005-0000-0000-0000521D0000}"/>
    <cellStyle name="Comma 5 4 4 4 3 3 2" xfId="43147" xr:uid="{00000000-0005-0000-0000-0000531D0000}"/>
    <cellStyle name="Comma 5 4 4 4 3 4" xfId="30714" xr:uid="{00000000-0005-0000-0000-0000541D0000}"/>
    <cellStyle name="Comma 5 4 4 4 4" xfId="8548" xr:uid="{00000000-0005-0000-0000-0000551D0000}"/>
    <cellStyle name="Comma 5 4 4 4 4 2" xfId="20992" xr:uid="{00000000-0005-0000-0000-0000561D0000}"/>
    <cellStyle name="Comma 5 4 4 4 4 2 2" xfId="45866" xr:uid="{00000000-0005-0000-0000-0000571D0000}"/>
    <cellStyle name="Comma 5 4 4 4 4 3" xfId="33433" xr:uid="{00000000-0005-0000-0000-0000581D0000}"/>
    <cellStyle name="Comma 5 4 4 4 5" xfId="12291" xr:uid="{00000000-0005-0000-0000-0000591D0000}"/>
    <cellStyle name="Comma 5 4 4 4 5 2" xfId="24725" xr:uid="{00000000-0005-0000-0000-00005A1D0000}"/>
    <cellStyle name="Comma 5 4 4 4 5 2 2" xfId="49599" xr:uid="{00000000-0005-0000-0000-00005B1D0000}"/>
    <cellStyle name="Comma 5 4 4 4 5 3" xfId="37166" xr:uid="{00000000-0005-0000-0000-00005C1D0000}"/>
    <cellStyle name="Comma 5 4 4 4 6" xfId="7025" xr:uid="{00000000-0005-0000-0000-00005D1D0000}"/>
    <cellStyle name="Comma 5 4 4 4 6 2" xfId="19474" xr:uid="{00000000-0005-0000-0000-00005E1D0000}"/>
    <cellStyle name="Comma 5 4 4 4 6 2 2" xfId="44348" xr:uid="{00000000-0005-0000-0000-00005F1D0000}"/>
    <cellStyle name="Comma 5 4 4 4 6 3" xfId="31915" xr:uid="{00000000-0005-0000-0000-0000601D0000}"/>
    <cellStyle name="Comma 5 4 4 4 7" xfId="3479" xr:uid="{00000000-0005-0000-0000-0000611D0000}"/>
    <cellStyle name="Comma 5 4 4 4 7 2" xfId="15985" xr:uid="{00000000-0005-0000-0000-0000621D0000}"/>
    <cellStyle name="Comma 5 4 4 4 7 2 2" xfId="40859" xr:uid="{00000000-0005-0000-0000-0000631D0000}"/>
    <cellStyle name="Comma 5 4 4 4 7 3" xfId="28418" xr:uid="{00000000-0005-0000-0000-0000641D0000}"/>
    <cellStyle name="Comma 5 4 4 4 8" xfId="14476" xr:uid="{00000000-0005-0000-0000-0000651D0000}"/>
    <cellStyle name="Comma 5 4 4 4 8 2" xfId="39350" xr:uid="{00000000-0005-0000-0000-0000661D0000}"/>
    <cellStyle name="Comma 5 4 4 4 9" xfId="26909" xr:uid="{00000000-0005-0000-0000-0000671D0000}"/>
    <cellStyle name="Comma 5 4 4 5" xfId="2183" xr:uid="{00000000-0005-0000-0000-0000681D0000}"/>
    <cellStyle name="Comma 5 4 4 5 2" xfId="4816" xr:uid="{00000000-0005-0000-0000-0000691D0000}"/>
    <cellStyle name="Comma 5 4 4 5 2 2" xfId="9833" xr:uid="{00000000-0005-0000-0000-00006A1D0000}"/>
    <cellStyle name="Comma 5 4 4 5 2 2 2" xfId="22276" xr:uid="{00000000-0005-0000-0000-00006B1D0000}"/>
    <cellStyle name="Comma 5 4 4 5 2 2 2 2" xfId="47150" xr:uid="{00000000-0005-0000-0000-00006C1D0000}"/>
    <cellStyle name="Comma 5 4 4 5 2 2 3" xfId="34717" xr:uid="{00000000-0005-0000-0000-00006D1D0000}"/>
    <cellStyle name="Comma 5 4 4 5 2 3" xfId="17269" xr:uid="{00000000-0005-0000-0000-00006E1D0000}"/>
    <cellStyle name="Comma 5 4 4 5 2 3 2" xfId="42143" xr:uid="{00000000-0005-0000-0000-00006F1D0000}"/>
    <cellStyle name="Comma 5 4 4 5 2 4" xfId="29710" xr:uid="{00000000-0005-0000-0000-0000701D0000}"/>
    <cellStyle name="Comma 5 4 4 5 3" xfId="6214" xr:uid="{00000000-0005-0000-0000-0000711D0000}"/>
    <cellStyle name="Comma 5 4 4 5 3 2" xfId="11229" xr:uid="{00000000-0005-0000-0000-0000721D0000}"/>
    <cellStyle name="Comma 5 4 4 5 3 2 2" xfId="23672" xr:uid="{00000000-0005-0000-0000-0000731D0000}"/>
    <cellStyle name="Comma 5 4 4 5 3 2 2 2" xfId="48546" xr:uid="{00000000-0005-0000-0000-0000741D0000}"/>
    <cellStyle name="Comma 5 4 4 5 3 2 3" xfId="36113" xr:uid="{00000000-0005-0000-0000-0000751D0000}"/>
    <cellStyle name="Comma 5 4 4 5 3 3" xfId="18665" xr:uid="{00000000-0005-0000-0000-0000761D0000}"/>
    <cellStyle name="Comma 5 4 4 5 3 3 2" xfId="43539" xr:uid="{00000000-0005-0000-0000-0000771D0000}"/>
    <cellStyle name="Comma 5 4 4 5 3 4" xfId="31106" xr:uid="{00000000-0005-0000-0000-0000781D0000}"/>
    <cellStyle name="Comma 5 4 4 5 4" xfId="8126" xr:uid="{00000000-0005-0000-0000-0000791D0000}"/>
    <cellStyle name="Comma 5 4 4 5 4 2" xfId="20572" xr:uid="{00000000-0005-0000-0000-00007A1D0000}"/>
    <cellStyle name="Comma 5 4 4 5 4 2 2" xfId="45446" xr:uid="{00000000-0005-0000-0000-00007B1D0000}"/>
    <cellStyle name="Comma 5 4 4 5 4 3" xfId="33013" xr:uid="{00000000-0005-0000-0000-00007C1D0000}"/>
    <cellStyle name="Comma 5 4 4 5 5" xfId="12683" xr:uid="{00000000-0005-0000-0000-00007D1D0000}"/>
    <cellStyle name="Comma 5 4 4 5 5 2" xfId="25117" xr:uid="{00000000-0005-0000-0000-00007E1D0000}"/>
    <cellStyle name="Comma 5 4 4 5 5 2 2" xfId="49991" xr:uid="{00000000-0005-0000-0000-00007F1D0000}"/>
    <cellStyle name="Comma 5 4 4 5 5 3" xfId="37558" xr:uid="{00000000-0005-0000-0000-0000801D0000}"/>
    <cellStyle name="Comma 5 4 4 5 6" xfId="7427" xr:uid="{00000000-0005-0000-0000-0000811D0000}"/>
    <cellStyle name="Comma 5 4 4 5 6 2" xfId="19875" xr:uid="{00000000-0005-0000-0000-0000821D0000}"/>
    <cellStyle name="Comma 5 4 4 5 6 2 2" xfId="44749" xr:uid="{00000000-0005-0000-0000-0000831D0000}"/>
    <cellStyle name="Comma 5 4 4 5 6 3" xfId="32316" xr:uid="{00000000-0005-0000-0000-0000841D0000}"/>
    <cellStyle name="Comma 5 4 4 5 7" xfId="3056" xr:uid="{00000000-0005-0000-0000-0000851D0000}"/>
    <cellStyle name="Comma 5 4 4 5 7 2" xfId="15565" xr:uid="{00000000-0005-0000-0000-0000861D0000}"/>
    <cellStyle name="Comma 5 4 4 5 7 2 2" xfId="40439" xr:uid="{00000000-0005-0000-0000-0000871D0000}"/>
    <cellStyle name="Comma 5 4 4 5 7 3" xfId="27998" xr:uid="{00000000-0005-0000-0000-0000881D0000}"/>
    <cellStyle name="Comma 5 4 4 5 8" xfId="14868" xr:uid="{00000000-0005-0000-0000-0000891D0000}"/>
    <cellStyle name="Comma 5 4 4 5 8 2" xfId="39742" xr:uid="{00000000-0005-0000-0000-00008A1D0000}"/>
    <cellStyle name="Comma 5 4 4 5 9" xfId="27301" xr:uid="{00000000-0005-0000-0000-00008B1D0000}"/>
    <cellStyle name="Comma 5 4 4 6" xfId="1025" xr:uid="{00000000-0005-0000-0000-00008C1D0000}"/>
    <cellStyle name="Comma 5 4 4 6 2" xfId="9012" xr:uid="{00000000-0005-0000-0000-00008D1D0000}"/>
    <cellStyle name="Comma 5 4 4 6 2 2" xfId="21455" xr:uid="{00000000-0005-0000-0000-00008E1D0000}"/>
    <cellStyle name="Comma 5 4 4 6 2 2 2" xfId="46329" xr:uid="{00000000-0005-0000-0000-00008F1D0000}"/>
    <cellStyle name="Comma 5 4 4 6 2 3" xfId="33896" xr:uid="{00000000-0005-0000-0000-0000901D0000}"/>
    <cellStyle name="Comma 5 4 4 6 3" xfId="3994" xr:uid="{00000000-0005-0000-0000-0000911D0000}"/>
    <cellStyle name="Comma 5 4 4 6 3 2" xfId="16448" xr:uid="{00000000-0005-0000-0000-0000921D0000}"/>
    <cellStyle name="Comma 5 4 4 6 3 2 2" xfId="41322" xr:uid="{00000000-0005-0000-0000-0000931D0000}"/>
    <cellStyle name="Comma 5 4 4 6 3 3" xfId="28889" xr:uid="{00000000-0005-0000-0000-0000941D0000}"/>
    <cellStyle name="Comma 5 4 4 6 4" xfId="13825" xr:uid="{00000000-0005-0000-0000-0000951D0000}"/>
    <cellStyle name="Comma 5 4 4 6 4 2" xfId="38699" xr:uid="{00000000-0005-0000-0000-0000961D0000}"/>
    <cellStyle name="Comma 5 4 4 6 5" xfId="26258" xr:uid="{00000000-0005-0000-0000-0000971D0000}"/>
    <cellStyle name="Comma 5 4 4 7" xfId="5170" xr:uid="{00000000-0005-0000-0000-0000981D0000}"/>
    <cellStyle name="Comma 5 4 4 7 2" xfId="10186" xr:uid="{00000000-0005-0000-0000-0000991D0000}"/>
    <cellStyle name="Comma 5 4 4 7 2 2" xfId="22629" xr:uid="{00000000-0005-0000-0000-00009A1D0000}"/>
    <cellStyle name="Comma 5 4 4 7 2 2 2" xfId="47503" xr:uid="{00000000-0005-0000-0000-00009B1D0000}"/>
    <cellStyle name="Comma 5 4 4 7 2 3" xfId="35070" xr:uid="{00000000-0005-0000-0000-00009C1D0000}"/>
    <cellStyle name="Comma 5 4 4 7 3" xfId="17622" xr:uid="{00000000-0005-0000-0000-00009D1D0000}"/>
    <cellStyle name="Comma 5 4 4 7 3 2" xfId="42496" xr:uid="{00000000-0005-0000-0000-00009E1D0000}"/>
    <cellStyle name="Comma 5 4 4 7 4" xfId="30063" xr:uid="{00000000-0005-0000-0000-00009F1D0000}"/>
    <cellStyle name="Comma 5 4 4 8" xfId="7747" xr:uid="{00000000-0005-0000-0000-0000A01D0000}"/>
    <cellStyle name="Comma 5 4 4 8 2" xfId="20193" xr:uid="{00000000-0005-0000-0000-0000A11D0000}"/>
    <cellStyle name="Comma 5 4 4 8 2 2" xfId="45067" xr:uid="{00000000-0005-0000-0000-0000A21D0000}"/>
    <cellStyle name="Comma 5 4 4 8 3" xfId="32634" xr:uid="{00000000-0005-0000-0000-0000A31D0000}"/>
    <cellStyle name="Comma 5 4 4 9" xfId="11640" xr:uid="{00000000-0005-0000-0000-0000A41D0000}"/>
    <cellStyle name="Comma 5 4 4 9 2" xfId="24074" xr:uid="{00000000-0005-0000-0000-0000A51D0000}"/>
    <cellStyle name="Comma 5 4 4 9 2 2" xfId="48948" xr:uid="{00000000-0005-0000-0000-0000A61D0000}"/>
    <cellStyle name="Comma 5 4 4 9 3" xfId="36515" xr:uid="{00000000-0005-0000-0000-0000A71D0000}"/>
    <cellStyle name="Comma 5 4 5" xfId="371" xr:uid="{00000000-0005-0000-0000-0000A81D0000}"/>
    <cellStyle name="Comma 5 4 5 10" xfId="13187" xr:uid="{00000000-0005-0000-0000-0000A91D0000}"/>
    <cellStyle name="Comma 5 4 5 10 2" xfId="38061" xr:uid="{00000000-0005-0000-0000-0000AA1D0000}"/>
    <cellStyle name="Comma 5 4 5 11" xfId="25620" xr:uid="{00000000-0005-0000-0000-0000AB1D0000}"/>
    <cellStyle name="Comma 5 4 5 2" xfId="731" xr:uid="{00000000-0005-0000-0000-0000AC1D0000}"/>
    <cellStyle name="Comma 5 4 5 2 2" xfId="1330" xr:uid="{00000000-0005-0000-0000-0000AD1D0000}"/>
    <cellStyle name="Comma 5 4 5 2 2 2" xfId="9434" xr:uid="{00000000-0005-0000-0000-0000AE1D0000}"/>
    <cellStyle name="Comma 5 4 5 2 2 2 2" xfId="21877" xr:uid="{00000000-0005-0000-0000-0000AF1D0000}"/>
    <cellStyle name="Comma 5 4 5 2 2 2 2 2" xfId="46751" xr:uid="{00000000-0005-0000-0000-0000B01D0000}"/>
    <cellStyle name="Comma 5 4 5 2 2 2 3" xfId="34318" xr:uid="{00000000-0005-0000-0000-0000B11D0000}"/>
    <cellStyle name="Comma 5 4 5 2 2 3" xfId="4416" xr:uid="{00000000-0005-0000-0000-0000B21D0000}"/>
    <cellStyle name="Comma 5 4 5 2 2 3 2" xfId="16870" xr:uid="{00000000-0005-0000-0000-0000B31D0000}"/>
    <cellStyle name="Comma 5 4 5 2 2 3 2 2" xfId="41744" xr:uid="{00000000-0005-0000-0000-0000B41D0000}"/>
    <cellStyle name="Comma 5 4 5 2 2 3 3" xfId="29311" xr:uid="{00000000-0005-0000-0000-0000B51D0000}"/>
    <cellStyle name="Comma 5 4 5 2 2 4" xfId="14130" xr:uid="{00000000-0005-0000-0000-0000B61D0000}"/>
    <cellStyle name="Comma 5 4 5 2 2 4 2" xfId="39004" xr:uid="{00000000-0005-0000-0000-0000B71D0000}"/>
    <cellStyle name="Comma 5 4 5 2 2 5" xfId="26563" xr:uid="{00000000-0005-0000-0000-0000B81D0000}"/>
    <cellStyle name="Comma 5 4 5 2 3" xfId="5475" xr:uid="{00000000-0005-0000-0000-0000B91D0000}"/>
    <cellStyle name="Comma 5 4 5 2 3 2" xfId="10491" xr:uid="{00000000-0005-0000-0000-0000BA1D0000}"/>
    <cellStyle name="Comma 5 4 5 2 3 2 2" xfId="22934" xr:uid="{00000000-0005-0000-0000-0000BB1D0000}"/>
    <cellStyle name="Comma 5 4 5 2 3 2 2 2" xfId="47808" xr:uid="{00000000-0005-0000-0000-0000BC1D0000}"/>
    <cellStyle name="Comma 5 4 5 2 3 2 3" xfId="35375" xr:uid="{00000000-0005-0000-0000-0000BD1D0000}"/>
    <cellStyle name="Comma 5 4 5 2 3 3" xfId="17927" xr:uid="{00000000-0005-0000-0000-0000BE1D0000}"/>
    <cellStyle name="Comma 5 4 5 2 3 3 2" xfId="42801" xr:uid="{00000000-0005-0000-0000-0000BF1D0000}"/>
    <cellStyle name="Comma 5 4 5 2 3 4" xfId="30368" xr:uid="{00000000-0005-0000-0000-0000C01D0000}"/>
    <cellStyle name="Comma 5 4 5 2 4" xfId="8550" xr:uid="{00000000-0005-0000-0000-0000C11D0000}"/>
    <cellStyle name="Comma 5 4 5 2 4 2" xfId="20994" xr:uid="{00000000-0005-0000-0000-0000C21D0000}"/>
    <cellStyle name="Comma 5 4 5 2 4 2 2" xfId="45868" xr:uid="{00000000-0005-0000-0000-0000C31D0000}"/>
    <cellStyle name="Comma 5 4 5 2 4 3" xfId="33435" xr:uid="{00000000-0005-0000-0000-0000C41D0000}"/>
    <cellStyle name="Comma 5 4 5 2 5" xfId="11945" xr:uid="{00000000-0005-0000-0000-0000C51D0000}"/>
    <cellStyle name="Comma 5 4 5 2 5 2" xfId="24379" xr:uid="{00000000-0005-0000-0000-0000C61D0000}"/>
    <cellStyle name="Comma 5 4 5 2 5 2 2" xfId="49253" xr:uid="{00000000-0005-0000-0000-0000C71D0000}"/>
    <cellStyle name="Comma 5 4 5 2 5 3" xfId="36820" xr:uid="{00000000-0005-0000-0000-0000C81D0000}"/>
    <cellStyle name="Comma 5 4 5 2 6" xfId="7027" xr:uid="{00000000-0005-0000-0000-0000C91D0000}"/>
    <cellStyle name="Comma 5 4 5 2 6 2" xfId="19476" xr:uid="{00000000-0005-0000-0000-0000CA1D0000}"/>
    <cellStyle name="Comma 5 4 5 2 6 2 2" xfId="44350" xr:uid="{00000000-0005-0000-0000-0000CB1D0000}"/>
    <cellStyle name="Comma 5 4 5 2 6 3" xfId="31917" xr:uid="{00000000-0005-0000-0000-0000CC1D0000}"/>
    <cellStyle name="Comma 5 4 5 2 7" xfId="3481" xr:uid="{00000000-0005-0000-0000-0000CD1D0000}"/>
    <cellStyle name="Comma 5 4 5 2 7 2" xfId="15987" xr:uid="{00000000-0005-0000-0000-0000CE1D0000}"/>
    <cellStyle name="Comma 5 4 5 2 7 2 2" xfId="40861" xr:uid="{00000000-0005-0000-0000-0000CF1D0000}"/>
    <cellStyle name="Comma 5 4 5 2 7 3" xfId="28420" xr:uid="{00000000-0005-0000-0000-0000D01D0000}"/>
    <cellStyle name="Comma 5 4 5 2 8" xfId="13534" xr:uid="{00000000-0005-0000-0000-0000D11D0000}"/>
    <cellStyle name="Comma 5 4 5 2 8 2" xfId="38408" xr:uid="{00000000-0005-0000-0000-0000D21D0000}"/>
    <cellStyle name="Comma 5 4 5 2 9" xfId="25967" xr:uid="{00000000-0005-0000-0000-0000D31D0000}"/>
    <cellStyle name="Comma 5 4 5 3" xfId="1678" xr:uid="{00000000-0005-0000-0000-0000D41D0000}"/>
    <cellStyle name="Comma 5 4 5 3 2" xfId="4916" xr:uid="{00000000-0005-0000-0000-0000D51D0000}"/>
    <cellStyle name="Comma 5 4 5 3 2 2" xfId="9933" xr:uid="{00000000-0005-0000-0000-0000D61D0000}"/>
    <cellStyle name="Comma 5 4 5 3 2 2 2" xfId="22376" xr:uid="{00000000-0005-0000-0000-0000D71D0000}"/>
    <cellStyle name="Comma 5 4 5 3 2 2 2 2" xfId="47250" xr:uid="{00000000-0005-0000-0000-0000D81D0000}"/>
    <cellStyle name="Comma 5 4 5 3 2 2 3" xfId="34817" xr:uid="{00000000-0005-0000-0000-0000D91D0000}"/>
    <cellStyle name="Comma 5 4 5 3 2 3" xfId="17369" xr:uid="{00000000-0005-0000-0000-0000DA1D0000}"/>
    <cellStyle name="Comma 5 4 5 3 2 3 2" xfId="42243" xr:uid="{00000000-0005-0000-0000-0000DB1D0000}"/>
    <cellStyle name="Comma 5 4 5 3 2 4" xfId="29810" xr:uid="{00000000-0005-0000-0000-0000DC1D0000}"/>
    <cellStyle name="Comma 5 4 5 3 3" xfId="5824" xr:uid="{00000000-0005-0000-0000-0000DD1D0000}"/>
    <cellStyle name="Comma 5 4 5 3 3 2" xfId="10839" xr:uid="{00000000-0005-0000-0000-0000DE1D0000}"/>
    <cellStyle name="Comma 5 4 5 3 3 2 2" xfId="23282" xr:uid="{00000000-0005-0000-0000-0000DF1D0000}"/>
    <cellStyle name="Comma 5 4 5 3 3 2 2 2" xfId="48156" xr:uid="{00000000-0005-0000-0000-0000E01D0000}"/>
    <cellStyle name="Comma 5 4 5 3 3 2 3" xfId="35723" xr:uid="{00000000-0005-0000-0000-0000E11D0000}"/>
    <cellStyle name="Comma 5 4 5 3 3 3" xfId="18275" xr:uid="{00000000-0005-0000-0000-0000E21D0000}"/>
    <cellStyle name="Comma 5 4 5 3 3 3 2" xfId="43149" xr:uid="{00000000-0005-0000-0000-0000E31D0000}"/>
    <cellStyle name="Comma 5 4 5 3 3 4" xfId="30716" xr:uid="{00000000-0005-0000-0000-0000E41D0000}"/>
    <cellStyle name="Comma 5 4 5 3 4" xfId="8340" xr:uid="{00000000-0005-0000-0000-0000E51D0000}"/>
    <cellStyle name="Comma 5 4 5 3 4 2" xfId="20784" xr:uid="{00000000-0005-0000-0000-0000E61D0000}"/>
    <cellStyle name="Comma 5 4 5 3 4 2 2" xfId="45658" xr:uid="{00000000-0005-0000-0000-0000E71D0000}"/>
    <cellStyle name="Comma 5 4 5 3 4 3" xfId="33225" xr:uid="{00000000-0005-0000-0000-0000E81D0000}"/>
    <cellStyle name="Comma 5 4 5 3 5" xfId="12293" xr:uid="{00000000-0005-0000-0000-0000E91D0000}"/>
    <cellStyle name="Comma 5 4 5 3 5 2" xfId="24727" xr:uid="{00000000-0005-0000-0000-0000EA1D0000}"/>
    <cellStyle name="Comma 5 4 5 3 5 2 2" xfId="49601" xr:uid="{00000000-0005-0000-0000-0000EB1D0000}"/>
    <cellStyle name="Comma 5 4 5 3 5 3" xfId="37168" xr:uid="{00000000-0005-0000-0000-0000EC1D0000}"/>
    <cellStyle name="Comma 5 4 5 3 6" xfId="7527" xr:uid="{00000000-0005-0000-0000-0000ED1D0000}"/>
    <cellStyle name="Comma 5 4 5 3 6 2" xfId="19975" xr:uid="{00000000-0005-0000-0000-0000EE1D0000}"/>
    <cellStyle name="Comma 5 4 5 3 6 2 2" xfId="44849" xr:uid="{00000000-0005-0000-0000-0000EF1D0000}"/>
    <cellStyle name="Comma 5 4 5 3 6 3" xfId="32416" xr:uid="{00000000-0005-0000-0000-0000F01D0000}"/>
    <cellStyle name="Comma 5 4 5 3 7" xfId="3271" xr:uid="{00000000-0005-0000-0000-0000F11D0000}"/>
    <cellStyle name="Comma 5 4 5 3 7 2" xfId="15777" xr:uid="{00000000-0005-0000-0000-0000F21D0000}"/>
    <cellStyle name="Comma 5 4 5 3 7 2 2" xfId="40651" xr:uid="{00000000-0005-0000-0000-0000F31D0000}"/>
    <cellStyle name="Comma 5 4 5 3 7 3" xfId="28210" xr:uid="{00000000-0005-0000-0000-0000F41D0000}"/>
    <cellStyle name="Comma 5 4 5 3 8" xfId="14478" xr:uid="{00000000-0005-0000-0000-0000F51D0000}"/>
    <cellStyle name="Comma 5 4 5 3 8 2" xfId="39352" xr:uid="{00000000-0005-0000-0000-0000F61D0000}"/>
    <cellStyle name="Comma 5 4 5 3 9" xfId="26911" xr:uid="{00000000-0005-0000-0000-0000F71D0000}"/>
    <cellStyle name="Comma 5 4 5 4" xfId="2289" xr:uid="{00000000-0005-0000-0000-0000F81D0000}"/>
    <cellStyle name="Comma 5 4 5 4 2" xfId="6314" xr:uid="{00000000-0005-0000-0000-0000F91D0000}"/>
    <cellStyle name="Comma 5 4 5 4 2 2" xfId="11329" xr:uid="{00000000-0005-0000-0000-0000FA1D0000}"/>
    <cellStyle name="Comma 5 4 5 4 2 2 2" xfId="23772" xr:uid="{00000000-0005-0000-0000-0000FB1D0000}"/>
    <cellStyle name="Comma 5 4 5 4 2 2 2 2" xfId="48646" xr:uid="{00000000-0005-0000-0000-0000FC1D0000}"/>
    <cellStyle name="Comma 5 4 5 4 2 2 3" xfId="36213" xr:uid="{00000000-0005-0000-0000-0000FD1D0000}"/>
    <cellStyle name="Comma 5 4 5 4 2 3" xfId="18765" xr:uid="{00000000-0005-0000-0000-0000FE1D0000}"/>
    <cellStyle name="Comma 5 4 5 4 2 3 2" xfId="43639" xr:uid="{00000000-0005-0000-0000-0000FF1D0000}"/>
    <cellStyle name="Comma 5 4 5 4 2 4" xfId="31206" xr:uid="{00000000-0005-0000-0000-0000001E0000}"/>
    <cellStyle name="Comma 5 4 5 4 3" xfId="12783" xr:uid="{00000000-0005-0000-0000-0000011E0000}"/>
    <cellStyle name="Comma 5 4 5 4 3 2" xfId="25217" xr:uid="{00000000-0005-0000-0000-0000021E0000}"/>
    <cellStyle name="Comma 5 4 5 4 3 2 2" xfId="50091" xr:uid="{00000000-0005-0000-0000-0000031E0000}"/>
    <cellStyle name="Comma 5 4 5 4 3 3" xfId="37658" xr:uid="{00000000-0005-0000-0000-0000041E0000}"/>
    <cellStyle name="Comma 5 4 5 4 4" xfId="9224" xr:uid="{00000000-0005-0000-0000-0000051E0000}"/>
    <cellStyle name="Comma 5 4 5 4 4 2" xfId="21667" xr:uid="{00000000-0005-0000-0000-0000061E0000}"/>
    <cellStyle name="Comma 5 4 5 4 4 2 2" xfId="46541" xr:uid="{00000000-0005-0000-0000-0000071E0000}"/>
    <cellStyle name="Comma 5 4 5 4 4 3" xfId="34108" xr:uid="{00000000-0005-0000-0000-0000081E0000}"/>
    <cellStyle name="Comma 5 4 5 4 5" xfId="4206" xr:uid="{00000000-0005-0000-0000-0000091E0000}"/>
    <cellStyle name="Comma 5 4 5 4 5 2" xfId="16660" xr:uid="{00000000-0005-0000-0000-00000A1E0000}"/>
    <cellStyle name="Comma 5 4 5 4 5 2 2" xfId="41534" xr:uid="{00000000-0005-0000-0000-00000B1E0000}"/>
    <cellStyle name="Comma 5 4 5 4 5 3" xfId="29101" xr:uid="{00000000-0005-0000-0000-00000C1E0000}"/>
    <cellStyle name="Comma 5 4 5 4 6" xfId="14968" xr:uid="{00000000-0005-0000-0000-00000D1E0000}"/>
    <cellStyle name="Comma 5 4 5 4 6 2" xfId="39842" xr:uid="{00000000-0005-0000-0000-00000E1E0000}"/>
    <cellStyle name="Comma 5 4 5 4 7" xfId="27401" xr:uid="{00000000-0005-0000-0000-00000F1E0000}"/>
    <cellStyle name="Comma 5 4 5 5" xfId="1125" xr:uid="{00000000-0005-0000-0000-0000101E0000}"/>
    <cellStyle name="Comma 5 4 5 5 2" xfId="10286" xr:uid="{00000000-0005-0000-0000-0000111E0000}"/>
    <cellStyle name="Comma 5 4 5 5 2 2" xfId="22729" xr:uid="{00000000-0005-0000-0000-0000121E0000}"/>
    <cellStyle name="Comma 5 4 5 5 2 2 2" xfId="47603" xr:uid="{00000000-0005-0000-0000-0000131E0000}"/>
    <cellStyle name="Comma 5 4 5 5 2 3" xfId="35170" xr:uid="{00000000-0005-0000-0000-0000141E0000}"/>
    <cellStyle name="Comma 5 4 5 5 3" xfId="5270" xr:uid="{00000000-0005-0000-0000-0000151E0000}"/>
    <cellStyle name="Comma 5 4 5 5 3 2" xfId="17722" xr:uid="{00000000-0005-0000-0000-0000161E0000}"/>
    <cellStyle name="Comma 5 4 5 5 3 2 2" xfId="42596" xr:uid="{00000000-0005-0000-0000-0000171E0000}"/>
    <cellStyle name="Comma 5 4 5 5 3 3" xfId="30163" xr:uid="{00000000-0005-0000-0000-0000181E0000}"/>
    <cellStyle name="Comma 5 4 5 5 4" xfId="13925" xr:uid="{00000000-0005-0000-0000-0000191E0000}"/>
    <cellStyle name="Comma 5 4 5 5 4 2" xfId="38799" xr:uid="{00000000-0005-0000-0000-00001A1E0000}"/>
    <cellStyle name="Comma 5 4 5 5 5" xfId="26358" xr:uid="{00000000-0005-0000-0000-00001B1E0000}"/>
    <cellStyle name="Comma 5 4 5 6" xfId="7847" xr:uid="{00000000-0005-0000-0000-00001C1E0000}"/>
    <cellStyle name="Comma 5 4 5 6 2" xfId="20293" xr:uid="{00000000-0005-0000-0000-00001D1E0000}"/>
    <cellStyle name="Comma 5 4 5 6 2 2" xfId="45167" xr:uid="{00000000-0005-0000-0000-00001E1E0000}"/>
    <cellStyle name="Comma 5 4 5 6 3" xfId="32734" xr:uid="{00000000-0005-0000-0000-00001F1E0000}"/>
    <cellStyle name="Comma 5 4 5 7" xfId="11740" xr:uid="{00000000-0005-0000-0000-0000201E0000}"/>
    <cellStyle name="Comma 5 4 5 7 2" xfId="24174" xr:uid="{00000000-0005-0000-0000-0000211E0000}"/>
    <cellStyle name="Comma 5 4 5 7 2 2" xfId="49048" xr:uid="{00000000-0005-0000-0000-0000221E0000}"/>
    <cellStyle name="Comma 5 4 5 7 3" xfId="36615" xr:uid="{00000000-0005-0000-0000-0000231E0000}"/>
    <cellStyle name="Comma 5 4 5 8" xfId="6817" xr:uid="{00000000-0005-0000-0000-0000241E0000}"/>
    <cellStyle name="Comma 5 4 5 8 2" xfId="19266" xr:uid="{00000000-0005-0000-0000-0000251E0000}"/>
    <cellStyle name="Comma 5 4 5 8 2 2" xfId="44140" xr:uid="{00000000-0005-0000-0000-0000261E0000}"/>
    <cellStyle name="Comma 5 4 5 8 3" xfId="31707" xr:uid="{00000000-0005-0000-0000-0000271E0000}"/>
    <cellStyle name="Comma 5 4 5 9" xfId="2768" xr:uid="{00000000-0005-0000-0000-0000281E0000}"/>
    <cellStyle name="Comma 5 4 5 9 2" xfId="15286" xr:uid="{00000000-0005-0000-0000-0000291E0000}"/>
    <cellStyle name="Comma 5 4 5 9 2 2" xfId="40160" xr:uid="{00000000-0005-0000-0000-00002A1E0000}"/>
    <cellStyle name="Comma 5 4 5 9 3" xfId="27719" xr:uid="{00000000-0005-0000-0000-00002B1E0000}"/>
    <cellStyle name="Comma 5 4 6" xfId="236" xr:uid="{00000000-0005-0000-0000-00002C1E0000}"/>
    <cellStyle name="Comma 5 4 6 10" xfId="13062" xr:uid="{00000000-0005-0000-0000-00002D1E0000}"/>
    <cellStyle name="Comma 5 4 6 10 2" xfId="37936" xr:uid="{00000000-0005-0000-0000-00002E1E0000}"/>
    <cellStyle name="Comma 5 4 6 11" xfId="25495" xr:uid="{00000000-0005-0000-0000-00002F1E0000}"/>
    <cellStyle name="Comma 5 4 6 2" xfId="600" xr:uid="{00000000-0005-0000-0000-0000301E0000}"/>
    <cellStyle name="Comma 5 4 6 2 2" xfId="1331" xr:uid="{00000000-0005-0000-0000-0000311E0000}"/>
    <cellStyle name="Comma 5 4 6 2 2 2" xfId="9435" xr:uid="{00000000-0005-0000-0000-0000321E0000}"/>
    <cellStyle name="Comma 5 4 6 2 2 2 2" xfId="21878" xr:uid="{00000000-0005-0000-0000-0000331E0000}"/>
    <cellStyle name="Comma 5 4 6 2 2 2 2 2" xfId="46752" xr:uid="{00000000-0005-0000-0000-0000341E0000}"/>
    <cellStyle name="Comma 5 4 6 2 2 2 3" xfId="34319" xr:uid="{00000000-0005-0000-0000-0000351E0000}"/>
    <cellStyle name="Comma 5 4 6 2 2 3" xfId="4417" xr:uid="{00000000-0005-0000-0000-0000361E0000}"/>
    <cellStyle name="Comma 5 4 6 2 2 3 2" xfId="16871" xr:uid="{00000000-0005-0000-0000-0000371E0000}"/>
    <cellStyle name="Comma 5 4 6 2 2 3 2 2" xfId="41745" xr:uid="{00000000-0005-0000-0000-0000381E0000}"/>
    <cellStyle name="Comma 5 4 6 2 2 3 3" xfId="29312" xr:uid="{00000000-0005-0000-0000-0000391E0000}"/>
    <cellStyle name="Comma 5 4 6 2 2 4" xfId="14131" xr:uid="{00000000-0005-0000-0000-00003A1E0000}"/>
    <cellStyle name="Comma 5 4 6 2 2 4 2" xfId="39005" xr:uid="{00000000-0005-0000-0000-00003B1E0000}"/>
    <cellStyle name="Comma 5 4 6 2 2 5" xfId="26564" xr:uid="{00000000-0005-0000-0000-00003C1E0000}"/>
    <cellStyle name="Comma 5 4 6 2 3" xfId="5476" xr:uid="{00000000-0005-0000-0000-00003D1E0000}"/>
    <cellStyle name="Comma 5 4 6 2 3 2" xfId="10492" xr:uid="{00000000-0005-0000-0000-00003E1E0000}"/>
    <cellStyle name="Comma 5 4 6 2 3 2 2" xfId="22935" xr:uid="{00000000-0005-0000-0000-00003F1E0000}"/>
    <cellStyle name="Comma 5 4 6 2 3 2 2 2" xfId="47809" xr:uid="{00000000-0005-0000-0000-0000401E0000}"/>
    <cellStyle name="Comma 5 4 6 2 3 2 3" xfId="35376" xr:uid="{00000000-0005-0000-0000-0000411E0000}"/>
    <cellStyle name="Comma 5 4 6 2 3 3" xfId="17928" xr:uid="{00000000-0005-0000-0000-0000421E0000}"/>
    <cellStyle name="Comma 5 4 6 2 3 3 2" xfId="42802" xr:uid="{00000000-0005-0000-0000-0000431E0000}"/>
    <cellStyle name="Comma 5 4 6 2 3 4" xfId="30369" xr:uid="{00000000-0005-0000-0000-0000441E0000}"/>
    <cellStyle name="Comma 5 4 6 2 4" xfId="8551" xr:uid="{00000000-0005-0000-0000-0000451E0000}"/>
    <cellStyle name="Comma 5 4 6 2 4 2" xfId="20995" xr:uid="{00000000-0005-0000-0000-0000461E0000}"/>
    <cellStyle name="Comma 5 4 6 2 4 2 2" xfId="45869" xr:uid="{00000000-0005-0000-0000-0000471E0000}"/>
    <cellStyle name="Comma 5 4 6 2 4 3" xfId="33436" xr:uid="{00000000-0005-0000-0000-0000481E0000}"/>
    <cellStyle name="Comma 5 4 6 2 5" xfId="11946" xr:uid="{00000000-0005-0000-0000-0000491E0000}"/>
    <cellStyle name="Comma 5 4 6 2 5 2" xfId="24380" xr:uid="{00000000-0005-0000-0000-00004A1E0000}"/>
    <cellStyle name="Comma 5 4 6 2 5 2 2" xfId="49254" xr:uid="{00000000-0005-0000-0000-00004B1E0000}"/>
    <cellStyle name="Comma 5 4 6 2 5 3" xfId="36821" xr:uid="{00000000-0005-0000-0000-00004C1E0000}"/>
    <cellStyle name="Comma 5 4 6 2 6" xfId="7028" xr:uid="{00000000-0005-0000-0000-00004D1E0000}"/>
    <cellStyle name="Comma 5 4 6 2 6 2" xfId="19477" xr:uid="{00000000-0005-0000-0000-00004E1E0000}"/>
    <cellStyle name="Comma 5 4 6 2 6 2 2" xfId="44351" xr:uid="{00000000-0005-0000-0000-00004F1E0000}"/>
    <cellStyle name="Comma 5 4 6 2 6 3" xfId="31918" xr:uid="{00000000-0005-0000-0000-0000501E0000}"/>
    <cellStyle name="Comma 5 4 6 2 7" xfId="3482" xr:uid="{00000000-0005-0000-0000-0000511E0000}"/>
    <cellStyle name="Comma 5 4 6 2 7 2" xfId="15988" xr:uid="{00000000-0005-0000-0000-0000521E0000}"/>
    <cellStyle name="Comma 5 4 6 2 7 2 2" xfId="40862" xr:uid="{00000000-0005-0000-0000-0000531E0000}"/>
    <cellStyle name="Comma 5 4 6 2 7 3" xfId="28421" xr:uid="{00000000-0005-0000-0000-0000541E0000}"/>
    <cellStyle name="Comma 5 4 6 2 8" xfId="13409" xr:uid="{00000000-0005-0000-0000-0000551E0000}"/>
    <cellStyle name="Comma 5 4 6 2 8 2" xfId="38283" xr:uid="{00000000-0005-0000-0000-0000561E0000}"/>
    <cellStyle name="Comma 5 4 6 2 9" xfId="25842" xr:uid="{00000000-0005-0000-0000-0000571E0000}"/>
    <cellStyle name="Comma 5 4 6 3" xfId="1679" xr:uid="{00000000-0005-0000-0000-0000581E0000}"/>
    <cellStyle name="Comma 5 4 6 3 2" xfId="4791" xr:uid="{00000000-0005-0000-0000-0000591E0000}"/>
    <cellStyle name="Comma 5 4 6 3 2 2" xfId="9808" xr:uid="{00000000-0005-0000-0000-00005A1E0000}"/>
    <cellStyle name="Comma 5 4 6 3 2 2 2" xfId="22251" xr:uid="{00000000-0005-0000-0000-00005B1E0000}"/>
    <cellStyle name="Comma 5 4 6 3 2 2 2 2" xfId="47125" xr:uid="{00000000-0005-0000-0000-00005C1E0000}"/>
    <cellStyle name="Comma 5 4 6 3 2 2 3" xfId="34692" xr:uid="{00000000-0005-0000-0000-00005D1E0000}"/>
    <cellStyle name="Comma 5 4 6 3 2 3" xfId="17244" xr:uid="{00000000-0005-0000-0000-00005E1E0000}"/>
    <cellStyle name="Comma 5 4 6 3 2 3 2" xfId="42118" xr:uid="{00000000-0005-0000-0000-00005F1E0000}"/>
    <cellStyle name="Comma 5 4 6 3 2 4" xfId="29685" xr:uid="{00000000-0005-0000-0000-0000601E0000}"/>
    <cellStyle name="Comma 5 4 6 3 3" xfId="5825" xr:uid="{00000000-0005-0000-0000-0000611E0000}"/>
    <cellStyle name="Comma 5 4 6 3 3 2" xfId="10840" xr:uid="{00000000-0005-0000-0000-0000621E0000}"/>
    <cellStyle name="Comma 5 4 6 3 3 2 2" xfId="23283" xr:uid="{00000000-0005-0000-0000-0000631E0000}"/>
    <cellStyle name="Comma 5 4 6 3 3 2 2 2" xfId="48157" xr:uid="{00000000-0005-0000-0000-0000641E0000}"/>
    <cellStyle name="Comma 5 4 6 3 3 2 3" xfId="35724" xr:uid="{00000000-0005-0000-0000-0000651E0000}"/>
    <cellStyle name="Comma 5 4 6 3 3 3" xfId="18276" xr:uid="{00000000-0005-0000-0000-0000661E0000}"/>
    <cellStyle name="Comma 5 4 6 3 3 3 2" xfId="43150" xr:uid="{00000000-0005-0000-0000-0000671E0000}"/>
    <cellStyle name="Comma 5 4 6 3 3 4" xfId="30717" xr:uid="{00000000-0005-0000-0000-0000681E0000}"/>
    <cellStyle name="Comma 5 4 6 3 4" xfId="8855" xr:uid="{00000000-0005-0000-0000-0000691E0000}"/>
    <cellStyle name="Comma 5 4 6 3 4 2" xfId="21298" xr:uid="{00000000-0005-0000-0000-00006A1E0000}"/>
    <cellStyle name="Comma 5 4 6 3 4 2 2" xfId="46172" xr:uid="{00000000-0005-0000-0000-00006B1E0000}"/>
    <cellStyle name="Comma 5 4 6 3 4 3" xfId="33739" xr:uid="{00000000-0005-0000-0000-00006C1E0000}"/>
    <cellStyle name="Comma 5 4 6 3 5" xfId="12294" xr:uid="{00000000-0005-0000-0000-00006D1E0000}"/>
    <cellStyle name="Comma 5 4 6 3 5 2" xfId="24728" xr:uid="{00000000-0005-0000-0000-00006E1E0000}"/>
    <cellStyle name="Comma 5 4 6 3 5 2 2" xfId="49602" xr:uid="{00000000-0005-0000-0000-00006F1E0000}"/>
    <cellStyle name="Comma 5 4 6 3 5 3" xfId="37169" xr:uid="{00000000-0005-0000-0000-0000701E0000}"/>
    <cellStyle name="Comma 5 4 6 3 6" xfId="7402" xr:uid="{00000000-0005-0000-0000-0000711E0000}"/>
    <cellStyle name="Comma 5 4 6 3 6 2" xfId="19850" xr:uid="{00000000-0005-0000-0000-0000721E0000}"/>
    <cellStyle name="Comma 5 4 6 3 6 2 2" xfId="44724" xr:uid="{00000000-0005-0000-0000-0000731E0000}"/>
    <cellStyle name="Comma 5 4 6 3 6 3" xfId="32291" xr:uid="{00000000-0005-0000-0000-0000741E0000}"/>
    <cellStyle name="Comma 5 4 6 3 7" xfId="3837" xr:uid="{00000000-0005-0000-0000-0000751E0000}"/>
    <cellStyle name="Comma 5 4 6 3 7 2" xfId="16291" xr:uid="{00000000-0005-0000-0000-0000761E0000}"/>
    <cellStyle name="Comma 5 4 6 3 7 2 2" xfId="41165" xr:uid="{00000000-0005-0000-0000-0000771E0000}"/>
    <cellStyle name="Comma 5 4 6 3 7 3" xfId="28732" xr:uid="{00000000-0005-0000-0000-0000781E0000}"/>
    <cellStyle name="Comma 5 4 6 3 8" xfId="14479" xr:uid="{00000000-0005-0000-0000-0000791E0000}"/>
    <cellStyle name="Comma 5 4 6 3 8 2" xfId="39353" xr:uid="{00000000-0005-0000-0000-00007A1E0000}"/>
    <cellStyle name="Comma 5 4 6 3 9" xfId="26912" xr:uid="{00000000-0005-0000-0000-00007B1E0000}"/>
    <cellStyle name="Comma 5 4 6 4" xfId="2154" xr:uid="{00000000-0005-0000-0000-00007C1E0000}"/>
    <cellStyle name="Comma 5 4 6 4 2" xfId="6189" xr:uid="{00000000-0005-0000-0000-00007D1E0000}"/>
    <cellStyle name="Comma 5 4 6 4 2 2" xfId="11204" xr:uid="{00000000-0005-0000-0000-00007E1E0000}"/>
    <cellStyle name="Comma 5 4 6 4 2 2 2" xfId="23647" xr:uid="{00000000-0005-0000-0000-00007F1E0000}"/>
    <cellStyle name="Comma 5 4 6 4 2 2 2 2" xfId="48521" xr:uid="{00000000-0005-0000-0000-0000801E0000}"/>
    <cellStyle name="Comma 5 4 6 4 2 2 3" xfId="36088" xr:uid="{00000000-0005-0000-0000-0000811E0000}"/>
    <cellStyle name="Comma 5 4 6 4 2 3" xfId="18640" xr:uid="{00000000-0005-0000-0000-0000821E0000}"/>
    <cellStyle name="Comma 5 4 6 4 2 3 2" xfId="43514" xr:uid="{00000000-0005-0000-0000-0000831E0000}"/>
    <cellStyle name="Comma 5 4 6 4 2 4" xfId="31081" xr:uid="{00000000-0005-0000-0000-0000841E0000}"/>
    <cellStyle name="Comma 5 4 6 4 3" xfId="12658" xr:uid="{00000000-0005-0000-0000-0000851E0000}"/>
    <cellStyle name="Comma 5 4 6 4 3 2" xfId="25092" xr:uid="{00000000-0005-0000-0000-0000861E0000}"/>
    <cellStyle name="Comma 5 4 6 4 3 2 2" xfId="49966" xr:uid="{00000000-0005-0000-0000-0000871E0000}"/>
    <cellStyle name="Comma 5 4 6 4 3 3" xfId="37533" xr:uid="{00000000-0005-0000-0000-0000881E0000}"/>
    <cellStyle name="Comma 5 4 6 4 4" xfId="9099" xr:uid="{00000000-0005-0000-0000-0000891E0000}"/>
    <cellStyle name="Comma 5 4 6 4 4 2" xfId="21542" xr:uid="{00000000-0005-0000-0000-00008A1E0000}"/>
    <cellStyle name="Comma 5 4 6 4 4 2 2" xfId="46416" xr:uid="{00000000-0005-0000-0000-00008B1E0000}"/>
    <cellStyle name="Comma 5 4 6 4 4 3" xfId="33983" xr:uid="{00000000-0005-0000-0000-00008C1E0000}"/>
    <cellStyle name="Comma 5 4 6 4 5" xfId="4081" xr:uid="{00000000-0005-0000-0000-00008D1E0000}"/>
    <cellStyle name="Comma 5 4 6 4 5 2" xfId="16535" xr:uid="{00000000-0005-0000-0000-00008E1E0000}"/>
    <cellStyle name="Comma 5 4 6 4 5 2 2" xfId="41409" xr:uid="{00000000-0005-0000-0000-00008F1E0000}"/>
    <cellStyle name="Comma 5 4 6 4 5 3" xfId="28976" xr:uid="{00000000-0005-0000-0000-0000901E0000}"/>
    <cellStyle name="Comma 5 4 6 4 6" xfId="14843" xr:uid="{00000000-0005-0000-0000-0000911E0000}"/>
    <cellStyle name="Comma 5 4 6 4 6 2" xfId="39717" xr:uid="{00000000-0005-0000-0000-0000921E0000}"/>
    <cellStyle name="Comma 5 4 6 4 7" xfId="27276" xr:uid="{00000000-0005-0000-0000-0000931E0000}"/>
    <cellStyle name="Comma 5 4 6 5" xfId="1000" xr:uid="{00000000-0005-0000-0000-0000941E0000}"/>
    <cellStyle name="Comma 5 4 6 5 2" xfId="10159" xr:uid="{00000000-0005-0000-0000-0000951E0000}"/>
    <cellStyle name="Comma 5 4 6 5 2 2" xfId="22602" xr:uid="{00000000-0005-0000-0000-0000961E0000}"/>
    <cellStyle name="Comma 5 4 6 5 2 2 2" xfId="47476" xr:uid="{00000000-0005-0000-0000-0000971E0000}"/>
    <cellStyle name="Comma 5 4 6 5 2 3" xfId="35043" xr:uid="{00000000-0005-0000-0000-0000981E0000}"/>
    <cellStyle name="Comma 5 4 6 5 3" xfId="5143" xr:uid="{00000000-0005-0000-0000-0000991E0000}"/>
    <cellStyle name="Comma 5 4 6 5 3 2" xfId="17595" xr:uid="{00000000-0005-0000-0000-00009A1E0000}"/>
    <cellStyle name="Comma 5 4 6 5 3 2 2" xfId="42469" xr:uid="{00000000-0005-0000-0000-00009B1E0000}"/>
    <cellStyle name="Comma 5 4 6 5 3 3" xfId="30036" xr:uid="{00000000-0005-0000-0000-00009C1E0000}"/>
    <cellStyle name="Comma 5 4 6 5 4" xfId="13800" xr:uid="{00000000-0005-0000-0000-00009D1E0000}"/>
    <cellStyle name="Comma 5 4 6 5 4 2" xfId="38674" xr:uid="{00000000-0005-0000-0000-00009E1E0000}"/>
    <cellStyle name="Comma 5 4 6 5 5" xfId="26233" xr:uid="{00000000-0005-0000-0000-00009F1E0000}"/>
    <cellStyle name="Comma 5 4 6 6" xfId="8215" xr:uid="{00000000-0005-0000-0000-0000A01E0000}"/>
    <cellStyle name="Comma 5 4 6 6 2" xfId="20659" xr:uid="{00000000-0005-0000-0000-0000A11E0000}"/>
    <cellStyle name="Comma 5 4 6 6 2 2" xfId="45533" xr:uid="{00000000-0005-0000-0000-0000A21E0000}"/>
    <cellStyle name="Comma 5 4 6 6 3" xfId="33100" xr:uid="{00000000-0005-0000-0000-0000A31E0000}"/>
    <cellStyle name="Comma 5 4 6 7" xfId="11615" xr:uid="{00000000-0005-0000-0000-0000A41E0000}"/>
    <cellStyle name="Comma 5 4 6 7 2" xfId="24049" xr:uid="{00000000-0005-0000-0000-0000A51E0000}"/>
    <cellStyle name="Comma 5 4 6 7 2 2" xfId="48923" xr:uid="{00000000-0005-0000-0000-0000A61E0000}"/>
    <cellStyle name="Comma 5 4 6 7 3" xfId="36490" xr:uid="{00000000-0005-0000-0000-0000A71E0000}"/>
    <cellStyle name="Comma 5 4 6 8" xfId="6692" xr:uid="{00000000-0005-0000-0000-0000A81E0000}"/>
    <cellStyle name="Comma 5 4 6 8 2" xfId="19141" xr:uid="{00000000-0005-0000-0000-0000A91E0000}"/>
    <cellStyle name="Comma 5 4 6 8 2 2" xfId="44015" xr:uid="{00000000-0005-0000-0000-0000AA1E0000}"/>
    <cellStyle name="Comma 5 4 6 8 3" xfId="31582" xr:uid="{00000000-0005-0000-0000-0000AB1E0000}"/>
    <cellStyle name="Comma 5 4 6 9" xfId="3146" xr:uid="{00000000-0005-0000-0000-0000AC1E0000}"/>
    <cellStyle name="Comma 5 4 6 9 2" xfId="15652" xr:uid="{00000000-0005-0000-0000-0000AD1E0000}"/>
    <cellStyle name="Comma 5 4 6 9 2 2" xfId="40526" xr:uid="{00000000-0005-0000-0000-0000AE1E0000}"/>
    <cellStyle name="Comma 5 4 6 9 3" xfId="28085" xr:uid="{00000000-0005-0000-0000-0000AF1E0000}"/>
    <cellStyle name="Comma 5 4 7" xfId="554" xr:uid="{00000000-0005-0000-0000-0000B01E0000}"/>
    <cellStyle name="Comma 5 4 7 2" xfId="1322" xr:uid="{00000000-0005-0000-0000-0000B11E0000}"/>
    <cellStyle name="Comma 5 4 7 2 2" xfId="9426" xr:uid="{00000000-0005-0000-0000-0000B21E0000}"/>
    <cellStyle name="Comma 5 4 7 2 2 2" xfId="21869" xr:uid="{00000000-0005-0000-0000-0000B31E0000}"/>
    <cellStyle name="Comma 5 4 7 2 2 2 2" xfId="46743" xr:uid="{00000000-0005-0000-0000-0000B41E0000}"/>
    <cellStyle name="Comma 5 4 7 2 2 3" xfId="34310" xr:uid="{00000000-0005-0000-0000-0000B51E0000}"/>
    <cellStyle name="Comma 5 4 7 2 3" xfId="4408" xr:uid="{00000000-0005-0000-0000-0000B61E0000}"/>
    <cellStyle name="Comma 5 4 7 2 3 2" xfId="16862" xr:uid="{00000000-0005-0000-0000-0000B71E0000}"/>
    <cellStyle name="Comma 5 4 7 2 3 2 2" xfId="41736" xr:uid="{00000000-0005-0000-0000-0000B81E0000}"/>
    <cellStyle name="Comma 5 4 7 2 3 3" xfId="29303" xr:uid="{00000000-0005-0000-0000-0000B91E0000}"/>
    <cellStyle name="Comma 5 4 7 2 4" xfId="14122" xr:uid="{00000000-0005-0000-0000-0000BA1E0000}"/>
    <cellStyle name="Comma 5 4 7 2 4 2" xfId="38996" xr:uid="{00000000-0005-0000-0000-0000BB1E0000}"/>
    <cellStyle name="Comma 5 4 7 2 5" xfId="26555" xr:uid="{00000000-0005-0000-0000-0000BC1E0000}"/>
    <cellStyle name="Comma 5 4 7 3" xfId="5467" xr:uid="{00000000-0005-0000-0000-0000BD1E0000}"/>
    <cellStyle name="Comma 5 4 7 3 2" xfId="10483" xr:uid="{00000000-0005-0000-0000-0000BE1E0000}"/>
    <cellStyle name="Comma 5 4 7 3 2 2" xfId="22926" xr:uid="{00000000-0005-0000-0000-0000BF1E0000}"/>
    <cellStyle name="Comma 5 4 7 3 2 2 2" xfId="47800" xr:uid="{00000000-0005-0000-0000-0000C01E0000}"/>
    <cellStyle name="Comma 5 4 7 3 2 3" xfId="35367" xr:uid="{00000000-0005-0000-0000-0000C11E0000}"/>
    <cellStyle name="Comma 5 4 7 3 3" xfId="17919" xr:uid="{00000000-0005-0000-0000-0000C21E0000}"/>
    <cellStyle name="Comma 5 4 7 3 3 2" xfId="42793" xr:uid="{00000000-0005-0000-0000-0000C31E0000}"/>
    <cellStyle name="Comma 5 4 7 3 4" xfId="30360" xr:uid="{00000000-0005-0000-0000-0000C41E0000}"/>
    <cellStyle name="Comma 5 4 7 4" xfId="8542" xr:uid="{00000000-0005-0000-0000-0000C51E0000}"/>
    <cellStyle name="Comma 5 4 7 4 2" xfId="20986" xr:uid="{00000000-0005-0000-0000-0000C61E0000}"/>
    <cellStyle name="Comma 5 4 7 4 2 2" xfId="45860" xr:uid="{00000000-0005-0000-0000-0000C71E0000}"/>
    <cellStyle name="Comma 5 4 7 4 3" xfId="33427" xr:uid="{00000000-0005-0000-0000-0000C81E0000}"/>
    <cellStyle name="Comma 5 4 7 5" xfId="11937" xr:uid="{00000000-0005-0000-0000-0000C91E0000}"/>
    <cellStyle name="Comma 5 4 7 5 2" xfId="24371" xr:uid="{00000000-0005-0000-0000-0000CA1E0000}"/>
    <cellStyle name="Comma 5 4 7 5 2 2" xfId="49245" xr:uid="{00000000-0005-0000-0000-0000CB1E0000}"/>
    <cellStyle name="Comma 5 4 7 5 3" xfId="36812" xr:uid="{00000000-0005-0000-0000-0000CC1E0000}"/>
    <cellStyle name="Comma 5 4 7 6" xfId="7019" xr:uid="{00000000-0005-0000-0000-0000CD1E0000}"/>
    <cellStyle name="Comma 5 4 7 6 2" xfId="19468" xr:uid="{00000000-0005-0000-0000-0000CE1E0000}"/>
    <cellStyle name="Comma 5 4 7 6 2 2" xfId="44342" xr:uid="{00000000-0005-0000-0000-0000CF1E0000}"/>
    <cellStyle name="Comma 5 4 7 6 3" xfId="31909" xr:uid="{00000000-0005-0000-0000-0000D01E0000}"/>
    <cellStyle name="Comma 5 4 7 7" xfId="3473" xr:uid="{00000000-0005-0000-0000-0000D11E0000}"/>
    <cellStyle name="Comma 5 4 7 7 2" xfId="15979" xr:uid="{00000000-0005-0000-0000-0000D21E0000}"/>
    <cellStyle name="Comma 5 4 7 7 2 2" xfId="40853" xr:uid="{00000000-0005-0000-0000-0000D31E0000}"/>
    <cellStyle name="Comma 5 4 7 7 3" xfId="28412" xr:uid="{00000000-0005-0000-0000-0000D41E0000}"/>
    <cellStyle name="Comma 5 4 7 8" xfId="13364" xr:uid="{00000000-0005-0000-0000-0000D51E0000}"/>
    <cellStyle name="Comma 5 4 7 8 2" xfId="38238" xr:uid="{00000000-0005-0000-0000-0000D61E0000}"/>
    <cellStyle name="Comma 5 4 7 9" xfId="25797" xr:uid="{00000000-0005-0000-0000-0000D71E0000}"/>
    <cellStyle name="Comma 5 4 8" xfId="1670" xr:uid="{00000000-0005-0000-0000-0000D81E0000}"/>
    <cellStyle name="Comma 5 4 8 2" xfId="4746" xr:uid="{00000000-0005-0000-0000-0000D91E0000}"/>
    <cellStyle name="Comma 5 4 8 2 2" xfId="9763" xr:uid="{00000000-0005-0000-0000-0000DA1E0000}"/>
    <cellStyle name="Comma 5 4 8 2 2 2" xfId="22206" xr:uid="{00000000-0005-0000-0000-0000DB1E0000}"/>
    <cellStyle name="Comma 5 4 8 2 2 2 2" xfId="47080" xr:uid="{00000000-0005-0000-0000-0000DC1E0000}"/>
    <cellStyle name="Comma 5 4 8 2 2 3" xfId="34647" xr:uid="{00000000-0005-0000-0000-0000DD1E0000}"/>
    <cellStyle name="Comma 5 4 8 2 3" xfId="17199" xr:uid="{00000000-0005-0000-0000-0000DE1E0000}"/>
    <cellStyle name="Comma 5 4 8 2 3 2" xfId="42073" xr:uid="{00000000-0005-0000-0000-0000DF1E0000}"/>
    <cellStyle name="Comma 5 4 8 2 4" xfId="29640" xr:uid="{00000000-0005-0000-0000-0000E01E0000}"/>
    <cellStyle name="Comma 5 4 8 3" xfId="5816" xr:uid="{00000000-0005-0000-0000-0000E11E0000}"/>
    <cellStyle name="Comma 5 4 8 3 2" xfId="10831" xr:uid="{00000000-0005-0000-0000-0000E21E0000}"/>
    <cellStyle name="Comma 5 4 8 3 2 2" xfId="23274" xr:uid="{00000000-0005-0000-0000-0000E31E0000}"/>
    <cellStyle name="Comma 5 4 8 3 2 2 2" xfId="48148" xr:uid="{00000000-0005-0000-0000-0000E41E0000}"/>
    <cellStyle name="Comma 5 4 8 3 2 3" xfId="35715" xr:uid="{00000000-0005-0000-0000-0000E51E0000}"/>
    <cellStyle name="Comma 5 4 8 3 3" xfId="18267" xr:uid="{00000000-0005-0000-0000-0000E61E0000}"/>
    <cellStyle name="Comma 5 4 8 3 3 2" xfId="43141" xr:uid="{00000000-0005-0000-0000-0000E71E0000}"/>
    <cellStyle name="Comma 5 4 8 3 4" xfId="30708" xr:uid="{00000000-0005-0000-0000-0000E81E0000}"/>
    <cellStyle name="Comma 5 4 8 4" xfId="8020" xr:uid="{00000000-0005-0000-0000-0000E91E0000}"/>
    <cellStyle name="Comma 5 4 8 4 2" xfId="20466" xr:uid="{00000000-0005-0000-0000-0000EA1E0000}"/>
    <cellStyle name="Comma 5 4 8 4 2 2" xfId="45340" xr:uid="{00000000-0005-0000-0000-0000EB1E0000}"/>
    <cellStyle name="Comma 5 4 8 4 3" xfId="32907" xr:uid="{00000000-0005-0000-0000-0000EC1E0000}"/>
    <cellStyle name="Comma 5 4 8 5" xfId="12285" xr:uid="{00000000-0005-0000-0000-0000ED1E0000}"/>
    <cellStyle name="Comma 5 4 8 5 2" xfId="24719" xr:uid="{00000000-0005-0000-0000-0000EE1E0000}"/>
    <cellStyle name="Comma 5 4 8 5 2 2" xfId="49593" xr:uid="{00000000-0005-0000-0000-0000EF1E0000}"/>
    <cellStyle name="Comma 5 4 8 5 3" xfId="37160" xr:uid="{00000000-0005-0000-0000-0000F01E0000}"/>
    <cellStyle name="Comma 5 4 8 6" xfId="7357" xr:uid="{00000000-0005-0000-0000-0000F11E0000}"/>
    <cellStyle name="Comma 5 4 8 6 2" xfId="19805" xr:uid="{00000000-0005-0000-0000-0000F21E0000}"/>
    <cellStyle name="Comma 5 4 8 6 2 2" xfId="44679" xr:uid="{00000000-0005-0000-0000-0000F31E0000}"/>
    <cellStyle name="Comma 5 4 8 6 3" xfId="32246" xr:uid="{00000000-0005-0000-0000-0000F41E0000}"/>
    <cellStyle name="Comma 5 4 8 7" xfId="2944" xr:uid="{00000000-0005-0000-0000-0000F51E0000}"/>
    <cellStyle name="Comma 5 4 8 7 2" xfId="15459" xr:uid="{00000000-0005-0000-0000-0000F61E0000}"/>
    <cellStyle name="Comma 5 4 8 7 2 2" xfId="40333" xr:uid="{00000000-0005-0000-0000-0000F71E0000}"/>
    <cellStyle name="Comma 5 4 8 7 3" xfId="27892" xr:uid="{00000000-0005-0000-0000-0000F81E0000}"/>
    <cellStyle name="Comma 5 4 8 8" xfId="14470" xr:uid="{00000000-0005-0000-0000-0000F91E0000}"/>
    <cellStyle name="Comma 5 4 8 8 2" xfId="39344" xr:uid="{00000000-0005-0000-0000-0000FA1E0000}"/>
    <cellStyle name="Comma 5 4 8 9" xfId="26903" xr:uid="{00000000-0005-0000-0000-0000FB1E0000}"/>
    <cellStyle name="Comma 5 4 9" xfId="2105" xr:uid="{00000000-0005-0000-0000-0000FC1E0000}"/>
    <cellStyle name="Comma 5 4 9 2" xfId="6144" xr:uid="{00000000-0005-0000-0000-0000FD1E0000}"/>
    <cellStyle name="Comma 5 4 9 2 2" xfId="11159" xr:uid="{00000000-0005-0000-0000-0000FE1E0000}"/>
    <cellStyle name="Comma 5 4 9 2 2 2" xfId="23602" xr:uid="{00000000-0005-0000-0000-0000FF1E0000}"/>
    <cellStyle name="Comma 5 4 9 2 2 2 2" xfId="48476" xr:uid="{00000000-0005-0000-0000-0000001F0000}"/>
    <cellStyle name="Comma 5 4 9 2 2 3" xfId="36043" xr:uid="{00000000-0005-0000-0000-0000011F0000}"/>
    <cellStyle name="Comma 5 4 9 2 3" xfId="18595" xr:uid="{00000000-0005-0000-0000-0000021F0000}"/>
    <cellStyle name="Comma 5 4 9 2 3 2" xfId="43469" xr:uid="{00000000-0005-0000-0000-0000031F0000}"/>
    <cellStyle name="Comma 5 4 9 2 4" xfId="31036" xr:uid="{00000000-0005-0000-0000-0000041F0000}"/>
    <cellStyle name="Comma 5 4 9 3" xfId="12613" xr:uid="{00000000-0005-0000-0000-0000051F0000}"/>
    <cellStyle name="Comma 5 4 9 3 2" xfId="25047" xr:uid="{00000000-0005-0000-0000-0000061F0000}"/>
    <cellStyle name="Comma 5 4 9 3 2 2" xfId="49921" xr:uid="{00000000-0005-0000-0000-0000071F0000}"/>
    <cellStyle name="Comma 5 4 9 3 3" xfId="37488" xr:uid="{00000000-0005-0000-0000-0000081F0000}"/>
    <cellStyle name="Comma 5 4 9 4" xfId="8907" xr:uid="{00000000-0005-0000-0000-0000091F0000}"/>
    <cellStyle name="Comma 5 4 9 4 2" xfId="21350" xr:uid="{00000000-0005-0000-0000-00000A1F0000}"/>
    <cellStyle name="Comma 5 4 9 4 2 2" xfId="46224" xr:uid="{00000000-0005-0000-0000-00000B1F0000}"/>
    <cellStyle name="Comma 5 4 9 4 3" xfId="33791" xr:uid="{00000000-0005-0000-0000-00000C1F0000}"/>
    <cellStyle name="Comma 5 4 9 5" xfId="3889" xr:uid="{00000000-0005-0000-0000-00000D1F0000}"/>
    <cellStyle name="Comma 5 4 9 5 2" xfId="16343" xr:uid="{00000000-0005-0000-0000-00000E1F0000}"/>
    <cellStyle name="Comma 5 4 9 5 2 2" xfId="41217" xr:uid="{00000000-0005-0000-0000-00000F1F0000}"/>
    <cellStyle name="Comma 5 4 9 5 3" xfId="28784" xr:uid="{00000000-0005-0000-0000-0000101F0000}"/>
    <cellStyle name="Comma 5 4 9 6" xfId="14798" xr:uid="{00000000-0005-0000-0000-0000111F0000}"/>
    <cellStyle name="Comma 5 4 9 6 2" xfId="39672" xr:uid="{00000000-0005-0000-0000-0000121F0000}"/>
    <cellStyle name="Comma 5 4 9 7" xfId="27231" xr:uid="{00000000-0005-0000-0000-0000131F0000}"/>
    <cellStyle name="Comma 5 5" xfId="137" xr:uid="{00000000-0005-0000-0000-0000141F0000}"/>
    <cellStyle name="Comma 5 5 10" xfId="7700" xr:uid="{00000000-0005-0000-0000-0000151F0000}"/>
    <cellStyle name="Comma 5 5 10 2" xfId="20146" xr:uid="{00000000-0005-0000-0000-0000161F0000}"/>
    <cellStyle name="Comma 5 5 10 2 2" xfId="45020" xr:uid="{00000000-0005-0000-0000-0000171F0000}"/>
    <cellStyle name="Comma 5 5 10 3" xfId="32587" xr:uid="{00000000-0005-0000-0000-0000181F0000}"/>
    <cellStyle name="Comma 5 5 11" xfId="11520" xr:uid="{00000000-0005-0000-0000-0000191F0000}"/>
    <cellStyle name="Comma 5 5 11 2" xfId="23954" xr:uid="{00000000-0005-0000-0000-00001A1F0000}"/>
    <cellStyle name="Comma 5 5 11 2 2" xfId="48828" xr:uid="{00000000-0005-0000-0000-00001B1F0000}"/>
    <cellStyle name="Comma 5 5 11 3" xfId="36395" xr:uid="{00000000-0005-0000-0000-00001C1F0000}"/>
    <cellStyle name="Comma 5 5 12" xfId="6512" xr:uid="{00000000-0005-0000-0000-00001D1F0000}"/>
    <cellStyle name="Comma 5 5 12 2" xfId="18961" xr:uid="{00000000-0005-0000-0000-00001E1F0000}"/>
    <cellStyle name="Comma 5 5 12 2 2" xfId="43835" xr:uid="{00000000-0005-0000-0000-00001F1F0000}"/>
    <cellStyle name="Comma 5 5 12 3" xfId="31402" xr:uid="{00000000-0005-0000-0000-0000201F0000}"/>
    <cellStyle name="Comma 5 5 13" xfId="2620" xr:uid="{00000000-0005-0000-0000-0000211F0000}"/>
    <cellStyle name="Comma 5 5 13 2" xfId="15139" xr:uid="{00000000-0005-0000-0000-0000221F0000}"/>
    <cellStyle name="Comma 5 5 13 2 2" xfId="40013" xr:uid="{00000000-0005-0000-0000-0000231F0000}"/>
    <cellStyle name="Comma 5 5 13 3" xfId="27572" xr:uid="{00000000-0005-0000-0000-0000241F0000}"/>
    <cellStyle name="Comma 5 5 14" xfId="12967" xr:uid="{00000000-0005-0000-0000-0000251F0000}"/>
    <cellStyle name="Comma 5 5 14 2" xfId="37841" xr:uid="{00000000-0005-0000-0000-0000261F0000}"/>
    <cellStyle name="Comma 5 5 15" xfId="25400" xr:uid="{00000000-0005-0000-0000-0000271F0000}"/>
    <cellStyle name="Comma 5 5 2" xfId="325" xr:uid="{00000000-0005-0000-0000-0000281F0000}"/>
    <cellStyle name="Comma 5 5 2 10" xfId="6555" xr:uid="{00000000-0005-0000-0000-0000291F0000}"/>
    <cellStyle name="Comma 5 5 2 10 2" xfId="19004" xr:uid="{00000000-0005-0000-0000-00002A1F0000}"/>
    <cellStyle name="Comma 5 5 2 10 2 2" xfId="43878" xr:uid="{00000000-0005-0000-0000-00002B1F0000}"/>
    <cellStyle name="Comma 5 5 2 10 3" xfId="31445" xr:uid="{00000000-0005-0000-0000-00002C1F0000}"/>
    <cellStyle name="Comma 5 5 2 11" xfId="2723" xr:uid="{00000000-0005-0000-0000-00002D1F0000}"/>
    <cellStyle name="Comma 5 5 2 11 2" xfId="15241" xr:uid="{00000000-0005-0000-0000-00002E1F0000}"/>
    <cellStyle name="Comma 5 5 2 11 2 2" xfId="40115" xr:uid="{00000000-0005-0000-0000-00002F1F0000}"/>
    <cellStyle name="Comma 5 5 2 11 3" xfId="27674" xr:uid="{00000000-0005-0000-0000-0000301F0000}"/>
    <cellStyle name="Comma 5 5 2 12" xfId="13142" xr:uid="{00000000-0005-0000-0000-0000311F0000}"/>
    <cellStyle name="Comma 5 5 2 12 2" xfId="38016" xr:uid="{00000000-0005-0000-0000-0000321F0000}"/>
    <cellStyle name="Comma 5 5 2 13" xfId="25575" xr:uid="{00000000-0005-0000-0000-0000331F0000}"/>
    <cellStyle name="Comma 5 5 2 2" xfId="427" xr:uid="{00000000-0005-0000-0000-0000341F0000}"/>
    <cellStyle name="Comma 5 5 2 2 10" xfId="13242" xr:uid="{00000000-0005-0000-0000-0000351F0000}"/>
    <cellStyle name="Comma 5 5 2 2 10 2" xfId="38116" xr:uid="{00000000-0005-0000-0000-0000361F0000}"/>
    <cellStyle name="Comma 5 5 2 2 11" xfId="25675" xr:uid="{00000000-0005-0000-0000-0000371F0000}"/>
    <cellStyle name="Comma 5 5 2 2 2" xfId="787" xr:uid="{00000000-0005-0000-0000-0000381F0000}"/>
    <cellStyle name="Comma 5 5 2 2 2 2" xfId="1334" xr:uid="{00000000-0005-0000-0000-0000391F0000}"/>
    <cellStyle name="Comma 5 5 2 2 2 2 2" xfId="9438" xr:uid="{00000000-0005-0000-0000-00003A1F0000}"/>
    <cellStyle name="Comma 5 5 2 2 2 2 2 2" xfId="21881" xr:uid="{00000000-0005-0000-0000-00003B1F0000}"/>
    <cellStyle name="Comma 5 5 2 2 2 2 2 2 2" xfId="46755" xr:uid="{00000000-0005-0000-0000-00003C1F0000}"/>
    <cellStyle name="Comma 5 5 2 2 2 2 2 3" xfId="34322" xr:uid="{00000000-0005-0000-0000-00003D1F0000}"/>
    <cellStyle name="Comma 5 5 2 2 2 2 3" xfId="4420" xr:uid="{00000000-0005-0000-0000-00003E1F0000}"/>
    <cellStyle name="Comma 5 5 2 2 2 2 3 2" xfId="16874" xr:uid="{00000000-0005-0000-0000-00003F1F0000}"/>
    <cellStyle name="Comma 5 5 2 2 2 2 3 2 2" xfId="41748" xr:uid="{00000000-0005-0000-0000-0000401F0000}"/>
    <cellStyle name="Comma 5 5 2 2 2 2 3 3" xfId="29315" xr:uid="{00000000-0005-0000-0000-0000411F0000}"/>
    <cellStyle name="Comma 5 5 2 2 2 2 4" xfId="14134" xr:uid="{00000000-0005-0000-0000-0000421F0000}"/>
    <cellStyle name="Comma 5 5 2 2 2 2 4 2" xfId="39008" xr:uid="{00000000-0005-0000-0000-0000431F0000}"/>
    <cellStyle name="Comma 5 5 2 2 2 2 5" xfId="26567" xr:uid="{00000000-0005-0000-0000-0000441F0000}"/>
    <cellStyle name="Comma 5 5 2 2 2 3" xfId="5479" xr:uid="{00000000-0005-0000-0000-0000451F0000}"/>
    <cellStyle name="Comma 5 5 2 2 2 3 2" xfId="10495" xr:uid="{00000000-0005-0000-0000-0000461F0000}"/>
    <cellStyle name="Comma 5 5 2 2 2 3 2 2" xfId="22938" xr:uid="{00000000-0005-0000-0000-0000471F0000}"/>
    <cellStyle name="Comma 5 5 2 2 2 3 2 2 2" xfId="47812" xr:uid="{00000000-0005-0000-0000-0000481F0000}"/>
    <cellStyle name="Comma 5 5 2 2 2 3 2 3" xfId="35379" xr:uid="{00000000-0005-0000-0000-0000491F0000}"/>
    <cellStyle name="Comma 5 5 2 2 2 3 3" xfId="17931" xr:uid="{00000000-0005-0000-0000-00004A1F0000}"/>
    <cellStyle name="Comma 5 5 2 2 2 3 3 2" xfId="42805" xr:uid="{00000000-0005-0000-0000-00004B1F0000}"/>
    <cellStyle name="Comma 5 5 2 2 2 3 4" xfId="30372" xr:uid="{00000000-0005-0000-0000-00004C1F0000}"/>
    <cellStyle name="Comma 5 5 2 2 2 4" xfId="8554" xr:uid="{00000000-0005-0000-0000-00004D1F0000}"/>
    <cellStyle name="Comma 5 5 2 2 2 4 2" xfId="20998" xr:uid="{00000000-0005-0000-0000-00004E1F0000}"/>
    <cellStyle name="Comma 5 5 2 2 2 4 2 2" xfId="45872" xr:uid="{00000000-0005-0000-0000-00004F1F0000}"/>
    <cellStyle name="Comma 5 5 2 2 2 4 3" xfId="33439" xr:uid="{00000000-0005-0000-0000-0000501F0000}"/>
    <cellStyle name="Comma 5 5 2 2 2 5" xfId="11949" xr:uid="{00000000-0005-0000-0000-0000511F0000}"/>
    <cellStyle name="Comma 5 5 2 2 2 5 2" xfId="24383" xr:uid="{00000000-0005-0000-0000-0000521F0000}"/>
    <cellStyle name="Comma 5 5 2 2 2 5 2 2" xfId="49257" xr:uid="{00000000-0005-0000-0000-0000531F0000}"/>
    <cellStyle name="Comma 5 5 2 2 2 5 3" xfId="36824" xr:uid="{00000000-0005-0000-0000-0000541F0000}"/>
    <cellStyle name="Comma 5 5 2 2 2 6" xfId="7031" xr:uid="{00000000-0005-0000-0000-0000551F0000}"/>
    <cellStyle name="Comma 5 5 2 2 2 6 2" xfId="19480" xr:uid="{00000000-0005-0000-0000-0000561F0000}"/>
    <cellStyle name="Comma 5 5 2 2 2 6 2 2" xfId="44354" xr:uid="{00000000-0005-0000-0000-0000571F0000}"/>
    <cellStyle name="Comma 5 5 2 2 2 6 3" xfId="31921" xr:uid="{00000000-0005-0000-0000-0000581F0000}"/>
    <cellStyle name="Comma 5 5 2 2 2 7" xfId="3485" xr:uid="{00000000-0005-0000-0000-0000591F0000}"/>
    <cellStyle name="Comma 5 5 2 2 2 7 2" xfId="15991" xr:uid="{00000000-0005-0000-0000-00005A1F0000}"/>
    <cellStyle name="Comma 5 5 2 2 2 7 2 2" xfId="40865" xr:uid="{00000000-0005-0000-0000-00005B1F0000}"/>
    <cellStyle name="Comma 5 5 2 2 2 7 3" xfId="28424" xr:uid="{00000000-0005-0000-0000-00005C1F0000}"/>
    <cellStyle name="Comma 5 5 2 2 2 8" xfId="13589" xr:uid="{00000000-0005-0000-0000-00005D1F0000}"/>
    <cellStyle name="Comma 5 5 2 2 2 8 2" xfId="38463" xr:uid="{00000000-0005-0000-0000-00005E1F0000}"/>
    <cellStyle name="Comma 5 5 2 2 2 9" xfId="26022" xr:uid="{00000000-0005-0000-0000-00005F1F0000}"/>
    <cellStyle name="Comma 5 5 2 2 3" xfId="1682" xr:uid="{00000000-0005-0000-0000-0000601F0000}"/>
    <cellStyle name="Comma 5 5 2 2 3 2" xfId="4971" xr:uid="{00000000-0005-0000-0000-0000611F0000}"/>
    <cellStyle name="Comma 5 5 2 2 3 2 2" xfId="9988" xr:uid="{00000000-0005-0000-0000-0000621F0000}"/>
    <cellStyle name="Comma 5 5 2 2 3 2 2 2" xfId="22431" xr:uid="{00000000-0005-0000-0000-0000631F0000}"/>
    <cellStyle name="Comma 5 5 2 2 3 2 2 2 2" xfId="47305" xr:uid="{00000000-0005-0000-0000-0000641F0000}"/>
    <cellStyle name="Comma 5 5 2 2 3 2 2 3" xfId="34872" xr:uid="{00000000-0005-0000-0000-0000651F0000}"/>
    <cellStyle name="Comma 5 5 2 2 3 2 3" xfId="17424" xr:uid="{00000000-0005-0000-0000-0000661F0000}"/>
    <cellStyle name="Comma 5 5 2 2 3 2 3 2" xfId="42298" xr:uid="{00000000-0005-0000-0000-0000671F0000}"/>
    <cellStyle name="Comma 5 5 2 2 3 2 4" xfId="29865" xr:uid="{00000000-0005-0000-0000-0000681F0000}"/>
    <cellStyle name="Comma 5 5 2 2 3 3" xfId="5828" xr:uid="{00000000-0005-0000-0000-0000691F0000}"/>
    <cellStyle name="Comma 5 5 2 2 3 3 2" xfId="10843" xr:uid="{00000000-0005-0000-0000-00006A1F0000}"/>
    <cellStyle name="Comma 5 5 2 2 3 3 2 2" xfId="23286" xr:uid="{00000000-0005-0000-0000-00006B1F0000}"/>
    <cellStyle name="Comma 5 5 2 2 3 3 2 2 2" xfId="48160" xr:uid="{00000000-0005-0000-0000-00006C1F0000}"/>
    <cellStyle name="Comma 5 5 2 2 3 3 2 3" xfId="35727" xr:uid="{00000000-0005-0000-0000-00006D1F0000}"/>
    <cellStyle name="Comma 5 5 2 2 3 3 3" xfId="18279" xr:uid="{00000000-0005-0000-0000-00006E1F0000}"/>
    <cellStyle name="Comma 5 5 2 2 3 3 3 2" xfId="43153" xr:uid="{00000000-0005-0000-0000-00006F1F0000}"/>
    <cellStyle name="Comma 5 5 2 2 3 3 4" xfId="30720" xr:uid="{00000000-0005-0000-0000-0000701F0000}"/>
    <cellStyle name="Comma 5 5 2 2 3 4" xfId="8395" xr:uid="{00000000-0005-0000-0000-0000711F0000}"/>
    <cellStyle name="Comma 5 5 2 2 3 4 2" xfId="20839" xr:uid="{00000000-0005-0000-0000-0000721F0000}"/>
    <cellStyle name="Comma 5 5 2 2 3 4 2 2" xfId="45713" xr:uid="{00000000-0005-0000-0000-0000731F0000}"/>
    <cellStyle name="Comma 5 5 2 2 3 4 3" xfId="33280" xr:uid="{00000000-0005-0000-0000-0000741F0000}"/>
    <cellStyle name="Comma 5 5 2 2 3 5" xfId="12297" xr:uid="{00000000-0005-0000-0000-0000751F0000}"/>
    <cellStyle name="Comma 5 5 2 2 3 5 2" xfId="24731" xr:uid="{00000000-0005-0000-0000-0000761F0000}"/>
    <cellStyle name="Comma 5 5 2 2 3 5 2 2" xfId="49605" xr:uid="{00000000-0005-0000-0000-0000771F0000}"/>
    <cellStyle name="Comma 5 5 2 2 3 5 3" xfId="37172" xr:uid="{00000000-0005-0000-0000-0000781F0000}"/>
    <cellStyle name="Comma 5 5 2 2 3 6" xfId="7582" xr:uid="{00000000-0005-0000-0000-0000791F0000}"/>
    <cellStyle name="Comma 5 5 2 2 3 6 2" xfId="20030" xr:uid="{00000000-0005-0000-0000-00007A1F0000}"/>
    <cellStyle name="Comma 5 5 2 2 3 6 2 2" xfId="44904" xr:uid="{00000000-0005-0000-0000-00007B1F0000}"/>
    <cellStyle name="Comma 5 5 2 2 3 6 3" xfId="32471" xr:uid="{00000000-0005-0000-0000-00007C1F0000}"/>
    <cellStyle name="Comma 5 5 2 2 3 7" xfId="3326" xr:uid="{00000000-0005-0000-0000-00007D1F0000}"/>
    <cellStyle name="Comma 5 5 2 2 3 7 2" xfId="15832" xr:uid="{00000000-0005-0000-0000-00007E1F0000}"/>
    <cellStyle name="Comma 5 5 2 2 3 7 2 2" xfId="40706" xr:uid="{00000000-0005-0000-0000-00007F1F0000}"/>
    <cellStyle name="Comma 5 5 2 2 3 7 3" xfId="28265" xr:uid="{00000000-0005-0000-0000-0000801F0000}"/>
    <cellStyle name="Comma 5 5 2 2 3 8" xfId="14482" xr:uid="{00000000-0005-0000-0000-0000811F0000}"/>
    <cellStyle name="Comma 5 5 2 2 3 8 2" xfId="39356" xr:uid="{00000000-0005-0000-0000-0000821F0000}"/>
    <cellStyle name="Comma 5 5 2 2 3 9" xfId="26915" xr:uid="{00000000-0005-0000-0000-0000831F0000}"/>
    <cellStyle name="Comma 5 5 2 2 4" xfId="2345" xr:uid="{00000000-0005-0000-0000-0000841F0000}"/>
    <cellStyle name="Comma 5 5 2 2 4 2" xfId="6369" xr:uid="{00000000-0005-0000-0000-0000851F0000}"/>
    <cellStyle name="Comma 5 5 2 2 4 2 2" xfId="11384" xr:uid="{00000000-0005-0000-0000-0000861F0000}"/>
    <cellStyle name="Comma 5 5 2 2 4 2 2 2" xfId="23827" xr:uid="{00000000-0005-0000-0000-0000871F0000}"/>
    <cellStyle name="Comma 5 5 2 2 4 2 2 2 2" xfId="48701" xr:uid="{00000000-0005-0000-0000-0000881F0000}"/>
    <cellStyle name="Comma 5 5 2 2 4 2 2 3" xfId="36268" xr:uid="{00000000-0005-0000-0000-0000891F0000}"/>
    <cellStyle name="Comma 5 5 2 2 4 2 3" xfId="18820" xr:uid="{00000000-0005-0000-0000-00008A1F0000}"/>
    <cellStyle name="Comma 5 5 2 2 4 2 3 2" xfId="43694" xr:uid="{00000000-0005-0000-0000-00008B1F0000}"/>
    <cellStyle name="Comma 5 5 2 2 4 2 4" xfId="31261" xr:uid="{00000000-0005-0000-0000-00008C1F0000}"/>
    <cellStyle name="Comma 5 5 2 2 4 3" xfId="12838" xr:uid="{00000000-0005-0000-0000-00008D1F0000}"/>
    <cellStyle name="Comma 5 5 2 2 4 3 2" xfId="25272" xr:uid="{00000000-0005-0000-0000-00008E1F0000}"/>
    <cellStyle name="Comma 5 5 2 2 4 3 2 2" xfId="50146" xr:uid="{00000000-0005-0000-0000-00008F1F0000}"/>
    <cellStyle name="Comma 5 5 2 2 4 3 3" xfId="37713" xr:uid="{00000000-0005-0000-0000-0000901F0000}"/>
    <cellStyle name="Comma 5 5 2 2 4 4" xfId="9279" xr:uid="{00000000-0005-0000-0000-0000911F0000}"/>
    <cellStyle name="Comma 5 5 2 2 4 4 2" xfId="21722" xr:uid="{00000000-0005-0000-0000-0000921F0000}"/>
    <cellStyle name="Comma 5 5 2 2 4 4 2 2" xfId="46596" xr:uid="{00000000-0005-0000-0000-0000931F0000}"/>
    <cellStyle name="Comma 5 5 2 2 4 4 3" xfId="34163" xr:uid="{00000000-0005-0000-0000-0000941F0000}"/>
    <cellStyle name="Comma 5 5 2 2 4 5" xfId="4261" xr:uid="{00000000-0005-0000-0000-0000951F0000}"/>
    <cellStyle name="Comma 5 5 2 2 4 5 2" xfId="16715" xr:uid="{00000000-0005-0000-0000-0000961F0000}"/>
    <cellStyle name="Comma 5 5 2 2 4 5 2 2" xfId="41589" xr:uid="{00000000-0005-0000-0000-0000971F0000}"/>
    <cellStyle name="Comma 5 5 2 2 4 5 3" xfId="29156" xr:uid="{00000000-0005-0000-0000-0000981F0000}"/>
    <cellStyle name="Comma 5 5 2 2 4 6" xfId="15023" xr:uid="{00000000-0005-0000-0000-0000991F0000}"/>
    <cellStyle name="Comma 5 5 2 2 4 6 2" xfId="39897" xr:uid="{00000000-0005-0000-0000-00009A1F0000}"/>
    <cellStyle name="Comma 5 5 2 2 4 7" xfId="27456" xr:uid="{00000000-0005-0000-0000-00009B1F0000}"/>
    <cellStyle name="Comma 5 5 2 2 5" xfId="1180" xr:uid="{00000000-0005-0000-0000-00009C1F0000}"/>
    <cellStyle name="Comma 5 5 2 2 5 2" xfId="10341" xr:uid="{00000000-0005-0000-0000-00009D1F0000}"/>
    <cellStyle name="Comma 5 5 2 2 5 2 2" xfId="22784" xr:uid="{00000000-0005-0000-0000-00009E1F0000}"/>
    <cellStyle name="Comma 5 5 2 2 5 2 2 2" xfId="47658" xr:uid="{00000000-0005-0000-0000-00009F1F0000}"/>
    <cellStyle name="Comma 5 5 2 2 5 2 3" xfId="35225" xr:uid="{00000000-0005-0000-0000-0000A01F0000}"/>
    <cellStyle name="Comma 5 5 2 2 5 3" xfId="5325" xr:uid="{00000000-0005-0000-0000-0000A11F0000}"/>
    <cellStyle name="Comma 5 5 2 2 5 3 2" xfId="17777" xr:uid="{00000000-0005-0000-0000-0000A21F0000}"/>
    <cellStyle name="Comma 5 5 2 2 5 3 2 2" xfId="42651" xr:uid="{00000000-0005-0000-0000-0000A31F0000}"/>
    <cellStyle name="Comma 5 5 2 2 5 3 3" xfId="30218" xr:uid="{00000000-0005-0000-0000-0000A41F0000}"/>
    <cellStyle name="Comma 5 5 2 2 5 4" xfId="13980" xr:uid="{00000000-0005-0000-0000-0000A51F0000}"/>
    <cellStyle name="Comma 5 5 2 2 5 4 2" xfId="38854" xr:uid="{00000000-0005-0000-0000-0000A61F0000}"/>
    <cellStyle name="Comma 5 5 2 2 5 5" xfId="26413" xr:uid="{00000000-0005-0000-0000-0000A71F0000}"/>
    <cellStyle name="Comma 5 5 2 2 6" xfId="7902" xr:uid="{00000000-0005-0000-0000-0000A81F0000}"/>
    <cellStyle name="Comma 5 5 2 2 6 2" xfId="20348" xr:uid="{00000000-0005-0000-0000-0000A91F0000}"/>
    <cellStyle name="Comma 5 5 2 2 6 2 2" xfId="45222" xr:uid="{00000000-0005-0000-0000-0000AA1F0000}"/>
    <cellStyle name="Comma 5 5 2 2 6 3" xfId="32789" xr:uid="{00000000-0005-0000-0000-0000AB1F0000}"/>
    <cellStyle name="Comma 5 5 2 2 7" xfId="11795" xr:uid="{00000000-0005-0000-0000-0000AC1F0000}"/>
    <cellStyle name="Comma 5 5 2 2 7 2" xfId="24229" xr:uid="{00000000-0005-0000-0000-0000AD1F0000}"/>
    <cellStyle name="Comma 5 5 2 2 7 2 2" xfId="49103" xr:uid="{00000000-0005-0000-0000-0000AE1F0000}"/>
    <cellStyle name="Comma 5 5 2 2 7 3" xfId="36670" xr:uid="{00000000-0005-0000-0000-0000AF1F0000}"/>
    <cellStyle name="Comma 5 5 2 2 8" xfId="6872" xr:uid="{00000000-0005-0000-0000-0000B01F0000}"/>
    <cellStyle name="Comma 5 5 2 2 8 2" xfId="19321" xr:uid="{00000000-0005-0000-0000-0000B11F0000}"/>
    <cellStyle name="Comma 5 5 2 2 8 2 2" xfId="44195" xr:uid="{00000000-0005-0000-0000-0000B21F0000}"/>
    <cellStyle name="Comma 5 5 2 2 8 3" xfId="31762" xr:uid="{00000000-0005-0000-0000-0000B31F0000}"/>
    <cellStyle name="Comma 5 5 2 2 9" xfId="2823" xr:uid="{00000000-0005-0000-0000-0000B41F0000}"/>
    <cellStyle name="Comma 5 5 2 2 9 2" xfId="15341" xr:uid="{00000000-0005-0000-0000-0000B51F0000}"/>
    <cellStyle name="Comma 5 5 2 2 9 2 2" xfId="40215" xr:uid="{00000000-0005-0000-0000-0000B61F0000}"/>
    <cellStyle name="Comma 5 5 2 2 9 3" xfId="27774" xr:uid="{00000000-0005-0000-0000-0000B71F0000}"/>
    <cellStyle name="Comma 5 5 2 3" xfId="686" xr:uid="{00000000-0005-0000-0000-0000B81F0000}"/>
    <cellStyle name="Comma 5 5 2 3 2" xfId="1333" xr:uid="{00000000-0005-0000-0000-0000B91F0000}"/>
    <cellStyle name="Comma 5 5 2 3 2 2" xfId="9179" xr:uid="{00000000-0005-0000-0000-0000BA1F0000}"/>
    <cellStyle name="Comma 5 5 2 3 2 2 2" xfId="21622" xr:uid="{00000000-0005-0000-0000-0000BB1F0000}"/>
    <cellStyle name="Comma 5 5 2 3 2 2 2 2" xfId="46496" xr:uid="{00000000-0005-0000-0000-0000BC1F0000}"/>
    <cellStyle name="Comma 5 5 2 3 2 2 3" xfId="34063" xr:uid="{00000000-0005-0000-0000-0000BD1F0000}"/>
    <cellStyle name="Comma 5 5 2 3 2 3" xfId="4161" xr:uid="{00000000-0005-0000-0000-0000BE1F0000}"/>
    <cellStyle name="Comma 5 5 2 3 2 3 2" xfId="16615" xr:uid="{00000000-0005-0000-0000-0000BF1F0000}"/>
    <cellStyle name="Comma 5 5 2 3 2 3 2 2" xfId="41489" xr:uid="{00000000-0005-0000-0000-0000C01F0000}"/>
    <cellStyle name="Comma 5 5 2 3 2 3 3" xfId="29056" xr:uid="{00000000-0005-0000-0000-0000C11F0000}"/>
    <cellStyle name="Comma 5 5 2 3 2 4" xfId="14133" xr:uid="{00000000-0005-0000-0000-0000C21F0000}"/>
    <cellStyle name="Comma 5 5 2 3 2 4 2" xfId="39007" xr:uid="{00000000-0005-0000-0000-0000C31F0000}"/>
    <cellStyle name="Comma 5 5 2 3 2 5" xfId="26566" xr:uid="{00000000-0005-0000-0000-0000C41F0000}"/>
    <cellStyle name="Comma 5 5 2 3 3" xfId="5478" xr:uid="{00000000-0005-0000-0000-0000C51F0000}"/>
    <cellStyle name="Comma 5 5 2 3 3 2" xfId="10494" xr:uid="{00000000-0005-0000-0000-0000C61F0000}"/>
    <cellStyle name="Comma 5 5 2 3 3 2 2" xfId="22937" xr:uid="{00000000-0005-0000-0000-0000C71F0000}"/>
    <cellStyle name="Comma 5 5 2 3 3 2 2 2" xfId="47811" xr:uid="{00000000-0005-0000-0000-0000C81F0000}"/>
    <cellStyle name="Comma 5 5 2 3 3 2 3" xfId="35378" xr:uid="{00000000-0005-0000-0000-0000C91F0000}"/>
    <cellStyle name="Comma 5 5 2 3 3 3" xfId="17930" xr:uid="{00000000-0005-0000-0000-0000CA1F0000}"/>
    <cellStyle name="Comma 5 5 2 3 3 3 2" xfId="42804" xr:uid="{00000000-0005-0000-0000-0000CB1F0000}"/>
    <cellStyle name="Comma 5 5 2 3 3 4" xfId="30371" xr:uid="{00000000-0005-0000-0000-0000CC1F0000}"/>
    <cellStyle name="Comma 5 5 2 3 4" xfId="8295" xr:uid="{00000000-0005-0000-0000-0000CD1F0000}"/>
    <cellStyle name="Comma 5 5 2 3 4 2" xfId="20739" xr:uid="{00000000-0005-0000-0000-0000CE1F0000}"/>
    <cellStyle name="Comma 5 5 2 3 4 2 2" xfId="45613" xr:uid="{00000000-0005-0000-0000-0000CF1F0000}"/>
    <cellStyle name="Comma 5 5 2 3 4 3" xfId="33180" xr:uid="{00000000-0005-0000-0000-0000D01F0000}"/>
    <cellStyle name="Comma 5 5 2 3 5" xfId="11948" xr:uid="{00000000-0005-0000-0000-0000D11F0000}"/>
    <cellStyle name="Comma 5 5 2 3 5 2" xfId="24382" xr:uid="{00000000-0005-0000-0000-0000D21F0000}"/>
    <cellStyle name="Comma 5 5 2 3 5 2 2" xfId="49256" xr:uid="{00000000-0005-0000-0000-0000D31F0000}"/>
    <cellStyle name="Comma 5 5 2 3 5 3" xfId="36823" xr:uid="{00000000-0005-0000-0000-0000D41F0000}"/>
    <cellStyle name="Comma 5 5 2 3 6" xfId="6772" xr:uid="{00000000-0005-0000-0000-0000D51F0000}"/>
    <cellStyle name="Comma 5 5 2 3 6 2" xfId="19221" xr:uid="{00000000-0005-0000-0000-0000D61F0000}"/>
    <cellStyle name="Comma 5 5 2 3 6 2 2" xfId="44095" xr:uid="{00000000-0005-0000-0000-0000D71F0000}"/>
    <cellStyle name="Comma 5 5 2 3 6 3" xfId="31662" xr:uid="{00000000-0005-0000-0000-0000D81F0000}"/>
    <cellStyle name="Comma 5 5 2 3 7" xfId="3226" xr:uid="{00000000-0005-0000-0000-0000D91F0000}"/>
    <cellStyle name="Comma 5 5 2 3 7 2" xfId="15732" xr:uid="{00000000-0005-0000-0000-0000DA1F0000}"/>
    <cellStyle name="Comma 5 5 2 3 7 2 2" xfId="40606" xr:uid="{00000000-0005-0000-0000-0000DB1F0000}"/>
    <cellStyle name="Comma 5 5 2 3 7 3" xfId="28165" xr:uid="{00000000-0005-0000-0000-0000DC1F0000}"/>
    <cellStyle name="Comma 5 5 2 3 8" xfId="13489" xr:uid="{00000000-0005-0000-0000-0000DD1F0000}"/>
    <cellStyle name="Comma 5 5 2 3 8 2" xfId="38363" xr:uid="{00000000-0005-0000-0000-0000DE1F0000}"/>
    <cellStyle name="Comma 5 5 2 3 9" xfId="25922" xr:uid="{00000000-0005-0000-0000-0000DF1F0000}"/>
    <cellStyle name="Comma 5 5 2 4" xfId="1681" xr:uid="{00000000-0005-0000-0000-0000E01F0000}"/>
    <cellStyle name="Comma 5 5 2 4 2" xfId="4419" xr:uid="{00000000-0005-0000-0000-0000E11F0000}"/>
    <cellStyle name="Comma 5 5 2 4 2 2" xfId="9437" xr:uid="{00000000-0005-0000-0000-0000E21F0000}"/>
    <cellStyle name="Comma 5 5 2 4 2 2 2" xfId="21880" xr:uid="{00000000-0005-0000-0000-0000E31F0000}"/>
    <cellStyle name="Comma 5 5 2 4 2 2 2 2" xfId="46754" xr:uid="{00000000-0005-0000-0000-0000E41F0000}"/>
    <cellStyle name="Comma 5 5 2 4 2 2 3" xfId="34321" xr:uid="{00000000-0005-0000-0000-0000E51F0000}"/>
    <cellStyle name="Comma 5 5 2 4 2 3" xfId="16873" xr:uid="{00000000-0005-0000-0000-0000E61F0000}"/>
    <cellStyle name="Comma 5 5 2 4 2 3 2" xfId="41747" xr:uid="{00000000-0005-0000-0000-0000E71F0000}"/>
    <cellStyle name="Comma 5 5 2 4 2 4" xfId="29314" xr:uid="{00000000-0005-0000-0000-0000E81F0000}"/>
    <cellStyle name="Comma 5 5 2 4 3" xfId="5827" xr:uid="{00000000-0005-0000-0000-0000E91F0000}"/>
    <cellStyle name="Comma 5 5 2 4 3 2" xfId="10842" xr:uid="{00000000-0005-0000-0000-0000EA1F0000}"/>
    <cellStyle name="Comma 5 5 2 4 3 2 2" xfId="23285" xr:uid="{00000000-0005-0000-0000-0000EB1F0000}"/>
    <cellStyle name="Comma 5 5 2 4 3 2 2 2" xfId="48159" xr:uid="{00000000-0005-0000-0000-0000EC1F0000}"/>
    <cellStyle name="Comma 5 5 2 4 3 2 3" xfId="35726" xr:uid="{00000000-0005-0000-0000-0000ED1F0000}"/>
    <cellStyle name="Comma 5 5 2 4 3 3" xfId="18278" xr:uid="{00000000-0005-0000-0000-0000EE1F0000}"/>
    <cellStyle name="Comma 5 5 2 4 3 3 2" xfId="43152" xr:uid="{00000000-0005-0000-0000-0000EF1F0000}"/>
    <cellStyle name="Comma 5 5 2 4 3 4" xfId="30719" xr:uid="{00000000-0005-0000-0000-0000F01F0000}"/>
    <cellStyle name="Comma 5 5 2 4 4" xfId="8553" xr:uid="{00000000-0005-0000-0000-0000F11F0000}"/>
    <cellStyle name="Comma 5 5 2 4 4 2" xfId="20997" xr:uid="{00000000-0005-0000-0000-0000F21F0000}"/>
    <cellStyle name="Comma 5 5 2 4 4 2 2" xfId="45871" xr:uid="{00000000-0005-0000-0000-0000F31F0000}"/>
    <cellStyle name="Comma 5 5 2 4 4 3" xfId="33438" xr:uid="{00000000-0005-0000-0000-0000F41F0000}"/>
    <cellStyle name="Comma 5 5 2 4 5" xfId="12296" xr:uid="{00000000-0005-0000-0000-0000F51F0000}"/>
    <cellStyle name="Comma 5 5 2 4 5 2" xfId="24730" xr:uid="{00000000-0005-0000-0000-0000F61F0000}"/>
    <cellStyle name="Comma 5 5 2 4 5 2 2" xfId="49604" xr:uid="{00000000-0005-0000-0000-0000F71F0000}"/>
    <cellStyle name="Comma 5 5 2 4 5 3" xfId="37171" xr:uid="{00000000-0005-0000-0000-0000F81F0000}"/>
    <cellStyle name="Comma 5 5 2 4 6" xfId="7030" xr:uid="{00000000-0005-0000-0000-0000F91F0000}"/>
    <cellStyle name="Comma 5 5 2 4 6 2" xfId="19479" xr:uid="{00000000-0005-0000-0000-0000FA1F0000}"/>
    <cellStyle name="Comma 5 5 2 4 6 2 2" xfId="44353" xr:uid="{00000000-0005-0000-0000-0000FB1F0000}"/>
    <cellStyle name="Comma 5 5 2 4 6 3" xfId="31920" xr:uid="{00000000-0005-0000-0000-0000FC1F0000}"/>
    <cellStyle name="Comma 5 5 2 4 7" xfId="3484" xr:uid="{00000000-0005-0000-0000-0000FD1F0000}"/>
    <cellStyle name="Comma 5 5 2 4 7 2" xfId="15990" xr:uid="{00000000-0005-0000-0000-0000FE1F0000}"/>
    <cellStyle name="Comma 5 5 2 4 7 2 2" xfId="40864" xr:uid="{00000000-0005-0000-0000-0000FF1F0000}"/>
    <cellStyle name="Comma 5 5 2 4 7 3" xfId="28423" xr:uid="{00000000-0005-0000-0000-000000200000}"/>
    <cellStyle name="Comma 5 5 2 4 8" xfId="14481" xr:uid="{00000000-0005-0000-0000-000001200000}"/>
    <cellStyle name="Comma 5 5 2 4 8 2" xfId="39355" xr:uid="{00000000-0005-0000-0000-000002200000}"/>
    <cellStyle name="Comma 5 5 2 4 9" xfId="26914" xr:uid="{00000000-0005-0000-0000-000003200000}"/>
    <cellStyle name="Comma 5 5 2 5" xfId="2243" xr:uid="{00000000-0005-0000-0000-000004200000}"/>
    <cellStyle name="Comma 5 5 2 5 2" xfId="4871" xr:uid="{00000000-0005-0000-0000-000005200000}"/>
    <cellStyle name="Comma 5 5 2 5 2 2" xfId="9888" xr:uid="{00000000-0005-0000-0000-000006200000}"/>
    <cellStyle name="Comma 5 5 2 5 2 2 2" xfId="22331" xr:uid="{00000000-0005-0000-0000-000007200000}"/>
    <cellStyle name="Comma 5 5 2 5 2 2 2 2" xfId="47205" xr:uid="{00000000-0005-0000-0000-000008200000}"/>
    <cellStyle name="Comma 5 5 2 5 2 2 3" xfId="34772" xr:uid="{00000000-0005-0000-0000-000009200000}"/>
    <cellStyle name="Comma 5 5 2 5 2 3" xfId="17324" xr:uid="{00000000-0005-0000-0000-00000A200000}"/>
    <cellStyle name="Comma 5 5 2 5 2 3 2" xfId="42198" xr:uid="{00000000-0005-0000-0000-00000B200000}"/>
    <cellStyle name="Comma 5 5 2 5 2 4" xfId="29765" xr:uid="{00000000-0005-0000-0000-00000C200000}"/>
    <cellStyle name="Comma 5 5 2 5 3" xfId="6269" xr:uid="{00000000-0005-0000-0000-00000D200000}"/>
    <cellStyle name="Comma 5 5 2 5 3 2" xfId="11284" xr:uid="{00000000-0005-0000-0000-00000E200000}"/>
    <cellStyle name="Comma 5 5 2 5 3 2 2" xfId="23727" xr:uid="{00000000-0005-0000-0000-00000F200000}"/>
    <cellStyle name="Comma 5 5 2 5 3 2 2 2" xfId="48601" xr:uid="{00000000-0005-0000-0000-000010200000}"/>
    <cellStyle name="Comma 5 5 2 5 3 2 3" xfId="36168" xr:uid="{00000000-0005-0000-0000-000011200000}"/>
    <cellStyle name="Comma 5 5 2 5 3 3" xfId="18720" xr:uid="{00000000-0005-0000-0000-000012200000}"/>
    <cellStyle name="Comma 5 5 2 5 3 3 2" xfId="43594" xr:uid="{00000000-0005-0000-0000-000013200000}"/>
    <cellStyle name="Comma 5 5 2 5 3 4" xfId="31161" xr:uid="{00000000-0005-0000-0000-000014200000}"/>
    <cellStyle name="Comma 5 5 2 5 4" xfId="8076" xr:uid="{00000000-0005-0000-0000-000015200000}"/>
    <cellStyle name="Comma 5 5 2 5 4 2" xfId="20522" xr:uid="{00000000-0005-0000-0000-000016200000}"/>
    <cellStyle name="Comma 5 5 2 5 4 2 2" xfId="45396" xr:uid="{00000000-0005-0000-0000-000017200000}"/>
    <cellStyle name="Comma 5 5 2 5 4 3" xfId="32963" xr:uid="{00000000-0005-0000-0000-000018200000}"/>
    <cellStyle name="Comma 5 5 2 5 5" xfId="12738" xr:uid="{00000000-0005-0000-0000-000019200000}"/>
    <cellStyle name="Comma 5 5 2 5 5 2" xfId="25172" xr:uid="{00000000-0005-0000-0000-00001A200000}"/>
    <cellStyle name="Comma 5 5 2 5 5 2 2" xfId="50046" xr:uid="{00000000-0005-0000-0000-00001B200000}"/>
    <cellStyle name="Comma 5 5 2 5 5 3" xfId="37613" xr:uid="{00000000-0005-0000-0000-00001C200000}"/>
    <cellStyle name="Comma 5 5 2 5 6" xfId="7482" xr:uid="{00000000-0005-0000-0000-00001D200000}"/>
    <cellStyle name="Comma 5 5 2 5 6 2" xfId="19930" xr:uid="{00000000-0005-0000-0000-00001E200000}"/>
    <cellStyle name="Comma 5 5 2 5 6 2 2" xfId="44804" xr:uid="{00000000-0005-0000-0000-00001F200000}"/>
    <cellStyle name="Comma 5 5 2 5 6 3" xfId="32371" xr:uid="{00000000-0005-0000-0000-000020200000}"/>
    <cellStyle name="Comma 5 5 2 5 7" xfId="3005" xr:uid="{00000000-0005-0000-0000-000021200000}"/>
    <cellStyle name="Comma 5 5 2 5 7 2" xfId="15515" xr:uid="{00000000-0005-0000-0000-000022200000}"/>
    <cellStyle name="Comma 5 5 2 5 7 2 2" xfId="40389" xr:uid="{00000000-0005-0000-0000-000023200000}"/>
    <cellStyle name="Comma 5 5 2 5 7 3" xfId="27948" xr:uid="{00000000-0005-0000-0000-000024200000}"/>
    <cellStyle name="Comma 5 5 2 5 8" xfId="14923" xr:uid="{00000000-0005-0000-0000-000025200000}"/>
    <cellStyle name="Comma 5 5 2 5 8 2" xfId="39797" xr:uid="{00000000-0005-0000-0000-000026200000}"/>
    <cellStyle name="Comma 5 5 2 5 9" xfId="27356" xr:uid="{00000000-0005-0000-0000-000027200000}"/>
    <cellStyle name="Comma 5 5 2 6" xfId="1080" xr:uid="{00000000-0005-0000-0000-000028200000}"/>
    <cellStyle name="Comma 5 5 2 6 2" xfId="8962" xr:uid="{00000000-0005-0000-0000-000029200000}"/>
    <cellStyle name="Comma 5 5 2 6 2 2" xfId="21405" xr:uid="{00000000-0005-0000-0000-00002A200000}"/>
    <cellStyle name="Comma 5 5 2 6 2 2 2" xfId="46279" xr:uid="{00000000-0005-0000-0000-00002B200000}"/>
    <cellStyle name="Comma 5 5 2 6 2 3" xfId="33846" xr:uid="{00000000-0005-0000-0000-00002C200000}"/>
    <cellStyle name="Comma 5 5 2 6 3" xfId="3944" xr:uid="{00000000-0005-0000-0000-00002D200000}"/>
    <cellStyle name="Comma 5 5 2 6 3 2" xfId="16398" xr:uid="{00000000-0005-0000-0000-00002E200000}"/>
    <cellStyle name="Comma 5 5 2 6 3 2 2" xfId="41272" xr:uid="{00000000-0005-0000-0000-00002F200000}"/>
    <cellStyle name="Comma 5 5 2 6 3 3" xfId="28839" xr:uid="{00000000-0005-0000-0000-000030200000}"/>
    <cellStyle name="Comma 5 5 2 6 4" xfId="13880" xr:uid="{00000000-0005-0000-0000-000031200000}"/>
    <cellStyle name="Comma 5 5 2 6 4 2" xfId="38754" xr:uid="{00000000-0005-0000-0000-000032200000}"/>
    <cellStyle name="Comma 5 5 2 6 5" xfId="26313" xr:uid="{00000000-0005-0000-0000-000033200000}"/>
    <cellStyle name="Comma 5 5 2 7" xfId="5225" xr:uid="{00000000-0005-0000-0000-000034200000}"/>
    <cellStyle name="Comma 5 5 2 7 2" xfId="10241" xr:uid="{00000000-0005-0000-0000-000035200000}"/>
    <cellStyle name="Comma 5 5 2 7 2 2" xfId="22684" xr:uid="{00000000-0005-0000-0000-000036200000}"/>
    <cellStyle name="Comma 5 5 2 7 2 2 2" xfId="47558" xr:uid="{00000000-0005-0000-0000-000037200000}"/>
    <cellStyle name="Comma 5 5 2 7 2 3" xfId="35125" xr:uid="{00000000-0005-0000-0000-000038200000}"/>
    <cellStyle name="Comma 5 5 2 7 3" xfId="17677" xr:uid="{00000000-0005-0000-0000-000039200000}"/>
    <cellStyle name="Comma 5 5 2 7 3 2" xfId="42551" xr:uid="{00000000-0005-0000-0000-00003A200000}"/>
    <cellStyle name="Comma 5 5 2 7 4" xfId="30118" xr:uid="{00000000-0005-0000-0000-00003B200000}"/>
    <cellStyle name="Comma 5 5 2 8" xfId="7802" xr:uid="{00000000-0005-0000-0000-00003C200000}"/>
    <cellStyle name="Comma 5 5 2 8 2" xfId="20248" xr:uid="{00000000-0005-0000-0000-00003D200000}"/>
    <cellStyle name="Comma 5 5 2 8 2 2" xfId="45122" xr:uid="{00000000-0005-0000-0000-00003E200000}"/>
    <cellStyle name="Comma 5 5 2 8 3" xfId="32689" xr:uid="{00000000-0005-0000-0000-00003F200000}"/>
    <cellStyle name="Comma 5 5 2 9" xfId="11695" xr:uid="{00000000-0005-0000-0000-000040200000}"/>
    <cellStyle name="Comma 5 5 2 9 2" xfId="24129" xr:uid="{00000000-0005-0000-0000-000041200000}"/>
    <cellStyle name="Comma 5 5 2 9 2 2" xfId="49003" xr:uid="{00000000-0005-0000-0000-000042200000}"/>
    <cellStyle name="Comma 5 5 2 9 3" xfId="36570" xr:uid="{00000000-0005-0000-0000-000043200000}"/>
    <cellStyle name="Comma 5 5 3" xfId="280" xr:uid="{00000000-0005-0000-0000-000044200000}"/>
    <cellStyle name="Comma 5 5 3 10" xfId="6617" xr:uid="{00000000-0005-0000-0000-000045200000}"/>
    <cellStyle name="Comma 5 5 3 10 2" xfId="19066" xr:uid="{00000000-0005-0000-0000-000046200000}"/>
    <cellStyle name="Comma 5 5 3 10 2 2" xfId="43940" xr:uid="{00000000-0005-0000-0000-000047200000}"/>
    <cellStyle name="Comma 5 5 3 10 3" xfId="31507" xr:uid="{00000000-0005-0000-0000-000048200000}"/>
    <cellStyle name="Comma 5 5 3 11" xfId="2680" xr:uid="{00000000-0005-0000-0000-000049200000}"/>
    <cellStyle name="Comma 5 5 3 11 2" xfId="15198" xr:uid="{00000000-0005-0000-0000-00004A200000}"/>
    <cellStyle name="Comma 5 5 3 11 2 2" xfId="40072" xr:uid="{00000000-0005-0000-0000-00004B200000}"/>
    <cellStyle name="Comma 5 5 3 11 3" xfId="27631" xr:uid="{00000000-0005-0000-0000-00004C200000}"/>
    <cellStyle name="Comma 5 5 3 12" xfId="13099" xr:uid="{00000000-0005-0000-0000-00004D200000}"/>
    <cellStyle name="Comma 5 5 3 12 2" xfId="37973" xr:uid="{00000000-0005-0000-0000-00004E200000}"/>
    <cellStyle name="Comma 5 5 3 13" xfId="25532" xr:uid="{00000000-0005-0000-0000-00004F200000}"/>
    <cellStyle name="Comma 5 5 3 2" xfId="491" xr:uid="{00000000-0005-0000-0000-000050200000}"/>
    <cellStyle name="Comma 5 5 3 2 10" xfId="13304" xr:uid="{00000000-0005-0000-0000-000051200000}"/>
    <cellStyle name="Comma 5 5 3 2 10 2" xfId="38178" xr:uid="{00000000-0005-0000-0000-000052200000}"/>
    <cellStyle name="Comma 5 5 3 2 11" xfId="25737" xr:uid="{00000000-0005-0000-0000-000053200000}"/>
    <cellStyle name="Comma 5 5 3 2 2" xfId="850" xr:uid="{00000000-0005-0000-0000-000054200000}"/>
    <cellStyle name="Comma 5 5 3 2 2 2" xfId="1336" xr:uid="{00000000-0005-0000-0000-000055200000}"/>
    <cellStyle name="Comma 5 5 3 2 2 2 2" xfId="9440" xr:uid="{00000000-0005-0000-0000-000056200000}"/>
    <cellStyle name="Comma 5 5 3 2 2 2 2 2" xfId="21883" xr:uid="{00000000-0005-0000-0000-000057200000}"/>
    <cellStyle name="Comma 5 5 3 2 2 2 2 2 2" xfId="46757" xr:uid="{00000000-0005-0000-0000-000058200000}"/>
    <cellStyle name="Comma 5 5 3 2 2 2 2 3" xfId="34324" xr:uid="{00000000-0005-0000-0000-000059200000}"/>
    <cellStyle name="Comma 5 5 3 2 2 2 3" xfId="4422" xr:uid="{00000000-0005-0000-0000-00005A200000}"/>
    <cellStyle name="Comma 5 5 3 2 2 2 3 2" xfId="16876" xr:uid="{00000000-0005-0000-0000-00005B200000}"/>
    <cellStyle name="Comma 5 5 3 2 2 2 3 2 2" xfId="41750" xr:uid="{00000000-0005-0000-0000-00005C200000}"/>
    <cellStyle name="Comma 5 5 3 2 2 2 3 3" xfId="29317" xr:uid="{00000000-0005-0000-0000-00005D200000}"/>
    <cellStyle name="Comma 5 5 3 2 2 2 4" xfId="14136" xr:uid="{00000000-0005-0000-0000-00005E200000}"/>
    <cellStyle name="Comma 5 5 3 2 2 2 4 2" xfId="39010" xr:uid="{00000000-0005-0000-0000-00005F200000}"/>
    <cellStyle name="Comma 5 5 3 2 2 2 5" xfId="26569" xr:uid="{00000000-0005-0000-0000-000060200000}"/>
    <cellStyle name="Comma 5 5 3 2 2 3" xfId="5481" xr:uid="{00000000-0005-0000-0000-000061200000}"/>
    <cellStyle name="Comma 5 5 3 2 2 3 2" xfId="10497" xr:uid="{00000000-0005-0000-0000-000062200000}"/>
    <cellStyle name="Comma 5 5 3 2 2 3 2 2" xfId="22940" xr:uid="{00000000-0005-0000-0000-000063200000}"/>
    <cellStyle name="Comma 5 5 3 2 2 3 2 2 2" xfId="47814" xr:uid="{00000000-0005-0000-0000-000064200000}"/>
    <cellStyle name="Comma 5 5 3 2 2 3 2 3" xfId="35381" xr:uid="{00000000-0005-0000-0000-000065200000}"/>
    <cellStyle name="Comma 5 5 3 2 2 3 3" xfId="17933" xr:uid="{00000000-0005-0000-0000-000066200000}"/>
    <cellStyle name="Comma 5 5 3 2 2 3 3 2" xfId="42807" xr:uid="{00000000-0005-0000-0000-000067200000}"/>
    <cellStyle name="Comma 5 5 3 2 2 3 4" xfId="30374" xr:uid="{00000000-0005-0000-0000-000068200000}"/>
    <cellStyle name="Comma 5 5 3 2 2 4" xfId="8556" xr:uid="{00000000-0005-0000-0000-000069200000}"/>
    <cellStyle name="Comma 5 5 3 2 2 4 2" xfId="21000" xr:uid="{00000000-0005-0000-0000-00006A200000}"/>
    <cellStyle name="Comma 5 5 3 2 2 4 2 2" xfId="45874" xr:uid="{00000000-0005-0000-0000-00006B200000}"/>
    <cellStyle name="Comma 5 5 3 2 2 4 3" xfId="33441" xr:uid="{00000000-0005-0000-0000-00006C200000}"/>
    <cellStyle name="Comma 5 5 3 2 2 5" xfId="11951" xr:uid="{00000000-0005-0000-0000-00006D200000}"/>
    <cellStyle name="Comma 5 5 3 2 2 5 2" xfId="24385" xr:uid="{00000000-0005-0000-0000-00006E200000}"/>
    <cellStyle name="Comma 5 5 3 2 2 5 2 2" xfId="49259" xr:uid="{00000000-0005-0000-0000-00006F200000}"/>
    <cellStyle name="Comma 5 5 3 2 2 5 3" xfId="36826" xr:uid="{00000000-0005-0000-0000-000070200000}"/>
    <cellStyle name="Comma 5 5 3 2 2 6" xfId="7033" xr:uid="{00000000-0005-0000-0000-000071200000}"/>
    <cellStyle name="Comma 5 5 3 2 2 6 2" xfId="19482" xr:uid="{00000000-0005-0000-0000-000072200000}"/>
    <cellStyle name="Comma 5 5 3 2 2 6 2 2" xfId="44356" xr:uid="{00000000-0005-0000-0000-000073200000}"/>
    <cellStyle name="Comma 5 5 3 2 2 6 3" xfId="31923" xr:uid="{00000000-0005-0000-0000-000074200000}"/>
    <cellStyle name="Comma 5 5 3 2 2 7" xfId="3487" xr:uid="{00000000-0005-0000-0000-000075200000}"/>
    <cellStyle name="Comma 5 5 3 2 2 7 2" xfId="15993" xr:uid="{00000000-0005-0000-0000-000076200000}"/>
    <cellStyle name="Comma 5 5 3 2 2 7 2 2" xfId="40867" xr:uid="{00000000-0005-0000-0000-000077200000}"/>
    <cellStyle name="Comma 5 5 3 2 2 7 3" xfId="28426" xr:uid="{00000000-0005-0000-0000-000078200000}"/>
    <cellStyle name="Comma 5 5 3 2 2 8" xfId="13651" xr:uid="{00000000-0005-0000-0000-000079200000}"/>
    <cellStyle name="Comma 5 5 3 2 2 8 2" xfId="38525" xr:uid="{00000000-0005-0000-0000-00007A200000}"/>
    <cellStyle name="Comma 5 5 3 2 2 9" xfId="26084" xr:uid="{00000000-0005-0000-0000-00007B200000}"/>
    <cellStyle name="Comma 5 5 3 2 3" xfId="1684" xr:uid="{00000000-0005-0000-0000-00007C200000}"/>
    <cellStyle name="Comma 5 5 3 2 3 2" xfId="5033" xr:uid="{00000000-0005-0000-0000-00007D200000}"/>
    <cellStyle name="Comma 5 5 3 2 3 2 2" xfId="10050" xr:uid="{00000000-0005-0000-0000-00007E200000}"/>
    <cellStyle name="Comma 5 5 3 2 3 2 2 2" xfId="22493" xr:uid="{00000000-0005-0000-0000-00007F200000}"/>
    <cellStyle name="Comma 5 5 3 2 3 2 2 2 2" xfId="47367" xr:uid="{00000000-0005-0000-0000-000080200000}"/>
    <cellStyle name="Comma 5 5 3 2 3 2 2 3" xfId="34934" xr:uid="{00000000-0005-0000-0000-000081200000}"/>
    <cellStyle name="Comma 5 5 3 2 3 2 3" xfId="17486" xr:uid="{00000000-0005-0000-0000-000082200000}"/>
    <cellStyle name="Comma 5 5 3 2 3 2 3 2" xfId="42360" xr:uid="{00000000-0005-0000-0000-000083200000}"/>
    <cellStyle name="Comma 5 5 3 2 3 2 4" xfId="29927" xr:uid="{00000000-0005-0000-0000-000084200000}"/>
    <cellStyle name="Comma 5 5 3 2 3 3" xfId="5830" xr:uid="{00000000-0005-0000-0000-000085200000}"/>
    <cellStyle name="Comma 5 5 3 2 3 3 2" xfId="10845" xr:uid="{00000000-0005-0000-0000-000086200000}"/>
    <cellStyle name="Comma 5 5 3 2 3 3 2 2" xfId="23288" xr:uid="{00000000-0005-0000-0000-000087200000}"/>
    <cellStyle name="Comma 5 5 3 2 3 3 2 2 2" xfId="48162" xr:uid="{00000000-0005-0000-0000-000088200000}"/>
    <cellStyle name="Comma 5 5 3 2 3 3 2 3" xfId="35729" xr:uid="{00000000-0005-0000-0000-000089200000}"/>
    <cellStyle name="Comma 5 5 3 2 3 3 3" xfId="18281" xr:uid="{00000000-0005-0000-0000-00008A200000}"/>
    <cellStyle name="Comma 5 5 3 2 3 3 3 2" xfId="43155" xr:uid="{00000000-0005-0000-0000-00008B200000}"/>
    <cellStyle name="Comma 5 5 3 2 3 3 4" xfId="30722" xr:uid="{00000000-0005-0000-0000-00008C200000}"/>
    <cellStyle name="Comma 5 5 3 2 3 4" xfId="8457" xr:uid="{00000000-0005-0000-0000-00008D200000}"/>
    <cellStyle name="Comma 5 5 3 2 3 4 2" xfId="20901" xr:uid="{00000000-0005-0000-0000-00008E200000}"/>
    <cellStyle name="Comma 5 5 3 2 3 4 2 2" xfId="45775" xr:uid="{00000000-0005-0000-0000-00008F200000}"/>
    <cellStyle name="Comma 5 5 3 2 3 4 3" xfId="33342" xr:uid="{00000000-0005-0000-0000-000090200000}"/>
    <cellStyle name="Comma 5 5 3 2 3 5" xfId="12299" xr:uid="{00000000-0005-0000-0000-000091200000}"/>
    <cellStyle name="Comma 5 5 3 2 3 5 2" xfId="24733" xr:uid="{00000000-0005-0000-0000-000092200000}"/>
    <cellStyle name="Comma 5 5 3 2 3 5 2 2" xfId="49607" xr:uid="{00000000-0005-0000-0000-000093200000}"/>
    <cellStyle name="Comma 5 5 3 2 3 5 3" xfId="37174" xr:uid="{00000000-0005-0000-0000-000094200000}"/>
    <cellStyle name="Comma 5 5 3 2 3 6" xfId="7644" xr:uid="{00000000-0005-0000-0000-000095200000}"/>
    <cellStyle name="Comma 5 5 3 2 3 6 2" xfId="20092" xr:uid="{00000000-0005-0000-0000-000096200000}"/>
    <cellStyle name="Comma 5 5 3 2 3 6 2 2" xfId="44966" xr:uid="{00000000-0005-0000-0000-000097200000}"/>
    <cellStyle name="Comma 5 5 3 2 3 6 3" xfId="32533" xr:uid="{00000000-0005-0000-0000-000098200000}"/>
    <cellStyle name="Comma 5 5 3 2 3 7" xfId="3388" xr:uid="{00000000-0005-0000-0000-000099200000}"/>
    <cellStyle name="Comma 5 5 3 2 3 7 2" xfId="15894" xr:uid="{00000000-0005-0000-0000-00009A200000}"/>
    <cellStyle name="Comma 5 5 3 2 3 7 2 2" xfId="40768" xr:uid="{00000000-0005-0000-0000-00009B200000}"/>
    <cellStyle name="Comma 5 5 3 2 3 7 3" xfId="28327" xr:uid="{00000000-0005-0000-0000-00009C200000}"/>
    <cellStyle name="Comma 5 5 3 2 3 8" xfId="14484" xr:uid="{00000000-0005-0000-0000-00009D200000}"/>
    <cellStyle name="Comma 5 5 3 2 3 8 2" xfId="39358" xr:uid="{00000000-0005-0000-0000-00009E200000}"/>
    <cellStyle name="Comma 5 5 3 2 3 9" xfId="26917" xr:uid="{00000000-0005-0000-0000-00009F200000}"/>
    <cellStyle name="Comma 5 5 3 2 4" xfId="2409" xr:uid="{00000000-0005-0000-0000-0000A0200000}"/>
    <cellStyle name="Comma 5 5 3 2 4 2" xfId="6431" xr:uid="{00000000-0005-0000-0000-0000A1200000}"/>
    <cellStyle name="Comma 5 5 3 2 4 2 2" xfId="11446" xr:uid="{00000000-0005-0000-0000-0000A2200000}"/>
    <cellStyle name="Comma 5 5 3 2 4 2 2 2" xfId="23889" xr:uid="{00000000-0005-0000-0000-0000A3200000}"/>
    <cellStyle name="Comma 5 5 3 2 4 2 2 2 2" xfId="48763" xr:uid="{00000000-0005-0000-0000-0000A4200000}"/>
    <cellStyle name="Comma 5 5 3 2 4 2 2 3" xfId="36330" xr:uid="{00000000-0005-0000-0000-0000A5200000}"/>
    <cellStyle name="Comma 5 5 3 2 4 2 3" xfId="18882" xr:uid="{00000000-0005-0000-0000-0000A6200000}"/>
    <cellStyle name="Comma 5 5 3 2 4 2 3 2" xfId="43756" xr:uid="{00000000-0005-0000-0000-0000A7200000}"/>
    <cellStyle name="Comma 5 5 3 2 4 2 4" xfId="31323" xr:uid="{00000000-0005-0000-0000-0000A8200000}"/>
    <cellStyle name="Comma 5 5 3 2 4 3" xfId="12900" xr:uid="{00000000-0005-0000-0000-0000A9200000}"/>
    <cellStyle name="Comma 5 5 3 2 4 3 2" xfId="25334" xr:uid="{00000000-0005-0000-0000-0000AA200000}"/>
    <cellStyle name="Comma 5 5 3 2 4 3 2 2" xfId="50208" xr:uid="{00000000-0005-0000-0000-0000AB200000}"/>
    <cellStyle name="Comma 5 5 3 2 4 3 3" xfId="37775" xr:uid="{00000000-0005-0000-0000-0000AC200000}"/>
    <cellStyle name="Comma 5 5 3 2 4 4" xfId="9341" xr:uid="{00000000-0005-0000-0000-0000AD200000}"/>
    <cellStyle name="Comma 5 5 3 2 4 4 2" xfId="21784" xr:uid="{00000000-0005-0000-0000-0000AE200000}"/>
    <cellStyle name="Comma 5 5 3 2 4 4 2 2" xfId="46658" xr:uid="{00000000-0005-0000-0000-0000AF200000}"/>
    <cellStyle name="Comma 5 5 3 2 4 4 3" xfId="34225" xr:uid="{00000000-0005-0000-0000-0000B0200000}"/>
    <cellStyle name="Comma 5 5 3 2 4 5" xfId="4323" xr:uid="{00000000-0005-0000-0000-0000B1200000}"/>
    <cellStyle name="Comma 5 5 3 2 4 5 2" xfId="16777" xr:uid="{00000000-0005-0000-0000-0000B2200000}"/>
    <cellStyle name="Comma 5 5 3 2 4 5 2 2" xfId="41651" xr:uid="{00000000-0005-0000-0000-0000B3200000}"/>
    <cellStyle name="Comma 5 5 3 2 4 5 3" xfId="29218" xr:uid="{00000000-0005-0000-0000-0000B4200000}"/>
    <cellStyle name="Comma 5 5 3 2 4 6" xfId="15085" xr:uid="{00000000-0005-0000-0000-0000B5200000}"/>
    <cellStyle name="Comma 5 5 3 2 4 6 2" xfId="39959" xr:uid="{00000000-0005-0000-0000-0000B6200000}"/>
    <cellStyle name="Comma 5 5 3 2 4 7" xfId="27518" xr:uid="{00000000-0005-0000-0000-0000B7200000}"/>
    <cellStyle name="Comma 5 5 3 2 5" xfId="1242" xr:uid="{00000000-0005-0000-0000-0000B8200000}"/>
    <cellStyle name="Comma 5 5 3 2 5 2" xfId="10403" xr:uid="{00000000-0005-0000-0000-0000B9200000}"/>
    <cellStyle name="Comma 5 5 3 2 5 2 2" xfId="22846" xr:uid="{00000000-0005-0000-0000-0000BA200000}"/>
    <cellStyle name="Comma 5 5 3 2 5 2 2 2" xfId="47720" xr:uid="{00000000-0005-0000-0000-0000BB200000}"/>
    <cellStyle name="Comma 5 5 3 2 5 2 3" xfId="35287" xr:uid="{00000000-0005-0000-0000-0000BC200000}"/>
    <cellStyle name="Comma 5 5 3 2 5 3" xfId="5387" xr:uid="{00000000-0005-0000-0000-0000BD200000}"/>
    <cellStyle name="Comma 5 5 3 2 5 3 2" xfId="17839" xr:uid="{00000000-0005-0000-0000-0000BE200000}"/>
    <cellStyle name="Comma 5 5 3 2 5 3 2 2" xfId="42713" xr:uid="{00000000-0005-0000-0000-0000BF200000}"/>
    <cellStyle name="Comma 5 5 3 2 5 3 3" xfId="30280" xr:uid="{00000000-0005-0000-0000-0000C0200000}"/>
    <cellStyle name="Comma 5 5 3 2 5 4" xfId="14042" xr:uid="{00000000-0005-0000-0000-0000C1200000}"/>
    <cellStyle name="Comma 5 5 3 2 5 4 2" xfId="38916" xr:uid="{00000000-0005-0000-0000-0000C2200000}"/>
    <cellStyle name="Comma 5 5 3 2 5 5" xfId="26475" xr:uid="{00000000-0005-0000-0000-0000C3200000}"/>
    <cellStyle name="Comma 5 5 3 2 6" xfId="7964" xr:uid="{00000000-0005-0000-0000-0000C4200000}"/>
    <cellStyle name="Comma 5 5 3 2 6 2" xfId="20410" xr:uid="{00000000-0005-0000-0000-0000C5200000}"/>
    <cellStyle name="Comma 5 5 3 2 6 2 2" xfId="45284" xr:uid="{00000000-0005-0000-0000-0000C6200000}"/>
    <cellStyle name="Comma 5 5 3 2 6 3" xfId="32851" xr:uid="{00000000-0005-0000-0000-0000C7200000}"/>
    <cellStyle name="Comma 5 5 3 2 7" xfId="11857" xr:uid="{00000000-0005-0000-0000-0000C8200000}"/>
    <cellStyle name="Comma 5 5 3 2 7 2" xfId="24291" xr:uid="{00000000-0005-0000-0000-0000C9200000}"/>
    <cellStyle name="Comma 5 5 3 2 7 2 2" xfId="49165" xr:uid="{00000000-0005-0000-0000-0000CA200000}"/>
    <cellStyle name="Comma 5 5 3 2 7 3" xfId="36732" xr:uid="{00000000-0005-0000-0000-0000CB200000}"/>
    <cellStyle name="Comma 5 5 3 2 8" xfId="6934" xr:uid="{00000000-0005-0000-0000-0000CC200000}"/>
    <cellStyle name="Comma 5 5 3 2 8 2" xfId="19383" xr:uid="{00000000-0005-0000-0000-0000CD200000}"/>
    <cellStyle name="Comma 5 5 3 2 8 2 2" xfId="44257" xr:uid="{00000000-0005-0000-0000-0000CE200000}"/>
    <cellStyle name="Comma 5 5 3 2 8 3" xfId="31824" xr:uid="{00000000-0005-0000-0000-0000CF200000}"/>
    <cellStyle name="Comma 5 5 3 2 9" xfId="2885" xr:uid="{00000000-0005-0000-0000-0000D0200000}"/>
    <cellStyle name="Comma 5 5 3 2 9 2" xfId="15403" xr:uid="{00000000-0005-0000-0000-0000D1200000}"/>
    <cellStyle name="Comma 5 5 3 2 9 2 2" xfId="40277" xr:uid="{00000000-0005-0000-0000-0000D2200000}"/>
    <cellStyle name="Comma 5 5 3 2 9 3" xfId="27836" xr:uid="{00000000-0005-0000-0000-0000D3200000}"/>
    <cellStyle name="Comma 5 5 3 3" xfId="642" xr:uid="{00000000-0005-0000-0000-0000D4200000}"/>
    <cellStyle name="Comma 5 5 3 3 2" xfId="1335" xr:uid="{00000000-0005-0000-0000-0000D5200000}"/>
    <cellStyle name="Comma 5 5 3 3 2 2" xfId="9136" xr:uid="{00000000-0005-0000-0000-0000D6200000}"/>
    <cellStyle name="Comma 5 5 3 3 2 2 2" xfId="21579" xr:uid="{00000000-0005-0000-0000-0000D7200000}"/>
    <cellStyle name="Comma 5 5 3 3 2 2 2 2" xfId="46453" xr:uid="{00000000-0005-0000-0000-0000D8200000}"/>
    <cellStyle name="Comma 5 5 3 3 2 2 3" xfId="34020" xr:uid="{00000000-0005-0000-0000-0000D9200000}"/>
    <cellStyle name="Comma 5 5 3 3 2 3" xfId="4118" xr:uid="{00000000-0005-0000-0000-0000DA200000}"/>
    <cellStyle name="Comma 5 5 3 3 2 3 2" xfId="16572" xr:uid="{00000000-0005-0000-0000-0000DB200000}"/>
    <cellStyle name="Comma 5 5 3 3 2 3 2 2" xfId="41446" xr:uid="{00000000-0005-0000-0000-0000DC200000}"/>
    <cellStyle name="Comma 5 5 3 3 2 3 3" xfId="29013" xr:uid="{00000000-0005-0000-0000-0000DD200000}"/>
    <cellStyle name="Comma 5 5 3 3 2 4" xfId="14135" xr:uid="{00000000-0005-0000-0000-0000DE200000}"/>
    <cellStyle name="Comma 5 5 3 3 2 4 2" xfId="39009" xr:uid="{00000000-0005-0000-0000-0000DF200000}"/>
    <cellStyle name="Comma 5 5 3 3 2 5" xfId="26568" xr:uid="{00000000-0005-0000-0000-0000E0200000}"/>
    <cellStyle name="Comma 5 5 3 3 3" xfId="5480" xr:uid="{00000000-0005-0000-0000-0000E1200000}"/>
    <cellStyle name="Comma 5 5 3 3 3 2" xfId="10496" xr:uid="{00000000-0005-0000-0000-0000E2200000}"/>
    <cellStyle name="Comma 5 5 3 3 3 2 2" xfId="22939" xr:uid="{00000000-0005-0000-0000-0000E3200000}"/>
    <cellStyle name="Comma 5 5 3 3 3 2 2 2" xfId="47813" xr:uid="{00000000-0005-0000-0000-0000E4200000}"/>
    <cellStyle name="Comma 5 5 3 3 3 2 3" xfId="35380" xr:uid="{00000000-0005-0000-0000-0000E5200000}"/>
    <cellStyle name="Comma 5 5 3 3 3 3" xfId="17932" xr:uid="{00000000-0005-0000-0000-0000E6200000}"/>
    <cellStyle name="Comma 5 5 3 3 3 3 2" xfId="42806" xr:uid="{00000000-0005-0000-0000-0000E7200000}"/>
    <cellStyle name="Comma 5 5 3 3 3 4" xfId="30373" xr:uid="{00000000-0005-0000-0000-0000E8200000}"/>
    <cellStyle name="Comma 5 5 3 3 4" xfId="8252" xr:uid="{00000000-0005-0000-0000-0000E9200000}"/>
    <cellStyle name="Comma 5 5 3 3 4 2" xfId="20696" xr:uid="{00000000-0005-0000-0000-0000EA200000}"/>
    <cellStyle name="Comma 5 5 3 3 4 2 2" xfId="45570" xr:uid="{00000000-0005-0000-0000-0000EB200000}"/>
    <cellStyle name="Comma 5 5 3 3 4 3" xfId="33137" xr:uid="{00000000-0005-0000-0000-0000EC200000}"/>
    <cellStyle name="Comma 5 5 3 3 5" xfId="11950" xr:uid="{00000000-0005-0000-0000-0000ED200000}"/>
    <cellStyle name="Comma 5 5 3 3 5 2" xfId="24384" xr:uid="{00000000-0005-0000-0000-0000EE200000}"/>
    <cellStyle name="Comma 5 5 3 3 5 2 2" xfId="49258" xr:uid="{00000000-0005-0000-0000-0000EF200000}"/>
    <cellStyle name="Comma 5 5 3 3 5 3" xfId="36825" xr:uid="{00000000-0005-0000-0000-0000F0200000}"/>
    <cellStyle name="Comma 5 5 3 3 6" xfId="6729" xr:uid="{00000000-0005-0000-0000-0000F1200000}"/>
    <cellStyle name="Comma 5 5 3 3 6 2" xfId="19178" xr:uid="{00000000-0005-0000-0000-0000F2200000}"/>
    <cellStyle name="Comma 5 5 3 3 6 2 2" xfId="44052" xr:uid="{00000000-0005-0000-0000-0000F3200000}"/>
    <cellStyle name="Comma 5 5 3 3 6 3" xfId="31619" xr:uid="{00000000-0005-0000-0000-0000F4200000}"/>
    <cellStyle name="Comma 5 5 3 3 7" xfId="3183" xr:uid="{00000000-0005-0000-0000-0000F5200000}"/>
    <cellStyle name="Comma 5 5 3 3 7 2" xfId="15689" xr:uid="{00000000-0005-0000-0000-0000F6200000}"/>
    <cellStyle name="Comma 5 5 3 3 7 2 2" xfId="40563" xr:uid="{00000000-0005-0000-0000-0000F7200000}"/>
    <cellStyle name="Comma 5 5 3 3 7 3" xfId="28122" xr:uid="{00000000-0005-0000-0000-0000F8200000}"/>
    <cellStyle name="Comma 5 5 3 3 8" xfId="13446" xr:uid="{00000000-0005-0000-0000-0000F9200000}"/>
    <cellStyle name="Comma 5 5 3 3 8 2" xfId="38320" xr:uid="{00000000-0005-0000-0000-0000FA200000}"/>
    <cellStyle name="Comma 5 5 3 3 9" xfId="25879" xr:uid="{00000000-0005-0000-0000-0000FB200000}"/>
    <cellStyle name="Comma 5 5 3 4" xfId="1683" xr:uid="{00000000-0005-0000-0000-0000FC200000}"/>
    <cellStyle name="Comma 5 5 3 4 2" xfId="4421" xr:uid="{00000000-0005-0000-0000-0000FD200000}"/>
    <cellStyle name="Comma 5 5 3 4 2 2" xfId="9439" xr:uid="{00000000-0005-0000-0000-0000FE200000}"/>
    <cellStyle name="Comma 5 5 3 4 2 2 2" xfId="21882" xr:uid="{00000000-0005-0000-0000-0000FF200000}"/>
    <cellStyle name="Comma 5 5 3 4 2 2 2 2" xfId="46756" xr:uid="{00000000-0005-0000-0000-000000210000}"/>
    <cellStyle name="Comma 5 5 3 4 2 2 3" xfId="34323" xr:uid="{00000000-0005-0000-0000-000001210000}"/>
    <cellStyle name="Comma 5 5 3 4 2 3" xfId="16875" xr:uid="{00000000-0005-0000-0000-000002210000}"/>
    <cellStyle name="Comma 5 5 3 4 2 3 2" xfId="41749" xr:uid="{00000000-0005-0000-0000-000003210000}"/>
    <cellStyle name="Comma 5 5 3 4 2 4" xfId="29316" xr:uid="{00000000-0005-0000-0000-000004210000}"/>
    <cellStyle name="Comma 5 5 3 4 3" xfId="5829" xr:uid="{00000000-0005-0000-0000-000005210000}"/>
    <cellStyle name="Comma 5 5 3 4 3 2" xfId="10844" xr:uid="{00000000-0005-0000-0000-000006210000}"/>
    <cellStyle name="Comma 5 5 3 4 3 2 2" xfId="23287" xr:uid="{00000000-0005-0000-0000-000007210000}"/>
    <cellStyle name="Comma 5 5 3 4 3 2 2 2" xfId="48161" xr:uid="{00000000-0005-0000-0000-000008210000}"/>
    <cellStyle name="Comma 5 5 3 4 3 2 3" xfId="35728" xr:uid="{00000000-0005-0000-0000-000009210000}"/>
    <cellStyle name="Comma 5 5 3 4 3 3" xfId="18280" xr:uid="{00000000-0005-0000-0000-00000A210000}"/>
    <cellStyle name="Comma 5 5 3 4 3 3 2" xfId="43154" xr:uid="{00000000-0005-0000-0000-00000B210000}"/>
    <cellStyle name="Comma 5 5 3 4 3 4" xfId="30721" xr:uid="{00000000-0005-0000-0000-00000C210000}"/>
    <cellStyle name="Comma 5 5 3 4 4" xfId="8555" xr:uid="{00000000-0005-0000-0000-00000D210000}"/>
    <cellStyle name="Comma 5 5 3 4 4 2" xfId="20999" xr:uid="{00000000-0005-0000-0000-00000E210000}"/>
    <cellStyle name="Comma 5 5 3 4 4 2 2" xfId="45873" xr:uid="{00000000-0005-0000-0000-00000F210000}"/>
    <cellStyle name="Comma 5 5 3 4 4 3" xfId="33440" xr:uid="{00000000-0005-0000-0000-000010210000}"/>
    <cellStyle name="Comma 5 5 3 4 5" xfId="12298" xr:uid="{00000000-0005-0000-0000-000011210000}"/>
    <cellStyle name="Comma 5 5 3 4 5 2" xfId="24732" xr:uid="{00000000-0005-0000-0000-000012210000}"/>
    <cellStyle name="Comma 5 5 3 4 5 2 2" xfId="49606" xr:uid="{00000000-0005-0000-0000-000013210000}"/>
    <cellStyle name="Comma 5 5 3 4 5 3" xfId="37173" xr:uid="{00000000-0005-0000-0000-000014210000}"/>
    <cellStyle name="Comma 5 5 3 4 6" xfId="7032" xr:uid="{00000000-0005-0000-0000-000015210000}"/>
    <cellStyle name="Comma 5 5 3 4 6 2" xfId="19481" xr:uid="{00000000-0005-0000-0000-000016210000}"/>
    <cellStyle name="Comma 5 5 3 4 6 2 2" xfId="44355" xr:uid="{00000000-0005-0000-0000-000017210000}"/>
    <cellStyle name="Comma 5 5 3 4 6 3" xfId="31922" xr:uid="{00000000-0005-0000-0000-000018210000}"/>
    <cellStyle name="Comma 5 5 3 4 7" xfId="3486" xr:uid="{00000000-0005-0000-0000-000019210000}"/>
    <cellStyle name="Comma 5 5 3 4 7 2" xfId="15992" xr:uid="{00000000-0005-0000-0000-00001A210000}"/>
    <cellStyle name="Comma 5 5 3 4 7 2 2" xfId="40866" xr:uid="{00000000-0005-0000-0000-00001B210000}"/>
    <cellStyle name="Comma 5 5 3 4 7 3" xfId="28425" xr:uid="{00000000-0005-0000-0000-00001C210000}"/>
    <cellStyle name="Comma 5 5 3 4 8" xfId="14483" xr:uid="{00000000-0005-0000-0000-00001D210000}"/>
    <cellStyle name="Comma 5 5 3 4 8 2" xfId="39357" xr:uid="{00000000-0005-0000-0000-00001E210000}"/>
    <cellStyle name="Comma 5 5 3 4 9" xfId="26916" xr:uid="{00000000-0005-0000-0000-00001F210000}"/>
    <cellStyle name="Comma 5 5 3 5" xfId="2198" xr:uid="{00000000-0005-0000-0000-000020210000}"/>
    <cellStyle name="Comma 5 5 3 5 2" xfId="4828" xr:uid="{00000000-0005-0000-0000-000021210000}"/>
    <cellStyle name="Comma 5 5 3 5 2 2" xfId="9845" xr:uid="{00000000-0005-0000-0000-000022210000}"/>
    <cellStyle name="Comma 5 5 3 5 2 2 2" xfId="22288" xr:uid="{00000000-0005-0000-0000-000023210000}"/>
    <cellStyle name="Comma 5 5 3 5 2 2 2 2" xfId="47162" xr:uid="{00000000-0005-0000-0000-000024210000}"/>
    <cellStyle name="Comma 5 5 3 5 2 2 3" xfId="34729" xr:uid="{00000000-0005-0000-0000-000025210000}"/>
    <cellStyle name="Comma 5 5 3 5 2 3" xfId="17281" xr:uid="{00000000-0005-0000-0000-000026210000}"/>
    <cellStyle name="Comma 5 5 3 5 2 3 2" xfId="42155" xr:uid="{00000000-0005-0000-0000-000027210000}"/>
    <cellStyle name="Comma 5 5 3 5 2 4" xfId="29722" xr:uid="{00000000-0005-0000-0000-000028210000}"/>
    <cellStyle name="Comma 5 5 3 5 3" xfId="6226" xr:uid="{00000000-0005-0000-0000-000029210000}"/>
    <cellStyle name="Comma 5 5 3 5 3 2" xfId="11241" xr:uid="{00000000-0005-0000-0000-00002A210000}"/>
    <cellStyle name="Comma 5 5 3 5 3 2 2" xfId="23684" xr:uid="{00000000-0005-0000-0000-00002B210000}"/>
    <cellStyle name="Comma 5 5 3 5 3 2 2 2" xfId="48558" xr:uid="{00000000-0005-0000-0000-00002C210000}"/>
    <cellStyle name="Comma 5 5 3 5 3 2 3" xfId="36125" xr:uid="{00000000-0005-0000-0000-00002D210000}"/>
    <cellStyle name="Comma 5 5 3 5 3 3" xfId="18677" xr:uid="{00000000-0005-0000-0000-00002E210000}"/>
    <cellStyle name="Comma 5 5 3 5 3 3 2" xfId="43551" xr:uid="{00000000-0005-0000-0000-00002F210000}"/>
    <cellStyle name="Comma 5 5 3 5 3 4" xfId="31118" xr:uid="{00000000-0005-0000-0000-000030210000}"/>
    <cellStyle name="Comma 5 5 3 5 4" xfId="8138" xr:uid="{00000000-0005-0000-0000-000031210000}"/>
    <cellStyle name="Comma 5 5 3 5 4 2" xfId="20584" xr:uid="{00000000-0005-0000-0000-000032210000}"/>
    <cellStyle name="Comma 5 5 3 5 4 2 2" xfId="45458" xr:uid="{00000000-0005-0000-0000-000033210000}"/>
    <cellStyle name="Comma 5 5 3 5 4 3" xfId="33025" xr:uid="{00000000-0005-0000-0000-000034210000}"/>
    <cellStyle name="Comma 5 5 3 5 5" xfId="12695" xr:uid="{00000000-0005-0000-0000-000035210000}"/>
    <cellStyle name="Comma 5 5 3 5 5 2" xfId="25129" xr:uid="{00000000-0005-0000-0000-000036210000}"/>
    <cellStyle name="Comma 5 5 3 5 5 2 2" xfId="50003" xr:uid="{00000000-0005-0000-0000-000037210000}"/>
    <cellStyle name="Comma 5 5 3 5 5 3" xfId="37570" xr:uid="{00000000-0005-0000-0000-000038210000}"/>
    <cellStyle name="Comma 5 5 3 5 6" xfId="7439" xr:uid="{00000000-0005-0000-0000-000039210000}"/>
    <cellStyle name="Comma 5 5 3 5 6 2" xfId="19887" xr:uid="{00000000-0005-0000-0000-00003A210000}"/>
    <cellStyle name="Comma 5 5 3 5 6 2 2" xfId="44761" xr:uid="{00000000-0005-0000-0000-00003B210000}"/>
    <cellStyle name="Comma 5 5 3 5 6 3" xfId="32328" xr:uid="{00000000-0005-0000-0000-00003C210000}"/>
    <cellStyle name="Comma 5 5 3 5 7" xfId="3068" xr:uid="{00000000-0005-0000-0000-00003D210000}"/>
    <cellStyle name="Comma 5 5 3 5 7 2" xfId="15577" xr:uid="{00000000-0005-0000-0000-00003E210000}"/>
    <cellStyle name="Comma 5 5 3 5 7 2 2" xfId="40451" xr:uid="{00000000-0005-0000-0000-00003F210000}"/>
    <cellStyle name="Comma 5 5 3 5 7 3" xfId="28010" xr:uid="{00000000-0005-0000-0000-000040210000}"/>
    <cellStyle name="Comma 5 5 3 5 8" xfId="14880" xr:uid="{00000000-0005-0000-0000-000041210000}"/>
    <cellStyle name="Comma 5 5 3 5 8 2" xfId="39754" xr:uid="{00000000-0005-0000-0000-000042210000}"/>
    <cellStyle name="Comma 5 5 3 5 9" xfId="27313" xr:uid="{00000000-0005-0000-0000-000043210000}"/>
    <cellStyle name="Comma 5 5 3 6" xfId="1037" xr:uid="{00000000-0005-0000-0000-000044210000}"/>
    <cellStyle name="Comma 5 5 3 6 2" xfId="9024" xr:uid="{00000000-0005-0000-0000-000045210000}"/>
    <cellStyle name="Comma 5 5 3 6 2 2" xfId="21467" xr:uid="{00000000-0005-0000-0000-000046210000}"/>
    <cellStyle name="Comma 5 5 3 6 2 2 2" xfId="46341" xr:uid="{00000000-0005-0000-0000-000047210000}"/>
    <cellStyle name="Comma 5 5 3 6 2 3" xfId="33908" xr:uid="{00000000-0005-0000-0000-000048210000}"/>
    <cellStyle name="Comma 5 5 3 6 3" xfId="4006" xr:uid="{00000000-0005-0000-0000-000049210000}"/>
    <cellStyle name="Comma 5 5 3 6 3 2" xfId="16460" xr:uid="{00000000-0005-0000-0000-00004A210000}"/>
    <cellStyle name="Comma 5 5 3 6 3 2 2" xfId="41334" xr:uid="{00000000-0005-0000-0000-00004B210000}"/>
    <cellStyle name="Comma 5 5 3 6 3 3" xfId="28901" xr:uid="{00000000-0005-0000-0000-00004C210000}"/>
    <cellStyle name="Comma 5 5 3 6 4" xfId="13837" xr:uid="{00000000-0005-0000-0000-00004D210000}"/>
    <cellStyle name="Comma 5 5 3 6 4 2" xfId="38711" xr:uid="{00000000-0005-0000-0000-00004E210000}"/>
    <cellStyle name="Comma 5 5 3 6 5" xfId="26270" xr:uid="{00000000-0005-0000-0000-00004F210000}"/>
    <cellStyle name="Comma 5 5 3 7" xfId="5182" xr:uid="{00000000-0005-0000-0000-000050210000}"/>
    <cellStyle name="Comma 5 5 3 7 2" xfId="10198" xr:uid="{00000000-0005-0000-0000-000051210000}"/>
    <cellStyle name="Comma 5 5 3 7 2 2" xfId="22641" xr:uid="{00000000-0005-0000-0000-000052210000}"/>
    <cellStyle name="Comma 5 5 3 7 2 2 2" xfId="47515" xr:uid="{00000000-0005-0000-0000-000053210000}"/>
    <cellStyle name="Comma 5 5 3 7 2 3" xfId="35082" xr:uid="{00000000-0005-0000-0000-000054210000}"/>
    <cellStyle name="Comma 5 5 3 7 3" xfId="17634" xr:uid="{00000000-0005-0000-0000-000055210000}"/>
    <cellStyle name="Comma 5 5 3 7 3 2" xfId="42508" xr:uid="{00000000-0005-0000-0000-000056210000}"/>
    <cellStyle name="Comma 5 5 3 7 4" xfId="30075" xr:uid="{00000000-0005-0000-0000-000057210000}"/>
    <cellStyle name="Comma 5 5 3 8" xfId="7759" xr:uid="{00000000-0005-0000-0000-000058210000}"/>
    <cellStyle name="Comma 5 5 3 8 2" xfId="20205" xr:uid="{00000000-0005-0000-0000-000059210000}"/>
    <cellStyle name="Comma 5 5 3 8 2 2" xfId="45079" xr:uid="{00000000-0005-0000-0000-00005A210000}"/>
    <cellStyle name="Comma 5 5 3 8 3" xfId="32646" xr:uid="{00000000-0005-0000-0000-00005B210000}"/>
    <cellStyle name="Comma 5 5 3 9" xfId="11652" xr:uid="{00000000-0005-0000-0000-00005C210000}"/>
    <cellStyle name="Comma 5 5 3 9 2" xfId="24086" xr:uid="{00000000-0005-0000-0000-00005D210000}"/>
    <cellStyle name="Comma 5 5 3 9 2 2" xfId="48960" xr:uid="{00000000-0005-0000-0000-00005E210000}"/>
    <cellStyle name="Comma 5 5 3 9 3" xfId="36527" xr:uid="{00000000-0005-0000-0000-00005F210000}"/>
    <cellStyle name="Comma 5 5 4" xfId="383" xr:uid="{00000000-0005-0000-0000-000060210000}"/>
    <cellStyle name="Comma 5 5 4 10" xfId="13199" xr:uid="{00000000-0005-0000-0000-000061210000}"/>
    <cellStyle name="Comma 5 5 4 10 2" xfId="38073" xr:uid="{00000000-0005-0000-0000-000062210000}"/>
    <cellStyle name="Comma 5 5 4 11" xfId="25632" xr:uid="{00000000-0005-0000-0000-000063210000}"/>
    <cellStyle name="Comma 5 5 4 2" xfId="743" xr:uid="{00000000-0005-0000-0000-000064210000}"/>
    <cellStyle name="Comma 5 5 4 2 2" xfId="1337" xr:uid="{00000000-0005-0000-0000-000065210000}"/>
    <cellStyle name="Comma 5 5 4 2 2 2" xfId="9441" xr:uid="{00000000-0005-0000-0000-000066210000}"/>
    <cellStyle name="Comma 5 5 4 2 2 2 2" xfId="21884" xr:uid="{00000000-0005-0000-0000-000067210000}"/>
    <cellStyle name="Comma 5 5 4 2 2 2 2 2" xfId="46758" xr:uid="{00000000-0005-0000-0000-000068210000}"/>
    <cellStyle name="Comma 5 5 4 2 2 2 3" xfId="34325" xr:uid="{00000000-0005-0000-0000-000069210000}"/>
    <cellStyle name="Comma 5 5 4 2 2 3" xfId="4423" xr:uid="{00000000-0005-0000-0000-00006A210000}"/>
    <cellStyle name="Comma 5 5 4 2 2 3 2" xfId="16877" xr:uid="{00000000-0005-0000-0000-00006B210000}"/>
    <cellStyle name="Comma 5 5 4 2 2 3 2 2" xfId="41751" xr:uid="{00000000-0005-0000-0000-00006C210000}"/>
    <cellStyle name="Comma 5 5 4 2 2 3 3" xfId="29318" xr:uid="{00000000-0005-0000-0000-00006D210000}"/>
    <cellStyle name="Comma 5 5 4 2 2 4" xfId="14137" xr:uid="{00000000-0005-0000-0000-00006E210000}"/>
    <cellStyle name="Comma 5 5 4 2 2 4 2" xfId="39011" xr:uid="{00000000-0005-0000-0000-00006F210000}"/>
    <cellStyle name="Comma 5 5 4 2 2 5" xfId="26570" xr:uid="{00000000-0005-0000-0000-000070210000}"/>
    <cellStyle name="Comma 5 5 4 2 3" xfId="5482" xr:uid="{00000000-0005-0000-0000-000071210000}"/>
    <cellStyle name="Comma 5 5 4 2 3 2" xfId="10498" xr:uid="{00000000-0005-0000-0000-000072210000}"/>
    <cellStyle name="Comma 5 5 4 2 3 2 2" xfId="22941" xr:uid="{00000000-0005-0000-0000-000073210000}"/>
    <cellStyle name="Comma 5 5 4 2 3 2 2 2" xfId="47815" xr:uid="{00000000-0005-0000-0000-000074210000}"/>
    <cellStyle name="Comma 5 5 4 2 3 2 3" xfId="35382" xr:uid="{00000000-0005-0000-0000-000075210000}"/>
    <cellStyle name="Comma 5 5 4 2 3 3" xfId="17934" xr:uid="{00000000-0005-0000-0000-000076210000}"/>
    <cellStyle name="Comma 5 5 4 2 3 3 2" xfId="42808" xr:uid="{00000000-0005-0000-0000-000077210000}"/>
    <cellStyle name="Comma 5 5 4 2 3 4" xfId="30375" xr:uid="{00000000-0005-0000-0000-000078210000}"/>
    <cellStyle name="Comma 5 5 4 2 4" xfId="8557" xr:uid="{00000000-0005-0000-0000-000079210000}"/>
    <cellStyle name="Comma 5 5 4 2 4 2" xfId="21001" xr:uid="{00000000-0005-0000-0000-00007A210000}"/>
    <cellStyle name="Comma 5 5 4 2 4 2 2" xfId="45875" xr:uid="{00000000-0005-0000-0000-00007B210000}"/>
    <cellStyle name="Comma 5 5 4 2 4 3" xfId="33442" xr:uid="{00000000-0005-0000-0000-00007C210000}"/>
    <cellStyle name="Comma 5 5 4 2 5" xfId="11952" xr:uid="{00000000-0005-0000-0000-00007D210000}"/>
    <cellStyle name="Comma 5 5 4 2 5 2" xfId="24386" xr:uid="{00000000-0005-0000-0000-00007E210000}"/>
    <cellStyle name="Comma 5 5 4 2 5 2 2" xfId="49260" xr:uid="{00000000-0005-0000-0000-00007F210000}"/>
    <cellStyle name="Comma 5 5 4 2 5 3" xfId="36827" xr:uid="{00000000-0005-0000-0000-000080210000}"/>
    <cellStyle name="Comma 5 5 4 2 6" xfId="7034" xr:uid="{00000000-0005-0000-0000-000081210000}"/>
    <cellStyle name="Comma 5 5 4 2 6 2" xfId="19483" xr:uid="{00000000-0005-0000-0000-000082210000}"/>
    <cellStyle name="Comma 5 5 4 2 6 2 2" xfId="44357" xr:uid="{00000000-0005-0000-0000-000083210000}"/>
    <cellStyle name="Comma 5 5 4 2 6 3" xfId="31924" xr:uid="{00000000-0005-0000-0000-000084210000}"/>
    <cellStyle name="Comma 5 5 4 2 7" xfId="3488" xr:uid="{00000000-0005-0000-0000-000085210000}"/>
    <cellStyle name="Comma 5 5 4 2 7 2" xfId="15994" xr:uid="{00000000-0005-0000-0000-000086210000}"/>
    <cellStyle name="Comma 5 5 4 2 7 2 2" xfId="40868" xr:uid="{00000000-0005-0000-0000-000087210000}"/>
    <cellStyle name="Comma 5 5 4 2 7 3" xfId="28427" xr:uid="{00000000-0005-0000-0000-000088210000}"/>
    <cellStyle name="Comma 5 5 4 2 8" xfId="13546" xr:uid="{00000000-0005-0000-0000-000089210000}"/>
    <cellStyle name="Comma 5 5 4 2 8 2" xfId="38420" xr:uid="{00000000-0005-0000-0000-00008A210000}"/>
    <cellStyle name="Comma 5 5 4 2 9" xfId="25979" xr:uid="{00000000-0005-0000-0000-00008B210000}"/>
    <cellStyle name="Comma 5 5 4 3" xfId="1685" xr:uid="{00000000-0005-0000-0000-00008C210000}"/>
    <cellStyle name="Comma 5 5 4 3 2" xfId="4928" xr:uid="{00000000-0005-0000-0000-00008D210000}"/>
    <cellStyle name="Comma 5 5 4 3 2 2" xfId="9945" xr:uid="{00000000-0005-0000-0000-00008E210000}"/>
    <cellStyle name="Comma 5 5 4 3 2 2 2" xfId="22388" xr:uid="{00000000-0005-0000-0000-00008F210000}"/>
    <cellStyle name="Comma 5 5 4 3 2 2 2 2" xfId="47262" xr:uid="{00000000-0005-0000-0000-000090210000}"/>
    <cellStyle name="Comma 5 5 4 3 2 2 3" xfId="34829" xr:uid="{00000000-0005-0000-0000-000091210000}"/>
    <cellStyle name="Comma 5 5 4 3 2 3" xfId="17381" xr:uid="{00000000-0005-0000-0000-000092210000}"/>
    <cellStyle name="Comma 5 5 4 3 2 3 2" xfId="42255" xr:uid="{00000000-0005-0000-0000-000093210000}"/>
    <cellStyle name="Comma 5 5 4 3 2 4" xfId="29822" xr:uid="{00000000-0005-0000-0000-000094210000}"/>
    <cellStyle name="Comma 5 5 4 3 3" xfId="5831" xr:uid="{00000000-0005-0000-0000-000095210000}"/>
    <cellStyle name="Comma 5 5 4 3 3 2" xfId="10846" xr:uid="{00000000-0005-0000-0000-000096210000}"/>
    <cellStyle name="Comma 5 5 4 3 3 2 2" xfId="23289" xr:uid="{00000000-0005-0000-0000-000097210000}"/>
    <cellStyle name="Comma 5 5 4 3 3 2 2 2" xfId="48163" xr:uid="{00000000-0005-0000-0000-000098210000}"/>
    <cellStyle name="Comma 5 5 4 3 3 2 3" xfId="35730" xr:uid="{00000000-0005-0000-0000-000099210000}"/>
    <cellStyle name="Comma 5 5 4 3 3 3" xfId="18282" xr:uid="{00000000-0005-0000-0000-00009A210000}"/>
    <cellStyle name="Comma 5 5 4 3 3 3 2" xfId="43156" xr:uid="{00000000-0005-0000-0000-00009B210000}"/>
    <cellStyle name="Comma 5 5 4 3 3 4" xfId="30723" xr:uid="{00000000-0005-0000-0000-00009C210000}"/>
    <cellStyle name="Comma 5 5 4 3 4" xfId="8352" xr:uid="{00000000-0005-0000-0000-00009D210000}"/>
    <cellStyle name="Comma 5 5 4 3 4 2" xfId="20796" xr:uid="{00000000-0005-0000-0000-00009E210000}"/>
    <cellStyle name="Comma 5 5 4 3 4 2 2" xfId="45670" xr:uid="{00000000-0005-0000-0000-00009F210000}"/>
    <cellStyle name="Comma 5 5 4 3 4 3" xfId="33237" xr:uid="{00000000-0005-0000-0000-0000A0210000}"/>
    <cellStyle name="Comma 5 5 4 3 5" xfId="12300" xr:uid="{00000000-0005-0000-0000-0000A1210000}"/>
    <cellStyle name="Comma 5 5 4 3 5 2" xfId="24734" xr:uid="{00000000-0005-0000-0000-0000A2210000}"/>
    <cellStyle name="Comma 5 5 4 3 5 2 2" xfId="49608" xr:uid="{00000000-0005-0000-0000-0000A3210000}"/>
    <cellStyle name="Comma 5 5 4 3 5 3" xfId="37175" xr:uid="{00000000-0005-0000-0000-0000A4210000}"/>
    <cellStyle name="Comma 5 5 4 3 6" xfId="7539" xr:uid="{00000000-0005-0000-0000-0000A5210000}"/>
    <cellStyle name="Comma 5 5 4 3 6 2" xfId="19987" xr:uid="{00000000-0005-0000-0000-0000A6210000}"/>
    <cellStyle name="Comma 5 5 4 3 6 2 2" xfId="44861" xr:uid="{00000000-0005-0000-0000-0000A7210000}"/>
    <cellStyle name="Comma 5 5 4 3 6 3" xfId="32428" xr:uid="{00000000-0005-0000-0000-0000A8210000}"/>
    <cellStyle name="Comma 5 5 4 3 7" xfId="3283" xr:uid="{00000000-0005-0000-0000-0000A9210000}"/>
    <cellStyle name="Comma 5 5 4 3 7 2" xfId="15789" xr:uid="{00000000-0005-0000-0000-0000AA210000}"/>
    <cellStyle name="Comma 5 5 4 3 7 2 2" xfId="40663" xr:uid="{00000000-0005-0000-0000-0000AB210000}"/>
    <cellStyle name="Comma 5 5 4 3 7 3" xfId="28222" xr:uid="{00000000-0005-0000-0000-0000AC210000}"/>
    <cellStyle name="Comma 5 5 4 3 8" xfId="14485" xr:uid="{00000000-0005-0000-0000-0000AD210000}"/>
    <cellStyle name="Comma 5 5 4 3 8 2" xfId="39359" xr:uid="{00000000-0005-0000-0000-0000AE210000}"/>
    <cellStyle name="Comma 5 5 4 3 9" xfId="26918" xr:uid="{00000000-0005-0000-0000-0000AF210000}"/>
    <cellStyle name="Comma 5 5 4 4" xfId="2301" xr:uid="{00000000-0005-0000-0000-0000B0210000}"/>
    <cellStyle name="Comma 5 5 4 4 2" xfId="6326" xr:uid="{00000000-0005-0000-0000-0000B1210000}"/>
    <cellStyle name="Comma 5 5 4 4 2 2" xfId="11341" xr:uid="{00000000-0005-0000-0000-0000B2210000}"/>
    <cellStyle name="Comma 5 5 4 4 2 2 2" xfId="23784" xr:uid="{00000000-0005-0000-0000-0000B3210000}"/>
    <cellStyle name="Comma 5 5 4 4 2 2 2 2" xfId="48658" xr:uid="{00000000-0005-0000-0000-0000B4210000}"/>
    <cellStyle name="Comma 5 5 4 4 2 2 3" xfId="36225" xr:uid="{00000000-0005-0000-0000-0000B5210000}"/>
    <cellStyle name="Comma 5 5 4 4 2 3" xfId="18777" xr:uid="{00000000-0005-0000-0000-0000B6210000}"/>
    <cellStyle name="Comma 5 5 4 4 2 3 2" xfId="43651" xr:uid="{00000000-0005-0000-0000-0000B7210000}"/>
    <cellStyle name="Comma 5 5 4 4 2 4" xfId="31218" xr:uid="{00000000-0005-0000-0000-0000B8210000}"/>
    <cellStyle name="Comma 5 5 4 4 3" xfId="12795" xr:uid="{00000000-0005-0000-0000-0000B9210000}"/>
    <cellStyle name="Comma 5 5 4 4 3 2" xfId="25229" xr:uid="{00000000-0005-0000-0000-0000BA210000}"/>
    <cellStyle name="Comma 5 5 4 4 3 2 2" xfId="50103" xr:uid="{00000000-0005-0000-0000-0000BB210000}"/>
    <cellStyle name="Comma 5 5 4 4 3 3" xfId="37670" xr:uid="{00000000-0005-0000-0000-0000BC210000}"/>
    <cellStyle name="Comma 5 5 4 4 4" xfId="9236" xr:uid="{00000000-0005-0000-0000-0000BD210000}"/>
    <cellStyle name="Comma 5 5 4 4 4 2" xfId="21679" xr:uid="{00000000-0005-0000-0000-0000BE210000}"/>
    <cellStyle name="Comma 5 5 4 4 4 2 2" xfId="46553" xr:uid="{00000000-0005-0000-0000-0000BF210000}"/>
    <cellStyle name="Comma 5 5 4 4 4 3" xfId="34120" xr:uid="{00000000-0005-0000-0000-0000C0210000}"/>
    <cellStyle name="Comma 5 5 4 4 5" xfId="4218" xr:uid="{00000000-0005-0000-0000-0000C1210000}"/>
    <cellStyle name="Comma 5 5 4 4 5 2" xfId="16672" xr:uid="{00000000-0005-0000-0000-0000C2210000}"/>
    <cellStyle name="Comma 5 5 4 4 5 2 2" xfId="41546" xr:uid="{00000000-0005-0000-0000-0000C3210000}"/>
    <cellStyle name="Comma 5 5 4 4 5 3" xfId="29113" xr:uid="{00000000-0005-0000-0000-0000C4210000}"/>
    <cellStyle name="Comma 5 5 4 4 6" xfId="14980" xr:uid="{00000000-0005-0000-0000-0000C5210000}"/>
    <cellStyle name="Comma 5 5 4 4 6 2" xfId="39854" xr:uid="{00000000-0005-0000-0000-0000C6210000}"/>
    <cellStyle name="Comma 5 5 4 4 7" xfId="27413" xr:uid="{00000000-0005-0000-0000-0000C7210000}"/>
    <cellStyle name="Comma 5 5 4 5" xfId="1137" xr:uid="{00000000-0005-0000-0000-0000C8210000}"/>
    <cellStyle name="Comma 5 5 4 5 2" xfId="10298" xr:uid="{00000000-0005-0000-0000-0000C9210000}"/>
    <cellStyle name="Comma 5 5 4 5 2 2" xfId="22741" xr:uid="{00000000-0005-0000-0000-0000CA210000}"/>
    <cellStyle name="Comma 5 5 4 5 2 2 2" xfId="47615" xr:uid="{00000000-0005-0000-0000-0000CB210000}"/>
    <cellStyle name="Comma 5 5 4 5 2 3" xfId="35182" xr:uid="{00000000-0005-0000-0000-0000CC210000}"/>
    <cellStyle name="Comma 5 5 4 5 3" xfId="5282" xr:uid="{00000000-0005-0000-0000-0000CD210000}"/>
    <cellStyle name="Comma 5 5 4 5 3 2" xfId="17734" xr:uid="{00000000-0005-0000-0000-0000CE210000}"/>
    <cellStyle name="Comma 5 5 4 5 3 2 2" xfId="42608" xr:uid="{00000000-0005-0000-0000-0000CF210000}"/>
    <cellStyle name="Comma 5 5 4 5 3 3" xfId="30175" xr:uid="{00000000-0005-0000-0000-0000D0210000}"/>
    <cellStyle name="Comma 5 5 4 5 4" xfId="13937" xr:uid="{00000000-0005-0000-0000-0000D1210000}"/>
    <cellStyle name="Comma 5 5 4 5 4 2" xfId="38811" xr:uid="{00000000-0005-0000-0000-0000D2210000}"/>
    <cellStyle name="Comma 5 5 4 5 5" xfId="26370" xr:uid="{00000000-0005-0000-0000-0000D3210000}"/>
    <cellStyle name="Comma 5 5 4 6" xfId="7859" xr:uid="{00000000-0005-0000-0000-0000D4210000}"/>
    <cellStyle name="Comma 5 5 4 6 2" xfId="20305" xr:uid="{00000000-0005-0000-0000-0000D5210000}"/>
    <cellStyle name="Comma 5 5 4 6 2 2" xfId="45179" xr:uid="{00000000-0005-0000-0000-0000D6210000}"/>
    <cellStyle name="Comma 5 5 4 6 3" xfId="32746" xr:uid="{00000000-0005-0000-0000-0000D7210000}"/>
    <cellStyle name="Comma 5 5 4 7" xfId="11752" xr:uid="{00000000-0005-0000-0000-0000D8210000}"/>
    <cellStyle name="Comma 5 5 4 7 2" xfId="24186" xr:uid="{00000000-0005-0000-0000-0000D9210000}"/>
    <cellStyle name="Comma 5 5 4 7 2 2" xfId="49060" xr:uid="{00000000-0005-0000-0000-0000DA210000}"/>
    <cellStyle name="Comma 5 5 4 7 3" xfId="36627" xr:uid="{00000000-0005-0000-0000-0000DB210000}"/>
    <cellStyle name="Comma 5 5 4 8" xfId="6829" xr:uid="{00000000-0005-0000-0000-0000DC210000}"/>
    <cellStyle name="Comma 5 5 4 8 2" xfId="19278" xr:uid="{00000000-0005-0000-0000-0000DD210000}"/>
    <cellStyle name="Comma 5 5 4 8 2 2" xfId="44152" xr:uid="{00000000-0005-0000-0000-0000DE210000}"/>
    <cellStyle name="Comma 5 5 4 8 3" xfId="31719" xr:uid="{00000000-0005-0000-0000-0000DF210000}"/>
    <cellStyle name="Comma 5 5 4 9" xfId="2780" xr:uid="{00000000-0005-0000-0000-0000E0210000}"/>
    <cellStyle name="Comma 5 5 4 9 2" xfId="15298" xr:uid="{00000000-0005-0000-0000-0000E1210000}"/>
    <cellStyle name="Comma 5 5 4 9 2 2" xfId="40172" xr:uid="{00000000-0005-0000-0000-0000E2210000}"/>
    <cellStyle name="Comma 5 5 4 9 3" xfId="27731" xr:uid="{00000000-0005-0000-0000-0000E3210000}"/>
    <cellStyle name="Comma 5 5 5" xfId="212" xr:uid="{00000000-0005-0000-0000-0000E4210000}"/>
    <cellStyle name="Comma 5 5 5 2" xfId="1332" xr:uid="{00000000-0005-0000-0000-0000E5210000}"/>
    <cellStyle name="Comma 5 5 5 2 2" xfId="9077" xr:uid="{00000000-0005-0000-0000-0000E6210000}"/>
    <cellStyle name="Comma 5 5 5 2 2 2" xfId="21520" xr:uid="{00000000-0005-0000-0000-0000E7210000}"/>
    <cellStyle name="Comma 5 5 5 2 2 2 2" xfId="46394" xr:uid="{00000000-0005-0000-0000-0000E8210000}"/>
    <cellStyle name="Comma 5 5 5 2 2 3" xfId="33961" xr:uid="{00000000-0005-0000-0000-0000E9210000}"/>
    <cellStyle name="Comma 5 5 5 2 3" xfId="4059" xr:uid="{00000000-0005-0000-0000-0000EA210000}"/>
    <cellStyle name="Comma 5 5 5 2 3 2" xfId="16513" xr:uid="{00000000-0005-0000-0000-0000EB210000}"/>
    <cellStyle name="Comma 5 5 5 2 3 2 2" xfId="41387" xr:uid="{00000000-0005-0000-0000-0000EC210000}"/>
    <cellStyle name="Comma 5 5 5 2 3 3" xfId="28954" xr:uid="{00000000-0005-0000-0000-0000ED210000}"/>
    <cellStyle name="Comma 5 5 5 2 4" xfId="14132" xr:uid="{00000000-0005-0000-0000-0000EE210000}"/>
    <cellStyle name="Comma 5 5 5 2 4 2" xfId="39006" xr:uid="{00000000-0005-0000-0000-0000EF210000}"/>
    <cellStyle name="Comma 5 5 5 2 5" xfId="26565" xr:uid="{00000000-0005-0000-0000-0000F0210000}"/>
    <cellStyle name="Comma 5 5 5 3" xfId="5477" xr:uid="{00000000-0005-0000-0000-0000F1210000}"/>
    <cellStyle name="Comma 5 5 5 3 2" xfId="10493" xr:uid="{00000000-0005-0000-0000-0000F2210000}"/>
    <cellStyle name="Comma 5 5 5 3 2 2" xfId="22936" xr:uid="{00000000-0005-0000-0000-0000F3210000}"/>
    <cellStyle name="Comma 5 5 5 3 2 2 2" xfId="47810" xr:uid="{00000000-0005-0000-0000-0000F4210000}"/>
    <cellStyle name="Comma 5 5 5 3 2 3" xfId="35377" xr:uid="{00000000-0005-0000-0000-0000F5210000}"/>
    <cellStyle name="Comma 5 5 5 3 3" xfId="17929" xr:uid="{00000000-0005-0000-0000-0000F6210000}"/>
    <cellStyle name="Comma 5 5 5 3 3 2" xfId="42803" xr:uid="{00000000-0005-0000-0000-0000F7210000}"/>
    <cellStyle name="Comma 5 5 5 3 4" xfId="30370" xr:uid="{00000000-0005-0000-0000-0000F8210000}"/>
    <cellStyle name="Comma 5 5 5 4" xfId="8193" xr:uid="{00000000-0005-0000-0000-0000F9210000}"/>
    <cellStyle name="Comma 5 5 5 4 2" xfId="20637" xr:uid="{00000000-0005-0000-0000-0000FA210000}"/>
    <cellStyle name="Comma 5 5 5 4 2 2" xfId="45511" xr:uid="{00000000-0005-0000-0000-0000FB210000}"/>
    <cellStyle name="Comma 5 5 5 4 3" xfId="33078" xr:uid="{00000000-0005-0000-0000-0000FC210000}"/>
    <cellStyle name="Comma 5 5 5 5" xfId="11947" xr:uid="{00000000-0005-0000-0000-0000FD210000}"/>
    <cellStyle name="Comma 5 5 5 5 2" xfId="24381" xr:uid="{00000000-0005-0000-0000-0000FE210000}"/>
    <cellStyle name="Comma 5 5 5 5 2 2" xfId="49255" xr:uid="{00000000-0005-0000-0000-0000FF210000}"/>
    <cellStyle name="Comma 5 5 5 5 3" xfId="36822" xr:uid="{00000000-0005-0000-0000-000000220000}"/>
    <cellStyle name="Comma 5 5 5 6" xfId="6670" xr:uid="{00000000-0005-0000-0000-000001220000}"/>
    <cellStyle name="Comma 5 5 5 6 2" xfId="19119" xr:uid="{00000000-0005-0000-0000-000002220000}"/>
    <cellStyle name="Comma 5 5 5 6 2 2" xfId="43993" xr:uid="{00000000-0005-0000-0000-000003220000}"/>
    <cellStyle name="Comma 5 5 5 6 3" xfId="31560" xr:uid="{00000000-0005-0000-0000-000004220000}"/>
    <cellStyle name="Comma 5 5 5 7" xfId="3124" xr:uid="{00000000-0005-0000-0000-000005220000}"/>
    <cellStyle name="Comma 5 5 5 7 2" xfId="15630" xr:uid="{00000000-0005-0000-0000-000006220000}"/>
    <cellStyle name="Comma 5 5 5 7 2 2" xfId="40504" xr:uid="{00000000-0005-0000-0000-000007220000}"/>
    <cellStyle name="Comma 5 5 5 7 3" xfId="28063" xr:uid="{00000000-0005-0000-0000-000008220000}"/>
    <cellStyle name="Comma 5 5 5 8" xfId="13040" xr:uid="{00000000-0005-0000-0000-000009220000}"/>
    <cellStyle name="Comma 5 5 5 8 2" xfId="37914" xr:uid="{00000000-0005-0000-0000-00000A220000}"/>
    <cellStyle name="Comma 5 5 5 9" xfId="25473" xr:uid="{00000000-0005-0000-0000-00000B220000}"/>
    <cellStyle name="Comma 5 5 6" xfId="578" xr:uid="{00000000-0005-0000-0000-00000C220000}"/>
    <cellStyle name="Comma 5 5 6 2" xfId="1680" xr:uid="{00000000-0005-0000-0000-00000D220000}"/>
    <cellStyle name="Comma 5 5 6 2 2" xfId="9436" xr:uid="{00000000-0005-0000-0000-00000E220000}"/>
    <cellStyle name="Comma 5 5 6 2 2 2" xfId="21879" xr:uid="{00000000-0005-0000-0000-00000F220000}"/>
    <cellStyle name="Comma 5 5 6 2 2 2 2" xfId="46753" xr:uid="{00000000-0005-0000-0000-000010220000}"/>
    <cellStyle name="Comma 5 5 6 2 2 3" xfId="34320" xr:uid="{00000000-0005-0000-0000-000011220000}"/>
    <cellStyle name="Comma 5 5 6 2 3" xfId="4418" xr:uid="{00000000-0005-0000-0000-000012220000}"/>
    <cellStyle name="Comma 5 5 6 2 3 2" xfId="16872" xr:uid="{00000000-0005-0000-0000-000013220000}"/>
    <cellStyle name="Comma 5 5 6 2 3 2 2" xfId="41746" xr:uid="{00000000-0005-0000-0000-000014220000}"/>
    <cellStyle name="Comma 5 5 6 2 3 3" xfId="29313" xr:uid="{00000000-0005-0000-0000-000015220000}"/>
    <cellStyle name="Comma 5 5 6 2 4" xfId="14480" xr:uid="{00000000-0005-0000-0000-000016220000}"/>
    <cellStyle name="Comma 5 5 6 2 4 2" xfId="39354" xr:uid="{00000000-0005-0000-0000-000017220000}"/>
    <cellStyle name="Comma 5 5 6 2 5" xfId="26913" xr:uid="{00000000-0005-0000-0000-000018220000}"/>
    <cellStyle name="Comma 5 5 6 3" xfId="5826" xr:uid="{00000000-0005-0000-0000-000019220000}"/>
    <cellStyle name="Comma 5 5 6 3 2" xfId="10841" xr:uid="{00000000-0005-0000-0000-00001A220000}"/>
    <cellStyle name="Comma 5 5 6 3 2 2" xfId="23284" xr:uid="{00000000-0005-0000-0000-00001B220000}"/>
    <cellStyle name="Comma 5 5 6 3 2 2 2" xfId="48158" xr:uid="{00000000-0005-0000-0000-00001C220000}"/>
    <cellStyle name="Comma 5 5 6 3 2 3" xfId="35725" xr:uid="{00000000-0005-0000-0000-00001D220000}"/>
    <cellStyle name="Comma 5 5 6 3 3" xfId="18277" xr:uid="{00000000-0005-0000-0000-00001E220000}"/>
    <cellStyle name="Comma 5 5 6 3 3 2" xfId="43151" xr:uid="{00000000-0005-0000-0000-00001F220000}"/>
    <cellStyle name="Comma 5 5 6 3 4" xfId="30718" xr:uid="{00000000-0005-0000-0000-000020220000}"/>
    <cellStyle name="Comma 5 5 6 4" xfId="8552" xr:uid="{00000000-0005-0000-0000-000021220000}"/>
    <cellStyle name="Comma 5 5 6 4 2" xfId="20996" xr:uid="{00000000-0005-0000-0000-000022220000}"/>
    <cellStyle name="Comma 5 5 6 4 2 2" xfId="45870" xr:uid="{00000000-0005-0000-0000-000023220000}"/>
    <cellStyle name="Comma 5 5 6 4 3" xfId="33437" xr:uid="{00000000-0005-0000-0000-000024220000}"/>
    <cellStyle name="Comma 5 5 6 5" xfId="12295" xr:uid="{00000000-0005-0000-0000-000025220000}"/>
    <cellStyle name="Comma 5 5 6 5 2" xfId="24729" xr:uid="{00000000-0005-0000-0000-000026220000}"/>
    <cellStyle name="Comma 5 5 6 5 2 2" xfId="49603" xr:uid="{00000000-0005-0000-0000-000027220000}"/>
    <cellStyle name="Comma 5 5 6 5 3" xfId="37170" xr:uid="{00000000-0005-0000-0000-000028220000}"/>
    <cellStyle name="Comma 5 5 6 6" xfId="7029" xr:uid="{00000000-0005-0000-0000-000029220000}"/>
    <cellStyle name="Comma 5 5 6 6 2" xfId="19478" xr:uid="{00000000-0005-0000-0000-00002A220000}"/>
    <cellStyle name="Comma 5 5 6 6 2 2" xfId="44352" xr:uid="{00000000-0005-0000-0000-00002B220000}"/>
    <cellStyle name="Comma 5 5 6 6 3" xfId="31919" xr:uid="{00000000-0005-0000-0000-00002C220000}"/>
    <cellStyle name="Comma 5 5 6 7" xfId="3483" xr:uid="{00000000-0005-0000-0000-00002D220000}"/>
    <cellStyle name="Comma 5 5 6 7 2" xfId="15989" xr:uid="{00000000-0005-0000-0000-00002E220000}"/>
    <cellStyle name="Comma 5 5 6 7 2 2" xfId="40863" xr:uid="{00000000-0005-0000-0000-00002F220000}"/>
    <cellStyle name="Comma 5 5 6 7 3" xfId="28422" xr:uid="{00000000-0005-0000-0000-000030220000}"/>
    <cellStyle name="Comma 5 5 6 8" xfId="13387" xr:uid="{00000000-0005-0000-0000-000031220000}"/>
    <cellStyle name="Comma 5 5 6 8 2" xfId="38261" xr:uid="{00000000-0005-0000-0000-000032220000}"/>
    <cellStyle name="Comma 5 5 6 9" xfId="25820" xr:uid="{00000000-0005-0000-0000-000033220000}"/>
    <cellStyle name="Comma 5 5 7" xfId="2130" xr:uid="{00000000-0005-0000-0000-000034220000}"/>
    <cellStyle name="Comma 5 5 7 2" xfId="4769" xr:uid="{00000000-0005-0000-0000-000035220000}"/>
    <cellStyle name="Comma 5 5 7 2 2" xfId="9786" xr:uid="{00000000-0005-0000-0000-000036220000}"/>
    <cellStyle name="Comma 5 5 7 2 2 2" xfId="22229" xr:uid="{00000000-0005-0000-0000-000037220000}"/>
    <cellStyle name="Comma 5 5 7 2 2 2 2" xfId="47103" xr:uid="{00000000-0005-0000-0000-000038220000}"/>
    <cellStyle name="Comma 5 5 7 2 2 3" xfId="34670" xr:uid="{00000000-0005-0000-0000-000039220000}"/>
    <cellStyle name="Comma 5 5 7 2 3" xfId="17222" xr:uid="{00000000-0005-0000-0000-00003A220000}"/>
    <cellStyle name="Comma 5 5 7 2 3 2" xfId="42096" xr:uid="{00000000-0005-0000-0000-00003B220000}"/>
    <cellStyle name="Comma 5 5 7 2 4" xfId="29663" xr:uid="{00000000-0005-0000-0000-00003C220000}"/>
    <cellStyle name="Comma 5 5 7 3" xfId="6167" xr:uid="{00000000-0005-0000-0000-00003D220000}"/>
    <cellStyle name="Comma 5 5 7 3 2" xfId="11182" xr:uid="{00000000-0005-0000-0000-00003E220000}"/>
    <cellStyle name="Comma 5 5 7 3 2 2" xfId="23625" xr:uid="{00000000-0005-0000-0000-00003F220000}"/>
    <cellStyle name="Comma 5 5 7 3 2 2 2" xfId="48499" xr:uid="{00000000-0005-0000-0000-000040220000}"/>
    <cellStyle name="Comma 5 5 7 3 2 3" xfId="36066" xr:uid="{00000000-0005-0000-0000-000041220000}"/>
    <cellStyle name="Comma 5 5 7 3 3" xfId="18618" xr:uid="{00000000-0005-0000-0000-000042220000}"/>
    <cellStyle name="Comma 5 5 7 3 3 2" xfId="43492" xr:uid="{00000000-0005-0000-0000-000043220000}"/>
    <cellStyle name="Comma 5 5 7 3 4" xfId="31059" xr:uid="{00000000-0005-0000-0000-000044220000}"/>
    <cellStyle name="Comma 5 5 7 4" xfId="8032" xr:uid="{00000000-0005-0000-0000-000045220000}"/>
    <cellStyle name="Comma 5 5 7 4 2" xfId="20478" xr:uid="{00000000-0005-0000-0000-000046220000}"/>
    <cellStyle name="Comma 5 5 7 4 2 2" xfId="45352" xr:uid="{00000000-0005-0000-0000-000047220000}"/>
    <cellStyle name="Comma 5 5 7 4 3" xfId="32919" xr:uid="{00000000-0005-0000-0000-000048220000}"/>
    <cellStyle name="Comma 5 5 7 5" xfId="12636" xr:uid="{00000000-0005-0000-0000-000049220000}"/>
    <cellStyle name="Comma 5 5 7 5 2" xfId="25070" xr:uid="{00000000-0005-0000-0000-00004A220000}"/>
    <cellStyle name="Comma 5 5 7 5 2 2" xfId="49944" xr:uid="{00000000-0005-0000-0000-00004B220000}"/>
    <cellStyle name="Comma 5 5 7 5 3" xfId="37511" xr:uid="{00000000-0005-0000-0000-00004C220000}"/>
    <cellStyle name="Comma 5 5 7 6" xfId="7380" xr:uid="{00000000-0005-0000-0000-00004D220000}"/>
    <cellStyle name="Comma 5 5 7 6 2" xfId="19828" xr:uid="{00000000-0005-0000-0000-00004E220000}"/>
    <cellStyle name="Comma 5 5 7 6 2 2" xfId="44702" xr:uid="{00000000-0005-0000-0000-00004F220000}"/>
    <cellStyle name="Comma 5 5 7 6 3" xfId="32269" xr:uid="{00000000-0005-0000-0000-000050220000}"/>
    <cellStyle name="Comma 5 5 7 7" xfId="2959" xr:uid="{00000000-0005-0000-0000-000051220000}"/>
    <cellStyle name="Comma 5 5 7 7 2" xfId="15471" xr:uid="{00000000-0005-0000-0000-000052220000}"/>
    <cellStyle name="Comma 5 5 7 7 2 2" xfId="40345" xr:uid="{00000000-0005-0000-0000-000053220000}"/>
    <cellStyle name="Comma 5 5 7 7 3" xfId="27904" xr:uid="{00000000-0005-0000-0000-000054220000}"/>
    <cellStyle name="Comma 5 5 7 8" xfId="14821" xr:uid="{00000000-0005-0000-0000-000055220000}"/>
    <cellStyle name="Comma 5 5 7 8 2" xfId="39695" xr:uid="{00000000-0005-0000-0000-000056220000}"/>
    <cellStyle name="Comma 5 5 7 9" xfId="27254" xr:uid="{00000000-0005-0000-0000-000057220000}"/>
    <cellStyle name="Comma 5 5 8" xfId="978" xr:uid="{00000000-0005-0000-0000-000058220000}"/>
    <cellStyle name="Comma 5 5 8 2" xfId="11593" xr:uid="{00000000-0005-0000-0000-000059220000}"/>
    <cellStyle name="Comma 5 5 8 2 2" xfId="24027" xr:uid="{00000000-0005-0000-0000-00005A220000}"/>
    <cellStyle name="Comma 5 5 8 2 2 2" xfId="48901" xr:uid="{00000000-0005-0000-0000-00005B220000}"/>
    <cellStyle name="Comma 5 5 8 2 3" xfId="36468" xr:uid="{00000000-0005-0000-0000-00005C220000}"/>
    <cellStyle name="Comma 5 5 8 3" xfId="8919" xr:uid="{00000000-0005-0000-0000-00005D220000}"/>
    <cellStyle name="Comma 5 5 8 3 2" xfId="21362" xr:uid="{00000000-0005-0000-0000-00005E220000}"/>
    <cellStyle name="Comma 5 5 8 3 2 2" xfId="46236" xr:uid="{00000000-0005-0000-0000-00005F220000}"/>
    <cellStyle name="Comma 5 5 8 3 3" xfId="33803" xr:uid="{00000000-0005-0000-0000-000060220000}"/>
    <cellStyle name="Comma 5 5 8 4" xfId="3901" xr:uid="{00000000-0005-0000-0000-000061220000}"/>
    <cellStyle name="Comma 5 5 8 4 2" xfId="16355" xr:uid="{00000000-0005-0000-0000-000062220000}"/>
    <cellStyle name="Comma 5 5 8 4 2 2" xfId="41229" xr:uid="{00000000-0005-0000-0000-000063220000}"/>
    <cellStyle name="Comma 5 5 8 4 3" xfId="28796" xr:uid="{00000000-0005-0000-0000-000064220000}"/>
    <cellStyle name="Comma 5 5 8 5" xfId="13778" xr:uid="{00000000-0005-0000-0000-000065220000}"/>
    <cellStyle name="Comma 5 5 8 5 2" xfId="38652" xr:uid="{00000000-0005-0000-0000-000066220000}"/>
    <cellStyle name="Comma 5 5 8 6" xfId="26211" xr:uid="{00000000-0005-0000-0000-000067220000}"/>
    <cellStyle name="Comma 5 5 9" xfId="905" xr:uid="{00000000-0005-0000-0000-000068220000}"/>
    <cellStyle name="Comma 5 5 9 2" xfId="10137" xr:uid="{00000000-0005-0000-0000-000069220000}"/>
    <cellStyle name="Comma 5 5 9 2 2" xfId="22580" xr:uid="{00000000-0005-0000-0000-00006A220000}"/>
    <cellStyle name="Comma 5 5 9 2 2 2" xfId="47454" xr:uid="{00000000-0005-0000-0000-00006B220000}"/>
    <cellStyle name="Comma 5 5 9 2 3" xfId="35021" xr:uid="{00000000-0005-0000-0000-00006C220000}"/>
    <cellStyle name="Comma 5 5 9 3" xfId="5121" xr:uid="{00000000-0005-0000-0000-00006D220000}"/>
    <cellStyle name="Comma 5 5 9 3 2" xfId="17573" xr:uid="{00000000-0005-0000-0000-00006E220000}"/>
    <cellStyle name="Comma 5 5 9 3 2 2" xfId="42447" xr:uid="{00000000-0005-0000-0000-00006F220000}"/>
    <cellStyle name="Comma 5 5 9 3 3" xfId="30014" xr:uid="{00000000-0005-0000-0000-000070220000}"/>
    <cellStyle name="Comma 5 5 9 4" xfId="13705" xr:uid="{00000000-0005-0000-0000-000071220000}"/>
    <cellStyle name="Comma 5 5 9 4 2" xfId="38579" xr:uid="{00000000-0005-0000-0000-000072220000}"/>
    <cellStyle name="Comma 5 5 9 5" xfId="26138" xr:uid="{00000000-0005-0000-0000-000073220000}"/>
    <cellStyle name="Comma 5 6" xfId="167" xr:uid="{00000000-0005-0000-0000-000074220000}"/>
    <cellStyle name="Comma 5 6 10" xfId="6538" xr:uid="{00000000-0005-0000-0000-000075220000}"/>
    <cellStyle name="Comma 5 6 10 2" xfId="18987" xr:uid="{00000000-0005-0000-0000-000076220000}"/>
    <cellStyle name="Comma 5 6 10 2 2" xfId="43861" xr:uid="{00000000-0005-0000-0000-000077220000}"/>
    <cellStyle name="Comma 5 6 10 3" xfId="31428" xr:uid="{00000000-0005-0000-0000-000078220000}"/>
    <cellStyle name="Comma 5 6 11" xfId="2706" xr:uid="{00000000-0005-0000-0000-000079220000}"/>
    <cellStyle name="Comma 5 6 11 2" xfId="15224" xr:uid="{00000000-0005-0000-0000-00007A220000}"/>
    <cellStyle name="Comma 5 6 11 2 2" xfId="40098" xr:uid="{00000000-0005-0000-0000-00007B220000}"/>
    <cellStyle name="Comma 5 6 11 3" xfId="27657" xr:uid="{00000000-0005-0000-0000-00007C220000}"/>
    <cellStyle name="Comma 5 6 12" xfId="12997" xr:uid="{00000000-0005-0000-0000-00007D220000}"/>
    <cellStyle name="Comma 5 6 12 2" xfId="37871" xr:uid="{00000000-0005-0000-0000-00007E220000}"/>
    <cellStyle name="Comma 5 6 13" xfId="25430" xr:uid="{00000000-0005-0000-0000-00007F220000}"/>
    <cellStyle name="Comma 5 6 2" xfId="410" xr:uid="{00000000-0005-0000-0000-000080220000}"/>
    <cellStyle name="Comma 5 6 2 10" xfId="13225" xr:uid="{00000000-0005-0000-0000-000081220000}"/>
    <cellStyle name="Comma 5 6 2 10 2" xfId="38099" xr:uid="{00000000-0005-0000-0000-000082220000}"/>
    <cellStyle name="Comma 5 6 2 11" xfId="25658" xr:uid="{00000000-0005-0000-0000-000083220000}"/>
    <cellStyle name="Comma 5 6 2 2" xfId="770" xr:uid="{00000000-0005-0000-0000-000084220000}"/>
    <cellStyle name="Comma 5 6 2 2 2" xfId="1339" xr:uid="{00000000-0005-0000-0000-000085220000}"/>
    <cellStyle name="Comma 5 6 2 2 2 2" xfId="9443" xr:uid="{00000000-0005-0000-0000-000086220000}"/>
    <cellStyle name="Comma 5 6 2 2 2 2 2" xfId="21886" xr:uid="{00000000-0005-0000-0000-000087220000}"/>
    <cellStyle name="Comma 5 6 2 2 2 2 2 2" xfId="46760" xr:uid="{00000000-0005-0000-0000-000088220000}"/>
    <cellStyle name="Comma 5 6 2 2 2 2 3" xfId="34327" xr:uid="{00000000-0005-0000-0000-000089220000}"/>
    <cellStyle name="Comma 5 6 2 2 2 3" xfId="4425" xr:uid="{00000000-0005-0000-0000-00008A220000}"/>
    <cellStyle name="Comma 5 6 2 2 2 3 2" xfId="16879" xr:uid="{00000000-0005-0000-0000-00008B220000}"/>
    <cellStyle name="Comma 5 6 2 2 2 3 2 2" xfId="41753" xr:uid="{00000000-0005-0000-0000-00008C220000}"/>
    <cellStyle name="Comma 5 6 2 2 2 3 3" xfId="29320" xr:uid="{00000000-0005-0000-0000-00008D220000}"/>
    <cellStyle name="Comma 5 6 2 2 2 4" xfId="14139" xr:uid="{00000000-0005-0000-0000-00008E220000}"/>
    <cellStyle name="Comma 5 6 2 2 2 4 2" xfId="39013" xr:uid="{00000000-0005-0000-0000-00008F220000}"/>
    <cellStyle name="Comma 5 6 2 2 2 5" xfId="26572" xr:uid="{00000000-0005-0000-0000-000090220000}"/>
    <cellStyle name="Comma 5 6 2 2 3" xfId="5484" xr:uid="{00000000-0005-0000-0000-000091220000}"/>
    <cellStyle name="Comma 5 6 2 2 3 2" xfId="10500" xr:uid="{00000000-0005-0000-0000-000092220000}"/>
    <cellStyle name="Comma 5 6 2 2 3 2 2" xfId="22943" xr:uid="{00000000-0005-0000-0000-000093220000}"/>
    <cellStyle name="Comma 5 6 2 2 3 2 2 2" xfId="47817" xr:uid="{00000000-0005-0000-0000-000094220000}"/>
    <cellStyle name="Comma 5 6 2 2 3 2 3" xfId="35384" xr:uid="{00000000-0005-0000-0000-000095220000}"/>
    <cellStyle name="Comma 5 6 2 2 3 3" xfId="17936" xr:uid="{00000000-0005-0000-0000-000096220000}"/>
    <cellStyle name="Comma 5 6 2 2 3 3 2" xfId="42810" xr:uid="{00000000-0005-0000-0000-000097220000}"/>
    <cellStyle name="Comma 5 6 2 2 3 4" xfId="30377" xr:uid="{00000000-0005-0000-0000-000098220000}"/>
    <cellStyle name="Comma 5 6 2 2 4" xfId="8559" xr:uid="{00000000-0005-0000-0000-000099220000}"/>
    <cellStyle name="Comma 5 6 2 2 4 2" xfId="21003" xr:uid="{00000000-0005-0000-0000-00009A220000}"/>
    <cellStyle name="Comma 5 6 2 2 4 2 2" xfId="45877" xr:uid="{00000000-0005-0000-0000-00009B220000}"/>
    <cellStyle name="Comma 5 6 2 2 4 3" xfId="33444" xr:uid="{00000000-0005-0000-0000-00009C220000}"/>
    <cellStyle name="Comma 5 6 2 2 5" xfId="11954" xr:uid="{00000000-0005-0000-0000-00009D220000}"/>
    <cellStyle name="Comma 5 6 2 2 5 2" xfId="24388" xr:uid="{00000000-0005-0000-0000-00009E220000}"/>
    <cellStyle name="Comma 5 6 2 2 5 2 2" xfId="49262" xr:uid="{00000000-0005-0000-0000-00009F220000}"/>
    <cellStyle name="Comma 5 6 2 2 5 3" xfId="36829" xr:uid="{00000000-0005-0000-0000-0000A0220000}"/>
    <cellStyle name="Comma 5 6 2 2 6" xfId="7036" xr:uid="{00000000-0005-0000-0000-0000A1220000}"/>
    <cellStyle name="Comma 5 6 2 2 6 2" xfId="19485" xr:uid="{00000000-0005-0000-0000-0000A2220000}"/>
    <cellStyle name="Comma 5 6 2 2 6 2 2" xfId="44359" xr:uid="{00000000-0005-0000-0000-0000A3220000}"/>
    <cellStyle name="Comma 5 6 2 2 6 3" xfId="31926" xr:uid="{00000000-0005-0000-0000-0000A4220000}"/>
    <cellStyle name="Comma 5 6 2 2 7" xfId="3490" xr:uid="{00000000-0005-0000-0000-0000A5220000}"/>
    <cellStyle name="Comma 5 6 2 2 7 2" xfId="15996" xr:uid="{00000000-0005-0000-0000-0000A6220000}"/>
    <cellStyle name="Comma 5 6 2 2 7 2 2" xfId="40870" xr:uid="{00000000-0005-0000-0000-0000A7220000}"/>
    <cellStyle name="Comma 5 6 2 2 7 3" xfId="28429" xr:uid="{00000000-0005-0000-0000-0000A8220000}"/>
    <cellStyle name="Comma 5 6 2 2 8" xfId="13572" xr:uid="{00000000-0005-0000-0000-0000A9220000}"/>
    <cellStyle name="Comma 5 6 2 2 8 2" xfId="38446" xr:uid="{00000000-0005-0000-0000-0000AA220000}"/>
    <cellStyle name="Comma 5 6 2 2 9" xfId="26005" xr:uid="{00000000-0005-0000-0000-0000AB220000}"/>
    <cellStyle name="Comma 5 6 2 3" xfId="1687" xr:uid="{00000000-0005-0000-0000-0000AC220000}"/>
    <cellStyle name="Comma 5 6 2 3 2" xfId="4954" xr:uid="{00000000-0005-0000-0000-0000AD220000}"/>
    <cellStyle name="Comma 5 6 2 3 2 2" xfId="9971" xr:uid="{00000000-0005-0000-0000-0000AE220000}"/>
    <cellStyle name="Comma 5 6 2 3 2 2 2" xfId="22414" xr:uid="{00000000-0005-0000-0000-0000AF220000}"/>
    <cellStyle name="Comma 5 6 2 3 2 2 2 2" xfId="47288" xr:uid="{00000000-0005-0000-0000-0000B0220000}"/>
    <cellStyle name="Comma 5 6 2 3 2 2 3" xfId="34855" xr:uid="{00000000-0005-0000-0000-0000B1220000}"/>
    <cellStyle name="Comma 5 6 2 3 2 3" xfId="17407" xr:uid="{00000000-0005-0000-0000-0000B2220000}"/>
    <cellStyle name="Comma 5 6 2 3 2 3 2" xfId="42281" xr:uid="{00000000-0005-0000-0000-0000B3220000}"/>
    <cellStyle name="Comma 5 6 2 3 2 4" xfId="29848" xr:uid="{00000000-0005-0000-0000-0000B4220000}"/>
    <cellStyle name="Comma 5 6 2 3 3" xfId="5833" xr:uid="{00000000-0005-0000-0000-0000B5220000}"/>
    <cellStyle name="Comma 5 6 2 3 3 2" xfId="10848" xr:uid="{00000000-0005-0000-0000-0000B6220000}"/>
    <cellStyle name="Comma 5 6 2 3 3 2 2" xfId="23291" xr:uid="{00000000-0005-0000-0000-0000B7220000}"/>
    <cellStyle name="Comma 5 6 2 3 3 2 2 2" xfId="48165" xr:uid="{00000000-0005-0000-0000-0000B8220000}"/>
    <cellStyle name="Comma 5 6 2 3 3 2 3" xfId="35732" xr:uid="{00000000-0005-0000-0000-0000B9220000}"/>
    <cellStyle name="Comma 5 6 2 3 3 3" xfId="18284" xr:uid="{00000000-0005-0000-0000-0000BA220000}"/>
    <cellStyle name="Comma 5 6 2 3 3 3 2" xfId="43158" xr:uid="{00000000-0005-0000-0000-0000BB220000}"/>
    <cellStyle name="Comma 5 6 2 3 3 4" xfId="30725" xr:uid="{00000000-0005-0000-0000-0000BC220000}"/>
    <cellStyle name="Comma 5 6 2 3 4" xfId="8378" xr:uid="{00000000-0005-0000-0000-0000BD220000}"/>
    <cellStyle name="Comma 5 6 2 3 4 2" xfId="20822" xr:uid="{00000000-0005-0000-0000-0000BE220000}"/>
    <cellStyle name="Comma 5 6 2 3 4 2 2" xfId="45696" xr:uid="{00000000-0005-0000-0000-0000BF220000}"/>
    <cellStyle name="Comma 5 6 2 3 4 3" xfId="33263" xr:uid="{00000000-0005-0000-0000-0000C0220000}"/>
    <cellStyle name="Comma 5 6 2 3 5" xfId="12302" xr:uid="{00000000-0005-0000-0000-0000C1220000}"/>
    <cellStyle name="Comma 5 6 2 3 5 2" xfId="24736" xr:uid="{00000000-0005-0000-0000-0000C2220000}"/>
    <cellStyle name="Comma 5 6 2 3 5 2 2" xfId="49610" xr:uid="{00000000-0005-0000-0000-0000C3220000}"/>
    <cellStyle name="Comma 5 6 2 3 5 3" xfId="37177" xr:uid="{00000000-0005-0000-0000-0000C4220000}"/>
    <cellStyle name="Comma 5 6 2 3 6" xfId="7565" xr:uid="{00000000-0005-0000-0000-0000C5220000}"/>
    <cellStyle name="Comma 5 6 2 3 6 2" xfId="20013" xr:uid="{00000000-0005-0000-0000-0000C6220000}"/>
    <cellStyle name="Comma 5 6 2 3 6 2 2" xfId="44887" xr:uid="{00000000-0005-0000-0000-0000C7220000}"/>
    <cellStyle name="Comma 5 6 2 3 6 3" xfId="32454" xr:uid="{00000000-0005-0000-0000-0000C8220000}"/>
    <cellStyle name="Comma 5 6 2 3 7" xfId="3309" xr:uid="{00000000-0005-0000-0000-0000C9220000}"/>
    <cellStyle name="Comma 5 6 2 3 7 2" xfId="15815" xr:uid="{00000000-0005-0000-0000-0000CA220000}"/>
    <cellStyle name="Comma 5 6 2 3 7 2 2" xfId="40689" xr:uid="{00000000-0005-0000-0000-0000CB220000}"/>
    <cellStyle name="Comma 5 6 2 3 7 3" xfId="28248" xr:uid="{00000000-0005-0000-0000-0000CC220000}"/>
    <cellStyle name="Comma 5 6 2 3 8" xfId="14487" xr:uid="{00000000-0005-0000-0000-0000CD220000}"/>
    <cellStyle name="Comma 5 6 2 3 8 2" xfId="39361" xr:uid="{00000000-0005-0000-0000-0000CE220000}"/>
    <cellStyle name="Comma 5 6 2 3 9" xfId="26920" xr:uid="{00000000-0005-0000-0000-0000CF220000}"/>
    <cellStyle name="Comma 5 6 2 4" xfId="2328" xr:uid="{00000000-0005-0000-0000-0000D0220000}"/>
    <cellStyle name="Comma 5 6 2 4 2" xfId="6352" xr:uid="{00000000-0005-0000-0000-0000D1220000}"/>
    <cellStyle name="Comma 5 6 2 4 2 2" xfId="11367" xr:uid="{00000000-0005-0000-0000-0000D2220000}"/>
    <cellStyle name="Comma 5 6 2 4 2 2 2" xfId="23810" xr:uid="{00000000-0005-0000-0000-0000D3220000}"/>
    <cellStyle name="Comma 5 6 2 4 2 2 2 2" xfId="48684" xr:uid="{00000000-0005-0000-0000-0000D4220000}"/>
    <cellStyle name="Comma 5 6 2 4 2 2 3" xfId="36251" xr:uid="{00000000-0005-0000-0000-0000D5220000}"/>
    <cellStyle name="Comma 5 6 2 4 2 3" xfId="18803" xr:uid="{00000000-0005-0000-0000-0000D6220000}"/>
    <cellStyle name="Comma 5 6 2 4 2 3 2" xfId="43677" xr:uid="{00000000-0005-0000-0000-0000D7220000}"/>
    <cellStyle name="Comma 5 6 2 4 2 4" xfId="31244" xr:uid="{00000000-0005-0000-0000-0000D8220000}"/>
    <cellStyle name="Comma 5 6 2 4 3" xfId="12821" xr:uid="{00000000-0005-0000-0000-0000D9220000}"/>
    <cellStyle name="Comma 5 6 2 4 3 2" xfId="25255" xr:uid="{00000000-0005-0000-0000-0000DA220000}"/>
    <cellStyle name="Comma 5 6 2 4 3 2 2" xfId="50129" xr:uid="{00000000-0005-0000-0000-0000DB220000}"/>
    <cellStyle name="Comma 5 6 2 4 3 3" xfId="37696" xr:uid="{00000000-0005-0000-0000-0000DC220000}"/>
    <cellStyle name="Comma 5 6 2 4 4" xfId="9262" xr:uid="{00000000-0005-0000-0000-0000DD220000}"/>
    <cellStyle name="Comma 5 6 2 4 4 2" xfId="21705" xr:uid="{00000000-0005-0000-0000-0000DE220000}"/>
    <cellStyle name="Comma 5 6 2 4 4 2 2" xfId="46579" xr:uid="{00000000-0005-0000-0000-0000DF220000}"/>
    <cellStyle name="Comma 5 6 2 4 4 3" xfId="34146" xr:uid="{00000000-0005-0000-0000-0000E0220000}"/>
    <cellStyle name="Comma 5 6 2 4 5" xfId="4244" xr:uid="{00000000-0005-0000-0000-0000E1220000}"/>
    <cellStyle name="Comma 5 6 2 4 5 2" xfId="16698" xr:uid="{00000000-0005-0000-0000-0000E2220000}"/>
    <cellStyle name="Comma 5 6 2 4 5 2 2" xfId="41572" xr:uid="{00000000-0005-0000-0000-0000E3220000}"/>
    <cellStyle name="Comma 5 6 2 4 5 3" xfId="29139" xr:uid="{00000000-0005-0000-0000-0000E4220000}"/>
    <cellStyle name="Comma 5 6 2 4 6" xfId="15006" xr:uid="{00000000-0005-0000-0000-0000E5220000}"/>
    <cellStyle name="Comma 5 6 2 4 6 2" xfId="39880" xr:uid="{00000000-0005-0000-0000-0000E6220000}"/>
    <cellStyle name="Comma 5 6 2 4 7" xfId="27439" xr:uid="{00000000-0005-0000-0000-0000E7220000}"/>
    <cellStyle name="Comma 5 6 2 5" xfId="1163" xr:uid="{00000000-0005-0000-0000-0000E8220000}"/>
    <cellStyle name="Comma 5 6 2 5 2" xfId="10324" xr:uid="{00000000-0005-0000-0000-0000E9220000}"/>
    <cellStyle name="Comma 5 6 2 5 2 2" xfId="22767" xr:uid="{00000000-0005-0000-0000-0000EA220000}"/>
    <cellStyle name="Comma 5 6 2 5 2 2 2" xfId="47641" xr:uid="{00000000-0005-0000-0000-0000EB220000}"/>
    <cellStyle name="Comma 5 6 2 5 2 3" xfId="35208" xr:uid="{00000000-0005-0000-0000-0000EC220000}"/>
    <cellStyle name="Comma 5 6 2 5 3" xfId="5308" xr:uid="{00000000-0005-0000-0000-0000ED220000}"/>
    <cellStyle name="Comma 5 6 2 5 3 2" xfId="17760" xr:uid="{00000000-0005-0000-0000-0000EE220000}"/>
    <cellStyle name="Comma 5 6 2 5 3 2 2" xfId="42634" xr:uid="{00000000-0005-0000-0000-0000EF220000}"/>
    <cellStyle name="Comma 5 6 2 5 3 3" xfId="30201" xr:uid="{00000000-0005-0000-0000-0000F0220000}"/>
    <cellStyle name="Comma 5 6 2 5 4" xfId="13963" xr:uid="{00000000-0005-0000-0000-0000F1220000}"/>
    <cellStyle name="Comma 5 6 2 5 4 2" xfId="38837" xr:uid="{00000000-0005-0000-0000-0000F2220000}"/>
    <cellStyle name="Comma 5 6 2 5 5" xfId="26396" xr:uid="{00000000-0005-0000-0000-0000F3220000}"/>
    <cellStyle name="Comma 5 6 2 6" xfId="7885" xr:uid="{00000000-0005-0000-0000-0000F4220000}"/>
    <cellStyle name="Comma 5 6 2 6 2" xfId="20331" xr:uid="{00000000-0005-0000-0000-0000F5220000}"/>
    <cellStyle name="Comma 5 6 2 6 2 2" xfId="45205" xr:uid="{00000000-0005-0000-0000-0000F6220000}"/>
    <cellStyle name="Comma 5 6 2 6 3" xfId="32772" xr:uid="{00000000-0005-0000-0000-0000F7220000}"/>
    <cellStyle name="Comma 5 6 2 7" xfId="11778" xr:uid="{00000000-0005-0000-0000-0000F8220000}"/>
    <cellStyle name="Comma 5 6 2 7 2" xfId="24212" xr:uid="{00000000-0005-0000-0000-0000F9220000}"/>
    <cellStyle name="Comma 5 6 2 7 2 2" xfId="49086" xr:uid="{00000000-0005-0000-0000-0000FA220000}"/>
    <cellStyle name="Comma 5 6 2 7 3" xfId="36653" xr:uid="{00000000-0005-0000-0000-0000FB220000}"/>
    <cellStyle name="Comma 5 6 2 8" xfId="6855" xr:uid="{00000000-0005-0000-0000-0000FC220000}"/>
    <cellStyle name="Comma 5 6 2 8 2" xfId="19304" xr:uid="{00000000-0005-0000-0000-0000FD220000}"/>
    <cellStyle name="Comma 5 6 2 8 2 2" xfId="44178" xr:uid="{00000000-0005-0000-0000-0000FE220000}"/>
    <cellStyle name="Comma 5 6 2 8 3" xfId="31745" xr:uid="{00000000-0005-0000-0000-0000FF220000}"/>
    <cellStyle name="Comma 5 6 2 9" xfId="2806" xr:uid="{00000000-0005-0000-0000-000000230000}"/>
    <cellStyle name="Comma 5 6 2 9 2" xfId="15324" xr:uid="{00000000-0005-0000-0000-000001230000}"/>
    <cellStyle name="Comma 5 6 2 9 2 2" xfId="40198" xr:uid="{00000000-0005-0000-0000-000002230000}"/>
    <cellStyle name="Comma 5 6 2 9 3" xfId="27757" xr:uid="{00000000-0005-0000-0000-000003230000}"/>
    <cellStyle name="Comma 5 6 3" xfId="308" xr:uid="{00000000-0005-0000-0000-000004230000}"/>
    <cellStyle name="Comma 5 6 3 2" xfId="1338" xr:uid="{00000000-0005-0000-0000-000005230000}"/>
    <cellStyle name="Comma 5 6 3 2 2" xfId="9162" xr:uid="{00000000-0005-0000-0000-000006230000}"/>
    <cellStyle name="Comma 5 6 3 2 2 2" xfId="21605" xr:uid="{00000000-0005-0000-0000-000007230000}"/>
    <cellStyle name="Comma 5 6 3 2 2 2 2" xfId="46479" xr:uid="{00000000-0005-0000-0000-000008230000}"/>
    <cellStyle name="Comma 5 6 3 2 2 3" xfId="34046" xr:uid="{00000000-0005-0000-0000-000009230000}"/>
    <cellStyle name="Comma 5 6 3 2 3" xfId="4144" xr:uid="{00000000-0005-0000-0000-00000A230000}"/>
    <cellStyle name="Comma 5 6 3 2 3 2" xfId="16598" xr:uid="{00000000-0005-0000-0000-00000B230000}"/>
    <cellStyle name="Comma 5 6 3 2 3 2 2" xfId="41472" xr:uid="{00000000-0005-0000-0000-00000C230000}"/>
    <cellStyle name="Comma 5 6 3 2 3 3" xfId="29039" xr:uid="{00000000-0005-0000-0000-00000D230000}"/>
    <cellStyle name="Comma 5 6 3 2 4" xfId="14138" xr:uid="{00000000-0005-0000-0000-00000E230000}"/>
    <cellStyle name="Comma 5 6 3 2 4 2" xfId="39012" xr:uid="{00000000-0005-0000-0000-00000F230000}"/>
    <cellStyle name="Comma 5 6 3 2 5" xfId="26571" xr:uid="{00000000-0005-0000-0000-000010230000}"/>
    <cellStyle name="Comma 5 6 3 3" xfId="5483" xr:uid="{00000000-0005-0000-0000-000011230000}"/>
    <cellStyle name="Comma 5 6 3 3 2" xfId="10499" xr:uid="{00000000-0005-0000-0000-000012230000}"/>
    <cellStyle name="Comma 5 6 3 3 2 2" xfId="22942" xr:uid="{00000000-0005-0000-0000-000013230000}"/>
    <cellStyle name="Comma 5 6 3 3 2 2 2" xfId="47816" xr:uid="{00000000-0005-0000-0000-000014230000}"/>
    <cellStyle name="Comma 5 6 3 3 2 3" xfId="35383" xr:uid="{00000000-0005-0000-0000-000015230000}"/>
    <cellStyle name="Comma 5 6 3 3 3" xfId="17935" xr:uid="{00000000-0005-0000-0000-000016230000}"/>
    <cellStyle name="Comma 5 6 3 3 3 2" xfId="42809" xr:uid="{00000000-0005-0000-0000-000017230000}"/>
    <cellStyle name="Comma 5 6 3 3 4" xfId="30376" xr:uid="{00000000-0005-0000-0000-000018230000}"/>
    <cellStyle name="Comma 5 6 3 4" xfId="8278" xr:uid="{00000000-0005-0000-0000-000019230000}"/>
    <cellStyle name="Comma 5 6 3 4 2" xfId="20722" xr:uid="{00000000-0005-0000-0000-00001A230000}"/>
    <cellStyle name="Comma 5 6 3 4 2 2" xfId="45596" xr:uid="{00000000-0005-0000-0000-00001B230000}"/>
    <cellStyle name="Comma 5 6 3 4 3" xfId="33163" xr:uid="{00000000-0005-0000-0000-00001C230000}"/>
    <cellStyle name="Comma 5 6 3 5" xfId="11953" xr:uid="{00000000-0005-0000-0000-00001D230000}"/>
    <cellStyle name="Comma 5 6 3 5 2" xfId="24387" xr:uid="{00000000-0005-0000-0000-00001E230000}"/>
    <cellStyle name="Comma 5 6 3 5 2 2" xfId="49261" xr:uid="{00000000-0005-0000-0000-00001F230000}"/>
    <cellStyle name="Comma 5 6 3 5 3" xfId="36828" xr:uid="{00000000-0005-0000-0000-000020230000}"/>
    <cellStyle name="Comma 5 6 3 6" xfId="6755" xr:uid="{00000000-0005-0000-0000-000021230000}"/>
    <cellStyle name="Comma 5 6 3 6 2" xfId="19204" xr:uid="{00000000-0005-0000-0000-000022230000}"/>
    <cellStyle name="Comma 5 6 3 6 2 2" xfId="44078" xr:uid="{00000000-0005-0000-0000-000023230000}"/>
    <cellStyle name="Comma 5 6 3 6 3" xfId="31645" xr:uid="{00000000-0005-0000-0000-000024230000}"/>
    <cellStyle name="Comma 5 6 3 7" xfId="3209" xr:uid="{00000000-0005-0000-0000-000025230000}"/>
    <cellStyle name="Comma 5 6 3 7 2" xfId="15715" xr:uid="{00000000-0005-0000-0000-000026230000}"/>
    <cellStyle name="Comma 5 6 3 7 2 2" xfId="40589" xr:uid="{00000000-0005-0000-0000-000027230000}"/>
    <cellStyle name="Comma 5 6 3 7 3" xfId="28148" xr:uid="{00000000-0005-0000-0000-000028230000}"/>
    <cellStyle name="Comma 5 6 3 8" xfId="13125" xr:uid="{00000000-0005-0000-0000-000029230000}"/>
    <cellStyle name="Comma 5 6 3 8 2" xfId="37999" xr:uid="{00000000-0005-0000-0000-00002A230000}"/>
    <cellStyle name="Comma 5 6 3 9" xfId="25558" xr:uid="{00000000-0005-0000-0000-00002B230000}"/>
    <cellStyle name="Comma 5 6 4" xfId="669" xr:uid="{00000000-0005-0000-0000-00002C230000}"/>
    <cellStyle name="Comma 5 6 4 2" xfId="1686" xr:uid="{00000000-0005-0000-0000-00002D230000}"/>
    <cellStyle name="Comma 5 6 4 2 2" xfId="9442" xr:uid="{00000000-0005-0000-0000-00002E230000}"/>
    <cellStyle name="Comma 5 6 4 2 2 2" xfId="21885" xr:uid="{00000000-0005-0000-0000-00002F230000}"/>
    <cellStyle name="Comma 5 6 4 2 2 2 2" xfId="46759" xr:uid="{00000000-0005-0000-0000-000030230000}"/>
    <cellStyle name="Comma 5 6 4 2 2 3" xfId="34326" xr:uid="{00000000-0005-0000-0000-000031230000}"/>
    <cellStyle name="Comma 5 6 4 2 3" xfId="4424" xr:uid="{00000000-0005-0000-0000-000032230000}"/>
    <cellStyle name="Comma 5 6 4 2 3 2" xfId="16878" xr:uid="{00000000-0005-0000-0000-000033230000}"/>
    <cellStyle name="Comma 5 6 4 2 3 2 2" xfId="41752" xr:uid="{00000000-0005-0000-0000-000034230000}"/>
    <cellStyle name="Comma 5 6 4 2 3 3" xfId="29319" xr:uid="{00000000-0005-0000-0000-000035230000}"/>
    <cellStyle name="Comma 5 6 4 2 4" xfId="14486" xr:uid="{00000000-0005-0000-0000-000036230000}"/>
    <cellStyle name="Comma 5 6 4 2 4 2" xfId="39360" xr:uid="{00000000-0005-0000-0000-000037230000}"/>
    <cellStyle name="Comma 5 6 4 2 5" xfId="26919" xr:uid="{00000000-0005-0000-0000-000038230000}"/>
    <cellStyle name="Comma 5 6 4 3" xfId="5832" xr:uid="{00000000-0005-0000-0000-000039230000}"/>
    <cellStyle name="Comma 5 6 4 3 2" xfId="10847" xr:uid="{00000000-0005-0000-0000-00003A230000}"/>
    <cellStyle name="Comma 5 6 4 3 2 2" xfId="23290" xr:uid="{00000000-0005-0000-0000-00003B230000}"/>
    <cellStyle name="Comma 5 6 4 3 2 2 2" xfId="48164" xr:uid="{00000000-0005-0000-0000-00003C230000}"/>
    <cellStyle name="Comma 5 6 4 3 2 3" xfId="35731" xr:uid="{00000000-0005-0000-0000-00003D230000}"/>
    <cellStyle name="Comma 5 6 4 3 3" xfId="18283" xr:uid="{00000000-0005-0000-0000-00003E230000}"/>
    <cellStyle name="Comma 5 6 4 3 3 2" xfId="43157" xr:uid="{00000000-0005-0000-0000-00003F230000}"/>
    <cellStyle name="Comma 5 6 4 3 4" xfId="30724" xr:uid="{00000000-0005-0000-0000-000040230000}"/>
    <cellStyle name="Comma 5 6 4 4" xfId="8558" xr:uid="{00000000-0005-0000-0000-000041230000}"/>
    <cellStyle name="Comma 5 6 4 4 2" xfId="21002" xr:uid="{00000000-0005-0000-0000-000042230000}"/>
    <cellStyle name="Comma 5 6 4 4 2 2" xfId="45876" xr:uid="{00000000-0005-0000-0000-000043230000}"/>
    <cellStyle name="Comma 5 6 4 4 3" xfId="33443" xr:uid="{00000000-0005-0000-0000-000044230000}"/>
    <cellStyle name="Comma 5 6 4 5" xfId="12301" xr:uid="{00000000-0005-0000-0000-000045230000}"/>
    <cellStyle name="Comma 5 6 4 5 2" xfId="24735" xr:uid="{00000000-0005-0000-0000-000046230000}"/>
    <cellStyle name="Comma 5 6 4 5 2 2" xfId="49609" xr:uid="{00000000-0005-0000-0000-000047230000}"/>
    <cellStyle name="Comma 5 6 4 5 3" xfId="37176" xr:uid="{00000000-0005-0000-0000-000048230000}"/>
    <cellStyle name="Comma 5 6 4 6" xfId="7035" xr:uid="{00000000-0005-0000-0000-000049230000}"/>
    <cellStyle name="Comma 5 6 4 6 2" xfId="19484" xr:uid="{00000000-0005-0000-0000-00004A230000}"/>
    <cellStyle name="Comma 5 6 4 6 2 2" xfId="44358" xr:uid="{00000000-0005-0000-0000-00004B230000}"/>
    <cellStyle name="Comma 5 6 4 6 3" xfId="31925" xr:uid="{00000000-0005-0000-0000-00004C230000}"/>
    <cellStyle name="Comma 5 6 4 7" xfId="3489" xr:uid="{00000000-0005-0000-0000-00004D230000}"/>
    <cellStyle name="Comma 5 6 4 7 2" xfId="15995" xr:uid="{00000000-0005-0000-0000-00004E230000}"/>
    <cellStyle name="Comma 5 6 4 7 2 2" xfId="40869" xr:uid="{00000000-0005-0000-0000-00004F230000}"/>
    <cellStyle name="Comma 5 6 4 7 3" xfId="28428" xr:uid="{00000000-0005-0000-0000-000050230000}"/>
    <cellStyle name="Comma 5 6 4 8" xfId="13472" xr:uid="{00000000-0005-0000-0000-000051230000}"/>
    <cellStyle name="Comma 5 6 4 8 2" xfId="38346" xr:uid="{00000000-0005-0000-0000-000052230000}"/>
    <cellStyle name="Comma 5 6 4 9" xfId="25905" xr:uid="{00000000-0005-0000-0000-000053230000}"/>
    <cellStyle name="Comma 5 6 5" xfId="2226" xr:uid="{00000000-0005-0000-0000-000054230000}"/>
    <cellStyle name="Comma 5 6 5 2" xfId="4854" xr:uid="{00000000-0005-0000-0000-000055230000}"/>
    <cellStyle name="Comma 5 6 5 2 2" xfId="9871" xr:uid="{00000000-0005-0000-0000-000056230000}"/>
    <cellStyle name="Comma 5 6 5 2 2 2" xfId="22314" xr:uid="{00000000-0005-0000-0000-000057230000}"/>
    <cellStyle name="Comma 5 6 5 2 2 2 2" xfId="47188" xr:uid="{00000000-0005-0000-0000-000058230000}"/>
    <cellStyle name="Comma 5 6 5 2 2 3" xfId="34755" xr:uid="{00000000-0005-0000-0000-000059230000}"/>
    <cellStyle name="Comma 5 6 5 2 3" xfId="17307" xr:uid="{00000000-0005-0000-0000-00005A230000}"/>
    <cellStyle name="Comma 5 6 5 2 3 2" xfId="42181" xr:uid="{00000000-0005-0000-0000-00005B230000}"/>
    <cellStyle name="Comma 5 6 5 2 4" xfId="29748" xr:uid="{00000000-0005-0000-0000-00005C230000}"/>
    <cellStyle name="Comma 5 6 5 3" xfId="6252" xr:uid="{00000000-0005-0000-0000-00005D230000}"/>
    <cellStyle name="Comma 5 6 5 3 2" xfId="11267" xr:uid="{00000000-0005-0000-0000-00005E230000}"/>
    <cellStyle name="Comma 5 6 5 3 2 2" xfId="23710" xr:uid="{00000000-0005-0000-0000-00005F230000}"/>
    <cellStyle name="Comma 5 6 5 3 2 2 2" xfId="48584" xr:uid="{00000000-0005-0000-0000-000060230000}"/>
    <cellStyle name="Comma 5 6 5 3 2 3" xfId="36151" xr:uid="{00000000-0005-0000-0000-000061230000}"/>
    <cellStyle name="Comma 5 6 5 3 3" xfId="18703" xr:uid="{00000000-0005-0000-0000-000062230000}"/>
    <cellStyle name="Comma 5 6 5 3 3 2" xfId="43577" xr:uid="{00000000-0005-0000-0000-000063230000}"/>
    <cellStyle name="Comma 5 6 5 3 4" xfId="31144" xr:uid="{00000000-0005-0000-0000-000064230000}"/>
    <cellStyle name="Comma 5 6 5 4" xfId="8059" xr:uid="{00000000-0005-0000-0000-000065230000}"/>
    <cellStyle name="Comma 5 6 5 4 2" xfId="20505" xr:uid="{00000000-0005-0000-0000-000066230000}"/>
    <cellStyle name="Comma 5 6 5 4 2 2" xfId="45379" xr:uid="{00000000-0005-0000-0000-000067230000}"/>
    <cellStyle name="Comma 5 6 5 4 3" xfId="32946" xr:uid="{00000000-0005-0000-0000-000068230000}"/>
    <cellStyle name="Comma 5 6 5 5" xfId="12721" xr:uid="{00000000-0005-0000-0000-000069230000}"/>
    <cellStyle name="Comma 5 6 5 5 2" xfId="25155" xr:uid="{00000000-0005-0000-0000-00006A230000}"/>
    <cellStyle name="Comma 5 6 5 5 2 2" xfId="50029" xr:uid="{00000000-0005-0000-0000-00006B230000}"/>
    <cellStyle name="Comma 5 6 5 5 3" xfId="37596" xr:uid="{00000000-0005-0000-0000-00006C230000}"/>
    <cellStyle name="Comma 5 6 5 6" xfId="7465" xr:uid="{00000000-0005-0000-0000-00006D230000}"/>
    <cellStyle name="Comma 5 6 5 6 2" xfId="19913" xr:uid="{00000000-0005-0000-0000-00006E230000}"/>
    <cellStyle name="Comma 5 6 5 6 2 2" xfId="44787" xr:uid="{00000000-0005-0000-0000-00006F230000}"/>
    <cellStyle name="Comma 5 6 5 6 3" xfId="32354" xr:uid="{00000000-0005-0000-0000-000070230000}"/>
    <cellStyle name="Comma 5 6 5 7" xfId="2988" xr:uid="{00000000-0005-0000-0000-000071230000}"/>
    <cellStyle name="Comma 5 6 5 7 2" xfId="15498" xr:uid="{00000000-0005-0000-0000-000072230000}"/>
    <cellStyle name="Comma 5 6 5 7 2 2" xfId="40372" xr:uid="{00000000-0005-0000-0000-000073230000}"/>
    <cellStyle name="Comma 5 6 5 7 3" xfId="27931" xr:uid="{00000000-0005-0000-0000-000074230000}"/>
    <cellStyle name="Comma 5 6 5 8" xfId="14906" xr:uid="{00000000-0005-0000-0000-000075230000}"/>
    <cellStyle name="Comma 5 6 5 8 2" xfId="39780" xr:uid="{00000000-0005-0000-0000-000076230000}"/>
    <cellStyle name="Comma 5 6 5 9" xfId="27339" xr:uid="{00000000-0005-0000-0000-000077230000}"/>
    <cellStyle name="Comma 5 6 6" xfId="1063" xr:uid="{00000000-0005-0000-0000-000078230000}"/>
    <cellStyle name="Comma 5 6 6 2" xfId="8945" xr:uid="{00000000-0005-0000-0000-000079230000}"/>
    <cellStyle name="Comma 5 6 6 2 2" xfId="21388" xr:uid="{00000000-0005-0000-0000-00007A230000}"/>
    <cellStyle name="Comma 5 6 6 2 2 2" xfId="46262" xr:uid="{00000000-0005-0000-0000-00007B230000}"/>
    <cellStyle name="Comma 5 6 6 2 3" xfId="33829" xr:uid="{00000000-0005-0000-0000-00007C230000}"/>
    <cellStyle name="Comma 5 6 6 3" xfId="3927" xr:uid="{00000000-0005-0000-0000-00007D230000}"/>
    <cellStyle name="Comma 5 6 6 3 2" xfId="16381" xr:uid="{00000000-0005-0000-0000-00007E230000}"/>
    <cellStyle name="Comma 5 6 6 3 2 2" xfId="41255" xr:uid="{00000000-0005-0000-0000-00007F230000}"/>
    <cellStyle name="Comma 5 6 6 3 3" xfId="28822" xr:uid="{00000000-0005-0000-0000-000080230000}"/>
    <cellStyle name="Comma 5 6 6 4" xfId="13863" xr:uid="{00000000-0005-0000-0000-000081230000}"/>
    <cellStyle name="Comma 5 6 6 4 2" xfId="38737" xr:uid="{00000000-0005-0000-0000-000082230000}"/>
    <cellStyle name="Comma 5 6 6 5" xfId="26296" xr:uid="{00000000-0005-0000-0000-000083230000}"/>
    <cellStyle name="Comma 5 6 7" xfId="5208" xr:uid="{00000000-0005-0000-0000-000084230000}"/>
    <cellStyle name="Comma 5 6 7 2" xfId="10224" xr:uid="{00000000-0005-0000-0000-000085230000}"/>
    <cellStyle name="Comma 5 6 7 2 2" xfId="22667" xr:uid="{00000000-0005-0000-0000-000086230000}"/>
    <cellStyle name="Comma 5 6 7 2 2 2" xfId="47541" xr:uid="{00000000-0005-0000-0000-000087230000}"/>
    <cellStyle name="Comma 5 6 7 2 3" xfId="35108" xr:uid="{00000000-0005-0000-0000-000088230000}"/>
    <cellStyle name="Comma 5 6 7 3" xfId="17660" xr:uid="{00000000-0005-0000-0000-000089230000}"/>
    <cellStyle name="Comma 5 6 7 3 2" xfId="42534" xr:uid="{00000000-0005-0000-0000-00008A230000}"/>
    <cellStyle name="Comma 5 6 7 4" xfId="30101" xr:uid="{00000000-0005-0000-0000-00008B230000}"/>
    <cellStyle name="Comma 5 6 8" xfId="7785" xr:uid="{00000000-0005-0000-0000-00008C230000}"/>
    <cellStyle name="Comma 5 6 8 2" xfId="20231" xr:uid="{00000000-0005-0000-0000-00008D230000}"/>
    <cellStyle name="Comma 5 6 8 2 2" xfId="45105" xr:uid="{00000000-0005-0000-0000-00008E230000}"/>
    <cellStyle name="Comma 5 6 8 3" xfId="32672" xr:uid="{00000000-0005-0000-0000-00008F230000}"/>
    <cellStyle name="Comma 5 6 9" xfId="11678" xr:uid="{00000000-0005-0000-0000-000090230000}"/>
    <cellStyle name="Comma 5 6 9 2" xfId="24112" xr:uid="{00000000-0005-0000-0000-000091230000}"/>
    <cellStyle name="Comma 5 6 9 2 2" xfId="48986" xr:uid="{00000000-0005-0000-0000-000092230000}"/>
    <cellStyle name="Comma 5 6 9 3" xfId="36553" xr:uid="{00000000-0005-0000-0000-000093230000}"/>
    <cellStyle name="Comma 5 7" xfId="246" xr:uid="{00000000-0005-0000-0000-000094230000}"/>
    <cellStyle name="Comma 5 7 10" xfId="6586" xr:uid="{00000000-0005-0000-0000-000095230000}"/>
    <cellStyle name="Comma 5 7 10 2" xfId="19035" xr:uid="{00000000-0005-0000-0000-000096230000}"/>
    <cellStyle name="Comma 5 7 10 2 2" xfId="43909" xr:uid="{00000000-0005-0000-0000-000097230000}"/>
    <cellStyle name="Comma 5 7 10 3" xfId="31476" xr:uid="{00000000-0005-0000-0000-000098230000}"/>
    <cellStyle name="Comma 5 7 11" xfId="2649" xr:uid="{00000000-0005-0000-0000-000099230000}"/>
    <cellStyle name="Comma 5 7 11 2" xfId="15167" xr:uid="{00000000-0005-0000-0000-00009A230000}"/>
    <cellStyle name="Comma 5 7 11 2 2" xfId="40041" xr:uid="{00000000-0005-0000-0000-00009B230000}"/>
    <cellStyle name="Comma 5 7 11 3" xfId="27600" xr:uid="{00000000-0005-0000-0000-00009C230000}"/>
    <cellStyle name="Comma 5 7 12" xfId="13068" xr:uid="{00000000-0005-0000-0000-00009D230000}"/>
    <cellStyle name="Comma 5 7 12 2" xfId="37942" xr:uid="{00000000-0005-0000-0000-00009E230000}"/>
    <cellStyle name="Comma 5 7 13" xfId="25501" xr:uid="{00000000-0005-0000-0000-00009F230000}"/>
    <cellStyle name="Comma 5 7 2" xfId="460" xr:uid="{00000000-0005-0000-0000-0000A0230000}"/>
    <cellStyle name="Comma 5 7 2 10" xfId="13273" xr:uid="{00000000-0005-0000-0000-0000A1230000}"/>
    <cellStyle name="Comma 5 7 2 10 2" xfId="38147" xr:uid="{00000000-0005-0000-0000-0000A2230000}"/>
    <cellStyle name="Comma 5 7 2 11" xfId="25706" xr:uid="{00000000-0005-0000-0000-0000A3230000}"/>
    <cellStyle name="Comma 5 7 2 2" xfId="819" xr:uid="{00000000-0005-0000-0000-0000A4230000}"/>
    <cellStyle name="Comma 5 7 2 2 2" xfId="1341" xr:uid="{00000000-0005-0000-0000-0000A5230000}"/>
    <cellStyle name="Comma 5 7 2 2 2 2" xfId="9445" xr:uid="{00000000-0005-0000-0000-0000A6230000}"/>
    <cellStyle name="Comma 5 7 2 2 2 2 2" xfId="21888" xr:uid="{00000000-0005-0000-0000-0000A7230000}"/>
    <cellStyle name="Comma 5 7 2 2 2 2 2 2" xfId="46762" xr:uid="{00000000-0005-0000-0000-0000A8230000}"/>
    <cellStyle name="Comma 5 7 2 2 2 2 3" xfId="34329" xr:uid="{00000000-0005-0000-0000-0000A9230000}"/>
    <cellStyle name="Comma 5 7 2 2 2 3" xfId="4427" xr:uid="{00000000-0005-0000-0000-0000AA230000}"/>
    <cellStyle name="Comma 5 7 2 2 2 3 2" xfId="16881" xr:uid="{00000000-0005-0000-0000-0000AB230000}"/>
    <cellStyle name="Comma 5 7 2 2 2 3 2 2" xfId="41755" xr:uid="{00000000-0005-0000-0000-0000AC230000}"/>
    <cellStyle name="Comma 5 7 2 2 2 3 3" xfId="29322" xr:uid="{00000000-0005-0000-0000-0000AD230000}"/>
    <cellStyle name="Comma 5 7 2 2 2 4" xfId="14141" xr:uid="{00000000-0005-0000-0000-0000AE230000}"/>
    <cellStyle name="Comma 5 7 2 2 2 4 2" xfId="39015" xr:uid="{00000000-0005-0000-0000-0000AF230000}"/>
    <cellStyle name="Comma 5 7 2 2 2 5" xfId="26574" xr:uid="{00000000-0005-0000-0000-0000B0230000}"/>
    <cellStyle name="Comma 5 7 2 2 3" xfId="5486" xr:uid="{00000000-0005-0000-0000-0000B1230000}"/>
    <cellStyle name="Comma 5 7 2 2 3 2" xfId="10502" xr:uid="{00000000-0005-0000-0000-0000B2230000}"/>
    <cellStyle name="Comma 5 7 2 2 3 2 2" xfId="22945" xr:uid="{00000000-0005-0000-0000-0000B3230000}"/>
    <cellStyle name="Comma 5 7 2 2 3 2 2 2" xfId="47819" xr:uid="{00000000-0005-0000-0000-0000B4230000}"/>
    <cellStyle name="Comma 5 7 2 2 3 2 3" xfId="35386" xr:uid="{00000000-0005-0000-0000-0000B5230000}"/>
    <cellStyle name="Comma 5 7 2 2 3 3" xfId="17938" xr:uid="{00000000-0005-0000-0000-0000B6230000}"/>
    <cellStyle name="Comma 5 7 2 2 3 3 2" xfId="42812" xr:uid="{00000000-0005-0000-0000-0000B7230000}"/>
    <cellStyle name="Comma 5 7 2 2 3 4" xfId="30379" xr:uid="{00000000-0005-0000-0000-0000B8230000}"/>
    <cellStyle name="Comma 5 7 2 2 4" xfId="8561" xr:uid="{00000000-0005-0000-0000-0000B9230000}"/>
    <cellStyle name="Comma 5 7 2 2 4 2" xfId="21005" xr:uid="{00000000-0005-0000-0000-0000BA230000}"/>
    <cellStyle name="Comma 5 7 2 2 4 2 2" xfId="45879" xr:uid="{00000000-0005-0000-0000-0000BB230000}"/>
    <cellStyle name="Comma 5 7 2 2 4 3" xfId="33446" xr:uid="{00000000-0005-0000-0000-0000BC230000}"/>
    <cellStyle name="Comma 5 7 2 2 5" xfId="11956" xr:uid="{00000000-0005-0000-0000-0000BD230000}"/>
    <cellStyle name="Comma 5 7 2 2 5 2" xfId="24390" xr:uid="{00000000-0005-0000-0000-0000BE230000}"/>
    <cellStyle name="Comma 5 7 2 2 5 2 2" xfId="49264" xr:uid="{00000000-0005-0000-0000-0000BF230000}"/>
    <cellStyle name="Comma 5 7 2 2 5 3" xfId="36831" xr:uid="{00000000-0005-0000-0000-0000C0230000}"/>
    <cellStyle name="Comma 5 7 2 2 6" xfId="7038" xr:uid="{00000000-0005-0000-0000-0000C1230000}"/>
    <cellStyle name="Comma 5 7 2 2 6 2" xfId="19487" xr:uid="{00000000-0005-0000-0000-0000C2230000}"/>
    <cellStyle name="Comma 5 7 2 2 6 2 2" xfId="44361" xr:uid="{00000000-0005-0000-0000-0000C3230000}"/>
    <cellStyle name="Comma 5 7 2 2 6 3" xfId="31928" xr:uid="{00000000-0005-0000-0000-0000C4230000}"/>
    <cellStyle name="Comma 5 7 2 2 7" xfId="3492" xr:uid="{00000000-0005-0000-0000-0000C5230000}"/>
    <cellStyle name="Comma 5 7 2 2 7 2" xfId="15998" xr:uid="{00000000-0005-0000-0000-0000C6230000}"/>
    <cellStyle name="Comma 5 7 2 2 7 2 2" xfId="40872" xr:uid="{00000000-0005-0000-0000-0000C7230000}"/>
    <cellStyle name="Comma 5 7 2 2 7 3" xfId="28431" xr:uid="{00000000-0005-0000-0000-0000C8230000}"/>
    <cellStyle name="Comma 5 7 2 2 8" xfId="13620" xr:uid="{00000000-0005-0000-0000-0000C9230000}"/>
    <cellStyle name="Comma 5 7 2 2 8 2" xfId="38494" xr:uid="{00000000-0005-0000-0000-0000CA230000}"/>
    <cellStyle name="Comma 5 7 2 2 9" xfId="26053" xr:uid="{00000000-0005-0000-0000-0000CB230000}"/>
    <cellStyle name="Comma 5 7 2 3" xfId="1689" xr:uid="{00000000-0005-0000-0000-0000CC230000}"/>
    <cellStyle name="Comma 5 7 2 3 2" xfId="5002" xr:uid="{00000000-0005-0000-0000-0000CD230000}"/>
    <cellStyle name="Comma 5 7 2 3 2 2" xfId="10019" xr:uid="{00000000-0005-0000-0000-0000CE230000}"/>
    <cellStyle name="Comma 5 7 2 3 2 2 2" xfId="22462" xr:uid="{00000000-0005-0000-0000-0000CF230000}"/>
    <cellStyle name="Comma 5 7 2 3 2 2 2 2" xfId="47336" xr:uid="{00000000-0005-0000-0000-0000D0230000}"/>
    <cellStyle name="Comma 5 7 2 3 2 2 3" xfId="34903" xr:uid="{00000000-0005-0000-0000-0000D1230000}"/>
    <cellStyle name="Comma 5 7 2 3 2 3" xfId="17455" xr:uid="{00000000-0005-0000-0000-0000D2230000}"/>
    <cellStyle name="Comma 5 7 2 3 2 3 2" xfId="42329" xr:uid="{00000000-0005-0000-0000-0000D3230000}"/>
    <cellStyle name="Comma 5 7 2 3 2 4" xfId="29896" xr:uid="{00000000-0005-0000-0000-0000D4230000}"/>
    <cellStyle name="Comma 5 7 2 3 3" xfId="5835" xr:uid="{00000000-0005-0000-0000-0000D5230000}"/>
    <cellStyle name="Comma 5 7 2 3 3 2" xfId="10850" xr:uid="{00000000-0005-0000-0000-0000D6230000}"/>
    <cellStyle name="Comma 5 7 2 3 3 2 2" xfId="23293" xr:uid="{00000000-0005-0000-0000-0000D7230000}"/>
    <cellStyle name="Comma 5 7 2 3 3 2 2 2" xfId="48167" xr:uid="{00000000-0005-0000-0000-0000D8230000}"/>
    <cellStyle name="Comma 5 7 2 3 3 2 3" xfId="35734" xr:uid="{00000000-0005-0000-0000-0000D9230000}"/>
    <cellStyle name="Comma 5 7 2 3 3 3" xfId="18286" xr:uid="{00000000-0005-0000-0000-0000DA230000}"/>
    <cellStyle name="Comma 5 7 2 3 3 3 2" xfId="43160" xr:uid="{00000000-0005-0000-0000-0000DB230000}"/>
    <cellStyle name="Comma 5 7 2 3 3 4" xfId="30727" xr:uid="{00000000-0005-0000-0000-0000DC230000}"/>
    <cellStyle name="Comma 5 7 2 3 4" xfId="8426" xr:uid="{00000000-0005-0000-0000-0000DD230000}"/>
    <cellStyle name="Comma 5 7 2 3 4 2" xfId="20870" xr:uid="{00000000-0005-0000-0000-0000DE230000}"/>
    <cellStyle name="Comma 5 7 2 3 4 2 2" xfId="45744" xr:uid="{00000000-0005-0000-0000-0000DF230000}"/>
    <cellStyle name="Comma 5 7 2 3 4 3" xfId="33311" xr:uid="{00000000-0005-0000-0000-0000E0230000}"/>
    <cellStyle name="Comma 5 7 2 3 5" xfId="12304" xr:uid="{00000000-0005-0000-0000-0000E1230000}"/>
    <cellStyle name="Comma 5 7 2 3 5 2" xfId="24738" xr:uid="{00000000-0005-0000-0000-0000E2230000}"/>
    <cellStyle name="Comma 5 7 2 3 5 2 2" xfId="49612" xr:uid="{00000000-0005-0000-0000-0000E3230000}"/>
    <cellStyle name="Comma 5 7 2 3 5 3" xfId="37179" xr:uid="{00000000-0005-0000-0000-0000E4230000}"/>
    <cellStyle name="Comma 5 7 2 3 6" xfId="7613" xr:uid="{00000000-0005-0000-0000-0000E5230000}"/>
    <cellStyle name="Comma 5 7 2 3 6 2" xfId="20061" xr:uid="{00000000-0005-0000-0000-0000E6230000}"/>
    <cellStyle name="Comma 5 7 2 3 6 2 2" xfId="44935" xr:uid="{00000000-0005-0000-0000-0000E7230000}"/>
    <cellStyle name="Comma 5 7 2 3 6 3" xfId="32502" xr:uid="{00000000-0005-0000-0000-0000E8230000}"/>
    <cellStyle name="Comma 5 7 2 3 7" xfId="3357" xr:uid="{00000000-0005-0000-0000-0000E9230000}"/>
    <cellStyle name="Comma 5 7 2 3 7 2" xfId="15863" xr:uid="{00000000-0005-0000-0000-0000EA230000}"/>
    <cellStyle name="Comma 5 7 2 3 7 2 2" xfId="40737" xr:uid="{00000000-0005-0000-0000-0000EB230000}"/>
    <cellStyle name="Comma 5 7 2 3 7 3" xfId="28296" xr:uid="{00000000-0005-0000-0000-0000EC230000}"/>
    <cellStyle name="Comma 5 7 2 3 8" xfId="14489" xr:uid="{00000000-0005-0000-0000-0000ED230000}"/>
    <cellStyle name="Comma 5 7 2 3 8 2" xfId="39363" xr:uid="{00000000-0005-0000-0000-0000EE230000}"/>
    <cellStyle name="Comma 5 7 2 3 9" xfId="26922" xr:uid="{00000000-0005-0000-0000-0000EF230000}"/>
    <cellStyle name="Comma 5 7 2 4" xfId="2378" xr:uid="{00000000-0005-0000-0000-0000F0230000}"/>
    <cellStyle name="Comma 5 7 2 4 2" xfId="6400" xr:uid="{00000000-0005-0000-0000-0000F1230000}"/>
    <cellStyle name="Comma 5 7 2 4 2 2" xfId="11415" xr:uid="{00000000-0005-0000-0000-0000F2230000}"/>
    <cellStyle name="Comma 5 7 2 4 2 2 2" xfId="23858" xr:uid="{00000000-0005-0000-0000-0000F3230000}"/>
    <cellStyle name="Comma 5 7 2 4 2 2 2 2" xfId="48732" xr:uid="{00000000-0005-0000-0000-0000F4230000}"/>
    <cellStyle name="Comma 5 7 2 4 2 2 3" xfId="36299" xr:uid="{00000000-0005-0000-0000-0000F5230000}"/>
    <cellStyle name="Comma 5 7 2 4 2 3" xfId="18851" xr:uid="{00000000-0005-0000-0000-0000F6230000}"/>
    <cellStyle name="Comma 5 7 2 4 2 3 2" xfId="43725" xr:uid="{00000000-0005-0000-0000-0000F7230000}"/>
    <cellStyle name="Comma 5 7 2 4 2 4" xfId="31292" xr:uid="{00000000-0005-0000-0000-0000F8230000}"/>
    <cellStyle name="Comma 5 7 2 4 3" xfId="12869" xr:uid="{00000000-0005-0000-0000-0000F9230000}"/>
    <cellStyle name="Comma 5 7 2 4 3 2" xfId="25303" xr:uid="{00000000-0005-0000-0000-0000FA230000}"/>
    <cellStyle name="Comma 5 7 2 4 3 2 2" xfId="50177" xr:uid="{00000000-0005-0000-0000-0000FB230000}"/>
    <cellStyle name="Comma 5 7 2 4 3 3" xfId="37744" xr:uid="{00000000-0005-0000-0000-0000FC230000}"/>
    <cellStyle name="Comma 5 7 2 4 4" xfId="9310" xr:uid="{00000000-0005-0000-0000-0000FD230000}"/>
    <cellStyle name="Comma 5 7 2 4 4 2" xfId="21753" xr:uid="{00000000-0005-0000-0000-0000FE230000}"/>
    <cellStyle name="Comma 5 7 2 4 4 2 2" xfId="46627" xr:uid="{00000000-0005-0000-0000-0000FF230000}"/>
    <cellStyle name="Comma 5 7 2 4 4 3" xfId="34194" xr:uid="{00000000-0005-0000-0000-000000240000}"/>
    <cellStyle name="Comma 5 7 2 4 5" xfId="4292" xr:uid="{00000000-0005-0000-0000-000001240000}"/>
    <cellStyle name="Comma 5 7 2 4 5 2" xfId="16746" xr:uid="{00000000-0005-0000-0000-000002240000}"/>
    <cellStyle name="Comma 5 7 2 4 5 2 2" xfId="41620" xr:uid="{00000000-0005-0000-0000-000003240000}"/>
    <cellStyle name="Comma 5 7 2 4 5 3" xfId="29187" xr:uid="{00000000-0005-0000-0000-000004240000}"/>
    <cellStyle name="Comma 5 7 2 4 6" xfId="15054" xr:uid="{00000000-0005-0000-0000-000005240000}"/>
    <cellStyle name="Comma 5 7 2 4 6 2" xfId="39928" xr:uid="{00000000-0005-0000-0000-000006240000}"/>
    <cellStyle name="Comma 5 7 2 4 7" xfId="27487" xr:uid="{00000000-0005-0000-0000-000007240000}"/>
    <cellStyle name="Comma 5 7 2 5" xfId="1211" xr:uid="{00000000-0005-0000-0000-000008240000}"/>
    <cellStyle name="Comma 5 7 2 5 2" xfId="10372" xr:uid="{00000000-0005-0000-0000-000009240000}"/>
    <cellStyle name="Comma 5 7 2 5 2 2" xfId="22815" xr:uid="{00000000-0005-0000-0000-00000A240000}"/>
    <cellStyle name="Comma 5 7 2 5 2 2 2" xfId="47689" xr:uid="{00000000-0005-0000-0000-00000B240000}"/>
    <cellStyle name="Comma 5 7 2 5 2 3" xfId="35256" xr:uid="{00000000-0005-0000-0000-00000C240000}"/>
    <cellStyle name="Comma 5 7 2 5 3" xfId="5356" xr:uid="{00000000-0005-0000-0000-00000D240000}"/>
    <cellStyle name="Comma 5 7 2 5 3 2" xfId="17808" xr:uid="{00000000-0005-0000-0000-00000E240000}"/>
    <cellStyle name="Comma 5 7 2 5 3 2 2" xfId="42682" xr:uid="{00000000-0005-0000-0000-00000F240000}"/>
    <cellStyle name="Comma 5 7 2 5 3 3" xfId="30249" xr:uid="{00000000-0005-0000-0000-000010240000}"/>
    <cellStyle name="Comma 5 7 2 5 4" xfId="14011" xr:uid="{00000000-0005-0000-0000-000011240000}"/>
    <cellStyle name="Comma 5 7 2 5 4 2" xfId="38885" xr:uid="{00000000-0005-0000-0000-000012240000}"/>
    <cellStyle name="Comma 5 7 2 5 5" xfId="26444" xr:uid="{00000000-0005-0000-0000-000013240000}"/>
    <cellStyle name="Comma 5 7 2 6" xfId="7933" xr:uid="{00000000-0005-0000-0000-000014240000}"/>
    <cellStyle name="Comma 5 7 2 6 2" xfId="20379" xr:uid="{00000000-0005-0000-0000-000015240000}"/>
    <cellStyle name="Comma 5 7 2 6 2 2" xfId="45253" xr:uid="{00000000-0005-0000-0000-000016240000}"/>
    <cellStyle name="Comma 5 7 2 6 3" xfId="32820" xr:uid="{00000000-0005-0000-0000-000017240000}"/>
    <cellStyle name="Comma 5 7 2 7" xfId="11826" xr:uid="{00000000-0005-0000-0000-000018240000}"/>
    <cellStyle name="Comma 5 7 2 7 2" xfId="24260" xr:uid="{00000000-0005-0000-0000-000019240000}"/>
    <cellStyle name="Comma 5 7 2 7 2 2" xfId="49134" xr:uid="{00000000-0005-0000-0000-00001A240000}"/>
    <cellStyle name="Comma 5 7 2 7 3" xfId="36701" xr:uid="{00000000-0005-0000-0000-00001B240000}"/>
    <cellStyle name="Comma 5 7 2 8" xfId="6903" xr:uid="{00000000-0005-0000-0000-00001C240000}"/>
    <cellStyle name="Comma 5 7 2 8 2" xfId="19352" xr:uid="{00000000-0005-0000-0000-00001D240000}"/>
    <cellStyle name="Comma 5 7 2 8 2 2" xfId="44226" xr:uid="{00000000-0005-0000-0000-00001E240000}"/>
    <cellStyle name="Comma 5 7 2 8 3" xfId="31793" xr:uid="{00000000-0005-0000-0000-00001F240000}"/>
    <cellStyle name="Comma 5 7 2 9" xfId="2854" xr:uid="{00000000-0005-0000-0000-000020240000}"/>
    <cellStyle name="Comma 5 7 2 9 2" xfId="15372" xr:uid="{00000000-0005-0000-0000-000021240000}"/>
    <cellStyle name="Comma 5 7 2 9 2 2" xfId="40246" xr:uid="{00000000-0005-0000-0000-000022240000}"/>
    <cellStyle name="Comma 5 7 2 9 3" xfId="27805" xr:uid="{00000000-0005-0000-0000-000023240000}"/>
    <cellStyle name="Comma 5 7 3" xfId="608" xr:uid="{00000000-0005-0000-0000-000024240000}"/>
    <cellStyle name="Comma 5 7 3 2" xfId="1340" xr:uid="{00000000-0005-0000-0000-000025240000}"/>
    <cellStyle name="Comma 5 7 3 2 2" xfId="9105" xr:uid="{00000000-0005-0000-0000-000026240000}"/>
    <cellStyle name="Comma 5 7 3 2 2 2" xfId="21548" xr:uid="{00000000-0005-0000-0000-000027240000}"/>
    <cellStyle name="Comma 5 7 3 2 2 2 2" xfId="46422" xr:uid="{00000000-0005-0000-0000-000028240000}"/>
    <cellStyle name="Comma 5 7 3 2 2 3" xfId="33989" xr:uid="{00000000-0005-0000-0000-000029240000}"/>
    <cellStyle name="Comma 5 7 3 2 3" xfId="4087" xr:uid="{00000000-0005-0000-0000-00002A240000}"/>
    <cellStyle name="Comma 5 7 3 2 3 2" xfId="16541" xr:uid="{00000000-0005-0000-0000-00002B240000}"/>
    <cellStyle name="Comma 5 7 3 2 3 2 2" xfId="41415" xr:uid="{00000000-0005-0000-0000-00002C240000}"/>
    <cellStyle name="Comma 5 7 3 2 3 3" xfId="28982" xr:uid="{00000000-0005-0000-0000-00002D240000}"/>
    <cellStyle name="Comma 5 7 3 2 4" xfId="14140" xr:uid="{00000000-0005-0000-0000-00002E240000}"/>
    <cellStyle name="Comma 5 7 3 2 4 2" xfId="39014" xr:uid="{00000000-0005-0000-0000-00002F240000}"/>
    <cellStyle name="Comma 5 7 3 2 5" xfId="26573" xr:uid="{00000000-0005-0000-0000-000030240000}"/>
    <cellStyle name="Comma 5 7 3 3" xfId="5485" xr:uid="{00000000-0005-0000-0000-000031240000}"/>
    <cellStyle name="Comma 5 7 3 3 2" xfId="10501" xr:uid="{00000000-0005-0000-0000-000032240000}"/>
    <cellStyle name="Comma 5 7 3 3 2 2" xfId="22944" xr:uid="{00000000-0005-0000-0000-000033240000}"/>
    <cellStyle name="Comma 5 7 3 3 2 2 2" xfId="47818" xr:uid="{00000000-0005-0000-0000-000034240000}"/>
    <cellStyle name="Comma 5 7 3 3 2 3" xfId="35385" xr:uid="{00000000-0005-0000-0000-000035240000}"/>
    <cellStyle name="Comma 5 7 3 3 3" xfId="17937" xr:uid="{00000000-0005-0000-0000-000036240000}"/>
    <cellStyle name="Comma 5 7 3 3 3 2" xfId="42811" xr:uid="{00000000-0005-0000-0000-000037240000}"/>
    <cellStyle name="Comma 5 7 3 3 4" xfId="30378" xr:uid="{00000000-0005-0000-0000-000038240000}"/>
    <cellStyle name="Comma 5 7 3 4" xfId="8221" xr:uid="{00000000-0005-0000-0000-000039240000}"/>
    <cellStyle name="Comma 5 7 3 4 2" xfId="20665" xr:uid="{00000000-0005-0000-0000-00003A240000}"/>
    <cellStyle name="Comma 5 7 3 4 2 2" xfId="45539" xr:uid="{00000000-0005-0000-0000-00003B240000}"/>
    <cellStyle name="Comma 5 7 3 4 3" xfId="33106" xr:uid="{00000000-0005-0000-0000-00003C240000}"/>
    <cellStyle name="Comma 5 7 3 5" xfId="11955" xr:uid="{00000000-0005-0000-0000-00003D240000}"/>
    <cellStyle name="Comma 5 7 3 5 2" xfId="24389" xr:uid="{00000000-0005-0000-0000-00003E240000}"/>
    <cellStyle name="Comma 5 7 3 5 2 2" xfId="49263" xr:uid="{00000000-0005-0000-0000-00003F240000}"/>
    <cellStyle name="Comma 5 7 3 5 3" xfId="36830" xr:uid="{00000000-0005-0000-0000-000040240000}"/>
    <cellStyle name="Comma 5 7 3 6" xfId="6698" xr:uid="{00000000-0005-0000-0000-000041240000}"/>
    <cellStyle name="Comma 5 7 3 6 2" xfId="19147" xr:uid="{00000000-0005-0000-0000-000042240000}"/>
    <cellStyle name="Comma 5 7 3 6 2 2" xfId="44021" xr:uid="{00000000-0005-0000-0000-000043240000}"/>
    <cellStyle name="Comma 5 7 3 6 3" xfId="31588" xr:uid="{00000000-0005-0000-0000-000044240000}"/>
    <cellStyle name="Comma 5 7 3 7" xfId="3152" xr:uid="{00000000-0005-0000-0000-000045240000}"/>
    <cellStyle name="Comma 5 7 3 7 2" xfId="15658" xr:uid="{00000000-0005-0000-0000-000046240000}"/>
    <cellStyle name="Comma 5 7 3 7 2 2" xfId="40532" xr:uid="{00000000-0005-0000-0000-000047240000}"/>
    <cellStyle name="Comma 5 7 3 7 3" xfId="28091" xr:uid="{00000000-0005-0000-0000-000048240000}"/>
    <cellStyle name="Comma 5 7 3 8" xfId="13415" xr:uid="{00000000-0005-0000-0000-000049240000}"/>
    <cellStyle name="Comma 5 7 3 8 2" xfId="38289" xr:uid="{00000000-0005-0000-0000-00004A240000}"/>
    <cellStyle name="Comma 5 7 3 9" xfId="25848" xr:uid="{00000000-0005-0000-0000-00004B240000}"/>
    <cellStyle name="Comma 5 7 4" xfId="1688" xr:uid="{00000000-0005-0000-0000-00004C240000}"/>
    <cellStyle name="Comma 5 7 4 2" xfId="4426" xr:uid="{00000000-0005-0000-0000-00004D240000}"/>
    <cellStyle name="Comma 5 7 4 2 2" xfId="9444" xr:uid="{00000000-0005-0000-0000-00004E240000}"/>
    <cellStyle name="Comma 5 7 4 2 2 2" xfId="21887" xr:uid="{00000000-0005-0000-0000-00004F240000}"/>
    <cellStyle name="Comma 5 7 4 2 2 2 2" xfId="46761" xr:uid="{00000000-0005-0000-0000-000050240000}"/>
    <cellStyle name="Comma 5 7 4 2 2 3" xfId="34328" xr:uid="{00000000-0005-0000-0000-000051240000}"/>
    <cellStyle name="Comma 5 7 4 2 3" xfId="16880" xr:uid="{00000000-0005-0000-0000-000052240000}"/>
    <cellStyle name="Comma 5 7 4 2 3 2" xfId="41754" xr:uid="{00000000-0005-0000-0000-000053240000}"/>
    <cellStyle name="Comma 5 7 4 2 4" xfId="29321" xr:uid="{00000000-0005-0000-0000-000054240000}"/>
    <cellStyle name="Comma 5 7 4 3" xfId="5834" xr:uid="{00000000-0005-0000-0000-000055240000}"/>
    <cellStyle name="Comma 5 7 4 3 2" xfId="10849" xr:uid="{00000000-0005-0000-0000-000056240000}"/>
    <cellStyle name="Comma 5 7 4 3 2 2" xfId="23292" xr:uid="{00000000-0005-0000-0000-000057240000}"/>
    <cellStyle name="Comma 5 7 4 3 2 2 2" xfId="48166" xr:uid="{00000000-0005-0000-0000-000058240000}"/>
    <cellStyle name="Comma 5 7 4 3 2 3" xfId="35733" xr:uid="{00000000-0005-0000-0000-000059240000}"/>
    <cellStyle name="Comma 5 7 4 3 3" xfId="18285" xr:uid="{00000000-0005-0000-0000-00005A240000}"/>
    <cellStyle name="Comma 5 7 4 3 3 2" xfId="43159" xr:uid="{00000000-0005-0000-0000-00005B240000}"/>
    <cellStyle name="Comma 5 7 4 3 4" xfId="30726" xr:uid="{00000000-0005-0000-0000-00005C240000}"/>
    <cellStyle name="Comma 5 7 4 4" xfId="8560" xr:uid="{00000000-0005-0000-0000-00005D240000}"/>
    <cellStyle name="Comma 5 7 4 4 2" xfId="21004" xr:uid="{00000000-0005-0000-0000-00005E240000}"/>
    <cellStyle name="Comma 5 7 4 4 2 2" xfId="45878" xr:uid="{00000000-0005-0000-0000-00005F240000}"/>
    <cellStyle name="Comma 5 7 4 4 3" xfId="33445" xr:uid="{00000000-0005-0000-0000-000060240000}"/>
    <cellStyle name="Comma 5 7 4 5" xfId="12303" xr:uid="{00000000-0005-0000-0000-000061240000}"/>
    <cellStyle name="Comma 5 7 4 5 2" xfId="24737" xr:uid="{00000000-0005-0000-0000-000062240000}"/>
    <cellStyle name="Comma 5 7 4 5 2 2" xfId="49611" xr:uid="{00000000-0005-0000-0000-000063240000}"/>
    <cellStyle name="Comma 5 7 4 5 3" xfId="37178" xr:uid="{00000000-0005-0000-0000-000064240000}"/>
    <cellStyle name="Comma 5 7 4 6" xfId="7037" xr:uid="{00000000-0005-0000-0000-000065240000}"/>
    <cellStyle name="Comma 5 7 4 6 2" xfId="19486" xr:uid="{00000000-0005-0000-0000-000066240000}"/>
    <cellStyle name="Comma 5 7 4 6 2 2" xfId="44360" xr:uid="{00000000-0005-0000-0000-000067240000}"/>
    <cellStyle name="Comma 5 7 4 6 3" xfId="31927" xr:uid="{00000000-0005-0000-0000-000068240000}"/>
    <cellStyle name="Comma 5 7 4 7" xfId="3491" xr:uid="{00000000-0005-0000-0000-000069240000}"/>
    <cellStyle name="Comma 5 7 4 7 2" xfId="15997" xr:uid="{00000000-0005-0000-0000-00006A240000}"/>
    <cellStyle name="Comma 5 7 4 7 2 2" xfId="40871" xr:uid="{00000000-0005-0000-0000-00006B240000}"/>
    <cellStyle name="Comma 5 7 4 7 3" xfId="28430" xr:uid="{00000000-0005-0000-0000-00006C240000}"/>
    <cellStyle name="Comma 5 7 4 8" xfId="14488" xr:uid="{00000000-0005-0000-0000-00006D240000}"/>
    <cellStyle name="Comma 5 7 4 8 2" xfId="39362" xr:uid="{00000000-0005-0000-0000-00006E240000}"/>
    <cellStyle name="Comma 5 7 4 9" xfId="26921" xr:uid="{00000000-0005-0000-0000-00006F240000}"/>
    <cellStyle name="Comma 5 7 5" xfId="2164" xr:uid="{00000000-0005-0000-0000-000070240000}"/>
    <cellStyle name="Comma 5 7 5 2" xfId="4797" xr:uid="{00000000-0005-0000-0000-000071240000}"/>
    <cellStyle name="Comma 5 7 5 2 2" xfId="9814" xr:uid="{00000000-0005-0000-0000-000072240000}"/>
    <cellStyle name="Comma 5 7 5 2 2 2" xfId="22257" xr:uid="{00000000-0005-0000-0000-000073240000}"/>
    <cellStyle name="Comma 5 7 5 2 2 2 2" xfId="47131" xr:uid="{00000000-0005-0000-0000-000074240000}"/>
    <cellStyle name="Comma 5 7 5 2 2 3" xfId="34698" xr:uid="{00000000-0005-0000-0000-000075240000}"/>
    <cellStyle name="Comma 5 7 5 2 3" xfId="17250" xr:uid="{00000000-0005-0000-0000-000076240000}"/>
    <cellStyle name="Comma 5 7 5 2 3 2" xfId="42124" xr:uid="{00000000-0005-0000-0000-000077240000}"/>
    <cellStyle name="Comma 5 7 5 2 4" xfId="29691" xr:uid="{00000000-0005-0000-0000-000078240000}"/>
    <cellStyle name="Comma 5 7 5 3" xfId="6195" xr:uid="{00000000-0005-0000-0000-000079240000}"/>
    <cellStyle name="Comma 5 7 5 3 2" xfId="11210" xr:uid="{00000000-0005-0000-0000-00007A240000}"/>
    <cellStyle name="Comma 5 7 5 3 2 2" xfId="23653" xr:uid="{00000000-0005-0000-0000-00007B240000}"/>
    <cellStyle name="Comma 5 7 5 3 2 2 2" xfId="48527" xr:uid="{00000000-0005-0000-0000-00007C240000}"/>
    <cellStyle name="Comma 5 7 5 3 2 3" xfId="36094" xr:uid="{00000000-0005-0000-0000-00007D240000}"/>
    <cellStyle name="Comma 5 7 5 3 3" xfId="18646" xr:uid="{00000000-0005-0000-0000-00007E240000}"/>
    <cellStyle name="Comma 5 7 5 3 3 2" xfId="43520" xr:uid="{00000000-0005-0000-0000-00007F240000}"/>
    <cellStyle name="Comma 5 7 5 3 4" xfId="31087" xr:uid="{00000000-0005-0000-0000-000080240000}"/>
    <cellStyle name="Comma 5 7 5 4" xfId="8107" xr:uid="{00000000-0005-0000-0000-000081240000}"/>
    <cellStyle name="Comma 5 7 5 4 2" xfId="20553" xr:uid="{00000000-0005-0000-0000-000082240000}"/>
    <cellStyle name="Comma 5 7 5 4 2 2" xfId="45427" xr:uid="{00000000-0005-0000-0000-000083240000}"/>
    <cellStyle name="Comma 5 7 5 4 3" xfId="32994" xr:uid="{00000000-0005-0000-0000-000084240000}"/>
    <cellStyle name="Comma 5 7 5 5" xfId="12664" xr:uid="{00000000-0005-0000-0000-000085240000}"/>
    <cellStyle name="Comma 5 7 5 5 2" xfId="25098" xr:uid="{00000000-0005-0000-0000-000086240000}"/>
    <cellStyle name="Comma 5 7 5 5 2 2" xfId="49972" xr:uid="{00000000-0005-0000-0000-000087240000}"/>
    <cellStyle name="Comma 5 7 5 5 3" xfId="37539" xr:uid="{00000000-0005-0000-0000-000088240000}"/>
    <cellStyle name="Comma 5 7 5 6" xfId="7408" xr:uid="{00000000-0005-0000-0000-000089240000}"/>
    <cellStyle name="Comma 5 7 5 6 2" xfId="19856" xr:uid="{00000000-0005-0000-0000-00008A240000}"/>
    <cellStyle name="Comma 5 7 5 6 2 2" xfId="44730" xr:uid="{00000000-0005-0000-0000-00008B240000}"/>
    <cellStyle name="Comma 5 7 5 6 3" xfId="32297" xr:uid="{00000000-0005-0000-0000-00008C240000}"/>
    <cellStyle name="Comma 5 7 5 7" xfId="3037" xr:uid="{00000000-0005-0000-0000-00008D240000}"/>
    <cellStyle name="Comma 5 7 5 7 2" xfId="15546" xr:uid="{00000000-0005-0000-0000-00008E240000}"/>
    <cellStyle name="Comma 5 7 5 7 2 2" xfId="40420" xr:uid="{00000000-0005-0000-0000-00008F240000}"/>
    <cellStyle name="Comma 5 7 5 7 3" xfId="27979" xr:uid="{00000000-0005-0000-0000-000090240000}"/>
    <cellStyle name="Comma 5 7 5 8" xfId="14849" xr:uid="{00000000-0005-0000-0000-000091240000}"/>
    <cellStyle name="Comma 5 7 5 8 2" xfId="39723" xr:uid="{00000000-0005-0000-0000-000092240000}"/>
    <cellStyle name="Comma 5 7 5 9" xfId="27282" xr:uid="{00000000-0005-0000-0000-000093240000}"/>
    <cellStyle name="Comma 5 7 6" xfId="1006" xr:uid="{00000000-0005-0000-0000-000094240000}"/>
    <cellStyle name="Comma 5 7 6 2" xfId="8993" xr:uid="{00000000-0005-0000-0000-000095240000}"/>
    <cellStyle name="Comma 5 7 6 2 2" xfId="21436" xr:uid="{00000000-0005-0000-0000-000096240000}"/>
    <cellStyle name="Comma 5 7 6 2 2 2" xfId="46310" xr:uid="{00000000-0005-0000-0000-000097240000}"/>
    <cellStyle name="Comma 5 7 6 2 3" xfId="33877" xr:uid="{00000000-0005-0000-0000-000098240000}"/>
    <cellStyle name="Comma 5 7 6 3" xfId="3975" xr:uid="{00000000-0005-0000-0000-000099240000}"/>
    <cellStyle name="Comma 5 7 6 3 2" xfId="16429" xr:uid="{00000000-0005-0000-0000-00009A240000}"/>
    <cellStyle name="Comma 5 7 6 3 2 2" xfId="41303" xr:uid="{00000000-0005-0000-0000-00009B240000}"/>
    <cellStyle name="Comma 5 7 6 3 3" xfId="28870" xr:uid="{00000000-0005-0000-0000-00009C240000}"/>
    <cellStyle name="Comma 5 7 6 4" xfId="13806" xr:uid="{00000000-0005-0000-0000-00009D240000}"/>
    <cellStyle name="Comma 5 7 6 4 2" xfId="38680" xr:uid="{00000000-0005-0000-0000-00009E240000}"/>
    <cellStyle name="Comma 5 7 6 5" xfId="26239" xr:uid="{00000000-0005-0000-0000-00009F240000}"/>
    <cellStyle name="Comma 5 7 7" xfId="5151" xr:uid="{00000000-0005-0000-0000-0000A0240000}"/>
    <cellStyle name="Comma 5 7 7 2" xfId="10167" xr:uid="{00000000-0005-0000-0000-0000A1240000}"/>
    <cellStyle name="Comma 5 7 7 2 2" xfId="22610" xr:uid="{00000000-0005-0000-0000-0000A2240000}"/>
    <cellStyle name="Comma 5 7 7 2 2 2" xfId="47484" xr:uid="{00000000-0005-0000-0000-0000A3240000}"/>
    <cellStyle name="Comma 5 7 7 2 3" xfId="35051" xr:uid="{00000000-0005-0000-0000-0000A4240000}"/>
    <cellStyle name="Comma 5 7 7 3" xfId="17603" xr:uid="{00000000-0005-0000-0000-0000A5240000}"/>
    <cellStyle name="Comma 5 7 7 3 2" xfId="42477" xr:uid="{00000000-0005-0000-0000-0000A6240000}"/>
    <cellStyle name="Comma 5 7 7 4" xfId="30044" xr:uid="{00000000-0005-0000-0000-0000A7240000}"/>
    <cellStyle name="Comma 5 7 8" xfId="7728" xr:uid="{00000000-0005-0000-0000-0000A8240000}"/>
    <cellStyle name="Comma 5 7 8 2" xfId="20174" xr:uid="{00000000-0005-0000-0000-0000A9240000}"/>
    <cellStyle name="Comma 5 7 8 2 2" xfId="45048" xr:uid="{00000000-0005-0000-0000-0000AA240000}"/>
    <cellStyle name="Comma 5 7 8 3" xfId="32615" xr:uid="{00000000-0005-0000-0000-0000AB240000}"/>
    <cellStyle name="Comma 5 7 9" xfId="11621" xr:uid="{00000000-0005-0000-0000-0000AC240000}"/>
    <cellStyle name="Comma 5 7 9 2" xfId="24055" xr:uid="{00000000-0005-0000-0000-0000AD240000}"/>
    <cellStyle name="Comma 5 7 9 2 2" xfId="48929" xr:uid="{00000000-0005-0000-0000-0000AE240000}"/>
    <cellStyle name="Comma 5 7 9 3" xfId="36496" xr:uid="{00000000-0005-0000-0000-0000AF240000}"/>
    <cellStyle name="Comma 5 8" xfId="516" xr:uid="{00000000-0005-0000-0000-0000B0240000}"/>
    <cellStyle name="Comma 5 8 10" xfId="2910" xr:uid="{00000000-0005-0000-0000-0000B1240000}"/>
    <cellStyle name="Comma 5 8 10 2" xfId="15428" xr:uid="{00000000-0005-0000-0000-0000B2240000}"/>
    <cellStyle name="Comma 5 8 10 2 2" xfId="40302" xr:uid="{00000000-0005-0000-0000-0000B3240000}"/>
    <cellStyle name="Comma 5 8 10 3" xfId="27861" xr:uid="{00000000-0005-0000-0000-0000B4240000}"/>
    <cellStyle name="Comma 5 8 11" xfId="13329" xr:uid="{00000000-0005-0000-0000-0000B5240000}"/>
    <cellStyle name="Comma 5 8 11 2" xfId="38203" xr:uid="{00000000-0005-0000-0000-0000B6240000}"/>
    <cellStyle name="Comma 5 8 12" xfId="25762" xr:uid="{00000000-0005-0000-0000-0000B7240000}"/>
    <cellStyle name="Comma 5 8 2" xfId="875" xr:uid="{00000000-0005-0000-0000-0000B8240000}"/>
    <cellStyle name="Comma 5 8 2 2" xfId="1342" xr:uid="{00000000-0005-0000-0000-0000B9240000}"/>
    <cellStyle name="Comma 5 8 2 2 2" xfId="9366" xr:uid="{00000000-0005-0000-0000-0000BA240000}"/>
    <cellStyle name="Comma 5 8 2 2 2 2" xfId="21809" xr:uid="{00000000-0005-0000-0000-0000BB240000}"/>
    <cellStyle name="Comma 5 8 2 2 2 2 2" xfId="46683" xr:uid="{00000000-0005-0000-0000-0000BC240000}"/>
    <cellStyle name="Comma 5 8 2 2 2 3" xfId="34250" xr:uid="{00000000-0005-0000-0000-0000BD240000}"/>
    <cellStyle name="Comma 5 8 2 2 3" xfId="4348" xr:uid="{00000000-0005-0000-0000-0000BE240000}"/>
    <cellStyle name="Comma 5 8 2 2 3 2" xfId="16802" xr:uid="{00000000-0005-0000-0000-0000BF240000}"/>
    <cellStyle name="Comma 5 8 2 2 3 2 2" xfId="41676" xr:uid="{00000000-0005-0000-0000-0000C0240000}"/>
    <cellStyle name="Comma 5 8 2 2 3 3" xfId="29243" xr:uid="{00000000-0005-0000-0000-0000C1240000}"/>
    <cellStyle name="Comma 5 8 2 2 4" xfId="14142" xr:uid="{00000000-0005-0000-0000-0000C2240000}"/>
    <cellStyle name="Comma 5 8 2 2 4 2" xfId="39016" xr:uid="{00000000-0005-0000-0000-0000C3240000}"/>
    <cellStyle name="Comma 5 8 2 2 5" xfId="26575" xr:uid="{00000000-0005-0000-0000-0000C4240000}"/>
    <cellStyle name="Comma 5 8 2 3" xfId="5487" xr:uid="{00000000-0005-0000-0000-0000C5240000}"/>
    <cellStyle name="Comma 5 8 2 3 2" xfId="10503" xr:uid="{00000000-0005-0000-0000-0000C6240000}"/>
    <cellStyle name="Comma 5 8 2 3 2 2" xfId="22946" xr:uid="{00000000-0005-0000-0000-0000C7240000}"/>
    <cellStyle name="Comma 5 8 2 3 2 2 2" xfId="47820" xr:uid="{00000000-0005-0000-0000-0000C8240000}"/>
    <cellStyle name="Comma 5 8 2 3 2 3" xfId="35387" xr:uid="{00000000-0005-0000-0000-0000C9240000}"/>
    <cellStyle name="Comma 5 8 2 3 3" xfId="17939" xr:uid="{00000000-0005-0000-0000-0000CA240000}"/>
    <cellStyle name="Comma 5 8 2 3 3 2" xfId="42813" xr:uid="{00000000-0005-0000-0000-0000CB240000}"/>
    <cellStyle name="Comma 5 8 2 3 4" xfId="30380" xr:uid="{00000000-0005-0000-0000-0000CC240000}"/>
    <cellStyle name="Comma 5 8 2 4" xfId="8482" xr:uid="{00000000-0005-0000-0000-0000CD240000}"/>
    <cellStyle name="Comma 5 8 2 4 2" xfId="20926" xr:uid="{00000000-0005-0000-0000-0000CE240000}"/>
    <cellStyle name="Comma 5 8 2 4 2 2" xfId="45800" xr:uid="{00000000-0005-0000-0000-0000CF240000}"/>
    <cellStyle name="Comma 5 8 2 4 3" xfId="33367" xr:uid="{00000000-0005-0000-0000-0000D0240000}"/>
    <cellStyle name="Comma 5 8 2 5" xfId="11957" xr:uid="{00000000-0005-0000-0000-0000D1240000}"/>
    <cellStyle name="Comma 5 8 2 5 2" xfId="24391" xr:uid="{00000000-0005-0000-0000-0000D2240000}"/>
    <cellStyle name="Comma 5 8 2 5 2 2" xfId="49265" xr:uid="{00000000-0005-0000-0000-0000D3240000}"/>
    <cellStyle name="Comma 5 8 2 5 3" xfId="36832" xr:uid="{00000000-0005-0000-0000-0000D4240000}"/>
    <cellStyle name="Comma 5 8 2 6" xfId="6959" xr:uid="{00000000-0005-0000-0000-0000D5240000}"/>
    <cellStyle name="Comma 5 8 2 6 2" xfId="19408" xr:uid="{00000000-0005-0000-0000-0000D6240000}"/>
    <cellStyle name="Comma 5 8 2 6 2 2" xfId="44282" xr:uid="{00000000-0005-0000-0000-0000D7240000}"/>
    <cellStyle name="Comma 5 8 2 6 3" xfId="31849" xr:uid="{00000000-0005-0000-0000-0000D8240000}"/>
    <cellStyle name="Comma 5 8 2 7" xfId="3413" xr:uid="{00000000-0005-0000-0000-0000D9240000}"/>
    <cellStyle name="Comma 5 8 2 7 2" xfId="15919" xr:uid="{00000000-0005-0000-0000-0000DA240000}"/>
    <cellStyle name="Comma 5 8 2 7 2 2" xfId="40793" xr:uid="{00000000-0005-0000-0000-0000DB240000}"/>
    <cellStyle name="Comma 5 8 2 7 3" xfId="28352" xr:uid="{00000000-0005-0000-0000-0000DC240000}"/>
    <cellStyle name="Comma 5 8 2 8" xfId="13676" xr:uid="{00000000-0005-0000-0000-0000DD240000}"/>
    <cellStyle name="Comma 5 8 2 8 2" xfId="38550" xr:uid="{00000000-0005-0000-0000-0000DE240000}"/>
    <cellStyle name="Comma 5 8 2 9" xfId="26109" xr:uid="{00000000-0005-0000-0000-0000DF240000}"/>
    <cellStyle name="Comma 5 8 3" xfId="1690" xr:uid="{00000000-0005-0000-0000-0000E0240000}"/>
    <cellStyle name="Comma 5 8 3 2" xfId="4428" xr:uid="{00000000-0005-0000-0000-0000E1240000}"/>
    <cellStyle name="Comma 5 8 3 2 2" xfId="9446" xr:uid="{00000000-0005-0000-0000-0000E2240000}"/>
    <cellStyle name="Comma 5 8 3 2 2 2" xfId="21889" xr:uid="{00000000-0005-0000-0000-0000E3240000}"/>
    <cellStyle name="Comma 5 8 3 2 2 2 2" xfId="46763" xr:uid="{00000000-0005-0000-0000-0000E4240000}"/>
    <cellStyle name="Comma 5 8 3 2 2 3" xfId="34330" xr:uid="{00000000-0005-0000-0000-0000E5240000}"/>
    <cellStyle name="Comma 5 8 3 2 3" xfId="16882" xr:uid="{00000000-0005-0000-0000-0000E6240000}"/>
    <cellStyle name="Comma 5 8 3 2 3 2" xfId="41756" xr:uid="{00000000-0005-0000-0000-0000E7240000}"/>
    <cellStyle name="Comma 5 8 3 2 4" xfId="29323" xr:uid="{00000000-0005-0000-0000-0000E8240000}"/>
    <cellStyle name="Comma 5 8 3 3" xfId="5836" xr:uid="{00000000-0005-0000-0000-0000E9240000}"/>
    <cellStyle name="Comma 5 8 3 3 2" xfId="10851" xr:uid="{00000000-0005-0000-0000-0000EA240000}"/>
    <cellStyle name="Comma 5 8 3 3 2 2" xfId="23294" xr:uid="{00000000-0005-0000-0000-0000EB240000}"/>
    <cellStyle name="Comma 5 8 3 3 2 2 2" xfId="48168" xr:uid="{00000000-0005-0000-0000-0000EC240000}"/>
    <cellStyle name="Comma 5 8 3 3 2 3" xfId="35735" xr:uid="{00000000-0005-0000-0000-0000ED240000}"/>
    <cellStyle name="Comma 5 8 3 3 3" xfId="18287" xr:uid="{00000000-0005-0000-0000-0000EE240000}"/>
    <cellStyle name="Comma 5 8 3 3 3 2" xfId="43161" xr:uid="{00000000-0005-0000-0000-0000EF240000}"/>
    <cellStyle name="Comma 5 8 3 3 4" xfId="30728" xr:uid="{00000000-0005-0000-0000-0000F0240000}"/>
    <cellStyle name="Comma 5 8 3 4" xfId="8562" xr:uid="{00000000-0005-0000-0000-0000F1240000}"/>
    <cellStyle name="Comma 5 8 3 4 2" xfId="21006" xr:uid="{00000000-0005-0000-0000-0000F2240000}"/>
    <cellStyle name="Comma 5 8 3 4 2 2" xfId="45880" xr:uid="{00000000-0005-0000-0000-0000F3240000}"/>
    <cellStyle name="Comma 5 8 3 4 3" xfId="33447" xr:uid="{00000000-0005-0000-0000-0000F4240000}"/>
    <cellStyle name="Comma 5 8 3 5" xfId="12305" xr:uid="{00000000-0005-0000-0000-0000F5240000}"/>
    <cellStyle name="Comma 5 8 3 5 2" xfId="24739" xr:uid="{00000000-0005-0000-0000-0000F6240000}"/>
    <cellStyle name="Comma 5 8 3 5 2 2" xfId="49613" xr:uid="{00000000-0005-0000-0000-0000F7240000}"/>
    <cellStyle name="Comma 5 8 3 5 3" xfId="37180" xr:uid="{00000000-0005-0000-0000-0000F8240000}"/>
    <cellStyle name="Comma 5 8 3 6" xfId="7039" xr:uid="{00000000-0005-0000-0000-0000F9240000}"/>
    <cellStyle name="Comma 5 8 3 6 2" xfId="19488" xr:uid="{00000000-0005-0000-0000-0000FA240000}"/>
    <cellStyle name="Comma 5 8 3 6 2 2" xfId="44362" xr:uid="{00000000-0005-0000-0000-0000FB240000}"/>
    <cellStyle name="Comma 5 8 3 6 3" xfId="31929" xr:uid="{00000000-0005-0000-0000-0000FC240000}"/>
    <cellStyle name="Comma 5 8 3 7" xfId="3493" xr:uid="{00000000-0005-0000-0000-0000FD240000}"/>
    <cellStyle name="Comma 5 8 3 7 2" xfId="15999" xr:uid="{00000000-0005-0000-0000-0000FE240000}"/>
    <cellStyle name="Comma 5 8 3 7 2 2" xfId="40873" xr:uid="{00000000-0005-0000-0000-0000FF240000}"/>
    <cellStyle name="Comma 5 8 3 7 3" xfId="28432" xr:uid="{00000000-0005-0000-0000-000000250000}"/>
    <cellStyle name="Comma 5 8 3 8" xfId="14490" xr:uid="{00000000-0005-0000-0000-000001250000}"/>
    <cellStyle name="Comma 5 8 3 8 2" xfId="39364" xr:uid="{00000000-0005-0000-0000-000002250000}"/>
    <cellStyle name="Comma 5 8 3 9" xfId="26923" xr:uid="{00000000-0005-0000-0000-000003250000}"/>
    <cellStyle name="Comma 5 8 4" xfId="2434" xr:uid="{00000000-0005-0000-0000-000004250000}"/>
    <cellStyle name="Comma 5 8 4 2" xfId="5058" xr:uid="{00000000-0005-0000-0000-000005250000}"/>
    <cellStyle name="Comma 5 8 4 2 2" xfId="10075" xr:uid="{00000000-0005-0000-0000-000006250000}"/>
    <cellStyle name="Comma 5 8 4 2 2 2" xfId="22518" xr:uid="{00000000-0005-0000-0000-000007250000}"/>
    <cellStyle name="Comma 5 8 4 2 2 2 2" xfId="47392" xr:uid="{00000000-0005-0000-0000-000008250000}"/>
    <cellStyle name="Comma 5 8 4 2 2 3" xfId="34959" xr:uid="{00000000-0005-0000-0000-000009250000}"/>
    <cellStyle name="Comma 5 8 4 2 3" xfId="17511" xr:uid="{00000000-0005-0000-0000-00000A250000}"/>
    <cellStyle name="Comma 5 8 4 2 3 2" xfId="42385" xr:uid="{00000000-0005-0000-0000-00000B250000}"/>
    <cellStyle name="Comma 5 8 4 2 4" xfId="29952" xr:uid="{00000000-0005-0000-0000-00000C250000}"/>
    <cellStyle name="Comma 5 8 4 3" xfId="6456" xr:uid="{00000000-0005-0000-0000-00000D250000}"/>
    <cellStyle name="Comma 5 8 4 3 2" xfId="11471" xr:uid="{00000000-0005-0000-0000-00000E250000}"/>
    <cellStyle name="Comma 5 8 4 3 2 2" xfId="23914" xr:uid="{00000000-0005-0000-0000-00000F250000}"/>
    <cellStyle name="Comma 5 8 4 3 2 2 2" xfId="48788" xr:uid="{00000000-0005-0000-0000-000010250000}"/>
    <cellStyle name="Comma 5 8 4 3 2 3" xfId="36355" xr:uid="{00000000-0005-0000-0000-000011250000}"/>
    <cellStyle name="Comma 5 8 4 3 3" xfId="18907" xr:uid="{00000000-0005-0000-0000-000012250000}"/>
    <cellStyle name="Comma 5 8 4 3 3 2" xfId="43781" xr:uid="{00000000-0005-0000-0000-000013250000}"/>
    <cellStyle name="Comma 5 8 4 3 4" xfId="31348" xr:uid="{00000000-0005-0000-0000-000014250000}"/>
    <cellStyle name="Comma 5 8 4 4" xfId="8163" xr:uid="{00000000-0005-0000-0000-000015250000}"/>
    <cellStyle name="Comma 5 8 4 4 2" xfId="20609" xr:uid="{00000000-0005-0000-0000-000016250000}"/>
    <cellStyle name="Comma 5 8 4 4 2 2" xfId="45483" xr:uid="{00000000-0005-0000-0000-000017250000}"/>
    <cellStyle name="Comma 5 8 4 4 3" xfId="33050" xr:uid="{00000000-0005-0000-0000-000018250000}"/>
    <cellStyle name="Comma 5 8 4 5" xfId="12925" xr:uid="{00000000-0005-0000-0000-000019250000}"/>
    <cellStyle name="Comma 5 8 4 5 2" xfId="25359" xr:uid="{00000000-0005-0000-0000-00001A250000}"/>
    <cellStyle name="Comma 5 8 4 5 2 2" xfId="50233" xr:uid="{00000000-0005-0000-0000-00001B250000}"/>
    <cellStyle name="Comma 5 8 4 5 3" xfId="37800" xr:uid="{00000000-0005-0000-0000-00001C250000}"/>
    <cellStyle name="Comma 5 8 4 6" xfId="7669" xr:uid="{00000000-0005-0000-0000-00001D250000}"/>
    <cellStyle name="Comma 5 8 4 6 2" xfId="20117" xr:uid="{00000000-0005-0000-0000-00001E250000}"/>
    <cellStyle name="Comma 5 8 4 6 2 2" xfId="44991" xr:uid="{00000000-0005-0000-0000-00001F250000}"/>
    <cellStyle name="Comma 5 8 4 6 3" xfId="32558" xr:uid="{00000000-0005-0000-0000-000020250000}"/>
    <cellStyle name="Comma 5 8 4 7" xfId="3093" xr:uid="{00000000-0005-0000-0000-000021250000}"/>
    <cellStyle name="Comma 5 8 4 7 2" xfId="15602" xr:uid="{00000000-0005-0000-0000-000022250000}"/>
    <cellStyle name="Comma 5 8 4 7 2 2" xfId="40476" xr:uid="{00000000-0005-0000-0000-000023250000}"/>
    <cellStyle name="Comma 5 8 4 7 3" xfId="28035" xr:uid="{00000000-0005-0000-0000-000024250000}"/>
    <cellStyle name="Comma 5 8 4 8" xfId="15110" xr:uid="{00000000-0005-0000-0000-000025250000}"/>
    <cellStyle name="Comma 5 8 4 8 2" xfId="39984" xr:uid="{00000000-0005-0000-0000-000026250000}"/>
    <cellStyle name="Comma 5 8 4 9" xfId="27543" xr:uid="{00000000-0005-0000-0000-000027250000}"/>
    <cellStyle name="Comma 5 8 5" xfId="1267" xr:uid="{00000000-0005-0000-0000-000028250000}"/>
    <cellStyle name="Comma 5 8 5 2" xfId="9049" xr:uid="{00000000-0005-0000-0000-000029250000}"/>
    <cellStyle name="Comma 5 8 5 2 2" xfId="21492" xr:uid="{00000000-0005-0000-0000-00002A250000}"/>
    <cellStyle name="Comma 5 8 5 2 2 2" xfId="46366" xr:uid="{00000000-0005-0000-0000-00002B250000}"/>
    <cellStyle name="Comma 5 8 5 2 3" xfId="33933" xr:uid="{00000000-0005-0000-0000-00002C250000}"/>
    <cellStyle name="Comma 5 8 5 3" xfId="4031" xr:uid="{00000000-0005-0000-0000-00002D250000}"/>
    <cellStyle name="Comma 5 8 5 3 2" xfId="16485" xr:uid="{00000000-0005-0000-0000-00002E250000}"/>
    <cellStyle name="Comma 5 8 5 3 2 2" xfId="41359" xr:uid="{00000000-0005-0000-0000-00002F250000}"/>
    <cellStyle name="Comma 5 8 5 3 3" xfId="28926" xr:uid="{00000000-0005-0000-0000-000030250000}"/>
    <cellStyle name="Comma 5 8 5 4" xfId="14067" xr:uid="{00000000-0005-0000-0000-000031250000}"/>
    <cellStyle name="Comma 5 8 5 4 2" xfId="38941" xr:uid="{00000000-0005-0000-0000-000032250000}"/>
    <cellStyle name="Comma 5 8 5 5" xfId="26500" xr:uid="{00000000-0005-0000-0000-000033250000}"/>
    <cellStyle name="Comma 5 8 6" xfId="5412" xr:uid="{00000000-0005-0000-0000-000034250000}"/>
    <cellStyle name="Comma 5 8 6 2" xfId="10428" xr:uid="{00000000-0005-0000-0000-000035250000}"/>
    <cellStyle name="Comma 5 8 6 2 2" xfId="22871" xr:uid="{00000000-0005-0000-0000-000036250000}"/>
    <cellStyle name="Comma 5 8 6 2 2 2" xfId="47745" xr:uid="{00000000-0005-0000-0000-000037250000}"/>
    <cellStyle name="Comma 5 8 6 2 3" xfId="35312" xr:uid="{00000000-0005-0000-0000-000038250000}"/>
    <cellStyle name="Comma 5 8 6 3" xfId="17864" xr:uid="{00000000-0005-0000-0000-000039250000}"/>
    <cellStyle name="Comma 5 8 6 3 2" xfId="42738" xr:uid="{00000000-0005-0000-0000-00003A250000}"/>
    <cellStyle name="Comma 5 8 6 4" xfId="30305" xr:uid="{00000000-0005-0000-0000-00003B250000}"/>
    <cellStyle name="Comma 5 8 7" xfId="7989" xr:uid="{00000000-0005-0000-0000-00003C250000}"/>
    <cellStyle name="Comma 5 8 7 2" xfId="20435" xr:uid="{00000000-0005-0000-0000-00003D250000}"/>
    <cellStyle name="Comma 5 8 7 2 2" xfId="45309" xr:uid="{00000000-0005-0000-0000-00003E250000}"/>
    <cellStyle name="Comma 5 8 7 3" xfId="32876" xr:uid="{00000000-0005-0000-0000-00003F250000}"/>
    <cellStyle name="Comma 5 8 8" xfId="11882" xr:uid="{00000000-0005-0000-0000-000040250000}"/>
    <cellStyle name="Comma 5 8 8 2" xfId="24316" xr:uid="{00000000-0005-0000-0000-000041250000}"/>
    <cellStyle name="Comma 5 8 8 2 2" xfId="49190" xr:uid="{00000000-0005-0000-0000-000042250000}"/>
    <cellStyle name="Comma 5 8 8 3" xfId="36757" xr:uid="{00000000-0005-0000-0000-000043250000}"/>
    <cellStyle name="Comma 5 8 9" xfId="6642" xr:uid="{00000000-0005-0000-0000-000044250000}"/>
    <cellStyle name="Comma 5 8 9 2" xfId="19091" xr:uid="{00000000-0005-0000-0000-000045250000}"/>
    <cellStyle name="Comma 5 8 9 2 2" xfId="43965" xr:uid="{00000000-0005-0000-0000-000046250000}"/>
    <cellStyle name="Comma 5 8 9 3" xfId="31532" xr:uid="{00000000-0005-0000-0000-000047250000}"/>
    <cellStyle name="Comma 5 9" xfId="352" xr:uid="{00000000-0005-0000-0000-000048250000}"/>
    <cellStyle name="Comma 5 9 10" xfId="13168" xr:uid="{00000000-0005-0000-0000-000049250000}"/>
    <cellStyle name="Comma 5 9 10 2" xfId="38042" xr:uid="{00000000-0005-0000-0000-00004A250000}"/>
    <cellStyle name="Comma 5 9 11" xfId="25601" xr:uid="{00000000-0005-0000-0000-00004B250000}"/>
    <cellStyle name="Comma 5 9 2" xfId="712" xr:uid="{00000000-0005-0000-0000-00004C250000}"/>
    <cellStyle name="Comma 5 9 2 2" xfId="1343" xr:uid="{00000000-0005-0000-0000-00004D250000}"/>
    <cellStyle name="Comma 5 9 2 2 2" xfId="9447" xr:uid="{00000000-0005-0000-0000-00004E250000}"/>
    <cellStyle name="Comma 5 9 2 2 2 2" xfId="21890" xr:uid="{00000000-0005-0000-0000-00004F250000}"/>
    <cellStyle name="Comma 5 9 2 2 2 2 2" xfId="46764" xr:uid="{00000000-0005-0000-0000-000050250000}"/>
    <cellStyle name="Comma 5 9 2 2 2 3" xfId="34331" xr:uid="{00000000-0005-0000-0000-000051250000}"/>
    <cellStyle name="Comma 5 9 2 2 3" xfId="4429" xr:uid="{00000000-0005-0000-0000-000052250000}"/>
    <cellStyle name="Comma 5 9 2 2 3 2" xfId="16883" xr:uid="{00000000-0005-0000-0000-000053250000}"/>
    <cellStyle name="Comma 5 9 2 2 3 2 2" xfId="41757" xr:uid="{00000000-0005-0000-0000-000054250000}"/>
    <cellStyle name="Comma 5 9 2 2 3 3" xfId="29324" xr:uid="{00000000-0005-0000-0000-000055250000}"/>
    <cellStyle name="Comma 5 9 2 2 4" xfId="14143" xr:uid="{00000000-0005-0000-0000-000056250000}"/>
    <cellStyle name="Comma 5 9 2 2 4 2" xfId="39017" xr:uid="{00000000-0005-0000-0000-000057250000}"/>
    <cellStyle name="Comma 5 9 2 2 5" xfId="26576" xr:uid="{00000000-0005-0000-0000-000058250000}"/>
    <cellStyle name="Comma 5 9 2 3" xfId="5488" xr:uid="{00000000-0005-0000-0000-000059250000}"/>
    <cellStyle name="Comma 5 9 2 3 2" xfId="10504" xr:uid="{00000000-0005-0000-0000-00005A250000}"/>
    <cellStyle name="Comma 5 9 2 3 2 2" xfId="22947" xr:uid="{00000000-0005-0000-0000-00005B250000}"/>
    <cellStyle name="Comma 5 9 2 3 2 2 2" xfId="47821" xr:uid="{00000000-0005-0000-0000-00005C250000}"/>
    <cellStyle name="Comma 5 9 2 3 2 3" xfId="35388" xr:uid="{00000000-0005-0000-0000-00005D250000}"/>
    <cellStyle name="Comma 5 9 2 3 3" xfId="17940" xr:uid="{00000000-0005-0000-0000-00005E250000}"/>
    <cellStyle name="Comma 5 9 2 3 3 2" xfId="42814" xr:uid="{00000000-0005-0000-0000-00005F250000}"/>
    <cellStyle name="Comma 5 9 2 3 4" xfId="30381" xr:uid="{00000000-0005-0000-0000-000060250000}"/>
    <cellStyle name="Comma 5 9 2 4" xfId="8563" xr:uid="{00000000-0005-0000-0000-000061250000}"/>
    <cellStyle name="Comma 5 9 2 4 2" xfId="21007" xr:uid="{00000000-0005-0000-0000-000062250000}"/>
    <cellStyle name="Comma 5 9 2 4 2 2" xfId="45881" xr:uid="{00000000-0005-0000-0000-000063250000}"/>
    <cellStyle name="Comma 5 9 2 4 3" xfId="33448" xr:uid="{00000000-0005-0000-0000-000064250000}"/>
    <cellStyle name="Comma 5 9 2 5" xfId="11958" xr:uid="{00000000-0005-0000-0000-000065250000}"/>
    <cellStyle name="Comma 5 9 2 5 2" xfId="24392" xr:uid="{00000000-0005-0000-0000-000066250000}"/>
    <cellStyle name="Comma 5 9 2 5 2 2" xfId="49266" xr:uid="{00000000-0005-0000-0000-000067250000}"/>
    <cellStyle name="Comma 5 9 2 5 3" xfId="36833" xr:uid="{00000000-0005-0000-0000-000068250000}"/>
    <cellStyle name="Comma 5 9 2 6" xfId="7040" xr:uid="{00000000-0005-0000-0000-000069250000}"/>
    <cellStyle name="Comma 5 9 2 6 2" xfId="19489" xr:uid="{00000000-0005-0000-0000-00006A250000}"/>
    <cellStyle name="Comma 5 9 2 6 2 2" xfId="44363" xr:uid="{00000000-0005-0000-0000-00006B250000}"/>
    <cellStyle name="Comma 5 9 2 6 3" xfId="31930" xr:uid="{00000000-0005-0000-0000-00006C250000}"/>
    <cellStyle name="Comma 5 9 2 7" xfId="3494" xr:uid="{00000000-0005-0000-0000-00006D250000}"/>
    <cellStyle name="Comma 5 9 2 7 2" xfId="16000" xr:uid="{00000000-0005-0000-0000-00006E250000}"/>
    <cellStyle name="Comma 5 9 2 7 2 2" xfId="40874" xr:uid="{00000000-0005-0000-0000-00006F250000}"/>
    <cellStyle name="Comma 5 9 2 7 3" xfId="28433" xr:uid="{00000000-0005-0000-0000-000070250000}"/>
    <cellStyle name="Comma 5 9 2 8" xfId="13515" xr:uid="{00000000-0005-0000-0000-000071250000}"/>
    <cellStyle name="Comma 5 9 2 8 2" xfId="38389" xr:uid="{00000000-0005-0000-0000-000072250000}"/>
    <cellStyle name="Comma 5 9 2 9" xfId="25948" xr:uid="{00000000-0005-0000-0000-000073250000}"/>
    <cellStyle name="Comma 5 9 3" xfId="1691" xr:uid="{00000000-0005-0000-0000-000074250000}"/>
    <cellStyle name="Comma 5 9 3 2" xfId="4897" xr:uid="{00000000-0005-0000-0000-000075250000}"/>
    <cellStyle name="Comma 5 9 3 2 2" xfId="9914" xr:uid="{00000000-0005-0000-0000-000076250000}"/>
    <cellStyle name="Comma 5 9 3 2 2 2" xfId="22357" xr:uid="{00000000-0005-0000-0000-000077250000}"/>
    <cellStyle name="Comma 5 9 3 2 2 2 2" xfId="47231" xr:uid="{00000000-0005-0000-0000-000078250000}"/>
    <cellStyle name="Comma 5 9 3 2 2 3" xfId="34798" xr:uid="{00000000-0005-0000-0000-000079250000}"/>
    <cellStyle name="Comma 5 9 3 2 3" xfId="17350" xr:uid="{00000000-0005-0000-0000-00007A250000}"/>
    <cellStyle name="Comma 5 9 3 2 3 2" xfId="42224" xr:uid="{00000000-0005-0000-0000-00007B250000}"/>
    <cellStyle name="Comma 5 9 3 2 4" xfId="29791" xr:uid="{00000000-0005-0000-0000-00007C250000}"/>
    <cellStyle name="Comma 5 9 3 3" xfId="5837" xr:uid="{00000000-0005-0000-0000-00007D250000}"/>
    <cellStyle name="Comma 5 9 3 3 2" xfId="10852" xr:uid="{00000000-0005-0000-0000-00007E250000}"/>
    <cellStyle name="Comma 5 9 3 3 2 2" xfId="23295" xr:uid="{00000000-0005-0000-0000-00007F250000}"/>
    <cellStyle name="Comma 5 9 3 3 2 2 2" xfId="48169" xr:uid="{00000000-0005-0000-0000-000080250000}"/>
    <cellStyle name="Comma 5 9 3 3 2 3" xfId="35736" xr:uid="{00000000-0005-0000-0000-000081250000}"/>
    <cellStyle name="Comma 5 9 3 3 3" xfId="18288" xr:uid="{00000000-0005-0000-0000-000082250000}"/>
    <cellStyle name="Comma 5 9 3 3 3 2" xfId="43162" xr:uid="{00000000-0005-0000-0000-000083250000}"/>
    <cellStyle name="Comma 5 9 3 3 4" xfId="30729" xr:uid="{00000000-0005-0000-0000-000084250000}"/>
    <cellStyle name="Comma 5 9 3 4" xfId="8321" xr:uid="{00000000-0005-0000-0000-000085250000}"/>
    <cellStyle name="Comma 5 9 3 4 2" xfId="20765" xr:uid="{00000000-0005-0000-0000-000086250000}"/>
    <cellStyle name="Comma 5 9 3 4 2 2" xfId="45639" xr:uid="{00000000-0005-0000-0000-000087250000}"/>
    <cellStyle name="Comma 5 9 3 4 3" xfId="33206" xr:uid="{00000000-0005-0000-0000-000088250000}"/>
    <cellStyle name="Comma 5 9 3 5" xfId="12306" xr:uid="{00000000-0005-0000-0000-000089250000}"/>
    <cellStyle name="Comma 5 9 3 5 2" xfId="24740" xr:uid="{00000000-0005-0000-0000-00008A250000}"/>
    <cellStyle name="Comma 5 9 3 5 2 2" xfId="49614" xr:uid="{00000000-0005-0000-0000-00008B250000}"/>
    <cellStyle name="Comma 5 9 3 5 3" xfId="37181" xr:uid="{00000000-0005-0000-0000-00008C250000}"/>
    <cellStyle name="Comma 5 9 3 6" xfId="7508" xr:uid="{00000000-0005-0000-0000-00008D250000}"/>
    <cellStyle name="Comma 5 9 3 6 2" xfId="19956" xr:uid="{00000000-0005-0000-0000-00008E250000}"/>
    <cellStyle name="Comma 5 9 3 6 2 2" xfId="44830" xr:uid="{00000000-0005-0000-0000-00008F250000}"/>
    <cellStyle name="Comma 5 9 3 6 3" xfId="32397" xr:uid="{00000000-0005-0000-0000-000090250000}"/>
    <cellStyle name="Comma 5 9 3 7" xfId="3252" xr:uid="{00000000-0005-0000-0000-000091250000}"/>
    <cellStyle name="Comma 5 9 3 7 2" xfId="15758" xr:uid="{00000000-0005-0000-0000-000092250000}"/>
    <cellStyle name="Comma 5 9 3 7 2 2" xfId="40632" xr:uid="{00000000-0005-0000-0000-000093250000}"/>
    <cellStyle name="Comma 5 9 3 7 3" xfId="28191" xr:uid="{00000000-0005-0000-0000-000094250000}"/>
    <cellStyle name="Comma 5 9 3 8" xfId="14491" xr:uid="{00000000-0005-0000-0000-000095250000}"/>
    <cellStyle name="Comma 5 9 3 8 2" xfId="39365" xr:uid="{00000000-0005-0000-0000-000096250000}"/>
    <cellStyle name="Comma 5 9 3 9" xfId="26924" xr:uid="{00000000-0005-0000-0000-000097250000}"/>
    <cellStyle name="Comma 5 9 4" xfId="2270" xr:uid="{00000000-0005-0000-0000-000098250000}"/>
    <cellStyle name="Comma 5 9 4 2" xfId="6295" xr:uid="{00000000-0005-0000-0000-000099250000}"/>
    <cellStyle name="Comma 5 9 4 2 2" xfId="11310" xr:uid="{00000000-0005-0000-0000-00009A250000}"/>
    <cellStyle name="Comma 5 9 4 2 2 2" xfId="23753" xr:uid="{00000000-0005-0000-0000-00009B250000}"/>
    <cellStyle name="Comma 5 9 4 2 2 2 2" xfId="48627" xr:uid="{00000000-0005-0000-0000-00009C250000}"/>
    <cellStyle name="Comma 5 9 4 2 2 3" xfId="36194" xr:uid="{00000000-0005-0000-0000-00009D250000}"/>
    <cellStyle name="Comma 5 9 4 2 3" xfId="18746" xr:uid="{00000000-0005-0000-0000-00009E250000}"/>
    <cellStyle name="Comma 5 9 4 2 3 2" xfId="43620" xr:uid="{00000000-0005-0000-0000-00009F250000}"/>
    <cellStyle name="Comma 5 9 4 2 4" xfId="31187" xr:uid="{00000000-0005-0000-0000-0000A0250000}"/>
    <cellStyle name="Comma 5 9 4 3" xfId="12764" xr:uid="{00000000-0005-0000-0000-0000A1250000}"/>
    <cellStyle name="Comma 5 9 4 3 2" xfId="25198" xr:uid="{00000000-0005-0000-0000-0000A2250000}"/>
    <cellStyle name="Comma 5 9 4 3 2 2" xfId="50072" xr:uid="{00000000-0005-0000-0000-0000A3250000}"/>
    <cellStyle name="Comma 5 9 4 3 3" xfId="37639" xr:uid="{00000000-0005-0000-0000-0000A4250000}"/>
    <cellStyle name="Comma 5 9 4 4" xfId="9205" xr:uid="{00000000-0005-0000-0000-0000A5250000}"/>
    <cellStyle name="Comma 5 9 4 4 2" xfId="21648" xr:uid="{00000000-0005-0000-0000-0000A6250000}"/>
    <cellStyle name="Comma 5 9 4 4 2 2" xfId="46522" xr:uid="{00000000-0005-0000-0000-0000A7250000}"/>
    <cellStyle name="Comma 5 9 4 4 3" xfId="34089" xr:uid="{00000000-0005-0000-0000-0000A8250000}"/>
    <cellStyle name="Comma 5 9 4 5" xfId="4187" xr:uid="{00000000-0005-0000-0000-0000A9250000}"/>
    <cellStyle name="Comma 5 9 4 5 2" xfId="16641" xr:uid="{00000000-0005-0000-0000-0000AA250000}"/>
    <cellStyle name="Comma 5 9 4 5 2 2" xfId="41515" xr:uid="{00000000-0005-0000-0000-0000AB250000}"/>
    <cellStyle name="Comma 5 9 4 5 3" xfId="29082" xr:uid="{00000000-0005-0000-0000-0000AC250000}"/>
    <cellStyle name="Comma 5 9 4 6" xfId="14949" xr:uid="{00000000-0005-0000-0000-0000AD250000}"/>
    <cellStyle name="Comma 5 9 4 6 2" xfId="39823" xr:uid="{00000000-0005-0000-0000-0000AE250000}"/>
    <cellStyle name="Comma 5 9 4 7" xfId="27382" xr:uid="{00000000-0005-0000-0000-0000AF250000}"/>
    <cellStyle name="Comma 5 9 5" xfId="1106" xr:uid="{00000000-0005-0000-0000-0000B0250000}"/>
    <cellStyle name="Comma 5 9 5 2" xfId="10267" xr:uid="{00000000-0005-0000-0000-0000B1250000}"/>
    <cellStyle name="Comma 5 9 5 2 2" xfId="22710" xr:uid="{00000000-0005-0000-0000-0000B2250000}"/>
    <cellStyle name="Comma 5 9 5 2 2 2" xfId="47584" xr:uid="{00000000-0005-0000-0000-0000B3250000}"/>
    <cellStyle name="Comma 5 9 5 2 3" xfId="35151" xr:uid="{00000000-0005-0000-0000-0000B4250000}"/>
    <cellStyle name="Comma 5 9 5 3" xfId="5251" xr:uid="{00000000-0005-0000-0000-0000B5250000}"/>
    <cellStyle name="Comma 5 9 5 3 2" xfId="17703" xr:uid="{00000000-0005-0000-0000-0000B6250000}"/>
    <cellStyle name="Comma 5 9 5 3 2 2" xfId="42577" xr:uid="{00000000-0005-0000-0000-0000B7250000}"/>
    <cellStyle name="Comma 5 9 5 3 3" xfId="30144" xr:uid="{00000000-0005-0000-0000-0000B8250000}"/>
    <cellStyle name="Comma 5 9 5 4" xfId="13906" xr:uid="{00000000-0005-0000-0000-0000B9250000}"/>
    <cellStyle name="Comma 5 9 5 4 2" xfId="38780" xr:uid="{00000000-0005-0000-0000-0000BA250000}"/>
    <cellStyle name="Comma 5 9 5 5" xfId="26339" xr:uid="{00000000-0005-0000-0000-0000BB250000}"/>
    <cellStyle name="Comma 5 9 6" xfId="7828" xr:uid="{00000000-0005-0000-0000-0000BC250000}"/>
    <cellStyle name="Comma 5 9 6 2" xfId="20274" xr:uid="{00000000-0005-0000-0000-0000BD250000}"/>
    <cellStyle name="Comma 5 9 6 2 2" xfId="45148" xr:uid="{00000000-0005-0000-0000-0000BE250000}"/>
    <cellStyle name="Comma 5 9 6 3" xfId="32715" xr:uid="{00000000-0005-0000-0000-0000BF250000}"/>
    <cellStyle name="Comma 5 9 7" xfId="11721" xr:uid="{00000000-0005-0000-0000-0000C0250000}"/>
    <cellStyle name="Comma 5 9 7 2" xfId="24155" xr:uid="{00000000-0005-0000-0000-0000C1250000}"/>
    <cellStyle name="Comma 5 9 7 2 2" xfId="49029" xr:uid="{00000000-0005-0000-0000-0000C2250000}"/>
    <cellStyle name="Comma 5 9 7 3" xfId="36596" xr:uid="{00000000-0005-0000-0000-0000C3250000}"/>
    <cellStyle name="Comma 5 9 8" xfId="6798" xr:uid="{00000000-0005-0000-0000-0000C4250000}"/>
    <cellStyle name="Comma 5 9 8 2" xfId="19247" xr:uid="{00000000-0005-0000-0000-0000C5250000}"/>
    <cellStyle name="Comma 5 9 8 2 2" xfId="44121" xr:uid="{00000000-0005-0000-0000-0000C6250000}"/>
    <cellStyle name="Comma 5 9 8 3" xfId="31688" xr:uid="{00000000-0005-0000-0000-0000C7250000}"/>
    <cellStyle name="Comma 5 9 9" xfId="2749" xr:uid="{00000000-0005-0000-0000-0000C8250000}"/>
    <cellStyle name="Comma 5 9 9 2" xfId="15267" xr:uid="{00000000-0005-0000-0000-0000C9250000}"/>
    <cellStyle name="Comma 5 9 9 2 2" xfId="40141" xr:uid="{00000000-0005-0000-0000-0000CA250000}"/>
    <cellStyle name="Comma 5 9 9 3" xfId="27700" xr:uid="{00000000-0005-0000-0000-0000CB250000}"/>
    <cellStyle name="Comma 6" xfId="92" xr:uid="{00000000-0005-0000-0000-0000CC250000}"/>
    <cellStyle name="Comma 6 10" xfId="940" xr:uid="{00000000-0005-0000-0000-0000CD250000}"/>
    <cellStyle name="Comma 6 10 2" xfId="11555" xr:uid="{00000000-0005-0000-0000-0000CE250000}"/>
    <cellStyle name="Comma 6 10 2 2" xfId="23989" xr:uid="{00000000-0005-0000-0000-0000CF250000}"/>
    <cellStyle name="Comma 6 10 2 2 2" xfId="48863" xr:uid="{00000000-0005-0000-0000-0000D0250000}"/>
    <cellStyle name="Comma 6 10 2 3" xfId="36430" xr:uid="{00000000-0005-0000-0000-0000D1250000}"/>
    <cellStyle name="Comma 6 10 3" xfId="10099" xr:uid="{00000000-0005-0000-0000-0000D2250000}"/>
    <cellStyle name="Comma 6 10 3 2" xfId="22542" xr:uid="{00000000-0005-0000-0000-0000D3250000}"/>
    <cellStyle name="Comma 6 10 3 2 2" xfId="47416" xr:uid="{00000000-0005-0000-0000-0000D4250000}"/>
    <cellStyle name="Comma 6 10 3 3" xfId="34983" xr:uid="{00000000-0005-0000-0000-0000D5250000}"/>
    <cellStyle name="Comma 6 10 4" xfId="5083" xr:uid="{00000000-0005-0000-0000-0000D6250000}"/>
    <cellStyle name="Comma 6 10 4 2" xfId="17535" xr:uid="{00000000-0005-0000-0000-0000D7250000}"/>
    <cellStyle name="Comma 6 10 4 2 2" xfId="42409" xr:uid="{00000000-0005-0000-0000-0000D8250000}"/>
    <cellStyle name="Comma 6 10 4 3" xfId="29976" xr:uid="{00000000-0005-0000-0000-0000D9250000}"/>
    <cellStyle name="Comma 6 10 5" xfId="13740" xr:uid="{00000000-0005-0000-0000-0000DA250000}"/>
    <cellStyle name="Comma 6 10 5 2" xfId="38614" xr:uid="{00000000-0005-0000-0000-0000DB250000}"/>
    <cellStyle name="Comma 6 10 6" xfId="26173" xr:uid="{00000000-0005-0000-0000-0000DC250000}"/>
    <cellStyle name="Comma 6 11" xfId="910" xr:uid="{00000000-0005-0000-0000-0000DD250000}"/>
    <cellStyle name="Comma 6 11 2" xfId="7682" xr:uid="{00000000-0005-0000-0000-0000DE250000}"/>
    <cellStyle name="Comma 6 11 2 2" xfId="20128" xr:uid="{00000000-0005-0000-0000-0000DF250000}"/>
    <cellStyle name="Comma 6 11 2 2 2" xfId="45002" xr:uid="{00000000-0005-0000-0000-0000E0250000}"/>
    <cellStyle name="Comma 6 11 2 3" xfId="32569" xr:uid="{00000000-0005-0000-0000-0000E1250000}"/>
    <cellStyle name="Comma 6 11 3" xfId="13710" xr:uid="{00000000-0005-0000-0000-0000E2250000}"/>
    <cellStyle name="Comma 6 11 3 2" xfId="38584" xr:uid="{00000000-0005-0000-0000-0000E3250000}"/>
    <cellStyle name="Comma 6 11 4" xfId="26143" xr:uid="{00000000-0005-0000-0000-0000E4250000}"/>
    <cellStyle name="Comma 6 12" xfId="11525" xr:uid="{00000000-0005-0000-0000-0000E5250000}"/>
    <cellStyle name="Comma 6 12 2" xfId="23959" xr:uid="{00000000-0005-0000-0000-0000E6250000}"/>
    <cellStyle name="Comma 6 12 2 2" xfId="48833" xr:uid="{00000000-0005-0000-0000-0000E7250000}"/>
    <cellStyle name="Comma 6 12 3" xfId="36400" xr:uid="{00000000-0005-0000-0000-0000E8250000}"/>
    <cellStyle name="Comma 6 13" xfId="6498" xr:uid="{00000000-0005-0000-0000-0000E9250000}"/>
    <cellStyle name="Comma 6 13 2" xfId="18947" xr:uid="{00000000-0005-0000-0000-0000EA250000}"/>
    <cellStyle name="Comma 6 13 2 2" xfId="43821" xr:uid="{00000000-0005-0000-0000-0000EB250000}"/>
    <cellStyle name="Comma 6 13 3" xfId="31388" xr:uid="{00000000-0005-0000-0000-0000EC250000}"/>
    <cellStyle name="Comma 6 14" xfId="2599" xr:uid="{00000000-0005-0000-0000-0000ED250000}"/>
    <cellStyle name="Comma 6 14 2" xfId="15121" xr:uid="{00000000-0005-0000-0000-0000EE250000}"/>
    <cellStyle name="Comma 6 14 2 2" xfId="39995" xr:uid="{00000000-0005-0000-0000-0000EF250000}"/>
    <cellStyle name="Comma 6 14 3" xfId="27554" xr:uid="{00000000-0005-0000-0000-0000F0250000}"/>
    <cellStyle name="Comma 6 15" xfId="12948" xr:uid="{00000000-0005-0000-0000-0000F1250000}"/>
    <cellStyle name="Comma 6 15 2" xfId="37822" xr:uid="{00000000-0005-0000-0000-0000F2250000}"/>
    <cellStyle name="Comma 6 16" xfId="25381" xr:uid="{00000000-0005-0000-0000-0000F3250000}"/>
    <cellStyle name="Comma 6 2" xfId="142" xr:uid="{00000000-0005-0000-0000-0000F4250000}"/>
    <cellStyle name="Comma 6 2 10" xfId="7705" xr:uid="{00000000-0005-0000-0000-0000F5250000}"/>
    <cellStyle name="Comma 6 2 10 2" xfId="20151" xr:uid="{00000000-0005-0000-0000-0000F6250000}"/>
    <cellStyle name="Comma 6 2 10 2 2" xfId="45025" xr:uid="{00000000-0005-0000-0000-0000F7250000}"/>
    <cellStyle name="Comma 6 2 10 3" xfId="32592" xr:uid="{00000000-0005-0000-0000-0000F8250000}"/>
    <cellStyle name="Comma 6 2 11" xfId="11598" xr:uid="{00000000-0005-0000-0000-0000F9250000}"/>
    <cellStyle name="Comma 6 2 11 2" xfId="24032" xr:uid="{00000000-0005-0000-0000-0000FA250000}"/>
    <cellStyle name="Comma 6 2 11 2 2" xfId="48906" xr:uid="{00000000-0005-0000-0000-0000FB250000}"/>
    <cellStyle name="Comma 6 2 11 3" xfId="36473" xr:uid="{00000000-0005-0000-0000-0000FC250000}"/>
    <cellStyle name="Comma 6 2 12" xfId="6517" xr:uid="{00000000-0005-0000-0000-0000FD250000}"/>
    <cellStyle name="Comma 6 2 12 2" xfId="18966" xr:uid="{00000000-0005-0000-0000-0000FE250000}"/>
    <cellStyle name="Comma 6 2 12 2 2" xfId="43840" xr:uid="{00000000-0005-0000-0000-0000FF250000}"/>
    <cellStyle name="Comma 6 2 12 3" xfId="31407" xr:uid="{00000000-0005-0000-0000-000000260000}"/>
    <cellStyle name="Comma 6 2 13" xfId="2625" xr:uid="{00000000-0005-0000-0000-000001260000}"/>
    <cellStyle name="Comma 6 2 13 2" xfId="15144" xr:uid="{00000000-0005-0000-0000-000002260000}"/>
    <cellStyle name="Comma 6 2 13 2 2" xfId="40018" xr:uid="{00000000-0005-0000-0000-000003260000}"/>
    <cellStyle name="Comma 6 2 13 3" xfId="27577" xr:uid="{00000000-0005-0000-0000-000004260000}"/>
    <cellStyle name="Comma 6 2 14" xfId="12972" xr:uid="{00000000-0005-0000-0000-000005260000}"/>
    <cellStyle name="Comma 6 2 14 2" xfId="37846" xr:uid="{00000000-0005-0000-0000-000006260000}"/>
    <cellStyle name="Comma 6 2 15" xfId="25405" xr:uid="{00000000-0005-0000-0000-000007260000}"/>
    <cellStyle name="Comma 6 2 2" xfId="285" xr:uid="{00000000-0005-0000-0000-000008260000}"/>
    <cellStyle name="Comma 6 2 2 10" xfId="6621" xr:uid="{00000000-0005-0000-0000-000009260000}"/>
    <cellStyle name="Comma 6 2 2 10 2" xfId="19070" xr:uid="{00000000-0005-0000-0000-00000A260000}"/>
    <cellStyle name="Comma 6 2 2 10 2 2" xfId="43944" xr:uid="{00000000-0005-0000-0000-00000B260000}"/>
    <cellStyle name="Comma 6 2 2 10 3" xfId="31511" xr:uid="{00000000-0005-0000-0000-00000C260000}"/>
    <cellStyle name="Comma 6 2 2 11" xfId="2685" xr:uid="{00000000-0005-0000-0000-00000D260000}"/>
    <cellStyle name="Comma 6 2 2 11 2" xfId="15203" xr:uid="{00000000-0005-0000-0000-00000E260000}"/>
    <cellStyle name="Comma 6 2 2 11 2 2" xfId="40077" xr:uid="{00000000-0005-0000-0000-00000F260000}"/>
    <cellStyle name="Comma 6 2 2 11 3" xfId="27636" xr:uid="{00000000-0005-0000-0000-000010260000}"/>
    <cellStyle name="Comma 6 2 2 12" xfId="13104" xr:uid="{00000000-0005-0000-0000-000011260000}"/>
    <cellStyle name="Comma 6 2 2 12 2" xfId="37978" xr:uid="{00000000-0005-0000-0000-000012260000}"/>
    <cellStyle name="Comma 6 2 2 13" xfId="25537" xr:uid="{00000000-0005-0000-0000-000013260000}"/>
    <cellStyle name="Comma 6 2 2 2" xfId="495" xr:uid="{00000000-0005-0000-0000-000014260000}"/>
    <cellStyle name="Comma 6 2 2 2 10" xfId="13308" xr:uid="{00000000-0005-0000-0000-000015260000}"/>
    <cellStyle name="Comma 6 2 2 2 10 2" xfId="38182" xr:uid="{00000000-0005-0000-0000-000016260000}"/>
    <cellStyle name="Comma 6 2 2 2 11" xfId="25741" xr:uid="{00000000-0005-0000-0000-000017260000}"/>
    <cellStyle name="Comma 6 2 2 2 2" xfId="854" xr:uid="{00000000-0005-0000-0000-000018260000}"/>
    <cellStyle name="Comma 6 2 2 2 2 2" xfId="1347" xr:uid="{00000000-0005-0000-0000-000019260000}"/>
    <cellStyle name="Comma 6 2 2 2 2 2 2" xfId="9451" xr:uid="{00000000-0005-0000-0000-00001A260000}"/>
    <cellStyle name="Comma 6 2 2 2 2 2 2 2" xfId="21894" xr:uid="{00000000-0005-0000-0000-00001B260000}"/>
    <cellStyle name="Comma 6 2 2 2 2 2 2 2 2" xfId="46768" xr:uid="{00000000-0005-0000-0000-00001C260000}"/>
    <cellStyle name="Comma 6 2 2 2 2 2 2 3" xfId="34335" xr:uid="{00000000-0005-0000-0000-00001D260000}"/>
    <cellStyle name="Comma 6 2 2 2 2 2 3" xfId="4433" xr:uid="{00000000-0005-0000-0000-00001E260000}"/>
    <cellStyle name="Comma 6 2 2 2 2 2 3 2" xfId="16887" xr:uid="{00000000-0005-0000-0000-00001F260000}"/>
    <cellStyle name="Comma 6 2 2 2 2 2 3 2 2" xfId="41761" xr:uid="{00000000-0005-0000-0000-000020260000}"/>
    <cellStyle name="Comma 6 2 2 2 2 2 3 3" xfId="29328" xr:uid="{00000000-0005-0000-0000-000021260000}"/>
    <cellStyle name="Comma 6 2 2 2 2 2 4" xfId="14147" xr:uid="{00000000-0005-0000-0000-000022260000}"/>
    <cellStyle name="Comma 6 2 2 2 2 2 4 2" xfId="39021" xr:uid="{00000000-0005-0000-0000-000023260000}"/>
    <cellStyle name="Comma 6 2 2 2 2 2 5" xfId="26580" xr:uid="{00000000-0005-0000-0000-000024260000}"/>
    <cellStyle name="Comma 6 2 2 2 2 3" xfId="5492" xr:uid="{00000000-0005-0000-0000-000025260000}"/>
    <cellStyle name="Comma 6 2 2 2 2 3 2" xfId="10508" xr:uid="{00000000-0005-0000-0000-000026260000}"/>
    <cellStyle name="Comma 6 2 2 2 2 3 2 2" xfId="22951" xr:uid="{00000000-0005-0000-0000-000027260000}"/>
    <cellStyle name="Comma 6 2 2 2 2 3 2 2 2" xfId="47825" xr:uid="{00000000-0005-0000-0000-000028260000}"/>
    <cellStyle name="Comma 6 2 2 2 2 3 2 3" xfId="35392" xr:uid="{00000000-0005-0000-0000-000029260000}"/>
    <cellStyle name="Comma 6 2 2 2 2 3 3" xfId="17944" xr:uid="{00000000-0005-0000-0000-00002A260000}"/>
    <cellStyle name="Comma 6 2 2 2 2 3 3 2" xfId="42818" xr:uid="{00000000-0005-0000-0000-00002B260000}"/>
    <cellStyle name="Comma 6 2 2 2 2 3 4" xfId="30385" xr:uid="{00000000-0005-0000-0000-00002C260000}"/>
    <cellStyle name="Comma 6 2 2 2 2 4" xfId="8567" xr:uid="{00000000-0005-0000-0000-00002D260000}"/>
    <cellStyle name="Comma 6 2 2 2 2 4 2" xfId="21011" xr:uid="{00000000-0005-0000-0000-00002E260000}"/>
    <cellStyle name="Comma 6 2 2 2 2 4 2 2" xfId="45885" xr:uid="{00000000-0005-0000-0000-00002F260000}"/>
    <cellStyle name="Comma 6 2 2 2 2 4 3" xfId="33452" xr:uid="{00000000-0005-0000-0000-000030260000}"/>
    <cellStyle name="Comma 6 2 2 2 2 5" xfId="11962" xr:uid="{00000000-0005-0000-0000-000031260000}"/>
    <cellStyle name="Comma 6 2 2 2 2 5 2" xfId="24396" xr:uid="{00000000-0005-0000-0000-000032260000}"/>
    <cellStyle name="Comma 6 2 2 2 2 5 2 2" xfId="49270" xr:uid="{00000000-0005-0000-0000-000033260000}"/>
    <cellStyle name="Comma 6 2 2 2 2 5 3" xfId="36837" xr:uid="{00000000-0005-0000-0000-000034260000}"/>
    <cellStyle name="Comma 6 2 2 2 2 6" xfId="7044" xr:uid="{00000000-0005-0000-0000-000035260000}"/>
    <cellStyle name="Comma 6 2 2 2 2 6 2" xfId="19493" xr:uid="{00000000-0005-0000-0000-000036260000}"/>
    <cellStyle name="Comma 6 2 2 2 2 6 2 2" xfId="44367" xr:uid="{00000000-0005-0000-0000-000037260000}"/>
    <cellStyle name="Comma 6 2 2 2 2 6 3" xfId="31934" xr:uid="{00000000-0005-0000-0000-000038260000}"/>
    <cellStyle name="Comma 6 2 2 2 2 7" xfId="3498" xr:uid="{00000000-0005-0000-0000-000039260000}"/>
    <cellStyle name="Comma 6 2 2 2 2 7 2" xfId="16004" xr:uid="{00000000-0005-0000-0000-00003A260000}"/>
    <cellStyle name="Comma 6 2 2 2 2 7 2 2" xfId="40878" xr:uid="{00000000-0005-0000-0000-00003B260000}"/>
    <cellStyle name="Comma 6 2 2 2 2 7 3" xfId="28437" xr:uid="{00000000-0005-0000-0000-00003C260000}"/>
    <cellStyle name="Comma 6 2 2 2 2 8" xfId="13655" xr:uid="{00000000-0005-0000-0000-00003D260000}"/>
    <cellStyle name="Comma 6 2 2 2 2 8 2" xfId="38529" xr:uid="{00000000-0005-0000-0000-00003E260000}"/>
    <cellStyle name="Comma 6 2 2 2 2 9" xfId="26088" xr:uid="{00000000-0005-0000-0000-00003F260000}"/>
    <cellStyle name="Comma 6 2 2 2 3" xfId="1695" xr:uid="{00000000-0005-0000-0000-000040260000}"/>
    <cellStyle name="Comma 6 2 2 2 3 2" xfId="5037" xr:uid="{00000000-0005-0000-0000-000041260000}"/>
    <cellStyle name="Comma 6 2 2 2 3 2 2" xfId="10054" xr:uid="{00000000-0005-0000-0000-000042260000}"/>
    <cellStyle name="Comma 6 2 2 2 3 2 2 2" xfId="22497" xr:uid="{00000000-0005-0000-0000-000043260000}"/>
    <cellStyle name="Comma 6 2 2 2 3 2 2 2 2" xfId="47371" xr:uid="{00000000-0005-0000-0000-000044260000}"/>
    <cellStyle name="Comma 6 2 2 2 3 2 2 3" xfId="34938" xr:uid="{00000000-0005-0000-0000-000045260000}"/>
    <cellStyle name="Comma 6 2 2 2 3 2 3" xfId="17490" xr:uid="{00000000-0005-0000-0000-000046260000}"/>
    <cellStyle name="Comma 6 2 2 2 3 2 3 2" xfId="42364" xr:uid="{00000000-0005-0000-0000-000047260000}"/>
    <cellStyle name="Comma 6 2 2 2 3 2 4" xfId="29931" xr:uid="{00000000-0005-0000-0000-000048260000}"/>
    <cellStyle name="Comma 6 2 2 2 3 3" xfId="5841" xr:uid="{00000000-0005-0000-0000-000049260000}"/>
    <cellStyle name="Comma 6 2 2 2 3 3 2" xfId="10856" xr:uid="{00000000-0005-0000-0000-00004A260000}"/>
    <cellStyle name="Comma 6 2 2 2 3 3 2 2" xfId="23299" xr:uid="{00000000-0005-0000-0000-00004B260000}"/>
    <cellStyle name="Comma 6 2 2 2 3 3 2 2 2" xfId="48173" xr:uid="{00000000-0005-0000-0000-00004C260000}"/>
    <cellStyle name="Comma 6 2 2 2 3 3 2 3" xfId="35740" xr:uid="{00000000-0005-0000-0000-00004D260000}"/>
    <cellStyle name="Comma 6 2 2 2 3 3 3" xfId="18292" xr:uid="{00000000-0005-0000-0000-00004E260000}"/>
    <cellStyle name="Comma 6 2 2 2 3 3 3 2" xfId="43166" xr:uid="{00000000-0005-0000-0000-00004F260000}"/>
    <cellStyle name="Comma 6 2 2 2 3 3 4" xfId="30733" xr:uid="{00000000-0005-0000-0000-000050260000}"/>
    <cellStyle name="Comma 6 2 2 2 3 4" xfId="8461" xr:uid="{00000000-0005-0000-0000-000051260000}"/>
    <cellStyle name="Comma 6 2 2 2 3 4 2" xfId="20905" xr:uid="{00000000-0005-0000-0000-000052260000}"/>
    <cellStyle name="Comma 6 2 2 2 3 4 2 2" xfId="45779" xr:uid="{00000000-0005-0000-0000-000053260000}"/>
    <cellStyle name="Comma 6 2 2 2 3 4 3" xfId="33346" xr:uid="{00000000-0005-0000-0000-000054260000}"/>
    <cellStyle name="Comma 6 2 2 2 3 5" xfId="12310" xr:uid="{00000000-0005-0000-0000-000055260000}"/>
    <cellStyle name="Comma 6 2 2 2 3 5 2" xfId="24744" xr:uid="{00000000-0005-0000-0000-000056260000}"/>
    <cellStyle name="Comma 6 2 2 2 3 5 2 2" xfId="49618" xr:uid="{00000000-0005-0000-0000-000057260000}"/>
    <cellStyle name="Comma 6 2 2 2 3 5 3" xfId="37185" xr:uid="{00000000-0005-0000-0000-000058260000}"/>
    <cellStyle name="Comma 6 2 2 2 3 6" xfId="7648" xr:uid="{00000000-0005-0000-0000-000059260000}"/>
    <cellStyle name="Comma 6 2 2 2 3 6 2" xfId="20096" xr:uid="{00000000-0005-0000-0000-00005A260000}"/>
    <cellStyle name="Comma 6 2 2 2 3 6 2 2" xfId="44970" xr:uid="{00000000-0005-0000-0000-00005B260000}"/>
    <cellStyle name="Comma 6 2 2 2 3 6 3" xfId="32537" xr:uid="{00000000-0005-0000-0000-00005C260000}"/>
    <cellStyle name="Comma 6 2 2 2 3 7" xfId="3392" xr:uid="{00000000-0005-0000-0000-00005D260000}"/>
    <cellStyle name="Comma 6 2 2 2 3 7 2" xfId="15898" xr:uid="{00000000-0005-0000-0000-00005E260000}"/>
    <cellStyle name="Comma 6 2 2 2 3 7 2 2" xfId="40772" xr:uid="{00000000-0005-0000-0000-00005F260000}"/>
    <cellStyle name="Comma 6 2 2 2 3 7 3" xfId="28331" xr:uid="{00000000-0005-0000-0000-000060260000}"/>
    <cellStyle name="Comma 6 2 2 2 3 8" xfId="14495" xr:uid="{00000000-0005-0000-0000-000061260000}"/>
    <cellStyle name="Comma 6 2 2 2 3 8 2" xfId="39369" xr:uid="{00000000-0005-0000-0000-000062260000}"/>
    <cellStyle name="Comma 6 2 2 2 3 9" xfId="26928" xr:uid="{00000000-0005-0000-0000-000063260000}"/>
    <cellStyle name="Comma 6 2 2 2 4" xfId="2413" xr:uid="{00000000-0005-0000-0000-000064260000}"/>
    <cellStyle name="Comma 6 2 2 2 4 2" xfId="6435" xr:uid="{00000000-0005-0000-0000-000065260000}"/>
    <cellStyle name="Comma 6 2 2 2 4 2 2" xfId="11450" xr:uid="{00000000-0005-0000-0000-000066260000}"/>
    <cellStyle name="Comma 6 2 2 2 4 2 2 2" xfId="23893" xr:uid="{00000000-0005-0000-0000-000067260000}"/>
    <cellStyle name="Comma 6 2 2 2 4 2 2 2 2" xfId="48767" xr:uid="{00000000-0005-0000-0000-000068260000}"/>
    <cellStyle name="Comma 6 2 2 2 4 2 2 3" xfId="36334" xr:uid="{00000000-0005-0000-0000-000069260000}"/>
    <cellStyle name="Comma 6 2 2 2 4 2 3" xfId="18886" xr:uid="{00000000-0005-0000-0000-00006A260000}"/>
    <cellStyle name="Comma 6 2 2 2 4 2 3 2" xfId="43760" xr:uid="{00000000-0005-0000-0000-00006B260000}"/>
    <cellStyle name="Comma 6 2 2 2 4 2 4" xfId="31327" xr:uid="{00000000-0005-0000-0000-00006C260000}"/>
    <cellStyle name="Comma 6 2 2 2 4 3" xfId="12904" xr:uid="{00000000-0005-0000-0000-00006D260000}"/>
    <cellStyle name="Comma 6 2 2 2 4 3 2" xfId="25338" xr:uid="{00000000-0005-0000-0000-00006E260000}"/>
    <cellStyle name="Comma 6 2 2 2 4 3 2 2" xfId="50212" xr:uid="{00000000-0005-0000-0000-00006F260000}"/>
    <cellStyle name="Comma 6 2 2 2 4 3 3" xfId="37779" xr:uid="{00000000-0005-0000-0000-000070260000}"/>
    <cellStyle name="Comma 6 2 2 2 4 4" xfId="9345" xr:uid="{00000000-0005-0000-0000-000071260000}"/>
    <cellStyle name="Comma 6 2 2 2 4 4 2" xfId="21788" xr:uid="{00000000-0005-0000-0000-000072260000}"/>
    <cellStyle name="Comma 6 2 2 2 4 4 2 2" xfId="46662" xr:uid="{00000000-0005-0000-0000-000073260000}"/>
    <cellStyle name="Comma 6 2 2 2 4 4 3" xfId="34229" xr:uid="{00000000-0005-0000-0000-000074260000}"/>
    <cellStyle name="Comma 6 2 2 2 4 5" xfId="4327" xr:uid="{00000000-0005-0000-0000-000075260000}"/>
    <cellStyle name="Comma 6 2 2 2 4 5 2" xfId="16781" xr:uid="{00000000-0005-0000-0000-000076260000}"/>
    <cellStyle name="Comma 6 2 2 2 4 5 2 2" xfId="41655" xr:uid="{00000000-0005-0000-0000-000077260000}"/>
    <cellStyle name="Comma 6 2 2 2 4 5 3" xfId="29222" xr:uid="{00000000-0005-0000-0000-000078260000}"/>
    <cellStyle name="Comma 6 2 2 2 4 6" xfId="15089" xr:uid="{00000000-0005-0000-0000-000079260000}"/>
    <cellStyle name="Comma 6 2 2 2 4 6 2" xfId="39963" xr:uid="{00000000-0005-0000-0000-00007A260000}"/>
    <cellStyle name="Comma 6 2 2 2 4 7" xfId="27522" xr:uid="{00000000-0005-0000-0000-00007B260000}"/>
    <cellStyle name="Comma 6 2 2 2 5" xfId="1246" xr:uid="{00000000-0005-0000-0000-00007C260000}"/>
    <cellStyle name="Comma 6 2 2 2 5 2" xfId="10407" xr:uid="{00000000-0005-0000-0000-00007D260000}"/>
    <cellStyle name="Comma 6 2 2 2 5 2 2" xfId="22850" xr:uid="{00000000-0005-0000-0000-00007E260000}"/>
    <cellStyle name="Comma 6 2 2 2 5 2 2 2" xfId="47724" xr:uid="{00000000-0005-0000-0000-00007F260000}"/>
    <cellStyle name="Comma 6 2 2 2 5 2 3" xfId="35291" xr:uid="{00000000-0005-0000-0000-000080260000}"/>
    <cellStyle name="Comma 6 2 2 2 5 3" xfId="5391" xr:uid="{00000000-0005-0000-0000-000081260000}"/>
    <cellStyle name="Comma 6 2 2 2 5 3 2" xfId="17843" xr:uid="{00000000-0005-0000-0000-000082260000}"/>
    <cellStyle name="Comma 6 2 2 2 5 3 2 2" xfId="42717" xr:uid="{00000000-0005-0000-0000-000083260000}"/>
    <cellStyle name="Comma 6 2 2 2 5 3 3" xfId="30284" xr:uid="{00000000-0005-0000-0000-000084260000}"/>
    <cellStyle name="Comma 6 2 2 2 5 4" xfId="14046" xr:uid="{00000000-0005-0000-0000-000085260000}"/>
    <cellStyle name="Comma 6 2 2 2 5 4 2" xfId="38920" xr:uid="{00000000-0005-0000-0000-000086260000}"/>
    <cellStyle name="Comma 6 2 2 2 5 5" xfId="26479" xr:uid="{00000000-0005-0000-0000-000087260000}"/>
    <cellStyle name="Comma 6 2 2 2 6" xfId="7968" xr:uid="{00000000-0005-0000-0000-000088260000}"/>
    <cellStyle name="Comma 6 2 2 2 6 2" xfId="20414" xr:uid="{00000000-0005-0000-0000-000089260000}"/>
    <cellStyle name="Comma 6 2 2 2 6 2 2" xfId="45288" xr:uid="{00000000-0005-0000-0000-00008A260000}"/>
    <cellStyle name="Comma 6 2 2 2 6 3" xfId="32855" xr:uid="{00000000-0005-0000-0000-00008B260000}"/>
    <cellStyle name="Comma 6 2 2 2 7" xfId="11861" xr:uid="{00000000-0005-0000-0000-00008C260000}"/>
    <cellStyle name="Comma 6 2 2 2 7 2" xfId="24295" xr:uid="{00000000-0005-0000-0000-00008D260000}"/>
    <cellStyle name="Comma 6 2 2 2 7 2 2" xfId="49169" xr:uid="{00000000-0005-0000-0000-00008E260000}"/>
    <cellStyle name="Comma 6 2 2 2 7 3" xfId="36736" xr:uid="{00000000-0005-0000-0000-00008F260000}"/>
    <cellStyle name="Comma 6 2 2 2 8" xfId="6938" xr:uid="{00000000-0005-0000-0000-000090260000}"/>
    <cellStyle name="Comma 6 2 2 2 8 2" xfId="19387" xr:uid="{00000000-0005-0000-0000-000091260000}"/>
    <cellStyle name="Comma 6 2 2 2 8 2 2" xfId="44261" xr:uid="{00000000-0005-0000-0000-000092260000}"/>
    <cellStyle name="Comma 6 2 2 2 8 3" xfId="31828" xr:uid="{00000000-0005-0000-0000-000093260000}"/>
    <cellStyle name="Comma 6 2 2 2 9" xfId="2889" xr:uid="{00000000-0005-0000-0000-000094260000}"/>
    <cellStyle name="Comma 6 2 2 2 9 2" xfId="15407" xr:uid="{00000000-0005-0000-0000-000095260000}"/>
    <cellStyle name="Comma 6 2 2 2 9 2 2" xfId="40281" xr:uid="{00000000-0005-0000-0000-000096260000}"/>
    <cellStyle name="Comma 6 2 2 2 9 3" xfId="27840" xr:uid="{00000000-0005-0000-0000-000097260000}"/>
    <cellStyle name="Comma 6 2 2 3" xfId="647" xr:uid="{00000000-0005-0000-0000-000098260000}"/>
    <cellStyle name="Comma 6 2 2 3 2" xfId="1346" xr:uid="{00000000-0005-0000-0000-000099260000}"/>
    <cellStyle name="Comma 6 2 2 3 2 2" xfId="9141" xr:uid="{00000000-0005-0000-0000-00009A260000}"/>
    <cellStyle name="Comma 6 2 2 3 2 2 2" xfId="21584" xr:uid="{00000000-0005-0000-0000-00009B260000}"/>
    <cellStyle name="Comma 6 2 2 3 2 2 2 2" xfId="46458" xr:uid="{00000000-0005-0000-0000-00009C260000}"/>
    <cellStyle name="Comma 6 2 2 3 2 2 3" xfId="34025" xr:uid="{00000000-0005-0000-0000-00009D260000}"/>
    <cellStyle name="Comma 6 2 2 3 2 3" xfId="4123" xr:uid="{00000000-0005-0000-0000-00009E260000}"/>
    <cellStyle name="Comma 6 2 2 3 2 3 2" xfId="16577" xr:uid="{00000000-0005-0000-0000-00009F260000}"/>
    <cellStyle name="Comma 6 2 2 3 2 3 2 2" xfId="41451" xr:uid="{00000000-0005-0000-0000-0000A0260000}"/>
    <cellStyle name="Comma 6 2 2 3 2 3 3" xfId="29018" xr:uid="{00000000-0005-0000-0000-0000A1260000}"/>
    <cellStyle name="Comma 6 2 2 3 2 4" xfId="14146" xr:uid="{00000000-0005-0000-0000-0000A2260000}"/>
    <cellStyle name="Comma 6 2 2 3 2 4 2" xfId="39020" xr:uid="{00000000-0005-0000-0000-0000A3260000}"/>
    <cellStyle name="Comma 6 2 2 3 2 5" xfId="26579" xr:uid="{00000000-0005-0000-0000-0000A4260000}"/>
    <cellStyle name="Comma 6 2 2 3 3" xfId="5491" xr:uid="{00000000-0005-0000-0000-0000A5260000}"/>
    <cellStyle name="Comma 6 2 2 3 3 2" xfId="10507" xr:uid="{00000000-0005-0000-0000-0000A6260000}"/>
    <cellStyle name="Comma 6 2 2 3 3 2 2" xfId="22950" xr:uid="{00000000-0005-0000-0000-0000A7260000}"/>
    <cellStyle name="Comma 6 2 2 3 3 2 2 2" xfId="47824" xr:uid="{00000000-0005-0000-0000-0000A8260000}"/>
    <cellStyle name="Comma 6 2 2 3 3 2 3" xfId="35391" xr:uid="{00000000-0005-0000-0000-0000A9260000}"/>
    <cellStyle name="Comma 6 2 2 3 3 3" xfId="17943" xr:uid="{00000000-0005-0000-0000-0000AA260000}"/>
    <cellStyle name="Comma 6 2 2 3 3 3 2" xfId="42817" xr:uid="{00000000-0005-0000-0000-0000AB260000}"/>
    <cellStyle name="Comma 6 2 2 3 3 4" xfId="30384" xr:uid="{00000000-0005-0000-0000-0000AC260000}"/>
    <cellStyle name="Comma 6 2 2 3 4" xfId="8257" xr:uid="{00000000-0005-0000-0000-0000AD260000}"/>
    <cellStyle name="Comma 6 2 2 3 4 2" xfId="20701" xr:uid="{00000000-0005-0000-0000-0000AE260000}"/>
    <cellStyle name="Comma 6 2 2 3 4 2 2" xfId="45575" xr:uid="{00000000-0005-0000-0000-0000AF260000}"/>
    <cellStyle name="Comma 6 2 2 3 4 3" xfId="33142" xr:uid="{00000000-0005-0000-0000-0000B0260000}"/>
    <cellStyle name="Comma 6 2 2 3 5" xfId="11961" xr:uid="{00000000-0005-0000-0000-0000B1260000}"/>
    <cellStyle name="Comma 6 2 2 3 5 2" xfId="24395" xr:uid="{00000000-0005-0000-0000-0000B2260000}"/>
    <cellStyle name="Comma 6 2 2 3 5 2 2" xfId="49269" xr:uid="{00000000-0005-0000-0000-0000B3260000}"/>
    <cellStyle name="Comma 6 2 2 3 5 3" xfId="36836" xr:uid="{00000000-0005-0000-0000-0000B4260000}"/>
    <cellStyle name="Comma 6 2 2 3 6" xfId="6734" xr:uid="{00000000-0005-0000-0000-0000B5260000}"/>
    <cellStyle name="Comma 6 2 2 3 6 2" xfId="19183" xr:uid="{00000000-0005-0000-0000-0000B6260000}"/>
    <cellStyle name="Comma 6 2 2 3 6 2 2" xfId="44057" xr:uid="{00000000-0005-0000-0000-0000B7260000}"/>
    <cellStyle name="Comma 6 2 2 3 6 3" xfId="31624" xr:uid="{00000000-0005-0000-0000-0000B8260000}"/>
    <cellStyle name="Comma 6 2 2 3 7" xfId="3188" xr:uid="{00000000-0005-0000-0000-0000B9260000}"/>
    <cellStyle name="Comma 6 2 2 3 7 2" xfId="15694" xr:uid="{00000000-0005-0000-0000-0000BA260000}"/>
    <cellStyle name="Comma 6 2 2 3 7 2 2" xfId="40568" xr:uid="{00000000-0005-0000-0000-0000BB260000}"/>
    <cellStyle name="Comma 6 2 2 3 7 3" xfId="28127" xr:uid="{00000000-0005-0000-0000-0000BC260000}"/>
    <cellStyle name="Comma 6 2 2 3 8" xfId="13451" xr:uid="{00000000-0005-0000-0000-0000BD260000}"/>
    <cellStyle name="Comma 6 2 2 3 8 2" xfId="38325" xr:uid="{00000000-0005-0000-0000-0000BE260000}"/>
    <cellStyle name="Comma 6 2 2 3 9" xfId="25884" xr:uid="{00000000-0005-0000-0000-0000BF260000}"/>
    <cellStyle name="Comma 6 2 2 4" xfId="1694" xr:uid="{00000000-0005-0000-0000-0000C0260000}"/>
    <cellStyle name="Comma 6 2 2 4 2" xfId="4432" xr:uid="{00000000-0005-0000-0000-0000C1260000}"/>
    <cellStyle name="Comma 6 2 2 4 2 2" xfId="9450" xr:uid="{00000000-0005-0000-0000-0000C2260000}"/>
    <cellStyle name="Comma 6 2 2 4 2 2 2" xfId="21893" xr:uid="{00000000-0005-0000-0000-0000C3260000}"/>
    <cellStyle name="Comma 6 2 2 4 2 2 2 2" xfId="46767" xr:uid="{00000000-0005-0000-0000-0000C4260000}"/>
    <cellStyle name="Comma 6 2 2 4 2 2 3" xfId="34334" xr:uid="{00000000-0005-0000-0000-0000C5260000}"/>
    <cellStyle name="Comma 6 2 2 4 2 3" xfId="16886" xr:uid="{00000000-0005-0000-0000-0000C6260000}"/>
    <cellStyle name="Comma 6 2 2 4 2 3 2" xfId="41760" xr:uid="{00000000-0005-0000-0000-0000C7260000}"/>
    <cellStyle name="Comma 6 2 2 4 2 4" xfId="29327" xr:uid="{00000000-0005-0000-0000-0000C8260000}"/>
    <cellStyle name="Comma 6 2 2 4 3" xfId="5840" xr:uid="{00000000-0005-0000-0000-0000C9260000}"/>
    <cellStyle name="Comma 6 2 2 4 3 2" xfId="10855" xr:uid="{00000000-0005-0000-0000-0000CA260000}"/>
    <cellStyle name="Comma 6 2 2 4 3 2 2" xfId="23298" xr:uid="{00000000-0005-0000-0000-0000CB260000}"/>
    <cellStyle name="Comma 6 2 2 4 3 2 2 2" xfId="48172" xr:uid="{00000000-0005-0000-0000-0000CC260000}"/>
    <cellStyle name="Comma 6 2 2 4 3 2 3" xfId="35739" xr:uid="{00000000-0005-0000-0000-0000CD260000}"/>
    <cellStyle name="Comma 6 2 2 4 3 3" xfId="18291" xr:uid="{00000000-0005-0000-0000-0000CE260000}"/>
    <cellStyle name="Comma 6 2 2 4 3 3 2" xfId="43165" xr:uid="{00000000-0005-0000-0000-0000CF260000}"/>
    <cellStyle name="Comma 6 2 2 4 3 4" xfId="30732" xr:uid="{00000000-0005-0000-0000-0000D0260000}"/>
    <cellStyle name="Comma 6 2 2 4 4" xfId="8566" xr:uid="{00000000-0005-0000-0000-0000D1260000}"/>
    <cellStyle name="Comma 6 2 2 4 4 2" xfId="21010" xr:uid="{00000000-0005-0000-0000-0000D2260000}"/>
    <cellStyle name="Comma 6 2 2 4 4 2 2" xfId="45884" xr:uid="{00000000-0005-0000-0000-0000D3260000}"/>
    <cellStyle name="Comma 6 2 2 4 4 3" xfId="33451" xr:uid="{00000000-0005-0000-0000-0000D4260000}"/>
    <cellStyle name="Comma 6 2 2 4 5" xfId="12309" xr:uid="{00000000-0005-0000-0000-0000D5260000}"/>
    <cellStyle name="Comma 6 2 2 4 5 2" xfId="24743" xr:uid="{00000000-0005-0000-0000-0000D6260000}"/>
    <cellStyle name="Comma 6 2 2 4 5 2 2" xfId="49617" xr:uid="{00000000-0005-0000-0000-0000D7260000}"/>
    <cellStyle name="Comma 6 2 2 4 5 3" xfId="37184" xr:uid="{00000000-0005-0000-0000-0000D8260000}"/>
    <cellStyle name="Comma 6 2 2 4 6" xfId="7043" xr:uid="{00000000-0005-0000-0000-0000D9260000}"/>
    <cellStyle name="Comma 6 2 2 4 6 2" xfId="19492" xr:uid="{00000000-0005-0000-0000-0000DA260000}"/>
    <cellStyle name="Comma 6 2 2 4 6 2 2" xfId="44366" xr:uid="{00000000-0005-0000-0000-0000DB260000}"/>
    <cellStyle name="Comma 6 2 2 4 6 3" xfId="31933" xr:uid="{00000000-0005-0000-0000-0000DC260000}"/>
    <cellStyle name="Comma 6 2 2 4 7" xfId="3497" xr:uid="{00000000-0005-0000-0000-0000DD260000}"/>
    <cellStyle name="Comma 6 2 2 4 7 2" xfId="16003" xr:uid="{00000000-0005-0000-0000-0000DE260000}"/>
    <cellStyle name="Comma 6 2 2 4 7 2 2" xfId="40877" xr:uid="{00000000-0005-0000-0000-0000DF260000}"/>
    <cellStyle name="Comma 6 2 2 4 7 3" xfId="28436" xr:uid="{00000000-0005-0000-0000-0000E0260000}"/>
    <cellStyle name="Comma 6 2 2 4 8" xfId="14494" xr:uid="{00000000-0005-0000-0000-0000E1260000}"/>
    <cellStyle name="Comma 6 2 2 4 8 2" xfId="39368" xr:uid="{00000000-0005-0000-0000-0000E2260000}"/>
    <cellStyle name="Comma 6 2 2 4 9" xfId="26927" xr:uid="{00000000-0005-0000-0000-0000E3260000}"/>
    <cellStyle name="Comma 6 2 2 5" xfId="2203" xr:uid="{00000000-0005-0000-0000-0000E4260000}"/>
    <cellStyle name="Comma 6 2 2 5 2" xfId="4833" xr:uid="{00000000-0005-0000-0000-0000E5260000}"/>
    <cellStyle name="Comma 6 2 2 5 2 2" xfId="9850" xr:uid="{00000000-0005-0000-0000-0000E6260000}"/>
    <cellStyle name="Comma 6 2 2 5 2 2 2" xfId="22293" xr:uid="{00000000-0005-0000-0000-0000E7260000}"/>
    <cellStyle name="Comma 6 2 2 5 2 2 2 2" xfId="47167" xr:uid="{00000000-0005-0000-0000-0000E8260000}"/>
    <cellStyle name="Comma 6 2 2 5 2 2 3" xfId="34734" xr:uid="{00000000-0005-0000-0000-0000E9260000}"/>
    <cellStyle name="Comma 6 2 2 5 2 3" xfId="17286" xr:uid="{00000000-0005-0000-0000-0000EA260000}"/>
    <cellStyle name="Comma 6 2 2 5 2 3 2" xfId="42160" xr:uid="{00000000-0005-0000-0000-0000EB260000}"/>
    <cellStyle name="Comma 6 2 2 5 2 4" xfId="29727" xr:uid="{00000000-0005-0000-0000-0000EC260000}"/>
    <cellStyle name="Comma 6 2 2 5 3" xfId="6231" xr:uid="{00000000-0005-0000-0000-0000ED260000}"/>
    <cellStyle name="Comma 6 2 2 5 3 2" xfId="11246" xr:uid="{00000000-0005-0000-0000-0000EE260000}"/>
    <cellStyle name="Comma 6 2 2 5 3 2 2" xfId="23689" xr:uid="{00000000-0005-0000-0000-0000EF260000}"/>
    <cellStyle name="Comma 6 2 2 5 3 2 2 2" xfId="48563" xr:uid="{00000000-0005-0000-0000-0000F0260000}"/>
    <cellStyle name="Comma 6 2 2 5 3 2 3" xfId="36130" xr:uid="{00000000-0005-0000-0000-0000F1260000}"/>
    <cellStyle name="Comma 6 2 2 5 3 3" xfId="18682" xr:uid="{00000000-0005-0000-0000-0000F2260000}"/>
    <cellStyle name="Comma 6 2 2 5 3 3 2" xfId="43556" xr:uid="{00000000-0005-0000-0000-0000F3260000}"/>
    <cellStyle name="Comma 6 2 2 5 3 4" xfId="31123" xr:uid="{00000000-0005-0000-0000-0000F4260000}"/>
    <cellStyle name="Comma 6 2 2 5 4" xfId="8142" xr:uid="{00000000-0005-0000-0000-0000F5260000}"/>
    <cellStyle name="Comma 6 2 2 5 4 2" xfId="20588" xr:uid="{00000000-0005-0000-0000-0000F6260000}"/>
    <cellStyle name="Comma 6 2 2 5 4 2 2" xfId="45462" xr:uid="{00000000-0005-0000-0000-0000F7260000}"/>
    <cellStyle name="Comma 6 2 2 5 4 3" xfId="33029" xr:uid="{00000000-0005-0000-0000-0000F8260000}"/>
    <cellStyle name="Comma 6 2 2 5 5" xfId="12700" xr:uid="{00000000-0005-0000-0000-0000F9260000}"/>
    <cellStyle name="Comma 6 2 2 5 5 2" xfId="25134" xr:uid="{00000000-0005-0000-0000-0000FA260000}"/>
    <cellStyle name="Comma 6 2 2 5 5 2 2" xfId="50008" xr:uid="{00000000-0005-0000-0000-0000FB260000}"/>
    <cellStyle name="Comma 6 2 2 5 5 3" xfId="37575" xr:uid="{00000000-0005-0000-0000-0000FC260000}"/>
    <cellStyle name="Comma 6 2 2 5 6" xfId="7444" xr:uid="{00000000-0005-0000-0000-0000FD260000}"/>
    <cellStyle name="Comma 6 2 2 5 6 2" xfId="19892" xr:uid="{00000000-0005-0000-0000-0000FE260000}"/>
    <cellStyle name="Comma 6 2 2 5 6 2 2" xfId="44766" xr:uid="{00000000-0005-0000-0000-0000FF260000}"/>
    <cellStyle name="Comma 6 2 2 5 6 3" xfId="32333" xr:uid="{00000000-0005-0000-0000-000000270000}"/>
    <cellStyle name="Comma 6 2 2 5 7" xfId="3072" xr:uid="{00000000-0005-0000-0000-000001270000}"/>
    <cellStyle name="Comma 6 2 2 5 7 2" xfId="15581" xr:uid="{00000000-0005-0000-0000-000002270000}"/>
    <cellStyle name="Comma 6 2 2 5 7 2 2" xfId="40455" xr:uid="{00000000-0005-0000-0000-000003270000}"/>
    <cellStyle name="Comma 6 2 2 5 7 3" xfId="28014" xr:uid="{00000000-0005-0000-0000-000004270000}"/>
    <cellStyle name="Comma 6 2 2 5 8" xfId="14885" xr:uid="{00000000-0005-0000-0000-000005270000}"/>
    <cellStyle name="Comma 6 2 2 5 8 2" xfId="39759" xr:uid="{00000000-0005-0000-0000-000006270000}"/>
    <cellStyle name="Comma 6 2 2 5 9" xfId="27318" xr:uid="{00000000-0005-0000-0000-000007270000}"/>
    <cellStyle name="Comma 6 2 2 6" xfId="1042" xr:uid="{00000000-0005-0000-0000-000008270000}"/>
    <cellStyle name="Comma 6 2 2 6 2" xfId="9028" xr:uid="{00000000-0005-0000-0000-000009270000}"/>
    <cellStyle name="Comma 6 2 2 6 2 2" xfId="21471" xr:uid="{00000000-0005-0000-0000-00000A270000}"/>
    <cellStyle name="Comma 6 2 2 6 2 2 2" xfId="46345" xr:uid="{00000000-0005-0000-0000-00000B270000}"/>
    <cellStyle name="Comma 6 2 2 6 2 3" xfId="33912" xr:uid="{00000000-0005-0000-0000-00000C270000}"/>
    <cellStyle name="Comma 6 2 2 6 3" xfId="4010" xr:uid="{00000000-0005-0000-0000-00000D270000}"/>
    <cellStyle name="Comma 6 2 2 6 3 2" xfId="16464" xr:uid="{00000000-0005-0000-0000-00000E270000}"/>
    <cellStyle name="Comma 6 2 2 6 3 2 2" xfId="41338" xr:uid="{00000000-0005-0000-0000-00000F270000}"/>
    <cellStyle name="Comma 6 2 2 6 3 3" xfId="28905" xr:uid="{00000000-0005-0000-0000-000010270000}"/>
    <cellStyle name="Comma 6 2 2 6 4" xfId="13842" xr:uid="{00000000-0005-0000-0000-000011270000}"/>
    <cellStyle name="Comma 6 2 2 6 4 2" xfId="38716" xr:uid="{00000000-0005-0000-0000-000012270000}"/>
    <cellStyle name="Comma 6 2 2 6 5" xfId="26275" xr:uid="{00000000-0005-0000-0000-000013270000}"/>
    <cellStyle name="Comma 6 2 2 7" xfId="5187" xr:uid="{00000000-0005-0000-0000-000014270000}"/>
    <cellStyle name="Comma 6 2 2 7 2" xfId="10203" xr:uid="{00000000-0005-0000-0000-000015270000}"/>
    <cellStyle name="Comma 6 2 2 7 2 2" xfId="22646" xr:uid="{00000000-0005-0000-0000-000016270000}"/>
    <cellStyle name="Comma 6 2 2 7 2 2 2" xfId="47520" xr:uid="{00000000-0005-0000-0000-000017270000}"/>
    <cellStyle name="Comma 6 2 2 7 2 3" xfId="35087" xr:uid="{00000000-0005-0000-0000-000018270000}"/>
    <cellStyle name="Comma 6 2 2 7 3" xfId="17639" xr:uid="{00000000-0005-0000-0000-000019270000}"/>
    <cellStyle name="Comma 6 2 2 7 3 2" xfId="42513" xr:uid="{00000000-0005-0000-0000-00001A270000}"/>
    <cellStyle name="Comma 6 2 2 7 4" xfId="30080" xr:uid="{00000000-0005-0000-0000-00001B270000}"/>
    <cellStyle name="Comma 6 2 2 8" xfId="7764" xr:uid="{00000000-0005-0000-0000-00001C270000}"/>
    <cellStyle name="Comma 6 2 2 8 2" xfId="20210" xr:uid="{00000000-0005-0000-0000-00001D270000}"/>
    <cellStyle name="Comma 6 2 2 8 2 2" xfId="45084" xr:uid="{00000000-0005-0000-0000-00001E270000}"/>
    <cellStyle name="Comma 6 2 2 8 3" xfId="32651" xr:uid="{00000000-0005-0000-0000-00001F270000}"/>
    <cellStyle name="Comma 6 2 2 9" xfId="11657" xr:uid="{00000000-0005-0000-0000-000020270000}"/>
    <cellStyle name="Comma 6 2 2 9 2" xfId="24091" xr:uid="{00000000-0005-0000-0000-000021270000}"/>
    <cellStyle name="Comma 6 2 2 9 2 2" xfId="48965" xr:uid="{00000000-0005-0000-0000-000022270000}"/>
    <cellStyle name="Comma 6 2 2 9 3" xfId="36532" xr:uid="{00000000-0005-0000-0000-000023270000}"/>
    <cellStyle name="Comma 6 2 3" xfId="452" xr:uid="{00000000-0005-0000-0000-000024270000}"/>
    <cellStyle name="Comma 6 2 3 10" xfId="2847" xr:uid="{00000000-0005-0000-0000-000025270000}"/>
    <cellStyle name="Comma 6 2 3 10 2" xfId="15365" xr:uid="{00000000-0005-0000-0000-000026270000}"/>
    <cellStyle name="Comma 6 2 3 10 2 2" xfId="40239" xr:uid="{00000000-0005-0000-0000-000027270000}"/>
    <cellStyle name="Comma 6 2 3 10 3" xfId="27798" xr:uid="{00000000-0005-0000-0000-000028270000}"/>
    <cellStyle name="Comma 6 2 3 11" xfId="13266" xr:uid="{00000000-0005-0000-0000-000029270000}"/>
    <cellStyle name="Comma 6 2 3 11 2" xfId="38140" xr:uid="{00000000-0005-0000-0000-00002A270000}"/>
    <cellStyle name="Comma 6 2 3 12" xfId="25699" xr:uid="{00000000-0005-0000-0000-00002B270000}"/>
    <cellStyle name="Comma 6 2 3 2" xfId="812" xr:uid="{00000000-0005-0000-0000-00002C270000}"/>
    <cellStyle name="Comma 6 2 3 2 2" xfId="1348" xr:uid="{00000000-0005-0000-0000-00002D270000}"/>
    <cellStyle name="Comma 6 2 3 2 2 2" xfId="9303" xr:uid="{00000000-0005-0000-0000-00002E270000}"/>
    <cellStyle name="Comma 6 2 3 2 2 2 2" xfId="21746" xr:uid="{00000000-0005-0000-0000-00002F270000}"/>
    <cellStyle name="Comma 6 2 3 2 2 2 2 2" xfId="46620" xr:uid="{00000000-0005-0000-0000-000030270000}"/>
    <cellStyle name="Comma 6 2 3 2 2 2 3" xfId="34187" xr:uid="{00000000-0005-0000-0000-000031270000}"/>
    <cellStyle name="Comma 6 2 3 2 2 3" xfId="4285" xr:uid="{00000000-0005-0000-0000-000032270000}"/>
    <cellStyle name="Comma 6 2 3 2 2 3 2" xfId="16739" xr:uid="{00000000-0005-0000-0000-000033270000}"/>
    <cellStyle name="Comma 6 2 3 2 2 3 2 2" xfId="41613" xr:uid="{00000000-0005-0000-0000-000034270000}"/>
    <cellStyle name="Comma 6 2 3 2 2 3 3" xfId="29180" xr:uid="{00000000-0005-0000-0000-000035270000}"/>
    <cellStyle name="Comma 6 2 3 2 2 4" xfId="14148" xr:uid="{00000000-0005-0000-0000-000036270000}"/>
    <cellStyle name="Comma 6 2 3 2 2 4 2" xfId="39022" xr:uid="{00000000-0005-0000-0000-000037270000}"/>
    <cellStyle name="Comma 6 2 3 2 2 5" xfId="26581" xr:uid="{00000000-0005-0000-0000-000038270000}"/>
    <cellStyle name="Comma 6 2 3 2 3" xfId="5493" xr:uid="{00000000-0005-0000-0000-000039270000}"/>
    <cellStyle name="Comma 6 2 3 2 3 2" xfId="10509" xr:uid="{00000000-0005-0000-0000-00003A270000}"/>
    <cellStyle name="Comma 6 2 3 2 3 2 2" xfId="22952" xr:uid="{00000000-0005-0000-0000-00003B270000}"/>
    <cellStyle name="Comma 6 2 3 2 3 2 2 2" xfId="47826" xr:uid="{00000000-0005-0000-0000-00003C270000}"/>
    <cellStyle name="Comma 6 2 3 2 3 2 3" xfId="35393" xr:uid="{00000000-0005-0000-0000-00003D270000}"/>
    <cellStyle name="Comma 6 2 3 2 3 3" xfId="17945" xr:uid="{00000000-0005-0000-0000-00003E270000}"/>
    <cellStyle name="Comma 6 2 3 2 3 3 2" xfId="42819" xr:uid="{00000000-0005-0000-0000-00003F270000}"/>
    <cellStyle name="Comma 6 2 3 2 3 4" xfId="30386" xr:uid="{00000000-0005-0000-0000-000040270000}"/>
    <cellStyle name="Comma 6 2 3 2 4" xfId="8419" xr:uid="{00000000-0005-0000-0000-000041270000}"/>
    <cellStyle name="Comma 6 2 3 2 4 2" xfId="20863" xr:uid="{00000000-0005-0000-0000-000042270000}"/>
    <cellStyle name="Comma 6 2 3 2 4 2 2" xfId="45737" xr:uid="{00000000-0005-0000-0000-000043270000}"/>
    <cellStyle name="Comma 6 2 3 2 4 3" xfId="33304" xr:uid="{00000000-0005-0000-0000-000044270000}"/>
    <cellStyle name="Comma 6 2 3 2 5" xfId="11963" xr:uid="{00000000-0005-0000-0000-000045270000}"/>
    <cellStyle name="Comma 6 2 3 2 5 2" xfId="24397" xr:uid="{00000000-0005-0000-0000-000046270000}"/>
    <cellStyle name="Comma 6 2 3 2 5 2 2" xfId="49271" xr:uid="{00000000-0005-0000-0000-000047270000}"/>
    <cellStyle name="Comma 6 2 3 2 5 3" xfId="36838" xr:uid="{00000000-0005-0000-0000-000048270000}"/>
    <cellStyle name="Comma 6 2 3 2 6" xfId="6896" xr:uid="{00000000-0005-0000-0000-000049270000}"/>
    <cellStyle name="Comma 6 2 3 2 6 2" xfId="19345" xr:uid="{00000000-0005-0000-0000-00004A270000}"/>
    <cellStyle name="Comma 6 2 3 2 6 2 2" xfId="44219" xr:uid="{00000000-0005-0000-0000-00004B270000}"/>
    <cellStyle name="Comma 6 2 3 2 6 3" xfId="31786" xr:uid="{00000000-0005-0000-0000-00004C270000}"/>
    <cellStyle name="Comma 6 2 3 2 7" xfId="3350" xr:uid="{00000000-0005-0000-0000-00004D270000}"/>
    <cellStyle name="Comma 6 2 3 2 7 2" xfId="15856" xr:uid="{00000000-0005-0000-0000-00004E270000}"/>
    <cellStyle name="Comma 6 2 3 2 7 2 2" xfId="40730" xr:uid="{00000000-0005-0000-0000-00004F270000}"/>
    <cellStyle name="Comma 6 2 3 2 7 3" xfId="28289" xr:uid="{00000000-0005-0000-0000-000050270000}"/>
    <cellStyle name="Comma 6 2 3 2 8" xfId="13613" xr:uid="{00000000-0005-0000-0000-000051270000}"/>
    <cellStyle name="Comma 6 2 3 2 8 2" xfId="38487" xr:uid="{00000000-0005-0000-0000-000052270000}"/>
    <cellStyle name="Comma 6 2 3 2 9" xfId="26046" xr:uid="{00000000-0005-0000-0000-000053270000}"/>
    <cellStyle name="Comma 6 2 3 3" xfId="1696" xr:uid="{00000000-0005-0000-0000-000054270000}"/>
    <cellStyle name="Comma 6 2 3 3 2" xfId="4434" xr:uid="{00000000-0005-0000-0000-000055270000}"/>
    <cellStyle name="Comma 6 2 3 3 2 2" xfId="9452" xr:uid="{00000000-0005-0000-0000-000056270000}"/>
    <cellStyle name="Comma 6 2 3 3 2 2 2" xfId="21895" xr:uid="{00000000-0005-0000-0000-000057270000}"/>
    <cellStyle name="Comma 6 2 3 3 2 2 2 2" xfId="46769" xr:uid="{00000000-0005-0000-0000-000058270000}"/>
    <cellStyle name="Comma 6 2 3 3 2 2 3" xfId="34336" xr:uid="{00000000-0005-0000-0000-000059270000}"/>
    <cellStyle name="Comma 6 2 3 3 2 3" xfId="16888" xr:uid="{00000000-0005-0000-0000-00005A270000}"/>
    <cellStyle name="Comma 6 2 3 3 2 3 2" xfId="41762" xr:uid="{00000000-0005-0000-0000-00005B270000}"/>
    <cellStyle name="Comma 6 2 3 3 2 4" xfId="29329" xr:uid="{00000000-0005-0000-0000-00005C270000}"/>
    <cellStyle name="Comma 6 2 3 3 3" xfId="5842" xr:uid="{00000000-0005-0000-0000-00005D270000}"/>
    <cellStyle name="Comma 6 2 3 3 3 2" xfId="10857" xr:uid="{00000000-0005-0000-0000-00005E270000}"/>
    <cellStyle name="Comma 6 2 3 3 3 2 2" xfId="23300" xr:uid="{00000000-0005-0000-0000-00005F270000}"/>
    <cellStyle name="Comma 6 2 3 3 3 2 2 2" xfId="48174" xr:uid="{00000000-0005-0000-0000-000060270000}"/>
    <cellStyle name="Comma 6 2 3 3 3 2 3" xfId="35741" xr:uid="{00000000-0005-0000-0000-000061270000}"/>
    <cellStyle name="Comma 6 2 3 3 3 3" xfId="18293" xr:uid="{00000000-0005-0000-0000-000062270000}"/>
    <cellStyle name="Comma 6 2 3 3 3 3 2" xfId="43167" xr:uid="{00000000-0005-0000-0000-000063270000}"/>
    <cellStyle name="Comma 6 2 3 3 3 4" xfId="30734" xr:uid="{00000000-0005-0000-0000-000064270000}"/>
    <cellStyle name="Comma 6 2 3 3 4" xfId="8568" xr:uid="{00000000-0005-0000-0000-000065270000}"/>
    <cellStyle name="Comma 6 2 3 3 4 2" xfId="21012" xr:uid="{00000000-0005-0000-0000-000066270000}"/>
    <cellStyle name="Comma 6 2 3 3 4 2 2" xfId="45886" xr:uid="{00000000-0005-0000-0000-000067270000}"/>
    <cellStyle name="Comma 6 2 3 3 4 3" xfId="33453" xr:uid="{00000000-0005-0000-0000-000068270000}"/>
    <cellStyle name="Comma 6 2 3 3 5" xfId="12311" xr:uid="{00000000-0005-0000-0000-000069270000}"/>
    <cellStyle name="Comma 6 2 3 3 5 2" xfId="24745" xr:uid="{00000000-0005-0000-0000-00006A270000}"/>
    <cellStyle name="Comma 6 2 3 3 5 2 2" xfId="49619" xr:uid="{00000000-0005-0000-0000-00006B270000}"/>
    <cellStyle name="Comma 6 2 3 3 5 3" xfId="37186" xr:uid="{00000000-0005-0000-0000-00006C270000}"/>
    <cellStyle name="Comma 6 2 3 3 6" xfId="7045" xr:uid="{00000000-0005-0000-0000-00006D270000}"/>
    <cellStyle name="Comma 6 2 3 3 6 2" xfId="19494" xr:uid="{00000000-0005-0000-0000-00006E270000}"/>
    <cellStyle name="Comma 6 2 3 3 6 2 2" xfId="44368" xr:uid="{00000000-0005-0000-0000-00006F270000}"/>
    <cellStyle name="Comma 6 2 3 3 6 3" xfId="31935" xr:uid="{00000000-0005-0000-0000-000070270000}"/>
    <cellStyle name="Comma 6 2 3 3 7" xfId="3499" xr:uid="{00000000-0005-0000-0000-000071270000}"/>
    <cellStyle name="Comma 6 2 3 3 7 2" xfId="16005" xr:uid="{00000000-0005-0000-0000-000072270000}"/>
    <cellStyle name="Comma 6 2 3 3 7 2 2" xfId="40879" xr:uid="{00000000-0005-0000-0000-000073270000}"/>
    <cellStyle name="Comma 6 2 3 3 7 3" xfId="28438" xr:uid="{00000000-0005-0000-0000-000074270000}"/>
    <cellStyle name="Comma 6 2 3 3 8" xfId="14496" xr:uid="{00000000-0005-0000-0000-000075270000}"/>
    <cellStyle name="Comma 6 2 3 3 8 2" xfId="39370" xr:uid="{00000000-0005-0000-0000-000076270000}"/>
    <cellStyle name="Comma 6 2 3 3 9" xfId="26929" xr:uid="{00000000-0005-0000-0000-000077270000}"/>
    <cellStyle name="Comma 6 2 3 4" xfId="2370" xr:uid="{00000000-0005-0000-0000-000078270000}"/>
    <cellStyle name="Comma 6 2 3 4 2" xfId="4995" xr:uid="{00000000-0005-0000-0000-000079270000}"/>
    <cellStyle name="Comma 6 2 3 4 2 2" xfId="10012" xr:uid="{00000000-0005-0000-0000-00007A270000}"/>
    <cellStyle name="Comma 6 2 3 4 2 2 2" xfId="22455" xr:uid="{00000000-0005-0000-0000-00007B270000}"/>
    <cellStyle name="Comma 6 2 3 4 2 2 2 2" xfId="47329" xr:uid="{00000000-0005-0000-0000-00007C270000}"/>
    <cellStyle name="Comma 6 2 3 4 2 2 3" xfId="34896" xr:uid="{00000000-0005-0000-0000-00007D270000}"/>
    <cellStyle name="Comma 6 2 3 4 2 3" xfId="17448" xr:uid="{00000000-0005-0000-0000-00007E270000}"/>
    <cellStyle name="Comma 6 2 3 4 2 3 2" xfId="42322" xr:uid="{00000000-0005-0000-0000-00007F270000}"/>
    <cellStyle name="Comma 6 2 3 4 2 4" xfId="29889" xr:uid="{00000000-0005-0000-0000-000080270000}"/>
    <cellStyle name="Comma 6 2 3 4 3" xfId="6393" xr:uid="{00000000-0005-0000-0000-000081270000}"/>
    <cellStyle name="Comma 6 2 3 4 3 2" xfId="11408" xr:uid="{00000000-0005-0000-0000-000082270000}"/>
    <cellStyle name="Comma 6 2 3 4 3 2 2" xfId="23851" xr:uid="{00000000-0005-0000-0000-000083270000}"/>
    <cellStyle name="Comma 6 2 3 4 3 2 2 2" xfId="48725" xr:uid="{00000000-0005-0000-0000-000084270000}"/>
    <cellStyle name="Comma 6 2 3 4 3 2 3" xfId="36292" xr:uid="{00000000-0005-0000-0000-000085270000}"/>
    <cellStyle name="Comma 6 2 3 4 3 3" xfId="18844" xr:uid="{00000000-0005-0000-0000-000086270000}"/>
    <cellStyle name="Comma 6 2 3 4 3 3 2" xfId="43718" xr:uid="{00000000-0005-0000-0000-000087270000}"/>
    <cellStyle name="Comma 6 2 3 4 3 4" xfId="31285" xr:uid="{00000000-0005-0000-0000-000088270000}"/>
    <cellStyle name="Comma 6 2 3 4 4" xfId="8100" xr:uid="{00000000-0005-0000-0000-000089270000}"/>
    <cellStyle name="Comma 6 2 3 4 4 2" xfId="20546" xr:uid="{00000000-0005-0000-0000-00008A270000}"/>
    <cellStyle name="Comma 6 2 3 4 4 2 2" xfId="45420" xr:uid="{00000000-0005-0000-0000-00008B270000}"/>
    <cellStyle name="Comma 6 2 3 4 4 3" xfId="32987" xr:uid="{00000000-0005-0000-0000-00008C270000}"/>
    <cellStyle name="Comma 6 2 3 4 5" xfId="12862" xr:uid="{00000000-0005-0000-0000-00008D270000}"/>
    <cellStyle name="Comma 6 2 3 4 5 2" xfId="25296" xr:uid="{00000000-0005-0000-0000-00008E270000}"/>
    <cellStyle name="Comma 6 2 3 4 5 2 2" xfId="50170" xr:uid="{00000000-0005-0000-0000-00008F270000}"/>
    <cellStyle name="Comma 6 2 3 4 5 3" xfId="37737" xr:uid="{00000000-0005-0000-0000-000090270000}"/>
    <cellStyle name="Comma 6 2 3 4 6" xfId="7606" xr:uid="{00000000-0005-0000-0000-000091270000}"/>
    <cellStyle name="Comma 6 2 3 4 6 2" xfId="20054" xr:uid="{00000000-0005-0000-0000-000092270000}"/>
    <cellStyle name="Comma 6 2 3 4 6 2 2" xfId="44928" xr:uid="{00000000-0005-0000-0000-000093270000}"/>
    <cellStyle name="Comma 6 2 3 4 6 3" xfId="32495" xr:uid="{00000000-0005-0000-0000-000094270000}"/>
    <cellStyle name="Comma 6 2 3 4 7" xfId="3030" xr:uid="{00000000-0005-0000-0000-000095270000}"/>
    <cellStyle name="Comma 6 2 3 4 7 2" xfId="15539" xr:uid="{00000000-0005-0000-0000-000096270000}"/>
    <cellStyle name="Comma 6 2 3 4 7 2 2" xfId="40413" xr:uid="{00000000-0005-0000-0000-000097270000}"/>
    <cellStyle name="Comma 6 2 3 4 7 3" xfId="27972" xr:uid="{00000000-0005-0000-0000-000098270000}"/>
    <cellStyle name="Comma 6 2 3 4 8" xfId="15047" xr:uid="{00000000-0005-0000-0000-000099270000}"/>
    <cellStyle name="Comma 6 2 3 4 8 2" xfId="39921" xr:uid="{00000000-0005-0000-0000-00009A270000}"/>
    <cellStyle name="Comma 6 2 3 4 9" xfId="27480" xr:uid="{00000000-0005-0000-0000-00009B270000}"/>
    <cellStyle name="Comma 6 2 3 5" xfId="1204" xr:uid="{00000000-0005-0000-0000-00009C270000}"/>
    <cellStyle name="Comma 6 2 3 5 2" xfId="8986" xr:uid="{00000000-0005-0000-0000-00009D270000}"/>
    <cellStyle name="Comma 6 2 3 5 2 2" xfId="21429" xr:uid="{00000000-0005-0000-0000-00009E270000}"/>
    <cellStyle name="Comma 6 2 3 5 2 2 2" xfId="46303" xr:uid="{00000000-0005-0000-0000-00009F270000}"/>
    <cellStyle name="Comma 6 2 3 5 2 3" xfId="33870" xr:uid="{00000000-0005-0000-0000-0000A0270000}"/>
    <cellStyle name="Comma 6 2 3 5 3" xfId="3968" xr:uid="{00000000-0005-0000-0000-0000A1270000}"/>
    <cellStyle name="Comma 6 2 3 5 3 2" xfId="16422" xr:uid="{00000000-0005-0000-0000-0000A2270000}"/>
    <cellStyle name="Comma 6 2 3 5 3 2 2" xfId="41296" xr:uid="{00000000-0005-0000-0000-0000A3270000}"/>
    <cellStyle name="Comma 6 2 3 5 3 3" xfId="28863" xr:uid="{00000000-0005-0000-0000-0000A4270000}"/>
    <cellStyle name="Comma 6 2 3 5 4" xfId="14004" xr:uid="{00000000-0005-0000-0000-0000A5270000}"/>
    <cellStyle name="Comma 6 2 3 5 4 2" xfId="38878" xr:uid="{00000000-0005-0000-0000-0000A6270000}"/>
    <cellStyle name="Comma 6 2 3 5 5" xfId="26437" xr:uid="{00000000-0005-0000-0000-0000A7270000}"/>
    <cellStyle name="Comma 6 2 3 6" xfId="5349" xr:uid="{00000000-0005-0000-0000-0000A8270000}"/>
    <cellStyle name="Comma 6 2 3 6 2" xfId="10365" xr:uid="{00000000-0005-0000-0000-0000A9270000}"/>
    <cellStyle name="Comma 6 2 3 6 2 2" xfId="22808" xr:uid="{00000000-0005-0000-0000-0000AA270000}"/>
    <cellStyle name="Comma 6 2 3 6 2 2 2" xfId="47682" xr:uid="{00000000-0005-0000-0000-0000AB270000}"/>
    <cellStyle name="Comma 6 2 3 6 2 3" xfId="35249" xr:uid="{00000000-0005-0000-0000-0000AC270000}"/>
    <cellStyle name="Comma 6 2 3 6 3" xfId="17801" xr:uid="{00000000-0005-0000-0000-0000AD270000}"/>
    <cellStyle name="Comma 6 2 3 6 3 2" xfId="42675" xr:uid="{00000000-0005-0000-0000-0000AE270000}"/>
    <cellStyle name="Comma 6 2 3 6 4" xfId="30242" xr:uid="{00000000-0005-0000-0000-0000AF270000}"/>
    <cellStyle name="Comma 6 2 3 7" xfId="7926" xr:uid="{00000000-0005-0000-0000-0000B0270000}"/>
    <cellStyle name="Comma 6 2 3 7 2" xfId="20372" xr:uid="{00000000-0005-0000-0000-0000B1270000}"/>
    <cellStyle name="Comma 6 2 3 7 2 2" xfId="45246" xr:uid="{00000000-0005-0000-0000-0000B2270000}"/>
    <cellStyle name="Comma 6 2 3 7 3" xfId="32813" xr:uid="{00000000-0005-0000-0000-0000B3270000}"/>
    <cellStyle name="Comma 6 2 3 8" xfId="11819" xr:uid="{00000000-0005-0000-0000-0000B4270000}"/>
    <cellStyle name="Comma 6 2 3 8 2" xfId="24253" xr:uid="{00000000-0005-0000-0000-0000B5270000}"/>
    <cellStyle name="Comma 6 2 3 8 2 2" xfId="49127" xr:uid="{00000000-0005-0000-0000-0000B6270000}"/>
    <cellStyle name="Comma 6 2 3 8 3" xfId="36694" xr:uid="{00000000-0005-0000-0000-0000B7270000}"/>
    <cellStyle name="Comma 6 2 3 9" xfId="6579" xr:uid="{00000000-0005-0000-0000-0000B8270000}"/>
    <cellStyle name="Comma 6 2 3 9 2" xfId="19028" xr:uid="{00000000-0005-0000-0000-0000B9270000}"/>
    <cellStyle name="Comma 6 2 3 9 2 2" xfId="43902" xr:uid="{00000000-0005-0000-0000-0000BA270000}"/>
    <cellStyle name="Comma 6 2 3 9 3" xfId="31469" xr:uid="{00000000-0005-0000-0000-0000BB270000}"/>
    <cellStyle name="Comma 6 2 4" xfId="388" xr:uid="{00000000-0005-0000-0000-0000BC270000}"/>
    <cellStyle name="Comma 6 2 4 10" xfId="13204" xr:uid="{00000000-0005-0000-0000-0000BD270000}"/>
    <cellStyle name="Comma 6 2 4 10 2" xfId="38078" xr:uid="{00000000-0005-0000-0000-0000BE270000}"/>
    <cellStyle name="Comma 6 2 4 11" xfId="25637" xr:uid="{00000000-0005-0000-0000-0000BF270000}"/>
    <cellStyle name="Comma 6 2 4 2" xfId="748" xr:uid="{00000000-0005-0000-0000-0000C0270000}"/>
    <cellStyle name="Comma 6 2 4 2 2" xfId="1349" xr:uid="{00000000-0005-0000-0000-0000C1270000}"/>
    <cellStyle name="Comma 6 2 4 2 2 2" xfId="9453" xr:uid="{00000000-0005-0000-0000-0000C2270000}"/>
    <cellStyle name="Comma 6 2 4 2 2 2 2" xfId="21896" xr:uid="{00000000-0005-0000-0000-0000C3270000}"/>
    <cellStyle name="Comma 6 2 4 2 2 2 2 2" xfId="46770" xr:uid="{00000000-0005-0000-0000-0000C4270000}"/>
    <cellStyle name="Comma 6 2 4 2 2 2 3" xfId="34337" xr:uid="{00000000-0005-0000-0000-0000C5270000}"/>
    <cellStyle name="Comma 6 2 4 2 2 3" xfId="4435" xr:uid="{00000000-0005-0000-0000-0000C6270000}"/>
    <cellStyle name="Comma 6 2 4 2 2 3 2" xfId="16889" xr:uid="{00000000-0005-0000-0000-0000C7270000}"/>
    <cellStyle name="Comma 6 2 4 2 2 3 2 2" xfId="41763" xr:uid="{00000000-0005-0000-0000-0000C8270000}"/>
    <cellStyle name="Comma 6 2 4 2 2 3 3" xfId="29330" xr:uid="{00000000-0005-0000-0000-0000C9270000}"/>
    <cellStyle name="Comma 6 2 4 2 2 4" xfId="14149" xr:uid="{00000000-0005-0000-0000-0000CA270000}"/>
    <cellStyle name="Comma 6 2 4 2 2 4 2" xfId="39023" xr:uid="{00000000-0005-0000-0000-0000CB270000}"/>
    <cellStyle name="Comma 6 2 4 2 2 5" xfId="26582" xr:uid="{00000000-0005-0000-0000-0000CC270000}"/>
    <cellStyle name="Comma 6 2 4 2 3" xfId="5494" xr:uid="{00000000-0005-0000-0000-0000CD270000}"/>
    <cellStyle name="Comma 6 2 4 2 3 2" xfId="10510" xr:uid="{00000000-0005-0000-0000-0000CE270000}"/>
    <cellStyle name="Comma 6 2 4 2 3 2 2" xfId="22953" xr:uid="{00000000-0005-0000-0000-0000CF270000}"/>
    <cellStyle name="Comma 6 2 4 2 3 2 2 2" xfId="47827" xr:uid="{00000000-0005-0000-0000-0000D0270000}"/>
    <cellStyle name="Comma 6 2 4 2 3 2 3" xfId="35394" xr:uid="{00000000-0005-0000-0000-0000D1270000}"/>
    <cellStyle name="Comma 6 2 4 2 3 3" xfId="17946" xr:uid="{00000000-0005-0000-0000-0000D2270000}"/>
    <cellStyle name="Comma 6 2 4 2 3 3 2" xfId="42820" xr:uid="{00000000-0005-0000-0000-0000D3270000}"/>
    <cellStyle name="Comma 6 2 4 2 3 4" xfId="30387" xr:uid="{00000000-0005-0000-0000-0000D4270000}"/>
    <cellStyle name="Comma 6 2 4 2 4" xfId="8569" xr:uid="{00000000-0005-0000-0000-0000D5270000}"/>
    <cellStyle name="Comma 6 2 4 2 4 2" xfId="21013" xr:uid="{00000000-0005-0000-0000-0000D6270000}"/>
    <cellStyle name="Comma 6 2 4 2 4 2 2" xfId="45887" xr:uid="{00000000-0005-0000-0000-0000D7270000}"/>
    <cellStyle name="Comma 6 2 4 2 4 3" xfId="33454" xr:uid="{00000000-0005-0000-0000-0000D8270000}"/>
    <cellStyle name="Comma 6 2 4 2 5" xfId="11964" xr:uid="{00000000-0005-0000-0000-0000D9270000}"/>
    <cellStyle name="Comma 6 2 4 2 5 2" xfId="24398" xr:uid="{00000000-0005-0000-0000-0000DA270000}"/>
    <cellStyle name="Comma 6 2 4 2 5 2 2" xfId="49272" xr:uid="{00000000-0005-0000-0000-0000DB270000}"/>
    <cellStyle name="Comma 6 2 4 2 5 3" xfId="36839" xr:uid="{00000000-0005-0000-0000-0000DC270000}"/>
    <cellStyle name="Comma 6 2 4 2 6" xfId="7046" xr:uid="{00000000-0005-0000-0000-0000DD270000}"/>
    <cellStyle name="Comma 6 2 4 2 6 2" xfId="19495" xr:uid="{00000000-0005-0000-0000-0000DE270000}"/>
    <cellStyle name="Comma 6 2 4 2 6 2 2" xfId="44369" xr:uid="{00000000-0005-0000-0000-0000DF270000}"/>
    <cellStyle name="Comma 6 2 4 2 6 3" xfId="31936" xr:uid="{00000000-0005-0000-0000-0000E0270000}"/>
    <cellStyle name="Comma 6 2 4 2 7" xfId="3500" xr:uid="{00000000-0005-0000-0000-0000E1270000}"/>
    <cellStyle name="Comma 6 2 4 2 7 2" xfId="16006" xr:uid="{00000000-0005-0000-0000-0000E2270000}"/>
    <cellStyle name="Comma 6 2 4 2 7 2 2" xfId="40880" xr:uid="{00000000-0005-0000-0000-0000E3270000}"/>
    <cellStyle name="Comma 6 2 4 2 7 3" xfId="28439" xr:uid="{00000000-0005-0000-0000-0000E4270000}"/>
    <cellStyle name="Comma 6 2 4 2 8" xfId="13551" xr:uid="{00000000-0005-0000-0000-0000E5270000}"/>
    <cellStyle name="Comma 6 2 4 2 8 2" xfId="38425" xr:uid="{00000000-0005-0000-0000-0000E6270000}"/>
    <cellStyle name="Comma 6 2 4 2 9" xfId="25984" xr:uid="{00000000-0005-0000-0000-0000E7270000}"/>
    <cellStyle name="Comma 6 2 4 3" xfId="1697" xr:uid="{00000000-0005-0000-0000-0000E8270000}"/>
    <cellStyle name="Comma 6 2 4 3 2" xfId="4933" xr:uid="{00000000-0005-0000-0000-0000E9270000}"/>
    <cellStyle name="Comma 6 2 4 3 2 2" xfId="9950" xr:uid="{00000000-0005-0000-0000-0000EA270000}"/>
    <cellStyle name="Comma 6 2 4 3 2 2 2" xfId="22393" xr:uid="{00000000-0005-0000-0000-0000EB270000}"/>
    <cellStyle name="Comma 6 2 4 3 2 2 2 2" xfId="47267" xr:uid="{00000000-0005-0000-0000-0000EC270000}"/>
    <cellStyle name="Comma 6 2 4 3 2 2 3" xfId="34834" xr:uid="{00000000-0005-0000-0000-0000ED270000}"/>
    <cellStyle name="Comma 6 2 4 3 2 3" xfId="17386" xr:uid="{00000000-0005-0000-0000-0000EE270000}"/>
    <cellStyle name="Comma 6 2 4 3 2 3 2" xfId="42260" xr:uid="{00000000-0005-0000-0000-0000EF270000}"/>
    <cellStyle name="Comma 6 2 4 3 2 4" xfId="29827" xr:uid="{00000000-0005-0000-0000-0000F0270000}"/>
    <cellStyle name="Comma 6 2 4 3 3" xfId="5843" xr:uid="{00000000-0005-0000-0000-0000F1270000}"/>
    <cellStyle name="Comma 6 2 4 3 3 2" xfId="10858" xr:uid="{00000000-0005-0000-0000-0000F2270000}"/>
    <cellStyle name="Comma 6 2 4 3 3 2 2" xfId="23301" xr:uid="{00000000-0005-0000-0000-0000F3270000}"/>
    <cellStyle name="Comma 6 2 4 3 3 2 2 2" xfId="48175" xr:uid="{00000000-0005-0000-0000-0000F4270000}"/>
    <cellStyle name="Comma 6 2 4 3 3 2 3" xfId="35742" xr:uid="{00000000-0005-0000-0000-0000F5270000}"/>
    <cellStyle name="Comma 6 2 4 3 3 3" xfId="18294" xr:uid="{00000000-0005-0000-0000-0000F6270000}"/>
    <cellStyle name="Comma 6 2 4 3 3 3 2" xfId="43168" xr:uid="{00000000-0005-0000-0000-0000F7270000}"/>
    <cellStyle name="Comma 6 2 4 3 3 4" xfId="30735" xr:uid="{00000000-0005-0000-0000-0000F8270000}"/>
    <cellStyle name="Comma 6 2 4 3 4" xfId="8357" xr:uid="{00000000-0005-0000-0000-0000F9270000}"/>
    <cellStyle name="Comma 6 2 4 3 4 2" xfId="20801" xr:uid="{00000000-0005-0000-0000-0000FA270000}"/>
    <cellStyle name="Comma 6 2 4 3 4 2 2" xfId="45675" xr:uid="{00000000-0005-0000-0000-0000FB270000}"/>
    <cellStyle name="Comma 6 2 4 3 4 3" xfId="33242" xr:uid="{00000000-0005-0000-0000-0000FC270000}"/>
    <cellStyle name="Comma 6 2 4 3 5" xfId="12312" xr:uid="{00000000-0005-0000-0000-0000FD270000}"/>
    <cellStyle name="Comma 6 2 4 3 5 2" xfId="24746" xr:uid="{00000000-0005-0000-0000-0000FE270000}"/>
    <cellStyle name="Comma 6 2 4 3 5 2 2" xfId="49620" xr:uid="{00000000-0005-0000-0000-0000FF270000}"/>
    <cellStyle name="Comma 6 2 4 3 5 3" xfId="37187" xr:uid="{00000000-0005-0000-0000-000000280000}"/>
    <cellStyle name="Comma 6 2 4 3 6" xfId="7544" xr:uid="{00000000-0005-0000-0000-000001280000}"/>
    <cellStyle name="Comma 6 2 4 3 6 2" xfId="19992" xr:uid="{00000000-0005-0000-0000-000002280000}"/>
    <cellStyle name="Comma 6 2 4 3 6 2 2" xfId="44866" xr:uid="{00000000-0005-0000-0000-000003280000}"/>
    <cellStyle name="Comma 6 2 4 3 6 3" xfId="32433" xr:uid="{00000000-0005-0000-0000-000004280000}"/>
    <cellStyle name="Comma 6 2 4 3 7" xfId="3288" xr:uid="{00000000-0005-0000-0000-000005280000}"/>
    <cellStyle name="Comma 6 2 4 3 7 2" xfId="15794" xr:uid="{00000000-0005-0000-0000-000006280000}"/>
    <cellStyle name="Comma 6 2 4 3 7 2 2" xfId="40668" xr:uid="{00000000-0005-0000-0000-000007280000}"/>
    <cellStyle name="Comma 6 2 4 3 7 3" xfId="28227" xr:uid="{00000000-0005-0000-0000-000008280000}"/>
    <cellStyle name="Comma 6 2 4 3 8" xfId="14497" xr:uid="{00000000-0005-0000-0000-000009280000}"/>
    <cellStyle name="Comma 6 2 4 3 8 2" xfId="39371" xr:uid="{00000000-0005-0000-0000-00000A280000}"/>
    <cellStyle name="Comma 6 2 4 3 9" xfId="26930" xr:uid="{00000000-0005-0000-0000-00000B280000}"/>
    <cellStyle name="Comma 6 2 4 4" xfId="2306" xr:uid="{00000000-0005-0000-0000-00000C280000}"/>
    <cellStyle name="Comma 6 2 4 4 2" xfId="6331" xr:uid="{00000000-0005-0000-0000-00000D280000}"/>
    <cellStyle name="Comma 6 2 4 4 2 2" xfId="11346" xr:uid="{00000000-0005-0000-0000-00000E280000}"/>
    <cellStyle name="Comma 6 2 4 4 2 2 2" xfId="23789" xr:uid="{00000000-0005-0000-0000-00000F280000}"/>
    <cellStyle name="Comma 6 2 4 4 2 2 2 2" xfId="48663" xr:uid="{00000000-0005-0000-0000-000010280000}"/>
    <cellStyle name="Comma 6 2 4 4 2 2 3" xfId="36230" xr:uid="{00000000-0005-0000-0000-000011280000}"/>
    <cellStyle name="Comma 6 2 4 4 2 3" xfId="18782" xr:uid="{00000000-0005-0000-0000-000012280000}"/>
    <cellStyle name="Comma 6 2 4 4 2 3 2" xfId="43656" xr:uid="{00000000-0005-0000-0000-000013280000}"/>
    <cellStyle name="Comma 6 2 4 4 2 4" xfId="31223" xr:uid="{00000000-0005-0000-0000-000014280000}"/>
    <cellStyle name="Comma 6 2 4 4 3" xfId="12800" xr:uid="{00000000-0005-0000-0000-000015280000}"/>
    <cellStyle name="Comma 6 2 4 4 3 2" xfId="25234" xr:uid="{00000000-0005-0000-0000-000016280000}"/>
    <cellStyle name="Comma 6 2 4 4 3 2 2" xfId="50108" xr:uid="{00000000-0005-0000-0000-000017280000}"/>
    <cellStyle name="Comma 6 2 4 4 3 3" xfId="37675" xr:uid="{00000000-0005-0000-0000-000018280000}"/>
    <cellStyle name="Comma 6 2 4 4 4" xfId="9241" xr:uid="{00000000-0005-0000-0000-000019280000}"/>
    <cellStyle name="Comma 6 2 4 4 4 2" xfId="21684" xr:uid="{00000000-0005-0000-0000-00001A280000}"/>
    <cellStyle name="Comma 6 2 4 4 4 2 2" xfId="46558" xr:uid="{00000000-0005-0000-0000-00001B280000}"/>
    <cellStyle name="Comma 6 2 4 4 4 3" xfId="34125" xr:uid="{00000000-0005-0000-0000-00001C280000}"/>
    <cellStyle name="Comma 6 2 4 4 5" xfId="4223" xr:uid="{00000000-0005-0000-0000-00001D280000}"/>
    <cellStyle name="Comma 6 2 4 4 5 2" xfId="16677" xr:uid="{00000000-0005-0000-0000-00001E280000}"/>
    <cellStyle name="Comma 6 2 4 4 5 2 2" xfId="41551" xr:uid="{00000000-0005-0000-0000-00001F280000}"/>
    <cellStyle name="Comma 6 2 4 4 5 3" xfId="29118" xr:uid="{00000000-0005-0000-0000-000020280000}"/>
    <cellStyle name="Comma 6 2 4 4 6" xfId="14985" xr:uid="{00000000-0005-0000-0000-000021280000}"/>
    <cellStyle name="Comma 6 2 4 4 6 2" xfId="39859" xr:uid="{00000000-0005-0000-0000-000022280000}"/>
    <cellStyle name="Comma 6 2 4 4 7" xfId="27418" xr:uid="{00000000-0005-0000-0000-000023280000}"/>
    <cellStyle name="Comma 6 2 4 5" xfId="1142" xr:uid="{00000000-0005-0000-0000-000024280000}"/>
    <cellStyle name="Comma 6 2 4 5 2" xfId="10303" xr:uid="{00000000-0005-0000-0000-000025280000}"/>
    <cellStyle name="Comma 6 2 4 5 2 2" xfId="22746" xr:uid="{00000000-0005-0000-0000-000026280000}"/>
    <cellStyle name="Comma 6 2 4 5 2 2 2" xfId="47620" xr:uid="{00000000-0005-0000-0000-000027280000}"/>
    <cellStyle name="Comma 6 2 4 5 2 3" xfId="35187" xr:uid="{00000000-0005-0000-0000-000028280000}"/>
    <cellStyle name="Comma 6 2 4 5 3" xfId="5287" xr:uid="{00000000-0005-0000-0000-000029280000}"/>
    <cellStyle name="Comma 6 2 4 5 3 2" xfId="17739" xr:uid="{00000000-0005-0000-0000-00002A280000}"/>
    <cellStyle name="Comma 6 2 4 5 3 2 2" xfId="42613" xr:uid="{00000000-0005-0000-0000-00002B280000}"/>
    <cellStyle name="Comma 6 2 4 5 3 3" xfId="30180" xr:uid="{00000000-0005-0000-0000-00002C280000}"/>
    <cellStyle name="Comma 6 2 4 5 4" xfId="13942" xr:uid="{00000000-0005-0000-0000-00002D280000}"/>
    <cellStyle name="Comma 6 2 4 5 4 2" xfId="38816" xr:uid="{00000000-0005-0000-0000-00002E280000}"/>
    <cellStyle name="Comma 6 2 4 5 5" xfId="26375" xr:uid="{00000000-0005-0000-0000-00002F280000}"/>
    <cellStyle name="Comma 6 2 4 6" xfId="7864" xr:uid="{00000000-0005-0000-0000-000030280000}"/>
    <cellStyle name="Comma 6 2 4 6 2" xfId="20310" xr:uid="{00000000-0005-0000-0000-000031280000}"/>
    <cellStyle name="Comma 6 2 4 6 2 2" xfId="45184" xr:uid="{00000000-0005-0000-0000-000032280000}"/>
    <cellStyle name="Comma 6 2 4 6 3" xfId="32751" xr:uid="{00000000-0005-0000-0000-000033280000}"/>
    <cellStyle name="Comma 6 2 4 7" xfId="11757" xr:uid="{00000000-0005-0000-0000-000034280000}"/>
    <cellStyle name="Comma 6 2 4 7 2" xfId="24191" xr:uid="{00000000-0005-0000-0000-000035280000}"/>
    <cellStyle name="Comma 6 2 4 7 2 2" xfId="49065" xr:uid="{00000000-0005-0000-0000-000036280000}"/>
    <cellStyle name="Comma 6 2 4 7 3" xfId="36632" xr:uid="{00000000-0005-0000-0000-000037280000}"/>
    <cellStyle name="Comma 6 2 4 8" xfId="6834" xr:uid="{00000000-0005-0000-0000-000038280000}"/>
    <cellStyle name="Comma 6 2 4 8 2" xfId="19283" xr:uid="{00000000-0005-0000-0000-000039280000}"/>
    <cellStyle name="Comma 6 2 4 8 2 2" xfId="44157" xr:uid="{00000000-0005-0000-0000-00003A280000}"/>
    <cellStyle name="Comma 6 2 4 8 3" xfId="31724" xr:uid="{00000000-0005-0000-0000-00003B280000}"/>
    <cellStyle name="Comma 6 2 4 9" xfId="2785" xr:uid="{00000000-0005-0000-0000-00003C280000}"/>
    <cellStyle name="Comma 6 2 4 9 2" xfId="15303" xr:uid="{00000000-0005-0000-0000-00003D280000}"/>
    <cellStyle name="Comma 6 2 4 9 2 2" xfId="40177" xr:uid="{00000000-0005-0000-0000-00003E280000}"/>
    <cellStyle name="Comma 6 2 4 9 3" xfId="27736" xr:uid="{00000000-0005-0000-0000-00003F280000}"/>
    <cellStyle name="Comma 6 2 5" xfId="217" xr:uid="{00000000-0005-0000-0000-000040280000}"/>
    <cellStyle name="Comma 6 2 5 2" xfId="1345" xr:uid="{00000000-0005-0000-0000-000041280000}"/>
    <cellStyle name="Comma 6 2 5 2 2" xfId="9082" xr:uid="{00000000-0005-0000-0000-000042280000}"/>
    <cellStyle name="Comma 6 2 5 2 2 2" xfId="21525" xr:uid="{00000000-0005-0000-0000-000043280000}"/>
    <cellStyle name="Comma 6 2 5 2 2 2 2" xfId="46399" xr:uid="{00000000-0005-0000-0000-000044280000}"/>
    <cellStyle name="Comma 6 2 5 2 2 3" xfId="33966" xr:uid="{00000000-0005-0000-0000-000045280000}"/>
    <cellStyle name="Comma 6 2 5 2 3" xfId="4064" xr:uid="{00000000-0005-0000-0000-000046280000}"/>
    <cellStyle name="Comma 6 2 5 2 3 2" xfId="16518" xr:uid="{00000000-0005-0000-0000-000047280000}"/>
    <cellStyle name="Comma 6 2 5 2 3 2 2" xfId="41392" xr:uid="{00000000-0005-0000-0000-000048280000}"/>
    <cellStyle name="Comma 6 2 5 2 3 3" xfId="28959" xr:uid="{00000000-0005-0000-0000-000049280000}"/>
    <cellStyle name="Comma 6 2 5 2 4" xfId="14145" xr:uid="{00000000-0005-0000-0000-00004A280000}"/>
    <cellStyle name="Comma 6 2 5 2 4 2" xfId="39019" xr:uid="{00000000-0005-0000-0000-00004B280000}"/>
    <cellStyle name="Comma 6 2 5 2 5" xfId="26578" xr:uid="{00000000-0005-0000-0000-00004C280000}"/>
    <cellStyle name="Comma 6 2 5 3" xfId="5490" xr:uid="{00000000-0005-0000-0000-00004D280000}"/>
    <cellStyle name="Comma 6 2 5 3 2" xfId="10506" xr:uid="{00000000-0005-0000-0000-00004E280000}"/>
    <cellStyle name="Comma 6 2 5 3 2 2" xfId="22949" xr:uid="{00000000-0005-0000-0000-00004F280000}"/>
    <cellStyle name="Comma 6 2 5 3 2 2 2" xfId="47823" xr:uid="{00000000-0005-0000-0000-000050280000}"/>
    <cellStyle name="Comma 6 2 5 3 2 3" xfId="35390" xr:uid="{00000000-0005-0000-0000-000051280000}"/>
    <cellStyle name="Comma 6 2 5 3 3" xfId="17942" xr:uid="{00000000-0005-0000-0000-000052280000}"/>
    <cellStyle name="Comma 6 2 5 3 3 2" xfId="42816" xr:uid="{00000000-0005-0000-0000-000053280000}"/>
    <cellStyle name="Comma 6 2 5 3 4" xfId="30383" xr:uid="{00000000-0005-0000-0000-000054280000}"/>
    <cellStyle name="Comma 6 2 5 4" xfId="8198" xr:uid="{00000000-0005-0000-0000-000055280000}"/>
    <cellStyle name="Comma 6 2 5 4 2" xfId="20642" xr:uid="{00000000-0005-0000-0000-000056280000}"/>
    <cellStyle name="Comma 6 2 5 4 2 2" xfId="45516" xr:uid="{00000000-0005-0000-0000-000057280000}"/>
    <cellStyle name="Comma 6 2 5 4 3" xfId="33083" xr:uid="{00000000-0005-0000-0000-000058280000}"/>
    <cellStyle name="Comma 6 2 5 5" xfId="11960" xr:uid="{00000000-0005-0000-0000-000059280000}"/>
    <cellStyle name="Comma 6 2 5 5 2" xfId="24394" xr:uid="{00000000-0005-0000-0000-00005A280000}"/>
    <cellStyle name="Comma 6 2 5 5 2 2" xfId="49268" xr:uid="{00000000-0005-0000-0000-00005B280000}"/>
    <cellStyle name="Comma 6 2 5 5 3" xfId="36835" xr:uid="{00000000-0005-0000-0000-00005C280000}"/>
    <cellStyle name="Comma 6 2 5 6" xfId="6675" xr:uid="{00000000-0005-0000-0000-00005D280000}"/>
    <cellStyle name="Comma 6 2 5 6 2" xfId="19124" xr:uid="{00000000-0005-0000-0000-00005E280000}"/>
    <cellStyle name="Comma 6 2 5 6 2 2" xfId="43998" xr:uid="{00000000-0005-0000-0000-00005F280000}"/>
    <cellStyle name="Comma 6 2 5 6 3" xfId="31565" xr:uid="{00000000-0005-0000-0000-000060280000}"/>
    <cellStyle name="Comma 6 2 5 7" xfId="3129" xr:uid="{00000000-0005-0000-0000-000061280000}"/>
    <cellStyle name="Comma 6 2 5 7 2" xfId="15635" xr:uid="{00000000-0005-0000-0000-000062280000}"/>
    <cellStyle name="Comma 6 2 5 7 2 2" xfId="40509" xr:uid="{00000000-0005-0000-0000-000063280000}"/>
    <cellStyle name="Comma 6 2 5 7 3" xfId="28068" xr:uid="{00000000-0005-0000-0000-000064280000}"/>
    <cellStyle name="Comma 6 2 5 8" xfId="13045" xr:uid="{00000000-0005-0000-0000-000065280000}"/>
    <cellStyle name="Comma 6 2 5 8 2" xfId="37919" xr:uid="{00000000-0005-0000-0000-000066280000}"/>
    <cellStyle name="Comma 6 2 5 9" xfId="25478" xr:uid="{00000000-0005-0000-0000-000067280000}"/>
    <cellStyle name="Comma 6 2 6" xfId="583" xr:uid="{00000000-0005-0000-0000-000068280000}"/>
    <cellStyle name="Comma 6 2 6 2" xfId="1693" xr:uid="{00000000-0005-0000-0000-000069280000}"/>
    <cellStyle name="Comma 6 2 6 2 2" xfId="9449" xr:uid="{00000000-0005-0000-0000-00006A280000}"/>
    <cellStyle name="Comma 6 2 6 2 2 2" xfId="21892" xr:uid="{00000000-0005-0000-0000-00006B280000}"/>
    <cellStyle name="Comma 6 2 6 2 2 2 2" xfId="46766" xr:uid="{00000000-0005-0000-0000-00006C280000}"/>
    <cellStyle name="Comma 6 2 6 2 2 3" xfId="34333" xr:uid="{00000000-0005-0000-0000-00006D280000}"/>
    <cellStyle name="Comma 6 2 6 2 3" xfId="4431" xr:uid="{00000000-0005-0000-0000-00006E280000}"/>
    <cellStyle name="Comma 6 2 6 2 3 2" xfId="16885" xr:uid="{00000000-0005-0000-0000-00006F280000}"/>
    <cellStyle name="Comma 6 2 6 2 3 2 2" xfId="41759" xr:uid="{00000000-0005-0000-0000-000070280000}"/>
    <cellStyle name="Comma 6 2 6 2 3 3" xfId="29326" xr:uid="{00000000-0005-0000-0000-000071280000}"/>
    <cellStyle name="Comma 6 2 6 2 4" xfId="14493" xr:uid="{00000000-0005-0000-0000-000072280000}"/>
    <cellStyle name="Comma 6 2 6 2 4 2" xfId="39367" xr:uid="{00000000-0005-0000-0000-000073280000}"/>
    <cellStyle name="Comma 6 2 6 2 5" xfId="26926" xr:uid="{00000000-0005-0000-0000-000074280000}"/>
    <cellStyle name="Comma 6 2 6 3" xfId="5839" xr:uid="{00000000-0005-0000-0000-000075280000}"/>
    <cellStyle name="Comma 6 2 6 3 2" xfId="10854" xr:uid="{00000000-0005-0000-0000-000076280000}"/>
    <cellStyle name="Comma 6 2 6 3 2 2" xfId="23297" xr:uid="{00000000-0005-0000-0000-000077280000}"/>
    <cellStyle name="Comma 6 2 6 3 2 2 2" xfId="48171" xr:uid="{00000000-0005-0000-0000-000078280000}"/>
    <cellStyle name="Comma 6 2 6 3 2 3" xfId="35738" xr:uid="{00000000-0005-0000-0000-000079280000}"/>
    <cellStyle name="Comma 6 2 6 3 3" xfId="18290" xr:uid="{00000000-0005-0000-0000-00007A280000}"/>
    <cellStyle name="Comma 6 2 6 3 3 2" xfId="43164" xr:uid="{00000000-0005-0000-0000-00007B280000}"/>
    <cellStyle name="Comma 6 2 6 3 4" xfId="30731" xr:uid="{00000000-0005-0000-0000-00007C280000}"/>
    <cellStyle name="Comma 6 2 6 4" xfId="8565" xr:uid="{00000000-0005-0000-0000-00007D280000}"/>
    <cellStyle name="Comma 6 2 6 4 2" xfId="21009" xr:uid="{00000000-0005-0000-0000-00007E280000}"/>
    <cellStyle name="Comma 6 2 6 4 2 2" xfId="45883" xr:uid="{00000000-0005-0000-0000-00007F280000}"/>
    <cellStyle name="Comma 6 2 6 4 3" xfId="33450" xr:uid="{00000000-0005-0000-0000-000080280000}"/>
    <cellStyle name="Comma 6 2 6 5" xfId="12308" xr:uid="{00000000-0005-0000-0000-000081280000}"/>
    <cellStyle name="Comma 6 2 6 5 2" xfId="24742" xr:uid="{00000000-0005-0000-0000-000082280000}"/>
    <cellStyle name="Comma 6 2 6 5 2 2" xfId="49616" xr:uid="{00000000-0005-0000-0000-000083280000}"/>
    <cellStyle name="Comma 6 2 6 5 3" xfId="37183" xr:uid="{00000000-0005-0000-0000-000084280000}"/>
    <cellStyle name="Comma 6 2 6 6" xfId="7042" xr:uid="{00000000-0005-0000-0000-000085280000}"/>
    <cellStyle name="Comma 6 2 6 6 2" xfId="19491" xr:uid="{00000000-0005-0000-0000-000086280000}"/>
    <cellStyle name="Comma 6 2 6 6 2 2" xfId="44365" xr:uid="{00000000-0005-0000-0000-000087280000}"/>
    <cellStyle name="Comma 6 2 6 6 3" xfId="31932" xr:uid="{00000000-0005-0000-0000-000088280000}"/>
    <cellStyle name="Comma 6 2 6 7" xfId="3496" xr:uid="{00000000-0005-0000-0000-000089280000}"/>
    <cellStyle name="Comma 6 2 6 7 2" xfId="16002" xr:uid="{00000000-0005-0000-0000-00008A280000}"/>
    <cellStyle name="Comma 6 2 6 7 2 2" xfId="40876" xr:uid="{00000000-0005-0000-0000-00008B280000}"/>
    <cellStyle name="Comma 6 2 6 7 3" xfId="28435" xr:uid="{00000000-0005-0000-0000-00008C280000}"/>
    <cellStyle name="Comma 6 2 6 8" xfId="13392" xr:uid="{00000000-0005-0000-0000-00008D280000}"/>
    <cellStyle name="Comma 6 2 6 8 2" xfId="38266" xr:uid="{00000000-0005-0000-0000-00008E280000}"/>
    <cellStyle name="Comma 6 2 6 9" xfId="25825" xr:uid="{00000000-0005-0000-0000-00008F280000}"/>
    <cellStyle name="Comma 6 2 7" xfId="2135" xr:uid="{00000000-0005-0000-0000-000090280000}"/>
    <cellStyle name="Comma 6 2 7 2" xfId="4774" xr:uid="{00000000-0005-0000-0000-000091280000}"/>
    <cellStyle name="Comma 6 2 7 2 2" xfId="9791" xr:uid="{00000000-0005-0000-0000-000092280000}"/>
    <cellStyle name="Comma 6 2 7 2 2 2" xfId="22234" xr:uid="{00000000-0005-0000-0000-000093280000}"/>
    <cellStyle name="Comma 6 2 7 2 2 2 2" xfId="47108" xr:uid="{00000000-0005-0000-0000-000094280000}"/>
    <cellStyle name="Comma 6 2 7 2 2 3" xfId="34675" xr:uid="{00000000-0005-0000-0000-000095280000}"/>
    <cellStyle name="Comma 6 2 7 2 3" xfId="17227" xr:uid="{00000000-0005-0000-0000-000096280000}"/>
    <cellStyle name="Comma 6 2 7 2 3 2" xfId="42101" xr:uid="{00000000-0005-0000-0000-000097280000}"/>
    <cellStyle name="Comma 6 2 7 2 4" xfId="29668" xr:uid="{00000000-0005-0000-0000-000098280000}"/>
    <cellStyle name="Comma 6 2 7 3" xfId="6172" xr:uid="{00000000-0005-0000-0000-000099280000}"/>
    <cellStyle name="Comma 6 2 7 3 2" xfId="11187" xr:uid="{00000000-0005-0000-0000-00009A280000}"/>
    <cellStyle name="Comma 6 2 7 3 2 2" xfId="23630" xr:uid="{00000000-0005-0000-0000-00009B280000}"/>
    <cellStyle name="Comma 6 2 7 3 2 2 2" xfId="48504" xr:uid="{00000000-0005-0000-0000-00009C280000}"/>
    <cellStyle name="Comma 6 2 7 3 2 3" xfId="36071" xr:uid="{00000000-0005-0000-0000-00009D280000}"/>
    <cellStyle name="Comma 6 2 7 3 3" xfId="18623" xr:uid="{00000000-0005-0000-0000-00009E280000}"/>
    <cellStyle name="Comma 6 2 7 3 3 2" xfId="43497" xr:uid="{00000000-0005-0000-0000-00009F280000}"/>
    <cellStyle name="Comma 6 2 7 3 4" xfId="31064" xr:uid="{00000000-0005-0000-0000-0000A0280000}"/>
    <cellStyle name="Comma 6 2 7 4" xfId="8037" xr:uid="{00000000-0005-0000-0000-0000A1280000}"/>
    <cellStyle name="Comma 6 2 7 4 2" xfId="20483" xr:uid="{00000000-0005-0000-0000-0000A2280000}"/>
    <cellStyle name="Comma 6 2 7 4 2 2" xfId="45357" xr:uid="{00000000-0005-0000-0000-0000A3280000}"/>
    <cellStyle name="Comma 6 2 7 4 3" xfId="32924" xr:uid="{00000000-0005-0000-0000-0000A4280000}"/>
    <cellStyle name="Comma 6 2 7 5" xfId="12641" xr:uid="{00000000-0005-0000-0000-0000A5280000}"/>
    <cellStyle name="Comma 6 2 7 5 2" xfId="25075" xr:uid="{00000000-0005-0000-0000-0000A6280000}"/>
    <cellStyle name="Comma 6 2 7 5 2 2" xfId="49949" xr:uid="{00000000-0005-0000-0000-0000A7280000}"/>
    <cellStyle name="Comma 6 2 7 5 3" xfId="37516" xr:uid="{00000000-0005-0000-0000-0000A8280000}"/>
    <cellStyle name="Comma 6 2 7 6" xfId="7385" xr:uid="{00000000-0005-0000-0000-0000A9280000}"/>
    <cellStyle name="Comma 6 2 7 6 2" xfId="19833" xr:uid="{00000000-0005-0000-0000-0000AA280000}"/>
    <cellStyle name="Comma 6 2 7 6 2 2" xfId="44707" xr:uid="{00000000-0005-0000-0000-0000AB280000}"/>
    <cellStyle name="Comma 6 2 7 6 3" xfId="32274" xr:uid="{00000000-0005-0000-0000-0000AC280000}"/>
    <cellStyle name="Comma 6 2 7 7" xfId="2964" xr:uid="{00000000-0005-0000-0000-0000AD280000}"/>
    <cellStyle name="Comma 6 2 7 7 2" xfId="15476" xr:uid="{00000000-0005-0000-0000-0000AE280000}"/>
    <cellStyle name="Comma 6 2 7 7 2 2" xfId="40350" xr:uid="{00000000-0005-0000-0000-0000AF280000}"/>
    <cellStyle name="Comma 6 2 7 7 3" xfId="27909" xr:uid="{00000000-0005-0000-0000-0000B0280000}"/>
    <cellStyle name="Comma 6 2 7 8" xfId="14826" xr:uid="{00000000-0005-0000-0000-0000B1280000}"/>
    <cellStyle name="Comma 6 2 7 8 2" xfId="39700" xr:uid="{00000000-0005-0000-0000-0000B2280000}"/>
    <cellStyle name="Comma 6 2 7 9" xfId="27259" xr:uid="{00000000-0005-0000-0000-0000B3280000}"/>
    <cellStyle name="Comma 6 2 8" xfId="983" xr:uid="{00000000-0005-0000-0000-0000B4280000}"/>
    <cellStyle name="Comma 6 2 8 2" xfId="8924" xr:uid="{00000000-0005-0000-0000-0000B5280000}"/>
    <cellStyle name="Comma 6 2 8 2 2" xfId="21367" xr:uid="{00000000-0005-0000-0000-0000B6280000}"/>
    <cellStyle name="Comma 6 2 8 2 2 2" xfId="46241" xr:uid="{00000000-0005-0000-0000-0000B7280000}"/>
    <cellStyle name="Comma 6 2 8 2 3" xfId="33808" xr:uid="{00000000-0005-0000-0000-0000B8280000}"/>
    <cellStyle name="Comma 6 2 8 3" xfId="3906" xr:uid="{00000000-0005-0000-0000-0000B9280000}"/>
    <cellStyle name="Comma 6 2 8 3 2" xfId="16360" xr:uid="{00000000-0005-0000-0000-0000BA280000}"/>
    <cellStyle name="Comma 6 2 8 3 2 2" xfId="41234" xr:uid="{00000000-0005-0000-0000-0000BB280000}"/>
    <cellStyle name="Comma 6 2 8 3 3" xfId="28801" xr:uid="{00000000-0005-0000-0000-0000BC280000}"/>
    <cellStyle name="Comma 6 2 8 4" xfId="13783" xr:uid="{00000000-0005-0000-0000-0000BD280000}"/>
    <cellStyle name="Comma 6 2 8 4 2" xfId="38657" xr:uid="{00000000-0005-0000-0000-0000BE280000}"/>
    <cellStyle name="Comma 6 2 8 5" xfId="26216" xr:uid="{00000000-0005-0000-0000-0000BF280000}"/>
    <cellStyle name="Comma 6 2 9" xfId="5126" xr:uid="{00000000-0005-0000-0000-0000C0280000}"/>
    <cellStyle name="Comma 6 2 9 2" xfId="10142" xr:uid="{00000000-0005-0000-0000-0000C1280000}"/>
    <cellStyle name="Comma 6 2 9 2 2" xfId="22585" xr:uid="{00000000-0005-0000-0000-0000C2280000}"/>
    <cellStyle name="Comma 6 2 9 2 2 2" xfId="47459" xr:uid="{00000000-0005-0000-0000-0000C3280000}"/>
    <cellStyle name="Comma 6 2 9 2 3" xfId="35026" xr:uid="{00000000-0005-0000-0000-0000C4280000}"/>
    <cellStyle name="Comma 6 2 9 3" xfId="17578" xr:uid="{00000000-0005-0000-0000-0000C5280000}"/>
    <cellStyle name="Comma 6 2 9 3 2" xfId="42452" xr:uid="{00000000-0005-0000-0000-0000C6280000}"/>
    <cellStyle name="Comma 6 2 9 4" xfId="30019" xr:uid="{00000000-0005-0000-0000-0000C7280000}"/>
    <cellStyle name="Comma 6 3" xfId="172" xr:uid="{00000000-0005-0000-0000-0000C8280000}"/>
    <cellStyle name="Comma 6 3 10" xfId="6560" xr:uid="{00000000-0005-0000-0000-0000C9280000}"/>
    <cellStyle name="Comma 6 3 10 2" xfId="19009" xr:uid="{00000000-0005-0000-0000-0000CA280000}"/>
    <cellStyle name="Comma 6 3 10 2 2" xfId="43883" xr:uid="{00000000-0005-0000-0000-0000CB280000}"/>
    <cellStyle name="Comma 6 3 10 3" xfId="31450" xr:uid="{00000000-0005-0000-0000-0000CC280000}"/>
    <cellStyle name="Comma 6 3 11" xfId="2728" xr:uid="{00000000-0005-0000-0000-0000CD280000}"/>
    <cellStyle name="Comma 6 3 11 2" xfId="15246" xr:uid="{00000000-0005-0000-0000-0000CE280000}"/>
    <cellStyle name="Comma 6 3 11 2 2" xfId="40120" xr:uid="{00000000-0005-0000-0000-0000CF280000}"/>
    <cellStyle name="Comma 6 3 11 3" xfId="27679" xr:uid="{00000000-0005-0000-0000-0000D0280000}"/>
    <cellStyle name="Comma 6 3 12" xfId="13002" xr:uid="{00000000-0005-0000-0000-0000D1280000}"/>
    <cellStyle name="Comma 6 3 12 2" xfId="37876" xr:uid="{00000000-0005-0000-0000-0000D2280000}"/>
    <cellStyle name="Comma 6 3 13" xfId="25435" xr:uid="{00000000-0005-0000-0000-0000D3280000}"/>
    <cellStyle name="Comma 6 3 2" xfId="432" xr:uid="{00000000-0005-0000-0000-0000D4280000}"/>
    <cellStyle name="Comma 6 3 2 10" xfId="13247" xr:uid="{00000000-0005-0000-0000-0000D5280000}"/>
    <cellStyle name="Comma 6 3 2 10 2" xfId="38121" xr:uid="{00000000-0005-0000-0000-0000D6280000}"/>
    <cellStyle name="Comma 6 3 2 11" xfId="25680" xr:uid="{00000000-0005-0000-0000-0000D7280000}"/>
    <cellStyle name="Comma 6 3 2 2" xfId="792" xr:uid="{00000000-0005-0000-0000-0000D8280000}"/>
    <cellStyle name="Comma 6 3 2 2 2" xfId="1351" xr:uid="{00000000-0005-0000-0000-0000D9280000}"/>
    <cellStyle name="Comma 6 3 2 2 2 2" xfId="9455" xr:uid="{00000000-0005-0000-0000-0000DA280000}"/>
    <cellStyle name="Comma 6 3 2 2 2 2 2" xfId="21898" xr:uid="{00000000-0005-0000-0000-0000DB280000}"/>
    <cellStyle name="Comma 6 3 2 2 2 2 2 2" xfId="46772" xr:uid="{00000000-0005-0000-0000-0000DC280000}"/>
    <cellStyle name="Comma 6 3 2 2 2 2 3" xfId="34339" xr:uid="{00000000-0005-0000-0000-0000DD280000}"/>
    <cellStyle name="Comma 6 3 2 2 2 3" xfId="4437" xr:uid="{00000000-0005-0000-0000-0000DE280000}"/>
    <cellStyle name="Comma 6 3 2 2 2 3 2" xfId="16891" xr:uid="{00000000-0005-0000-0000-0000DF280000}"/>
    <cellStyle name="Comma 6 3 2 2 2 3 2 2" xfId="41765" xr:uid="{00000000-0005-0000-0000-0000E0280000}"/>
    <cellStyle name="Comma 6 3 2 2 2 3 3" xfId="29332" xr:uid="{00000000-0005-0000-0000-0000E1280000}"/>
    <cellStyle name="Comma 6 3 2 2 2 4" xfId="14151" xr:uid="{00000000-0005-0000-0000-0000E2280000}"/>
    <cellStyle name="Comma 6 3 2 2 2 4 2" xfId="39025" xr:uid="{00000000-0005-0000-0000-0000E3280000}"/>
    <cellStyle name="Comma 6 3 2 2 2 5" xfId="26584" xr:uid="{00000000-0005-0000-0000-0000E4280000}"/>
    <cellStyle name="Comma 6 3 2 2 3" xfId="5496" xr:uid="{00000000-0005-0000-0000-0000E5280000}"/>
    <cellStyle name="Comma 6 3 2 2 3 2" xfId="10512" xr:uid="{00000000-0005-0000-0000-0000E6280000}"/>
    <cellStyle name="Comma 6 3 2 2 3 2 2" xfId="22955" xr:uid="{00000000-0005-0000-0000-0000E7280000}"/>
    <cellStyle name="Comma 6 3 2 2 3 2 2 2" xfId="47829" xr:uid="{00000000-0005-0000-0000-0000E8280000}"/>
    <cellStyle name="Comma 6 3 2 2 3 2 3" xfId="35396" xr:uid="{00000000-0005-0000-0000-0000E9280000}"/>
    <cellStyle name="Comma 6 3 2 2 3 3" xfId="17948" xr:uid="{00000000-0005-0000-0000-0000EA280000}"/>
    <cellStyle name="Comma 6 3 2 2 3 3 2" xfId="42822" xr:uid="{00000000-0005-0000-0000-0000EB280000}"/>
    <cellStyle name="Comma 6 3 2 2 3 4" xfId="30389" xr:uid="{00000000-0005-0000-0000-0000EC280000}"/>
    <cellStyle name="Comma 6 3 2 2 4" xfId="8571" xr:uid="{00000000-0005-0000-0000-0000ED280000}"/>
    <cellStyle name="Comma 6 3 2 2 4 2" xfId="21015" xr:uid="{00000000-0005-0000-0000-0000EE280000}"/>
    <cellStyle name="Comma 6 3 2 2 4 2 2" xfId="45889" xr:uid="{00000000-0005-0000-0000-0000EF280000}"/>
    <cellStyle name="Comma 6 3 2 2 4 3" xfId="33456" xr:uid="{00000000-0005-0000-0000-0000F0280000}"/>
    <cellStyle name="Comma 6 3 2 2 5" xfId="11966" xr:uid="{00000000-0005-0000-0000-0000F1280000}"/>
    <cellStyle name="Comma 6 3 2 2 5 2" xfId="24400" xr:uid="{00000000-0005-0000-0000-0000F2280000}"/>
    <cellStyle name="Comma 6 3 2 2 5 2 2" xfId="49274" xr:uid="{00000000-0005-0000-0000-0000F3280000}"/>
    <cellStyle name="Comma 6 3 2 2 5 3" xfId="36841" xr:uid="{00000000-0005-0000-0000-0000F4280000}"/>
    <cellStyle name="Comma 6 3 2 2 6" xfId="7048" xr:uid="{00000000-0005-0000-0000-0000F5280000}"/>
    <cellStyle name="Comma 6 3 2 2 6 2" xfId="19497" xr:uid="{00000000-0005-0000-0000-0000F6280000}"/>
    <cellStyle name="Comma 6 3 2 2 6 2 2" xfId="44371" xr:uid="{00000000-0005-0000-0000-0000F7280000}"/>
    <cellStyle name="Comma 6 3 2 2 6 3" xfId="31938" xr:uid="{00000000-0005-0000-0000-0000F8280000}"/>
    <cellStyle name="Comma 6 3 2 2 7" xfId="3502" xr:uid="{00000000-0005-0000-0000-0000F9280000}"/>
    <cellStyle name="Comma 6 3 2 2 7 2" xfId="16008" xr:uid="{00000000-0005-0000-0000-0000FA280000}"/>
    <cellStyle name="Comma 6 3 2 2 7 2 2" xfId="40882" xr:uid="{00000000-0005-0000-0000-0000FB280000}"/>
    <cellStyle name="Comma 6 3 2 2 7 3" xfId="28441" xr:uid="{00000000-0005-0000-0000-0000FC280000}"/>
    <cellStyle name="Comma 6 3 2 2 8" xfId="13594" xr:uid="{00000000-0005-0000-0000-0000FD280000}"/>
    <cellStyle name="Comma 6 3 2 2 8 2" xfId="38468" xr:uid="{00000000-0005-0000-0000-0000FE280000}"/>
    <cellStyle name="Comma 6 3 2 2 9" xfId="26027" xr:uid="{00000000-0005-0000-0000-0000FF280000}"/>
    <cellStyle name="Comma 6 3 2 3" xfId="1699" xr:uid="{00000000-0005-0000-0000-000000290000}"/>
    <cellStyle name="Comma 6 3 2 3 2" xfId="4976" xr:uid="{00000000-0005-0000-0000-000001290000}"/>
    <cellStyle name="Comma 6 3 2 3 2 2" xfId="9993" xr:uid="{00000000-0005-0000-0000-000002290000}"/>
    <cellStyle name="Comma 6 3 2 3 2 2 2" xfId="22436" xr:uid="{00000000-0005-0000-0000-000003290000}"/>
    <cellStyle name="Comma 6 3 2 3 2 2 2 2" xfId="47310" xr:uid="{00000000-0005-0000-0000-000004290000}"/>
    <cellStyle name="Comma 6 3 2 3 2 2 3" xfId="34877" xr:uid="{00000000-0005-0000-0000-000005290000}"/>
    <cellStyle name="Comma 6 3 2 3 2 3" xfId="17429" xr:uid="{00000000-0005-0000-0000-000006290000}"/>
    <cellStyle name="Comma 6 3 2 3 2 3 2" xfId="42303" xr:uid="{00000000-0005-0000-0000-000007290000}"/>
    <cellStyle name="Comma 6 3 2 3 2 4" xfId="29870" xr:uid="{00000000-0005-0000-0000-000008290000}"/>
    <cellStyle name="Comma 6 3 2 3 3" xfId="5845" xr:uid="{00000000-0005-0000-0000-000009290000}"/>
    <cellStyle name="Comma 6 3 2 3 3 2" xfId="10860" xr:uid="{00000000-0005-0000-0000-00000A290000}"/>
    <cellStyle name="Comma 6 3 2 3 3 2 2" xfId="23303" xr:uid="{00000000-0005-0000-0000-00000B290000}"/>
    <cellStyle name="Comma 6 3 2 3 3 2 2 2" xfId="48177" xr:uid="{00000000-0005-0000-0000-00000C290000}"/>
    <cellStyle name="Comma 6 3 2 3 3 2 3" xfId="35744" xr:uid="{00000000-0005-0000-0000-00000D290000}"/>
    <cellStyle name="Comma 6 3 2 3 3 3" xfId="18296" xr:uid="{00000000-0005-0000-0000-00000E290000}"/>
    <cellStyle name="Comma 6 3 2 3 3 3 2" xfId="43170" xr:uid="{00000000-0005-0000-0000-00000F290000}"/>
    <cellStyle name="Comma 6 3 2 3 3 4" xfId="30737" xr:uid="{00000000-0005-0000-0000-000010290000}"/>
    <cellStyle name="Comma 6 3 2 3 4" xfId="8400" xr:uid="{00000000-0005-0000-0000-000011290000}"/>
    <cellStyle name="Comma 6 3 2 3 4 2" xfId="20844" xr:uid="{00000000-0005-0000-0000-000012290000}"/>
    <cellStyle name="Comma 6 3 2 3 4 2 2" xfId="45718" xr:uid="{00000000-0005-0000-0000-000013290000}"/>
    <cellStyle name="Comma 6 3 2 3 4 3" xfId="33285" xr:uid="{00000000-0005-0000-0000-000014290000}"/>
    <cellStyle name="Comma 6 3 2 3 5" xfId="12314" xr:uid="{00000000-0005-0000-0000-000015290000}"/>
    <cellStyle name="Comma 6 3 2 3 5 2" xfId="24748" xr:uid="{00000000-0005-0000-0000-000016290000}"/>
    <cellStyle name="Comma 6 3 2 3 5 2 2" xfId="49622" xr:uid="{00000000-0005-0000-0000-000017290000}"/>
    <cellStyle name="Comma 6 3 2 3 5 3" xfId="37189" xr:uid="{00000000-0005-0000-0000-000018290000}"/>
    <cellStyle name="Comma 6 3 2 3 6" xfId="7587" xr:uid="{00000000-0005-0000-0000-000019290000}"/>
    <cellStyle name="Comma 6 3 2 3 6 2" xfId="20035" xr:uid="{00000000-0005-0000-0000-00001A290000}"/>
    <cellStyle name="Comma 6 3 2 3 6 2 2" xfId="44909" xr:uid="{00000000-0005-0000-0000-00001B290000}"/>
    <cellStyle name="Comma 6 3 2 3 6 3" xfId="32476" xr:uid="{00000000-0005-0000-0000-00001C290000}"/>
    <cellStyle name="Comma 6 3 2 3 7" xfId="3331" xr:uid="{00000000-0005-0000-0000-00001D290000}"/>
    <cellStyle name="Comma 6 3 2 3 7 2" xfId="15837" xr:uid="{00000000-0005-0000-0000-00001E290000}"/>
    <cellStyle name="Comma 6 3 2 3 7 2 2" xfId="40711" xr:uid="{00000000-0005-0000-0000-00001F290000}"/>
    <cellStyle name="Comma 6 3 2 3 7 3" xfId="28270" xr:uid="{00000000-0005-0000-0000-000020290000}"/>
    <cellStyle name="Comma 6 3 2 3 8" xfId="14499" xr:uid="{00000000-0005-0000-0000-000021290000}"/>
    <cellStyle name="Comma 6 3 2 3 8 2" xfId="39373" xr:uid="{00000000-0005-0000-0000-000022290000}"/>
    <cellStyle name="Comma 6 3 2 3 9" xfId="26932" xr:uid="{00000000-0005-0000-0000-000023290000}"/>
    <cellStyle name="Comma 6 3 2 4" xfId="2350" xr:uid="{00000000-0005-0000-0000-000024290000}"/>
    <cellStyle name="Comma 6 3 2 4 2" xfId="6374" xr:uid="{00000000-0005-0000-0000-000025290000}"/>
    <cellStyle name="Comma 6 3 2 4 2 2" xfId="11389" xr:uid="{00000000-0005-0000-0000-000026290000}"/>
    <cellStyle name="Comma 6 3 2 4 2 2 2" xfId="23832" xr:uid="{00000000-0005-0000-0000-000027290000}"/>
    <cellStyle name="Comma 6 3 2 4 2 2 2 2" xfId="48706" xr:uid="{00000000-0005-0000-0000-000028290000}"/>
    <cellStyle name="Comma 6 3 2 4 2 2 3" xfId="36273" xr:uid="{00000000-0005-0000-0000-000029290000}"/>
    <cellStyle name="Comma 6 3 2 4 2 3" xfId="18825" xr:uid="{00000000-0005-0000-0000-00002A290000}"/>
    <cellStyle name="Comma 6 3 2 4 2 3 2" xfId="43699" xr:uid="{00000000-0005-0000-0000-00002B290000}"/>
    <cellStyle name="Comma 6 3 2 4 2 4" xfId="31266" xr:uid="{00000000-0005-0000-0000-00002C290000}"/>
    <cellStyle name="Comma 6 3 2 4 3" xfId="12843" xr:uid="{00000000-0005-0000-0000-00002D290000}"/>
    <cellStyle name="Comma 6 3 2 4 3 2" xfId="25277" xr:uid="{00000000-0005-0000-0000-00002E290000}"/>
    <cellStyle name="Comma 6 3 2 4 3 2 2" xfId="50151" xr:uid="{00000000-0005-0000-0000-00002F290000}"/>
    <cellStyle name="Comma 6 3 2 4 3 3" xfId="37718" xr:uid="{00000000-0005-0000-0000-000030290000}"/>
    <cellStyle name="Comma 6 3 2 4 4" xfId="9284" xr:uid="{00000000-0005-0000-0000-000031290000}"/>
    <cellStyle name="Comma 6 3 2 4 4 2" xfId="21727" xr:uid="{00000000-0005-0000-0000-000032290000}"/>
    <cellStyle name="Comma 6 3 2 4 4 2 2" xfId="46601" xr:uid="{00000000-0005-0000-0000-000033290000}"/>
    <cellStyle name="Comma 6 3 2 4 4 3" xfId="34168" xr:uid="{00000000-0005-0000-0000-000034290000}"/>
    <cellStyle name="Comma 6 3 2 4 5" xfId="4266" xr:uid="{00000000-0005-0000-0000-000035290000}"/>
    <cellStyle name="Comma 6 3 2 4 5 2" xfId="16720" xr:uid="{00000000-0005-0000-0000-000036290000}"/>
    <cellStyle name="Comma 6 3 2 4 5 2 2" xfId="41594" xr:uid="{00000000-0005-0000-0000-000037290000}"/>
    <cellStyle name="Comma 6 3 2 4 5 3" xfId="29161" xr:uid="{00000000-0005-0000-0000-000038290000}"/>
    <cellStyle name="Comma 6 3 2 4 6" xfId="15028" xr:uid="{00000000-0005-0000-0000-000039290000}"/>
    <cellStyle name="Comma 6 3 2 4 6 2" xfId="39902" xr:uid="{00000000-0005-0000-0000-00003A290000}"/>
    <cellStyle name="Comma 6 3 2 4 7" xfId="27461" xr:uid="{00000000-0005-0000-0000-00003B290000}"/>
    <cellStyle name="Comma 6 3 2 5" xfId="1185" xr:uid="{00000000-0005-0000-0000-00003C290000}"/>
    <cellStyle name="Comma 6 3 2 5 2" xfId="10346" xr:uid="{00000000-0005-0000-0000-00003D290000}"/>
    <cellStyle name="Comma 6 3 2 5 2 2" xfId="22789" xr:uid="{00000000-0005-0000-0000-00003E290000}"/>
    <cellStyle name="Comma 6 3 2 5 2 2 2" xfId="47663" xr:uid="{00000000-0005-0000-0000-00003F290000}"/>
    <cellStyle name="Comma 6 3 2 5 2 3" xfId="35230" xr:uid="{00000000-0005-0000-0000-000040290000}"/>
    <cellStyle name="Comma 6 3 2 5 3" xfId="5330" xr:uid="{00000000-0005-0000-0000-000041290000}"/>
    <cellStyle name="Comma 6 3 2 5 3 2" xfId="17782" xr:uid="{00000000-0005-0000-0000-000042290000}"/>
    <cellStyle name="Comma 6 3 2 5 3 2 2" xfId="42656" xr:uid="{00000000-0005-0000-0000-000043290000}"/>
    <cellStyle name="Comma 6 3 2 5 3 3" xfId="30223" xr:uid="{00000000-0005-0000-0000-000044290000}"/>
    <cellStyle name="Comma 6 3 2 5 4" xfId="13985" xr:uid="{00000000-0005-0000-0000-000045290000}"/>
    <cellStyle name="Comma 6 3 2 5 4 2" xfId="38859" xr:uid="{00000000-0005-0000-0000-000046290000}"/>
    <cellStyle name="Comma 6 3 2 5 5" xfId="26418" xr:uid="{00000000-0005-0000-0000-000047290000}"/>
    <cellStyle name="Comma 6 3 2 6" xfId="7907" xr:uid="{00000000-0005-0000-0000-000048290000}"/>
    <cellStyle name="Comma 6 3 2 6 2" xfId="20353" xr:uid="{00000000-0005-0000-0000-000049290000}"/>
    <cellStyle name="Comma 6 3 2 6 2 2" xfId="45227" xr:uid="{00000000-0005-0000-0000-00004A290000}"/>
    <cellStyle name="Comma 6 3 2 6 3" xfId="32794" xr:uid="{00000000-0005-0000-0000-00004B290000}"/>
    <cellStyle name="Comma 6 3 2 7" xfId="11800" xr:uid="{00000000-0005-0000-0000-00004C290000}"/>
    <cellStyle name="Comma 6 3 2 7 2" xfId="24234" xr:uid="{00000000-0005-0000-0000-00004D290000}"/>
    <cellStyle name="Comma 6 3 2 7 2 2" xfId="49108" xr:uid="{00000000-0005-0000-0000-00004E290000}"/>
    <cellStyle name="Comma 6 3 2 7 3" xfId="36675" xr:uid="{00000000-0005-0000-0000-00004F290000}"/>
    <cellStyle name="Comma 6 3 2 8" xfId="6877" xr:uid="{00000000-0005-0000-0000-000050290000}"/>
    <cellStyle name="Comma 6 3 2 8 2" xfId="19326" xr:uid="{00000000-0005-0000-0000-000051290000}"/>
    <cellStyle name="Comma 6 3 2 8 2 2" xfId="44200" xr:uid="{00000000-0005-0000-0000-000052290000}"/>
    <cellStyle name="Comma 6 3 2 8 3" xfId="31767" xr:uid="{00000000-0005-0000-0000-000053290000}"/>
    <cellStyle name="Comma 6 3 2 9" xfId="2828" xr:uid="{00000000-0005-0000-0000-000054290000}"/>
    <cellStyle name="Comma 6 3 2 9 2" xfId="15346" xr:uid="{00000000-0005-0000-0000-000055290000}"/>
    <cellStyle name="Comma 6 3 2 9 2 2" xfId="40220" xr:uid="{00000000-0005-0000-0000-000056290000}"/>
    <cellStyle name="Comma 6 3 2 9 3" xfId="27779" xr:uid="{00000000-0005-0000-0000-000057290000}"/>
    <cellStyle name="Comma 6 3 3" xfId="330" xr:uid="{00000000-0005-0000-0000-000058290000}"/>
    <cellStyle name="Comma 6 3 3 2" xfId="1350" xr:uid="{00000000-0005-0000-0000-000059290000}"/>
    <cellStyle name="Comma 6 3 3 2 2" xfId="9184" xr:uid="{00000000-0005-0000-0000-00005A290000}"/>
    <cellStyle name="Comma 6 3 3 2 2 2" xfId="21627" xr:uid="{00000000-0005-0000-0000-00005B290000}"/>
    <cellStyle name="Comma 6 3 3 2 2 2 2" xfId="46501" xr:uid="{00000000-0005-0000-0000-00005C290000}"/>
    <cellStyle name="Comma 6 3 3 2 2 3" xfId="34068" xr:uid="{00000000-0005-0000-0000-00005D290000}"/>
    <cellStyle name="Comma 6 3 3 2 3" xfId="4166" xr:uid="{00000000-0005-0000-0000-00005E290000}"/>
    <cellStyle name="Comma 6 3 3 2 3 2" xfId="16620" xr:uid="{00000000-0005-0000-0000-00005F290000}"/>
    <cellStyle name="Comma 6 3 3 2 3 2 2" xfId="41494" xr:uid="{00000000-0005-0000-0000-000060290000}"/>
    <cellStyle name="Comma 6 3 3 2 3 3" xfId="29061" xr:uid="{00000000-0005-0000-0000-000061290000}"/>
    <cellStyle name="Comma 6 3 3 2 4" xfId="14150" xr:uid="{00000000-0005-0000-0000-000062290000}"/>
    <cellStyle name="Comma 6 3 3 2 4 2" xfId="39024" xr:uid="{00000000-0005-0000-0000-000063290000}"/>
    <cellStyle name="Comma 6 3 3 2 5" xfId="26583" xr:uid="{00000000-0005-0000-0000-000064290000}"/>
    <cellStyle name="Comma 6 3 3 3" xfId="5495" xr:uid="{00000000-0005-0000-0000-000065290000}"/>
    <cellStyle name="Comma 6 3 3 3 2" xfId="10511" xr:uid="{00000000-0005-0000-0000-000066290000}"/>
    <cellStyle name="Comma 6 3 3 3 2 2" xfId="22954" xr:uid="{00000000-0005-0000-0000-000067290000}"/>
    <cellStyle name="Comma 6 3 3 3 2 2 2" xfId="47828" xr:uid="{00000000-0005-0000-0000-000068290000}"/>
    <cellStyle name="Comma 6 3 3 3 2 3" xfId="35395" xr:uid="{00000000-0005-0000-0000-000069290000}"/>
    <cellStyle name="Comma 6 3 3 3 3" xfId="17947" xr:uid="{00000000-0005-0000-0000-00006A290000}"/>
    <cellStyle name="Comma 6 3 3 3 3 2" xfId="42821" xr:uid="{00000000-0005-0000-0000-00006B290000}"/>
    <cellStyle name="Comma 6 3 3 3 4" xfId="30388" xr:uid="{00000000-0005-0000-0000-00006C290000}"/>
    <cellStyle name="Comma 6 3 3 4" xfId="8300" xr:uid="{00000000-0005-0000-0000-00006D290000}"/>
    <cellStyle name="Comma 6 3 3 4 2" xfId="20744" xr:uid="{00000000-0005-0000-0000-00006E290000}"/>
    <cellStyle name="Comma 6 3 3 4 2 2" xfId="45618" xr:uid="{00000000-0005-0000-0000-00006F290000}"/>
    <cellStyle name="Comma 6 3 3 4 3" xfId="33185" xr:uid="{00000000-0005-0000-0000-000070290000}"/>
    <cellStyle name="Comma 6 3 3 5" xfId="11965" xr:uid="{00000000-0005-0000-0000-000071290000}"/>
    <cellStyle name="Comma 6 3 3 5 2" xfId="24399" xr:uid="{00000000-0005-0000-0000-000072290000}"/>
    <cellStyle name="Comma 6 3 3 5 2 2" xfId="49273" xr:uid="{00000000-0005-0000-0000-000073290000}"/>
    <cellStyle name="Comma 6 3 3 5 3" xfId="36840" xr:uid="{00000000-0005-0000-0000-000074290000}"/>
    <cellStyle name="Comma 6 3 3 6" xfId="6777" xr:uid="{00000000-0005-0000-0000-000075290000}"/>
    <cellStyle name="Comma 6 3 3 6 2" xfId="19226" xr:uid="{00000000-0005-0000-0000-000076290000}"/>
    <cellStyle name="Comma 6 3 3 6 2 2" xfId="44100" xr:uid="{00000000-0005-0000-0000-000077290000}"/>
    <cellStyle name="Comma 6 3 3 6 3" xfId="31667" xr:uid="{00000000-0005-0000-0000-000078290000}"/>
    <cellStyle name="Comma 6 3 3 7" xfId="3231" xr:uid="{00000000-0005-0000-0000-000079290000}"/>
    <cellStyle name="Comma 6 3 3 7 2" xfId="15737" xr:uid="{00000000-0005-0000-0000-00007A290000}"/>
    <cellStyle name="Comma 6 3 3 7 2 2" xfId="40611" xr:uid="{00000000-0005-0000-0000-00007B290000}"/>
    <cellStyle name="Comma 6 3 3 7 3" xfId="28170" xr:uid="{00000000-0005-0000-0000-00007C290000}"/>
    <cellStyle name="Comma 6 3 3 8" xfId="13147" xr:uid="{00000000-0005-0000-0000-00007D290000}"/>
    <cellStyle name="Comma 6 3 3 8 2" xfId="38021" xr:uid="{00000000-0005-0000-0000-00007E290000}"/>
    <cellStyle name="Comma 6 3 3 9" xfId="25580" xr:uid="{00000000-0005-0000-0000-00007F290000}"/>
    <cellStyle name="Comma 6 3 4" xfId="691" xr:uid="{00000000-0005-0000-0000-000080290000}"/>
    <cellStyle name="Comma 6 3 4 2" xfId="1698" xr:uid="{00000000-0005-0000-0000-000081290000}"/>
    <cellStyle name="Comma 6 3 4 2 2" xfId="9454" xr:uid="{00000000-0005-0000-0000-000082290000}"/>
    <cellStyle name="Comma 6 3 4 2 2 2" xfId="21897" xr:uid="{00000000-0005-0000-0000-000083290000}"/>
    <cellStyle name="Comma 6 3 4 2 2 2 2" xfId="46771" xr:uid="{00000000-0005-0000-0000-000084290000}"/>
    <cellStyle name="Comma 6 3 4 2 2 3" xfId="34338" xr:uid="{00000000-0005-0000-0000-000085290000}"/>
    <cellStyle name="Comma 6 3 4 2 3" xfId="4436" xr:uid="{00000000-0005-0000-0000-000086290000}"/>
    <cellStyle name="Comma 6 3 4 2 3 2" xfId="16890" xr:uid="{00000000-0005-0000-0000-000087290000}"/>
    <cellStyle name="Comma 6 3 4 2 3 2 2" xfId="41764" xr:uid="{00000000-0005-0000-0000-000088290000}"/>
    <cellStyle name="Comma 6 3 4 2 3 3" xfId="29331" xr:uid="{00000000-0005-0000-0000-000089290000}"/>
    <cellStyle name="Comma 6 3 4 2 4" xfId="14498" xr:uid="{00000000-0005-0000-0000-00008A290000}"/>
    <cellStyle name="Comma 6 3 4 2 4 2" xfId="39372" xr:uid="{00000000-0005-0000-0000-00008B290000}"/>
    <cellStyle name="Comma 6 3 4 2 5" xfId="26931" xr:uid="{00000000-0005-0000-0000-00008C290000}"/>
    <cellStyle name="Comma 6 3 4 3" xfId="5844" xr:uid="{00000000-0005-0000-0000-00008D290000}"/>
    <cellStyle name="Comma 6 3 4 3 2" xfId="10859" xr:uid="{00000000-0005-0000-0000-00008E290000}"/>
    <cellStyle name="Comma 6 3 4 3 2 2" xfId="23302" xr:uid="{00000000-0005-0000-0000-00008F290000}"/>
    <cellStyle name="Comma 6 3 4 3 2 2 2" xfId="48176" xr:uid="{00000000-0005-0000-0000-000090290000}"/>
    <cellStyle name="Comma 6 3 4 3 2 3" xfId="35743" xr:uid="{00000000-0005-0000-0000-000091290000}"/>
    <cellStyle name="Comma 6 3 4 3 3" xfId="18295" xr:uid="{00000000-0005-0000-0000-000092290000}"/>
    <cellStyle name="Comma 6 3 4 3 3 2" xfId="43169" xr:uid="{00000000-0005-0000-0000-000093290000}"/>
    <cellStyle name="Comma 6 3 4 3 4" xfId="30736" xr:uid="{00000000-0005-0000-0000-000094290000}"/>
    <cellStyle name="Comma 6 3 4 4" xfId="8570" xr:uid="{00000000-0005-0000-0000-000095290000}"/>
    <cellStyle name="Comma 6 3 4 4 2" xfId="21014" xr:uid="{00000000-0005-0000-0000-000096290000}"/>
    <cellStyle name="Comma 6 3 4 4 2 2" xfId="45888" xr:uid="{00000000-0005-0000-0000-000097290000}"/>
    <cellStyle name="Comma 6 3 4 4 3" xfId="33455" xr:uid="{00000000-0005-0000-0000-000098290000}"/>
    <cellStyle name="Comma 6 3 4 5" xfId="12313" xr:uid="{00000000-0005-0000-0000-000099290000}"/>
    <cellStyle name="Comma 6 3 4 5 2" xfId="24747" xr:uid="{00000000-0005-0000-0000-00009A290000}"/>
    <cellStyle name="Comma 6 3 4 5 2 2" xfId="49621" xr:uid="{00000000-0005-0000-0000-00009B290000}"/>
    <cellStyle name="Comma 6 3 4 5 3" xfId="37188" xr:uid="{00000000-0005-0000-0000-00009C290000}"/>
    <cellStyle name="Comma 6 3 4 6" xfId="7047" xr:uid="{00000000-0005-0000-0000-00009D290000}"/>
    <cellStyle name="Comma 6 3 4 6 2" xfId="19496" xr:uid="{00000000-0005-0000-0000-00009E290000}"/>
    <cellStyle name="Comma 6 3 4 6 2 2" xfId="44370" xr:uid="{00000000-0005-0000-0000-00009F290000}"/>
    <cellStyle name="Comma 6 3 4 6 3" xfId="31937" xr:uid="{00000000-0005-0000-0000-0000A0290000}"/>
    <cellStyle name="Comma 6 3 4 7" xfId="3501" xr:uid="{00000000-0005-0000-0000-0000A1290000}"/>
    <cellStyle name="Comma 6 3 4 7 2" xfId="16007" xr:uid="{00000000-0005-0000-0000-0000A2290000}"/>
    <cellStyle name="Comma 6 3 4 7 2 2" xfId="40881" xr:uid="{00000000-0005-0000-0000-0000A3290000}"/>
    <cellStyle name="Comma 6 3 4 7 3" xfId="28440" xr:uid="{00000000-0005-0000-0000-0000A4290000}"/>
    <cellStyle name="Comma 6 3 4 8" xfId="13494" xr:uid="{00000000-0005-0000-0000-0000A5290000}"/>
    <cellStyle name="Comma 6 3 4 8 2" xfId="38368" xr:uid="{00000000-0005-0000-0000-0000A6290000}"/>
    <cellStyle name="Comma 6 3 4 9" xfId="25927" xr:uid="{00000000-0005-0000-0000-0000A7290000}"/>
    <cellStyle name="Comma 6 3 5" xfId="2248" xr:uid="{00000000-0005-0000-0000-0000A8290000}"/>
    <cellStyle name="Comma 6 3 5 2" xfId="4876" xr:uid="{00000000-0005-0000-0000-0000A9290000}"/>
    <cellStyle name="Comma 6 3 5 2 2" xfId="9893" xr:uid="{00000000-0005-0000-0000-0000AA290000}"/>
    <cellStyle name="Comma 6 3 5 2 2 2" xfId="22336" xr:uid="{00000000-0005-0000-0000-0000AB290000}"/>
    <cellStyle name="Comma 6 3 5 2 2 2 2" xfId="47210" xr:uid="{00000000-0005-0000-0000-0000AC290000}"/>
    <cellStyle name="Comma 6 3 5 2 2 3" xfId="34777" xr:uid="{00000000-0005-0000-0000-0000AD290000}"/>
    <cellStyle name="Comma 6 3 5 2 3" xfId="17329" xr:uid="{00000000-0005-0000-0000-0000AE290000}"/>
    <cellStyle name="Comma 6 3 5 2 3 2" xfId="42203" xr:uid="{00000000-0005-0000-0000-0000AF290000}"/>
    <cellStyle name="Comma 6 3 5 2 4" xfId="29770" xr:uid="{00000000-0005-0000-0000-0000B0290000}"/>
    <cellStyle name="Comma 6 3 5 3" xfId="6274" xr:uid="{00000000-0005-0000-0000-0000B1290000}"/>
    <cellStyle name="Comma 6 3 5 3 2" xfId="11289" xr:uid="{00000000-0005-0000-0000-0000B2290000}"/>
    <cellStyle name="Comma 6 3 5 3 2 2" xfId="23732" xr:uid="{00000000-0005-0000-0000-0000B3290000}"/>
    <cellStyle name="Comma 6 3 5 3 2 2 2" xfId="48606" xr:uid="{00000000-0005-0000-0000-0000B4290000}"/>
    <cellStyle name="Comma 6 3 5 3 2 3" xfId="36173" xr:uid="{00000000-0005-0000-0000-0000B5290000}"/>
    <cellStyle name="Comma 6 3 5 3 3" xfId="18725" xr:uid="{00000000-0005-0000-0000-0000B6290000}"/>
    <cellStyle name="Comma 6 3 5 3 3 2" xfId="43599" xr:uid="{00000000-0005-0000-0000-0000B7290000}"/>
    <cellStyle name="Comma 6 3 5 3 4" xfId="31166" xr:uid="{00000000-0005-0000-0000-0000B8290000}"/>
    <cellStyle name="Comma 6 3 5 4" xfId="8081" xr:uid="{00000000-0005-0000-0000-0000B9290000}"/>
    <cellStyle name="Comma 6 3 5 4 2" xfId="20527" xr:uid="{00000000-0005-0000-0000-0000BA290000}"/>
    <cellStyle name="Comma 6 3 5 4 2 2" xfId="45401" xr:uid="{00000000-0005-0000-0000-0000BB290000}"/>
    <cellStyle name="Comma 6 3 5 4 3" xfId="32968" xr:uid="{00000000-0005-0000-0000-0000BC290000}"/>
    <cellStyle name="Comma 6 3 5 5" xfId="12743" xr:uid="{00000000-0005-0000-0000-0000BD290000}"/>
    <cellStyle name="Comma 6 3 5 5 2" xfId="25177" xr:uid="{00000000-0005-0000-0000-0000BE290000}"/>
    <cellStyle name="Comma 6 3 5 5 2 2" xfId="50051" xr:uid="{00000000-0005-0000-0000-0000BF290000}"/>
    <cellStyle name="Comma 6 3 5 5 3" xfId="37618" xr:uid="{00000000-0005-0000-0000-0000C0290000}"/>
    <cellStyle name="Comma 6 3 5 6" xfId="7487" xr:uid="{00000000-0005-0000-0000-0000C1290000}"/>
    <cellStyle name="Comma 6 3 5 6 2" xfId="19935" xr:uid="{00000000-0005-0000-0000-0000C2290000}"/>
    <cellStyle name="Comma 6 3 5 6 2 2" xfId="44809" xr:uid="{00000000-0005-0000-0000-0000C3290000}"/>
    <cellStyle name="Comma 6 3 5 6 3" xfId="32376" xr:uid="{00000000-0005-0000-0000-0000C4290000}"/>
    <cellStyle name="Comma 6 3 5 7" xfId="3010" xr:uid="{00000000-0005-0000-0000-0000C5290000}"/>
    <cellStyle name="Comma 6 3 5 7 2" xfId="15520" xr:uid="{00000000-0005-0000-0000-0000C6290000}"/>
    <cellStyle name="Comma 6 3 5 7 2 2" xfId="40394" xr:uid="{00000000-0005-0000-0000-0000C7290000}"/>
    <cellStyle name="Comma 6 3 5 7 3" xfId="27953" xr:uid="{00000000-0005-0000-0000-0000C8290000}"/>
    <cellStyle name="Comma 6 3 5 8" xfId="14928" xr:uid="{00000000-0005-0000-0000-0000C9290000}"/>
    <cellStyle name="Comma 6 3 5 8 2" xfId="39802" xr:uid="{00000000-0005-0000-0000-0000CA290000}"/>
    <cellStyle name="Comma 6 3 5 9" xfId="27361" xr:uid="{00000000-0005-0000-0000-0000CB290000}"/>
    <cellStyle name="Comma 6 3 6" xfId="1085" xr:uid="{00000000-0005-0000-0000-0000CC290000}"/>
    <cellStyle name="Comma 6 3 6 2" xfId="8967" xr:uid="{00000000-0005-0000-0000-0000CD290000}"/>
    <cellStyle name="Comma 6 3 6 2 2" xfId="21410" xr:uid="{00000000-0005-0000-0000-0000CE290000}"/>
    <cellStyle name="Comma 6 3 6 2 2 2" xfId="46284" xr:uid="{00000000-0005-0000-0000-0000CF290000}"/>
    <cellStyle name="Comma 6 3 6 2 3" xfId="33851" xr:uid="{00000000-0005-0000-0000-0000D0290000}"/>
    <cellStyle name="Comma 6 3 6 3" xfId="3949" xr:uid="{00000000-0005-0000-0000-0000D1290000}"/>
    <cellStyle name="Comma 6 3 6 3 2" xfId="16403" xr:uid="{00000000-0005-0000-0000-0000D2290000}"/>
    <cellStyle name="Comma 6 3 6 3 2 2" xfId="41277" xr:uid="{00000000-0005-0000-0000-0000D3290000}"/>
    <cellStyle name="Comma 6 3 6 3 3" xfId="28844" xr:uid="{00000000-0005-0000-0000-0000D4290000}"/>
    <cellStyle name="Comma 6 3 6 4" xfId="13885" xr:uid="{00000000-0005-0000-0000-0000D5290000}"/>
    <cellStyle name="Comma 6 3 6 4 2" xfId="38759" xr:uid="{00000000-0005-0000-0000-0000D6290000}"/>
    <cellStyle name="Comma 6 3 6 5" xfId="26318" xr:uid="{00000000-0005-0000-0000-0000D7290000}"/>
    <cellStyle name="Comma 6 3 7" xfId="5230" xr:uid="{00000000-0005-0000-0000-0000D8290000}"/>
    <cellStyle name="Comma 6 3 7 2" xfId="10246" xr:uid="{00000000-0005-0000-0000-0000D9290000}"/>
    <cellStyle name="Comma 6 3 7 2 2" xfId="22689" xr:uid="{00000000-0005-0000-0000-0000DA290000}"/>
    <cellStyle name="Comma 6 3 7 2 2 2" xfId="47563" xr:uid="{00000000-0005-0000-0000-0000DB290000}"/>
    <cellStyle name="Comma 6 3 7 2 3" xfId="35130" xr:uid="{00000000-0005-0000-0000-0000DC290000}"/>
    <cellStyle name="Comma 6 3 7 3" xfId="17682" xr:uid="{00000000-0005-0000-0000-0000DD290000}"/>
    <cellStyle name="Comma 6 3 7 3 2" xfId="42556" xr:uid="{00000000-0005-0000-0000-0000DE290000}"/>
    <cellStyle name="Comma 6 3 7 4" xfId="30123" xr:uid="{00000000-0005-0000-0000-0000DF290000}"/>
    <cellStyle name="Comma 6 3 8" xfId="7807" xr:uid="{00000000-0005-0000-0000-0000E0290000}"/>
    <cellStyle name="Comma 6 3 8 2" xfId="20253" xr:uid="{00000000-0005-0000-0000-0000E1290000}"/>
    <cellStyle name="Comma 6 3 8 2 2" xfId="45127" xr:uid="{00000000-0005-0000-0000-0000E2290000}"/>
    <cellStyle name="Comma 6 3 8 3" xfId="32694" xr:uid="{00000000-0005-0000-0000-0000E3290000}"/>
    <cellStyle name="Comma 6 3 9" xfId="11700" xr:uid="{00000000-0005-0000-0000-0000E4290000}"/>
    <cellStyle name="Comma 6 3 9 2" xfId="24134" xr:uid="{00000000-0005-0000-0000-0000E5290000}"/>
    <cellStyle name="Comma 6 3 9 2 2" xfId="49008" xr:uid="{00000000-0005-0000-0000-0000E6290000}"/>
    <cellStyle name="Comma 6 3 9 3" xfId="36575" xr:uid="{00000000-0005-0000-0000-0000E7290000}"/>
    <cellStyle name="Comma 6 4" xfId="263" xr:uid="{00000000-0005-0000-0000-0000E8290000}"/>
    <cellStyle name="Comma 6 4 10" xfId="6603" xr:uid="{00000000-0005-0000-0000-0000E9290000}"/>
    <cellStyle name="Comma 6 4 10 2" xfId="19052" xr:uid="{00000000-0005-0000-0000-0000EA290000}"/>
    <cellStyle name="Comma 6 4 10 2 2" xfId="43926" xr:uid="{00000000-0005-0000-0000-0000EB290000}"/>
    <cellStyle name="Comma 6 4 10 3" xfId="31493" xr:uid="{00000000-0005-0000-0000-0000EC290000}"/>
    <cellStyle name="Comma 6 4 11" xfId="2666" xr:uid="{00000000-0005-0000-0000-0000ED290000}"/>
    <cellStyle name="Comma 6 4 11 2" xfId="15184" xr:uid="{00000000-0005-0000-0000-0000EE290000}"/>
    <cellStyle name="Comma 6 4 11 2 2" xfId="40058" xr:uid="{00000000-0005-0000-0000-0000EF290000}"/>
    <cellStyle name="Comma 6 4 11 3" xfId="27617" xr:uid="{00000000-0005-0000-0000-0000F0290000}"/>
    <cellStyle name="Comma 6 4 12" xfId="13085" xr:uid="{00000000-0005-0000-0000-0000F1290000}"/>
    <cellStyle name="Comma 6 4 12 2" xfId="37959" xr:uid="{00000000-0005-0000-0000-0000F2290000}"/>
    <cellStyle name="Comma 6 4 13" xfId="25518" xr:uid="{00000000-0005-0000-0000-0000F3290000}"/>
    <cellStyle name="Comma 6 4 2" xfId="477" xr:uid="{00000000-0005-0000-0000-0000F4290000}"/>
    <cellStyle name="Comma 6 4 2 10" xfId="13290" xr:uid="{00000000-0005-0000-0000-0000F5290000}"/>
    <cellStyle name="Comma 6 4 2 10 2" xfId="38164" xr:uid="{00000000-0005-0000-0000-0000F6290000}"/>
    <cellStyle name="Comma 6 4 2 11" xfId="25723" xr:uid="{00000000-0005-0000-0000-0000F7290000}"/>
    <cellStyle name="Comma 6 4 2 2" xfId="836" xr:uid="{00000000-0005-0000-0000-0000F8290000}"/>
    <cellStyle name="Comma 6 4 2 2 2" xfId="1353" xr:uid="{00000000-0005-0000-0000-0000F9290000}"/>
    <cellStyle name="Comma 6 4 2 2 2 2" xfId="9457" xr:uid="{00000000-0005-0000-0000-0000FA290000}"/>
    <cellStyle name="Comma 6 4 2 2 2 2 2" xfId="21900" xr:uid="{00000000-0005-0000-0000-0000FB290000}"/>
    <cellStyle name="Comma 6 4 2 2 2 2 2 2" xfId="46774" xr:uid="{00000000-0005-0000-0000-0000FC290000}"/>
    <cellStyle name="Comma 6 4 2 2 2 2 3" xfId="34341" xr:uid="{00000000-0005-0000-0000-0000FD290000}"/>
    <cellStyle name="Comma 6 4 2 2 2 3" xfId="4439" xr:uid="{00000000-0005-0000-0000-0000FE290000}"/>
    <cellStyle name="Comma 6 4 2 2 2 3 2" xfId="16893" xr:uid="{00000000-0005-0000-0000-0000FF290000}"/>
    <cellStyle name="Comma 6 4 2 2 2 3 2 2" xfId="41767" xr:uid="{00000000-0005-0000-0000-0000002A0000}"/>
    <cellStyle name="Comma 6 4 2 2 2 3 3" xfId="29334" xr:uid="{00000000-0005-0000-0000-0000012A0000}"/>
    <cellStyle name="Comma 6 4 2 2 2 4" xfId="14153" xr:uid="{00000000-0005-0000-0000-0000022A0000}"/>
    <cellStyle name="Comma 6 4 2 2 2 4 2" xfId="39027" xr:uid="{00000000-0005-0000-0000-0000032A0000}"/>
    <cellStyle name="Comma 6 4 2 2 2 5" xfId="26586" xr:uid="{00000000-0005-0000-0000-0000042A0000}"/>
    <cellStyle name="Comma 6 4 2 2 3" xfId="5498" xr:uid="{00000000-0005-0000-0000-0000052A0000}"/>
    <cellStyle name="Comma 6 4 2 2 3 2" xfId="10514" xr:uid="{00000000-0005-0000-0000-0000062A0000}"/>
    <cellStyle name="Comma 6 4 2 2 3 2 2" xfId="22957" xr:uid="{00000000-0005-0000-0000-0000072A0000}"/>
    <cellStyle name="Comma 6 4 2 2 3 2 2 2" xfId="47831" xr:uid="{00000000-0005-0000-0000-0000082A0000}"/>
    <cellStyle name="Comma 6 4 2 2 3 2 3" xfId="35398" xr:uid="{00000000-0005-0000-0000-0000092A0000}"/>
    <cellStyle name="Comma 6 4 2 2 3 3" xfId="17950" xr:uid="{00000000-0005-0000-0000-00000A2A0000}"/>
    <cellStyle name="Comma 6 4 2 2 3 3 2" xfId="42824" xr:uid="{00000000-0005-0000-0000-00000B2A0000}"/>
    <cellStyle name="Comma 6 4 2 2 3 4" xfId="30391" xr:uid="{00000000-0005-0000-0000-00000C2A0000}"/>
    <cellStyle name="Comma 6 4 2 2 4" xfId="8573" xr:uid="{00000000-0005-0000-0000-00000D2A0000}"/>
    <cellStyle name="Comma 6 4 2 2 4 2" xfId="21017" xr:uid="{00000000-0005-0000-0000-00000E2A0000}"/>
    <cellStyle name="Comma 6 4 2 2 4 2 2" xfId="45891" xr:uid="{00000000-0005-0000-0000-00000F2A0000}"/>
    <cellStyle name="Comma 6 4 2 2 4 3" xfId="33458" xr:uid="{00000000-0005-0000-0000-0000102A0000}"/>
    <cellStyle name="Comma 6 4 2 2 5" xfId="11968" xr:uid="{00000000-0005-0000-0000-0000112A0000}"/>
    <cellStyle name="Comma 6 4 2 2 5 2" xfId="24402" xr:uid="{00000000-0005-0000-0000-0000122A0000}"/>
    <cellStyle name="Comma 6 4 2 2 5 2 2" xfId="49276" xr:uid="{00000000-0005-0000-0000-0000132A0000}"/>
    <cellStyle name="Comma 6 4 2 2 5 3" xfId="36843" xr:uid="{00000000-0005-0000-0000-0000142A0000}"/>
    <cellStyle name="Comma 6 4 2 2 6" xfId="7050" xr:uid="{00000000-0005-0000-0000-0000152A0000}"/>
    <cellStyle name="Comma 6 4 2 2 6 2" xfId="19499" xr:uid="{00000000-0005-0000-0000-0000162A0000}"/>
    <cellStyle name="Comma 6 4 2 2 6 2 2" xfId="44373" xr:uid="{00000000-0005-0000-0000-0000172A0000}"/>
    <cellStyle name="Comma 6 4 2 2 6 3" xfId="31940" xr:uid="{00000000-0005-0000-0000-0000182A0000}"/>
    <cellStyle name="Comma 6 4 2 2 7" xfId="3504" xr:uid="{00000000-0005-0000-0000-0000192A0000}"/>
    <cellStyle name="Comma 6 4 2 2 7 2" xfId="16010" xr:uid="{00000000-0005-0000-0000-00001A2A0000}"/>
    <cellStyle name="Comma 6 4 2 2 7 2 2" xfId="40884" xr:uid="{00000000-0005-0000-0000-00001B2A0000}"/>
    <cellStyle name="Comma 6 4 2 2 7 3" xfId="28443" xr:uid="{00000000-0005-0000-0000-00001C2A0000}"/>
    <cellStyle name="Comma 6 4 2 2 8" xfId="13637" xr:uid="{00000000-0005-0000-0000-00001D2A0000}"/>
    <cellStyle name="Comma 6 4 2 2 8 2" xfId="38511" xr:uid="{00000000-0005-0000-0000-00001E2A0000}"/>
    <cellStyle name="Comma 6 4 2 2 9" xfId="26070" xr:uid="{00000000-0005-0000-0000-00001F2A0000}"/>
    <cellStyle name="Comma 6 4 2 3" xfId="1701" xr:uid="{00000000-0005-0000-0000-0000202A0000}"/>
    <cellStyle name="Comma 6 4 2 3 2" xfId="5019" xr:uid="{00000000-0005-0000-0000-0000212A0000}"/>
    <cellStyle name="Comma 6 4 2 3 2 2" xfId="10036" xr:uid="{00000000-0005-0000-0000-0000222A0000}"/>
    <cellStyle name="Comma 6 4 2 3 2 2 2" xfId="22479" xr:uid="{00000000-0005-0000-0000-0000232A0000}"/>
    <cellStyle name="Comma 6 4 2 3 2 2 2 2" xfId="47353" xr:uid="{00000000-0005-0000-0000-0000242A0000}"/>
    <cellStyle name="Comma 6 4 2 3 2 2 3" xfId="34920" xr:uid="{00000000-0005-0000-0000-0000252A0000}"/>
    <cellStyle name="Comma 6 4 2 3 2 3" xfId="17472" xr:uid="{00000000-0005-0000-0000-0000262A0000}"/>
    <cellStyle name="Comma 6 4 2 3 2 3 2" xfId="42346" xr:uid="{00000000-0005-0000-0000-0000272A0000}"/>
    <cellStyle name="Comma 6 4 2 3 2 4" xfId="29913" xr:uid="{00000000-0005-0000-0000-0000282A0000}"/>
    <cellStyle name="Comma 6 4 2 3 3" xfId="5847" xr:uid="{00000000-0005-0000-0000-0000292A0000}"/>
    <cellStyle name="Comma 6 4 2 3 3 2" xfId="10862" xr:uid="{00000000-0005-0000-0000-00002A2A0000}"/>
    <cellStyle name="Comma 6 4 2 3 3 2 2" xfId="23305" xr:uid="{00000000-0005-0000-0000-00002B2A0000}"/>
    <cellStyle name="Comma 6 4 2 3 3 2 2 2" xfId="48179" xr:uid="{00000000-0005-0000-0000-00002C2A0000}"/>
    <cellStyle name="Comma 6 4 2 3 3 2 3" xfId="35746" xr:uid="{00000000-0005-0000-0000-00002D2A0000}"/>
    <cellStyle name="Comma 6 4 2 3 3 3" xfId="18298" xr:uid="{00000000-0005-0000-0000-00002E2A0000}"/>
    <cellStyle name="Comma 6 4 2 3 3 3 2" xfId="43172" xr:uid="{00000000-0005-0000-0000-00002F2A0000}"/>
    <cellStyle name="Comma 6 4 2 3 3 4" xfId="30739" xr:uid="{00000000-0005-0000-0000-0000302A0000}"/>
    <cellStyle name="Comma 6 4 2 3 4" xfId="8443" xr:uid="{00000000-0005-0000-0000-0000312A0000}"/>
    <cellStyle name="Comma 6 4 2 3 4 2" xfId="20887" xr:uid="{00000000-0005-0000-0000-0000322A0000}"/>
    <cellStyle name="Comma 6 4 2 3 4 2 2" xfId="45761" xr:uid="{00000000-0005-0000-0000-0000332A0000}"/>
    <cellStyle name="Comma 6 4 2 3 4 3" xfId="33328" xr:uid="{00000000-0005-0000-0000-0000342A0000}"/>
    <cellStyle name="Comma 6 4 2 3 5" xfId="12316" xr:uid="{00000000-0005-0000-0000-0000352A0000}"/>
    <cellStyle name="Comma 6 4 2 3 5 2" xfId="24750" xr:uid="{00000000-0005-0000-0000-0000362A0000}"/>
    <cellStyle name="Comma 6 4 2 3 5 2 2" xfId="49624" xr:uid="{00000000-0005-0000-0000-0000372A0000}"/>
    <cellStyle name="Comma 6 4 2 3 5 3" xfId="37191" xr:uid="{00000000-0005-0000-0000-0000382A0000}"/>
    <cellStyle name="Comma 6 4 2 3 6" xfId="7630" xr:uid="{00000000-0005-0000-0000-0000392A0000}"/>
    <cellStyle name="Comma 6 4 2 3 6 2" xfId="20078" xr:uid="{00000000-0005-0000-0000-00003A2A0000}"/>
    <cellStyle name="Comma 6 4 2 3 6 2 2" xfId="44952" xr:uid="{00000000-0005-0000-0000-00003B2A0000}"/>
    <cellStyle name="Comma 6 4 2 3 6 3" xfId="32519" xr:uid="{00000000-0005-0000-0000-00003C2A0000}"/>
    <cellStyle name="Comma 6 4 2 3 7" xfId="3374" xr:uid="{00000000-0005-0000-0000-00003D2A0000}"/>
    <cellStyle name="Comma 6 4 2 3 7 2" xfId="15880" xr:uid="{00000000-0005-0000-0000-00003E2A0000}"/>
    <cellStyle name="Comma 6 4 2 3 7 2 2" xfId="40754" xr:uid="{00000000-0005-0000-0000-00003F2A0000}"/>
    <cellStyle name="Comma 6 4 2 3 7 3" xfId="28313" xr:uid="{00000000-0005-0000-0000-0000402A0000}"/>
    <cellStyle name="Comma 6 4 2 3 8" xfId="14501" xr:uid="{00000000-0005-0000-0000-0000412A0000}"/>
    <cellStyle name="Comma 6 4 2 3 8 2" xfId="39375" xr:uid="{00000000-0005-0000-0000-0000422A0000}"/>
    <cellStyle name="Comma 6 4 2 3 9" xfId="26934" xr:uid="{00000000-0005-0000-0000-0000432A0000}"/>
    <cellStyle name="Comma 6 4 2 4" xfId="2395" xr:uid="{00000000-0005-0000-0000-0000442A0000}"/>
    <cellStyle name="Comma 6 4 2 4 2" xfId="6417" xr:uid="{00000000-0005-0000-0000-0000452A0000}"/>
    <cellStyle name="Comma 6 4 2 4 2 2" xfId="11432" xr:uid="{00000000-0005-0000-0000-0000462A0000}"/>
    <cellStyle name="Comma 6 4 2 4 2 2 2" xfId="23875" xr:uid="{00000000-0005-0000-0000-0000472A0000}"/>
    <cellStyle name="Comma 6 4 2 4 2 2 2 2" xfId="48749" xr:uid="{00000000-0005-0000-0000-0000482A0000}"/>
    <cellStyle name="Comma 6 4 2 4 2 2 3" xfId="36316" xr:uid="{00000000-0005-0000-0000-0000492A0000}"/>
    <cellStyle name="Comma 6 4 2 4 2 3" xfId="18868" xr:uid="{00000000-0005-0000-0000-00004A2A0000}"/>
    <cellStyle name="Comma 6 4 2 4 2 3 2" xfId="43742" xr:uid="{00000000-0005-0000-0000-00004B2A0000}"/>
    <cellStyle name="Comma 6 4 2 4 2 4" xfId="31309" xr:uid="{00000000-0005-0000-0000-00004C2A0000}"/>
    <cellStyle name="Comma 6 4 2 4 3" xfId="12886" xr:uid="{00000000-0005-0000-0000-00004D2A0000}"/>
    <cellStyle name="Comma 6 4 2 4 3 2" xfId="25320" xr:uid="{00000000-0005-0000-0000-00004E2A0000}"/>
    <cellStyle name="Comma 6 4 2 4 3 2 2" xfId="50194" xr:uid="{00000000-0005-0000-0000-00004F2A0000}"/>
    <cellStyle name="Comma 6 4 2 4 3 3" xfId="37761" xr:uid="{00000000-0005-0000-0000-0000502A0000}"/>
    <cellStyle name="Comma 6 4 2 4 4" xfId="9327" xr:uid="{00000000-0005-0000-0000-0000512A0000}"/>
    <cellStyle name="Comma 6 4 2 4 4 2" xfId="21770" xr:uid="{00000000-0005-0000-0000-0000522A0000}"/>
    <cellStyle name="Comma 6 4 2 4 4 2 2" xfId="46644" xr:uid="{00000000-0005-0000-0000-0000532A0000}"/>
    <cellStyle name="Comma 6 4 2 4 4 3" xfId="34211" xr:uid="{00000000-0005-0000-0000-0000542A0000}"/>
    <cellStyle name="Comma 6 4 2 4 5" xfId="4309" xr:uid="{00000000-0005-0000-0000-0000552A0000}"/>
    <cellStyle name="Comma 6 4 2 4 5 2" xfId="16763" xr:uid="{00000000-0005-0000-0000-0000562A0000}"/>
    <cellStyle name="Comma 6 4 2 4 5 2 2" xfId="41637" xr:uid="{00000000-0005-0000-0000-0000572A0000}"/>
    <cellStyle name="Comma 6 4 2 4 5 3" xfId="29204" xr:uid="{00000000-0005-0000-0000-0000582A0000}"/>
    <cellStyle name="Comma 6 4 2 4 6" xfId="15071" xr:uid="{00000000-0005-0000-0000-0000592A0000}"/>
    <cellStyle name="Comma 6 4 2 4 6 2" xfId="39945" xr:uid="{00000000-0005-0000-0000-00005A2A0000}"/>
    <cellStyle name="Comma 6 4 2 4 7" xfId="27504" xr:uid="{00000000-0005-0000-0000-00005B2A0000}"/>
    <cellStyle name="Comma 6 4 2 5" xfId="1228" xr:uid="{00000000-0005-0000-0000-00005C2A0000}"/>
    <cellStyle name="Comma 6 4 2 5 2" xfId="10389" xr:uid="{00000000-0005-0000-0000-00005D2A0000}"/>
    <cellStyle name="Comma 6 4 2 5 2 2" xfId="22832" xr:uid="{00000000-0005-0000-0000-00005E2A0000}"/>
    <cellStyle name="Comma 6 4 2 5 2 2 2" xfId="47706" xr:uid="{00000000-0005-0000-0000-00005F2A0000}"/>
    <cellStyle name="Comma 6 4 2 5 2 3" xfId="35273" xr:uid="{00000000-0005-0000-0000-0000602A0000}"/>
    <cellStyle name="Comma 6 4 2 5 3" xfId="5373" xr:uid="{00000000-0005-0000-0000-0000612A0000}"/>
    <cellStyle name="Comma 6 4 2 5 3 2" xfId="17825" xr:uid="{00000000-0005-0000-0000-0000622A0000}"/>
    <cellStyle name="Comma 6 4 2 5 3 2 2" xfId="42699" xr:uid="{00000000-0005-0000-0000-0000632A0000}"/>
    <cellStyle name="Comma 6 4 2 5 3 3" xfId="30266" xr:uid="{00000000-0005-0000-0000-0000642A0000}"/>
    <cellStyle name="Comma 6 4 2 5 4" xfId="14028" xr:uid="{00000000-0005-0000-0000-0000652A0000}"/>
    <cellStyle name="Comma 6 4 2 5 4 2" xfId="38902" xr:uid="{00000000-0005-0000-0000-0000662A0000}"/>
    <cellStyle name="Comma 6 4 2 5 5" xfId="26461" xr:uid="{00000000-0005-0000-0000-0000672A0000}"/>
    <cellStyle name="Comma 6 4 2 6" xfId="7950" xr:uid="{00000000-0005-0000-0000-0000682A0000}"/>
    <cellStyle name="Comma 6 4 2 6 2" xfId="20396" xr:uid="{00000000-0005-0000-0000-0000692A0000}"/>
    <cellStyle name="Comma 6 4 2 6 2 2" xfId="45270" xr:uid="{00000000-0005-0000-0000-00006A2A0000}"/>
    <cellStyle name="Comma 6 4 2 6 3" xfId="32837" xr:uid="{00000000-0005-0000-0000-00006B2A0000}"/>
    <cellStyle name="Comma 6 4 2 7" xfId="11843" xr:uid="{00000000-0005-0000-0000-00006C2A0000}"/>
    <cellStyle name="Comma 6 4 2 7 2" xfId="24277" xr:uid="{00000000-0005-0000-0000-00006D2A0000}"/>
    <cellStyle name="Comma 6 4 2 7 2 2" xfId="49151" xr:uid="{00000000-0005-0000-0000-00006E2A0000}"/>
    <cellStyle name="Comma 6 4 2 7 3" xfId="36718" xr:uid="{00000000-0005-0000-0000-00006F2A0000}"/>
    <cellStyle name="Comma 6 4 2 8" xfId="6920" xr:uid="{00000000-0005-0000-0000-0000702A0000}"/>
    <cellStyle name="Comma 6 4 2 8 2" xfId="19369" xr:uid="{00000000-0005-0000-0000-0000712A0000}"/>
    <cellStyle name="Comma 6 4 2 8 2 2" xfId="44243" xr:uid="{00000000-0005-0000-0000-0000722A0000}"/>
    <cellStyle name="Comma 6 4 2 8 3" xfId="31810" xr:uid="{00000000-0005-0000-0000-0000732A0000}"/>
    <cellStyle name="Comma 6 4 2 9" xfId="2871" xr:uid="{00000000-0005-0000-0000-0000742A0000}"/>
    <cellStyle name="Comma 6 4 2 9 2" xfId="15389" xr:uid="{00000000-0005-0000-0000-0000752A0000}"/>
    <cellStyle name="Comma 6 4 2 9 2 2" xfId="40263" xr:uid="{00000000-0005-0000-0000-0000762A0000}"/>
    <cellStyle name="Comma 6 4 2 9 3" xfId="27822" xr:uid="{00000000-0005-0000-0000-0000772A0000}"/>
    <cellStyle name="Comma 6 4 3" xfId="625" xr:uid="{00000000-0005-0000-0000-0000782A0000}"/>
    <cellStyle name="Comma 6 4 3 2" xfId="1352" xr:uid="{00000000-0005-0000-0000-0000792A0000}"/>
    <cellStyle name="Comma 6 4 3 2 2" xfId="9122" xr:uid="{00000000-0005-0000-0000-00007A2A0000}"/>
    <cellStyle name="Comma 6 4 3 2 2 2" xfId="21565" xr:uid="{00000000-0005-0000-0000-00007B2A0000}"/>
    <cellStyle name="Comma 6 4 3 2 2 2 2" xfId="46439" xr:uid="{00000000-0005-0000-0000-00007C2A0000}"/>
    <cellStyle name="Comma 6 4 3 2 2 3" xfId="34006" xr:uid="{00000000-0005-0000-0000-00007D2A0000}"/>
    <cellStyle name="Comma 6 4 3 2 3" xfId="4104" xr:uid="{00000000-0005-0000-0000-00007E2A0000}"/>
    <cellStyle name="Comma 6 4 3 2 3 2" xfId="16558" xr:uid="{00000000-0005-0000-0000-00007F2A0000}"/>
    <cellStyle name="Comma 6 4 3 2 3 2 2" xfId="41432" xr:uid="{00000000-0005-0000-0000-0000802A0000}"/>
    <cellStyle name="Comma 6 4 3 2 3 3" xfId="28999" xr:uid="{00000000-0005-0000-0000-0000812A0000}"/>
    <cellStyle name="Comma 6 4 3 2 4" xfId="14152" xr:uid="{00000000-0005-0000-0000-0000822A0000}"/>
    <cellStyle name="Comma 6 4 3 2 4 2" xfId="39026" xr:uid="{00000000-0005-0000-0000-0000832A0000}"/>
    <cellStyle name="Comma 6 4 3 2 5" xfId="26585" xr:uid="{00000000-0005-0000-0000-0000842A0000}"/>
    <cellStyle name="Comma 6 4 3 3" xfId="5497" xr:uid="{00000000-0005-0000-0000-0000852A0000}"/>
    <cellStyle name="Comma 6 4 3 3 2" xfId="10513" xr:uid="{00000000-0005-0000-0000-0000862A0000}"/>
    <cellStyle name="Comma 6 4 3 3 2 2" xfId="22956" xr:uid="{00000000-0005-0000-0000-0000872A0000}"/>
    <cellStyle name="Comma 6 4 3 3 2 2 2" xfId="47830" xr:uid="{00000000-0005-0000-0000-0000882A0000}"/>
    <cellStyle name="Comma 6 4 3 3 2 3" xfId="35397" xr:uid="{00000000-0005-0000-0000-0000892A0000}"/>
    <cellStyle name="Comma 6 4 3 3 3" xfId="17949" xr:uid="{00000000-0005-0000-0000-00008A2A0000}"/>
    <cellStyle name="Comma 6 4 3 3 3 2" xfId="42823" xr:uid="{00000000-0005-0000-0000-00008B2A0000}"/>
    <cellStyle name="Comma 6 4 3 3 4" xfId="30390" xr:uid="{00000000-0005-0000-0000-00008C2A0000}"/>
    <cellStyle name="Comma 6 4 3 4" xfId="8238" xr:uid="{00000000-0005-0000-0000-00008D2A0000}"/>
    <cellStyle name="Comma 6 4 3 4 2" xfId="20682" xr:uid="{00000000-0005-0000-0000-00008E2A0000}"/>
    <cellStyle name="Comma 6 4 3 4 2 2" xfId="45556" xr:uid="{00000000-0005-0000-0000-00008F2A0000}"/>
    <cellStyle name="Comma 6 4 3 4 3" xfId="33123" xr:uid="{00000000-0005-0000-0000-0000902A0000}"/>
    <cellStyle name="Comma 6 4 3 5" xfId="11967" xr:uid="{00000000-0005-0000-0000-0000912A0000}"/>
    <cellStyle name="Comma 6 4 3 5 2" xfId="24401" xr:uid="{00000000-0005-0000-0000-0000922A0000}"/>
    <cellStyle name="Comma 6 4 3 5 2 2" xfId="49275" xr:uid="{00000000-0005-0000-0000-0000932A0000}"/>
    <cellStyle name="Comma 6 4 3 5 3" xfId="36842" xr:uid="{00000000-0005-0000-0000-0000942A0000}"/>
    <cellStyle name="Comma 6 4 3 6" xfId="6715" xr:uid="{00000000-0005-0000-0000-0000952A0000}"/>
    <cellStyle name="Comma 6 4 3 6 2" xfId="19164" xr:uid="{00000000-0005-0000-0000-0000962A0000}"/>
    <cellStyle name="Comma 6 4 3 6 2 2" xfId="44038" xr:uid="{00000000-0005-0000-0000-0000972A0000}"/>
    <cellStyle name="Comma 6 4 3 6 3" xfId="31605" xr:uid="{00000000-0005-0000-0000-0000982A0000}"/>
    <cellStyle name="Comma 6 4 3 7" xfId="3169" xr:uid="{00000000-0005-0000-0000-0000992A0000}"/>
    <cellStyle name="Comma 6 4 3 7 2" xfId="15675" xr:uid="{00000000-0005-0000-0000-00009A2A0000}"/>
    <cellStyle name="Comma 6 4 3 7 2 2" xfId="40549" xr:uid="{00000000-0005-0000-0000-00009B2A0000}"/>
    <cellStyle name="Comma 6 4 3 7 3" xfId="28108" xr:uid="{00000000-0005-0000-0000-00009C2A0000}"/>
    <cellStyle name="Comma 6 4 3 8" xfId="13432" xr:uid="{00000000-0005-0000-0000-00009D2A0000}"/>
    <cellStyle name="Comma 6 4 3 8 2" xfId="38306" xr:uid="{00000000-0005-0000-0000-00009E2A0000}"/>
    <cellStyle name="Comma 6 4 3 9" xfId="25865" xr:uid="{00000000-0005-0000-0000-00009F2A0000}"/>
    <cellStyle name="Comma 6 4 4" xfId="1700" xr:uid="{00000000-0005-0000-0000-0000A02A0000}"/>
    <cellStyle name="Comma 6 4 4 2" xfId="4438" xr:uid="{00000000-0005-0000-0000-0000A12A0000}"/>
    <cellStyle name="Comma 6 4 4 2 2" xfId="9456" xr:uid="{00000000-0005-0000-0000-0000A22A0000}"/>
    <cellStyle name="Comma 6 4 4 2 2 2" xfId="21899" xr:uid="{00000000-0005-0000-0000-0000A32A0000}"/>
    <cellStyle name="Comma 6 4 4 2 2 2 2" xfId="46773" xr:uid="{00000000-0005-0000-0000-0000A42A0000}"/>
    <cellStyle name="Comma 6 4 4 2 2 3" xfId="34340" xr:uid="{00000000-0005-0000-0000-0000A52A0000}"/>
    <cellStyle name="Comma 6 4 4 2 3" xfId="16892" xr:uid="{00000000-0005-0000-0000-0000A62A0000}"/>
    <cellStyle name="Comma 6 4 4 2 3 2" xfId="41766" xr:uid="{00000000-0005-0000-0000-0000A72A0000}"/>
    <cellStyle name="Comma 6 4 4 2 4" xfId="29333" xr:uid="{00000000-0005-0000-0000-0000A82A0000}"/>
    <cellStyle name="Comma 6 4 4 3" xfId="5846" xr:uid="{00000000-0005-0000-0000-0000A92A0000}"/>
    <cellStyle name="Comma 6 4 4 3 2" xfId="10861" xr:uid="{00000000-0005-0000-0000-0000AA2A0000}"/>
    <cellStyle name="Comma 6 4 4 3 2 2" xfId="23304" xr:uid="{00000000-0005-0000-0000-0000AB2A0000}"/>
    <cellStyle name="Comma 6 4 4 3 2 2 2" xfId="48178" xr:uid="{00000000-0005-0000-0000-0000AC2A0000}"/>
    <cellStyle name="Comma 6 4 4 3 2 3" xfId="35745" xr:uid="{00000000-0005-0000-0000-0000AD2A0000}"/>
    <cellStyle name="Comma 6 4 4 3 3" xfId="18297" xr:uid="{00000000-0005-0000-0000-0000AE2A0000}"/>
    <cellStyle name="Comma 6 4 4 3 3 2" xfId="43171" xr:uid="{00000000-0005-0000-0000-0000AF2A0000}"/>
    <cellStyle name="Comma 6 4 4 3 4" xfId="30738" xr:uid="{00000000-0005-0000-0000-0000B02A0000}"/>
    <cellStyle name="Comma 6 4 4 4" xfId="8572" xr:uid="{00000000-0005-0000-0000-0000B12A0000}"/>
    <cellStyle name="Comma 6 4 4 4 2" xfId="21016" xr:uid="{00000000-0005-0000-0000-0000B22A0000}"/>
    <cellStyle name="Comma 6 4 4 4 2 2" xfId="45890" xr:uid="{00000000-0005-0000-0000-0000B32A0000}"/>
    <cellStyle name="Comma 6 4 4 4 3" xfId="33457" xr:uid="{00000000-0005-0000-0000-0000B42A0000}"/>
    <cellStyle name="Comma 6 4 4 5" xfId="12315" xr:uid="{00000000-0005-0000-0000-0000B52A0000}"/>
    <cellStyle name="Comma 6 4 4 5 2" xfId="24749" xr:uid="{00000000-0005-0000-0000-0000B62A0000}"/>
    <cellStyle name="Comma 6 4 4 5 2 2" xfId="49623" xr:uid="{00000000-0005-0000-0000-0000B72A0000}"/>
    <cellStyle name="Comma 6 4 4 5 3" xfId="37190" xr:uid="{00000000-0005-0000-0000-0000B82A0000}"/>
    <cellStyle name="Comma 6 4 4 6" xfId="7049" xr:uid="{00000000-0005-0000-0000-0000B92A0000}"/>
    <cellStyle name="Comma 6 4 4 6 2" xfId="19498" xr:uid="{00000000-0005-0000-0000-0000BA2A0000}"/>
    <cellStyle name="Comma 6 4 4 6 2 2" xfId="44372" xr:uid="{00000000-0005-0000-0000-0000BB2A0000}"/>
    <cellStyle name="Comma 6 4 4 6 3" xfId="31939" xr:uid="{00000000-0005-0000-0000-0000BC2A0000}"/>
    <cellStyle name="Comma 6 4 4 7" xfId="3503" xr:uid="{00000000-0005-0000-0000-0000BD2A0000}"/>
    <cellStyle name="Comma 6 4 4 7 2" xfId="16009" xr:uid="{00000000-0005-0000-0000-0000BE2A0000}"/>
    <cellStyle name="Comma 6 4 4 7 2 2" xfId="40883" xr:uid="{00000000-0005-0000-0000-0000BF2A0000}"/>
    <cellStyle name="Comma 6 4 4 7 3" xfId="28442" xr:uid="{00000000-0005-0000-0000-0000C02A0000}"/>
    <cellStyle name="Comma 6 4 4 8" xfId="14500" xr:uid="{00000000-0005-0000-0000-0000C12A0000}"/>
    <cellStyle name="Comma 6 4 4 8 2" xfId="39374" xr:uid="{00000000-0005-0000-0000-0000C22A0000}"/>
    <cellStyle name="Comma 6 4 4 9" xfId="26933" xr:uid="{00000000-0005-0000-0000-0000C32A0000}"/>
    <cellStyle name="Comma 6 4 5" xfId="2181" xr:uid="{00000000-0005-0000-0000-0000C42A0000}"/>
    <cellStyle name="Comma 6 4 5 2" xfId="4814" xr:uid="{00000000-0005-0000-0000-0000C52A0000}"/>
    <cellStyle name="Comma 6 4 5 2 2" xfId="9831" xr:uid="{00000000-0005-0000-0000-0000C62A0000}"/>
    <cellStyle name="Comma 6 4 5 2 2 2" xfId="22274" xr:uid="{00000000-0005-0000-0000-0000C72A0000}"/>
    <cellStyle name="Comma 6 4 5 2 2 2 2" xfId="47148" xr:uid="{00000000-0005-0000-0000-0000C82A0000}"/>
    <cellStyle name="Comma 6 4 5 2 2 3" xfId="34715" xr:uid="{00000000-0005-0000-0000-0000C92A0000}"/>
    <cellStyle name="Comma 6 4 5 2 3" xfId="17267" xr:uid="{00000000-0005-0000-0000-0000CA2A0000}"/>
    <cellStyle name="Comma 6 4 5 2 3 2" xfId="42141" xr:uid="{00000000-0005-0000-0000-0000CB2A0000}"/>
    <cellStyle name="Comma 6 4 5 2 4" xfId="29708" xr:uid="{00000000-0005-0000-0000-0000CC2A0000}"/>
    <cellStyle name="Comma 6 4 5 3" xfId="6212" xr:uid="{00000000-0005-0000-0000-0000CD2A0000}"/>
    <cellStyle name="Comma 6 4 5 3 2" xfId="11227" xr:uid="{00000000-0005-0000-0000-0000CE2A0000}"/>
    <cellStyle name="Comma 6 4 5 3 2 2" xfId="23670" xr:uid="{00000000-0005-0000-0000-0000CF2A0000}"/>
    <cellStyle name="Comma 6 4 5 3 2 2 2" xfId="48544" xr:uid="{00000000-0005-0000-0000-0000D02A0000}"/>
    <cellStyle name="Comma 6 4 5 3 2 3" xfId="36111" xr:uid="{00000000-0005-0000-0000-0000D12A0000}"/>
    <cellStyle name="Comma 6 4 5 3 3" xfId="18663" xr:uid="{00000000-0005-0000-0000-0000D22A0000}"/>
    <cellStyle name="Comma 6 4 5 3 3 2" xfId="43537" xr:uid="{00000000-0005-0000-0000-0000D32A0000}"/>
    <cellStyle name="Comma 6 4 5 3 4" xfId="31104" xr:uid="{00000000-0005-0000-0000-0000D42A0000}"/>
    <cellStyle name="Comma 6 4 5 4" xfId="8124" xr:uid="{00000000-0005-0000-0000-0000D52A0000}"/>
    <cellStyle name="Comma 6 4 5 4 2" xfId="20570" xr:uid="{00000000-0005-0000-0000-0000D62A0000}"/>
    <cellStyle name="Comma 6 4 5 4 2 2" xfId="45444" xr:uid="{00000000-0005-0000-0000-0000D72A0000}"/>
    <cellStyle name="Comma 6 4 5 4 3" xfId="33011" xr:uid="{00000000-0005-0000-0000-0000D82A0000}"/>
    <cellStyle name="Comma 6 4 5 5" xfId="12681" xr:uid="{00000000-0005-0000-0000-0000D92A0000}"/>
    <cellStyle name="Comma 6 4 5 5 2" xfId="25115" xr:uid="{00000000-0005-0000-0000-0000DA2A0000}"/>
    <cellStyle name="Comma 6 4 5 5 2 2" xfId="49989" xr:uid="{00000000-0005-0000-0000-0000DB2A0000}"/>
    <cellStyle name="Comma 6 4 5 5 3" xfId="37556" xr:uid="{00000000-0005-0000-0000-0000DC2A0000}"/>
    <cellStyle name="Comma 6 4 5 6" xfId="7425" xr:uid="{00000000-0005-0000-0000-0000DD2A0000}"/>
    <cellStyle name="Comma 6 4 5 6 2" xfId="19873" xr:uid="{00000000-0005-0000-0000-0000DE2A0000}"/>
    <cellStyle name="Comma 6 4 5 6 2 2" xfId="44747" xr:uid="{00000000-0005-0000-0000-0000DF2A0000}"/>
    <cellStyle name="Comma 6 4 5 6 3" xfId="32314" xr:uid="{00000000-0005-0000-0000-0000E02A0000}"/>
    <cellStyle name="Comma 6 4 5 7" xfId="3054" xr:uid="{00000000-0005-0000-0000-0000E12A0000}"/>
    <cellStyle name="Comma 6 4 5 7 2" xfId="15563" xr:uid="{00000000-0005-0000-0000-0000E22A0000}"/>
    <cellStyle name="Comma 6 4 5 7 2 2" xfId="40437" xr:uid="{00000000-0005-0000-0000-0000E32A0000}"/>
    <cellStyle name="Comma 6 4 5 7 3" xfId="27996" xr:uid="{00000000-0005-0000-0000-0000E42A0000}"/>
    <cellStyle name="Comma 6 4 5 8" xfId="14866" xr:uid="{00000000-0005-0000-0000-0000E52A0000}"/>
    <cellStyle name="Comma 6 4 5 8 2" xfId="39740" xr:uid="{00000000-0005-0000-0000-0000E62A0000}"/>
    <cellStyle name="Comma 6 4 5 9" xfId="27299" xr:uid="{00000000-0005-0000-0000-0000E72A0000}"/>
    <cellStyle name="Comma 6 4 6" xfId="1023" xr:uid="{00000000-0005-0000-0000-0000E82A0000}"/>
    <cellStyle name="Comma 6 4 6 2" xfId="9010" xr:uid="{00000000-0005-0000-0000-0000E92A0000}"/>
    <cellStyle name="Comma 6 4 6 2 2" xfId="21453" xr:uid="{00000000-0005-0000-0000-0000EA2A0000}"/>
    <cellStyle name="Comma 6 4 6 2 2 2" xfId="46327" xr:uid="{00000000-0005-0000-0000-0000EB2A0000}"/>
    <cellStyle name="Comma 6 4 6 2 3" xfId="33894" xr:uid="{00000000-0005-0000-0000-0000EC2A0000}"/>
    <cellStyle name="Comma 6 4 6 3" xfId="3992" xr:uid="{00000000-0005-0000-0000-0000ED2A0000}"/>
    <cellStyle name="Comma 6 4 6 3 2" xfId="16446" xr:uid="{00000000-0005-0000-0000-0000EE2A0000}"/>
    <cellStyle name="Comma 6 4 6 3 2 2" xfId="41320" xr:uid="{00000000-0005-0000-0000-0000EF2A0000}"/>
    <cellStyle name="Comma 6 4 6 3 3" xfId="28887" xr:uid="{00000000-0005-0000-0000-0000F02A0000}"/>
    <cellStyle name="Comma 6 4 6 4" xfId="13823" xr:uid="{00000000-0005-0000-0000-0000F12A0000}"/>
    <cellStyle name="Comma 6 4 6 4 2" xfId="38697" xr:uid="{00000000-0005-0000-0000-0000F22A0000}"/>
    <cellStyle name="Comma 6 4 6 5" xfId="26256" xr:uid="{00000000-0005-0000-0000-0000F32A0000}"/>
    <cellStyle name="Comma 6 4 7" xfId="5168" xr:uid="{00000000-0005-0000-0000-0000F42A0000}"/>
    <cellStyle name="Comma 6 4 7 2" xfId="10184" xr:uid="{00000000-0005-0000-0000-0000F52A0000}"/>
    <cellStyle name="Comma 6 4 7 2 2" xfId="22627" xr:uid="{00000000-0005-0000-0000-0000F62A0000}"/>
    <cellStyle name="Comma 6 4 7 2 2 2" xfId="47501" xr:uid="{00000000-0005-0000-0000-0000F72A0000}"/>
    <cellStyle name="Comma 6 4 7 2 3" xfId="35068" xr:uid="{00000000-0005-0000-0000-0000F82A0000}"/>
    <cellStyle name="Comma 6 4 7 3" xfId="17620" xr:uid="{00000000-0005-0000-0000-0000F92A0000}"/>
    <cellStyle name="Comma 6 4 7 3 2" xfId="42494" xr:uid="{00000000-0005-0000-0000-0000FA2A0000}"/>
    <cellStyle name="Comma 6 4 7 4" xfId="30061" xr:uid="{00000000-0005-0000-0000-0000FB2A0000}"/>
    <cellStyle name="Comma 6 4 8" xfId="7745" xr:uid="{00000000-0005-0000-0000-0000FC2A0000}"/>
    <cellStyle name="Comma 6 4 8 2" xfId="20191" xr:uid="{00000000-0005-0000-0000-0000FD2A0000}"/>
    <cellStyle name="Comma 6 4 8 2 2" xfId="45065" xr:uid="{00000000-0005-0000-0000-0000FE2A0000}"/>
    <cellStyle name="Comma 6 4 8 3" xfId="32632" xr:uid="{00000000-0005-0000-0000-0000FF2A0000}"/>
    <cellStyle name="Comma 6 4 9" xfId="11638" xr:uid="{00000000-0005-0000-0000-0000002B0000}"/>
    <cellStyle name="Comma 6 4 9 2" xfId="24072" xr:uid="{00000000-0005-0000-0000-0000012B0000}"/>
    <cellStyle name="Comma 6 4 9 2 2" xfId="48946" xr:uid="{00000000-0005-0000-0000-0000022B0000}"/>
    <cellStyle name="Comma 6 4 9 3" xfId="36513" xr:uid="{00000000-0005-0000-0000-0000032B0000}"/>
    <cellStyle name="Comma 6 5" xfId="369" xr:uid="{00000000-0005-0000-0000-0000042B0000}"/>
    <cellStyle name="Comma 6 5 10" xfId="13185" xr:uid="{00000000-0005-0000-0000-0000052B0000}"/>
    <cellStyle name="Comma 6 5 10 2" xfId="38059" xr:uid="{00000000-0005-0000-0000-0000062B0000}"/>
    <cellStyle name="Comma 6 5 11" xfId="25618" xr:uid="{00000000-0005-0000-0000-0000072B0000}"/>
    <cellStyle name="Comma 6 5 2" xfId="729" xr:uid="{00000000-0005-0000-0000-0000082B0000}"/>
    <cellStyle name="Comma 6 5 2 2" xfId="1354" xr:uid="{00000000-0005-0000-0000-0000092B0000}"/>
    <cellStyle name="Comma 6 5 2 2 2" xfId="9458" xr:uid="{00000000-0005-0000-0000-00000A2B0000}"/>
    <cellStyle name="Comma 6 5 2 2 2 2" xfId="21901" xr:uid="{00000000-0005-0000-0000-00000B2B0000}"/>
    <cellStyle name="Comma 6 5 2 2 2 2 2" xfId="46775" xr:uid="{00000000-0005-0000-0000-00000C2B0000}"/>
    <cellStyle name="Comma 6 5 2 2 2 3" xfId="34342" xr:uid="{00000000-0005-0000-0000-00000D2B0000}"/>
    <cellStyle name="Comma 6 5 2 2 3" xfId="4440" xr:uid="{00000000-0005-0000-0000-00000E2B0000}"/>
    <cellStyle name="Comma 6 5 2 2 3 2" xfId="16894" xr:uid="{00000000-0005-0000-0000-00000F2B0000}"/>
    <cellStyle name="Comma 6 5 2 2 3 2 2" xfId="41768" xr:uid="{00000000-0005-0000-0000-0000102B0000}"/>
    <cellStyle name="Comma 6 5 2 2 3 3" xfId="29335" xr:uid="{00000000-0005-0000-0000-0000112B0000}"/>
    <cellStyle name="Comma 6 5 2 2 4" xfId="14154" xr:uid="{00000000-0005-0000-0000-0000122B0000}"/>
    <cellStyle name="Comma 6 5 2 2 4 2" xfId="39028" xr:uid="{00000000-0005-0000-0000-0000132B0000}"/>
    <cellStyle name="Comma 6 5 2 2 5" xfId="26587" xr:uid="{00000000-0005-0000-0000-0000142B0000}"/>
    <cellStyle name="Comma 6 5 2 3" xfId="5499" xr:uid="{00000000-0005-0000-0000-0000152B0000}"/>
    <cellStyle name="Comma 6 5 2 3 2" xfId="10515" xr:uid="{00000000-0005-0000-0000-0000162B0000}"/>
    <cellStyle name="Comma 6 5 2 3 2 2" xfId="22958" xr:uid="{00000000-0005-0000-0000-0000172B0000}"/>
    <cellStyle name="Comma 6 5 2 3 2 2 2" xfId="47832" xr:uid="{00000000-0005-0000-0000-0000182B0000}"/>
    <cellStyle name="Comma 6 5 2 3 2 3" xfId="35399" xr:uid="{00000000-0005-0000-0000-0000192B0000}"/>
    <cellStyle name="Comma 6 5 2 3 3" xfId="17951" xr:uid="{00000000-0005-0000-0000-00001A2B0000}"/>
    <cellStyle name="Comma 6 5 2 3 3 2" xfId="42825" xr:uid="{00000000-0005-0000-0000-00001B2B0000}"/>
    <cellStyle name="Comma 6 5 2 3 4" xfId="30392" xr:uid="{00000000-0005-0000-0000-00001C2B0000}"/>
    <cellStyle name="Comma 6 5 2 4" xfId="8574" xr:uid="{00000000-0005-0000-0000-00001D2B0000}"/>
    <cellStyle name="Comma 6 5 2 4 2" xfId="21018" xr:uid="{00000000-0005-0000-0000-00001E2B0000}"/>
    <cellStyle name="Comma 6 5 2 4 2 2" xfId="45892" xr:uid="{00000000-0005-0000-0000-00001F2B0000}"/>
    <cellStyle name="Comma 6 5 2 4 3" xfId="33459" xr:uid="{00000000-0005-0000-0000-0000202B0000}"/>
    <cellStyle name="Comma 6 5 2 5" xfId="11969" xr:uid="{00000000-0005-0000-0000-0000212B0000}"/>
    <cellStyle name="Comma 6 5 2 5 2" xfId="24403" xr:uid="{00000000-0005-0000-0000-0000222B0000}"/>
    <cellStyle name="Comma 6 5 2 5 2 2" xfId="49277" xr:uid="{00000000-0005-0000-0000-0000232B0000}"/>
    <cellStyle name="Comma 6 5 2 5 3" xfId="36844" xr:uid="{00000000-0005-0000-0000-0000242B0000}"/>
    <cellStyle name="Comma 6 5 2 6" xfId="7051" xr:uid="{00000000-0005-0000-0000-0000252B0000}"/>
    <cellStyle name="Comma 6 5 2 6 2" xfId="19500" xr:uid="{00000000-0005-0000-0000-0000262B0000}"/>
    <cellStyle name="Comma 6 5 2 6 2 2" xfId="44374" xr:uid="{00000000-0005-0000-0000-0000272B0000}"/>
    <cellStyle name="Comma 6 5 2 6 3" xfId="31941" xr:uid="{00000000-0005-0000-0000-0000282B0000}"/>
    <cellStyle name="Comma 6 5 2 7" xfId="3505" xr:uid="{00000000-0005-0000-0000-0000292B0000}"/>
    <cellStyle name="Comma 6 5 2 7 2" xfId="16011" xr:uid="{00000000-0005-0000-0000-00002A2B0000}"/>
    <cellStyle name="Comma 6 5 2 7 2 2" xfId="40885" xr:uid="{00000000-0005-0000-0000-00002B2B0000}"/>
    <cellStyle name="Comma 6 5 2 7 3" xfId="28444" xr:uid="{00000000-0005-0000-0000-00002C2B0000}"/>
    <cellStyle name="Comma 6 5 2 8" xfId="13532" xr:uid="{00000000-0005-0000-0000-00002D2B0000}"/>
    <cellStyle name="Comma 6 5 2 8 2" xfId="38406" xr:uid="{00000000-0005-0000-0000-00002E2B0000}"/>
    <cellStyle name="Comma 6 5 2 9" xfId="25965" xr:uid="{00000000-0005-0000-0000-00002F2B0000}"/>
    <cellStyle name="Comma 6 5 3" xfId="1702" xr:uid="{00000000-0005-0000-0000-0000302B0000}"/>
    <cellStyle name="Comma 6 5 3 2" xfId="4914" xr:uid="{00000000-0005-0000-0000-0000312B0000}"/>
    <cellStyle name="Comma 6 5 3 2 2" xfId="9931" xr:uid="{00000000-0005-0000-0000-0000322B0000}"/>
    <cellStyle name="Comma 6 5 3 2 2 2" xfId="22374" xr:uid="{00000000-0005-0000-0000-0000332B0000}"/>
    <cellStyle name="Comma 6 5 3 2 2 2 2" xfId="47248" xr:uid="{00000000-0005-0000-0000-0000342B0000}"/>
    <cellStyle name="Comma 6 5 3 2 2 3" xfId="34815" xr:uid="{00000000-0005-0000-0000-0000352B0000}"/>
    <cellStyle name="Comma 6 5 3 2 3" xfId="17367" xr:uid="{00000000-0005-0000-0000-0000362B0000}"/>
    <cellStyle name="Comma 6 5 3 2 3 2" xfId="42241" xr:uid="{00000000-0005-0000-0000-0000372B0000}"/>
    <cellStyle name="Comma 6 5 3 2 4" xfId="29808" xr:uid="{00000000-0005-0000-0000-0000382B0000}"/>
    <cellStyle name="Comma 6 5 3 3" xfId="5848" xr:uid="{00000000-0005-0000-0000-0000392B0000}"/>
    <cellStyle name="Comma 6 5 3 3 2" xfId="10863" xr:uid="{00000000-0005-0000-0000-00003A2B0000}"/>
    <cellStyle name="Comma 6 5 3 3 2 2" xfId="23306" xr:uid="{00000000-0005-0000-0000-00003B2B0000}"/>
    <cellStyle name="Comma 6 5 3 3 2 2 2" xfId="48180" xr:uid="{00000000-0005-0000-0000-00003C2B0000}"/>
    <cellStyle name="Comma 6 5 3 3 2 3" xfId="35747" xr:uid="{00000000-0005-0000-0000-00003D2B0000}"/>
    <cellStyle name="Comma 6 5 3 3 3" xfId="18299" xr:uid="{00000000-0005-0000-0000-00003E2B0000}"/>
    <cellStyle name="Comma 6 5 3 3 3 2" xfId="43173" xr:uid="{00000000-0005-0000-0000-00003F2B0000}"/>
    <cellStyle name="Comma 6 5 3 3 4" xfId="30740" xr:uid="{00000000-0005-0000-0000-0000402B0000}"/>
    <cellStyle name="Comma 6 5 3 4" xfId="8338" xr:uid="{00000000-0005-0000-0000-0000412B0000}"/>
    <cellStyle name="Comma 6 5 3 4 2" xfId="20782" xr:uid="{00000000-0005-0000-0000-0000422B0000}"/>
    <cellStyle name="Comma 6 5 3 4 2 2" xfId="45656" xr:uid="{00000000-0005-0000-0000-0000432B0000}"/>
    <cellStyle name="Comma 6 5 3 4 3" xfId="33223" xr:uid="{00000000-0005-0000-0000-0000442B0000}"/>
    <cellStyle name="Comma 6 5 3 5" xfId="12317" xr:uid="{00000000-0005-0000-0000-0000452B0000}"/>
    <cellStyle name="Comma 6 5 3 5 2" xfId="24751" xr:uid="{00000000-0005-0000-0000-0000462B0000}"/>
    <cellStyle name="Comma 6 5 3 5 2 2" xfId="49625" xr:uid="{00000000-0005-0000-0000-0000472B0000}"/>
    <cellStyle name="Comma 6 5 3 5 3" xfId="37192" xr:uid="{00000000-0005-0000-0000-0000482B0000}"/>
    <cellStyle name="Comma 6 5 3 6" xfId="7525" xr:uid="{00000000-0005-0000-0000-0000492B0000}"/>
    <cellStyle name="Comma 6 5 3 6 2" xfId="19973" xr:uid="{00000000-0005-0000-0000-00004A2B0000}"/>
    <cellStyle name="Comma 6 5 3 6 2 2" xfId="44847" xr:uid="{00000000-0005-0000-0000-00004B2B0000}"/>
    <cellStyle name="Comma 6 5 3 6 3" xfId="32414" xr:uid="{00000000-0005-0000-0000-00004C2B0000}"/>
    <cellStyle name="Comma 6 5 3 7" xfId="3269" xr:uid="{00000000-0005-0000-0000-00004D2B0000}"/>
    <cellStyle name="Comma 6 5 3 7 2" xfId="15775" xr:uid="{00000000-0005-0000-0000-00004E2B0000}"/>
    <cellStyle name="Comma 6 5 3 7 2 2" xfId="40649" xr:uid="{00000000-0005-0000-0000-00004F2B0000}"/>
    <cellStyle name="Comma 6 5 3 7 3" xfId="28208" xr:uid="{00000000-0005-0000-0000-0000502B0000}"/>
    <cellStyle name="Comma 6 5 3 8" xfId="14502" xr:uid="{00000000-0005-0000-0000-0000512B0000}"/>
    <cellStyle name="Comma 6 5 3 8 2" xfId="39376" xr:uid="{00000000-0005-0000-0000-0000522B0000}"/>
    <cellStyle name="Comma 6 5 3 9" xfId="26935" xr:uid="{00000000-0005-0000-0000-0000532B0000}"/>
    <cellStyle name="Comma 6 5 4" xfId="2287" xr:uid="{00000000-0005-0000-0000-0000542B0000}"/>
    <cellStyle name="Comma 6 5 4 2" xfId="6312" xr:uid="{00000000-0005-0000-0000-0000552B0000}"/>
    <cellStyle name="Comma 6 5 4 2 2" xfId="11327" xr:uid="{00000000-0005-0000-0000-0000562B0000}"/>
    <cellStyle name="Comma 6 5 4 2 2 2" xfId="23770" xr:uid="{00000000-0005-0000-0000-0000572B0000}"/>
    <cellStyle name="Comma 6 5 4 2 2 2 2" xfId="48644" xr:uid="{00000000-0005-0000-0000-0000582B0000}"/>
    <cellStyle name="Comma 6 5 4 2 2 3" xfId="36211" xr:uid="{00000000-0005-0000-0000-0000592B0000}"/>
    <cellStyle name="Comma 6 5 4 2 3" xfId="18763" xr:uid="{00000000-0005-0000-0000-00005A2B0000}"/>
    <cellStyle name="Comma 6 5 4 2 3 2" xfId="43637" xr:uid="{00000000-0005-0000-0000-00005B2B0000}"/>
    <cellStyle name="Comma 6 5 4 2 4" xfId="31204" xr:uid="{00000000-0005-0000-0000-00005C2B0000}"/>
    <cellStyle name="Comma 6 5 4 3" xfId="12781" xr:uid="{00000000-0005-0000-0000-00005D2B0000}"/>
    <cellStyle name="Comma 6 5 4 3 2" xfId="25215" xr:uid="{00000000-0005-0000-0000-00005E2B0000}"/>
    <cellStyle name="Comma 6 5 4 3 2 2" xfId="50089" xr:uid="{00000000-0005-0000-0000-00005F2B0000}"/>
    <cellStyle name="Comma 6 5 4 3 3" xfId="37656" xr:uid="{00000000-0005-0000-0000-0000602B0000}"/>
    <cellStyle name="Comma 6 5 4 4" xfId="9222" xr:uid="{00000000-0005-0000-0000-0000612B0000}"/>
    <cellStyle name="Comma 6 5 4 4 2" xfId="21665" xr:uid="{00000000-0005-0000-0000-0000622B0000}"/>
    <cellStyle name="Comma 6 5 4 4 2 2" xfId="46539" xr:uid="{00000000-0005-0000-0000-0000632B0000}"/>
    <cellStyle name="Comma 6 5 4 4 3" xfId="34106" xr:uid="{00000000-0005-0000-0000-0000642B0000}"/>
    <cellStyle name="Comma 6 5 4 5" xfId="4204" xr:uid="{00000000-0005-0000-0000-0000652B0000}"/>
    <cellStyle name="Comma 6 5 4 5 2" xfId="16658" xr:uid="{00000000-0005-0000-0000-0000662B0000}"/>
    <cellStyle name="Comma 6 5 4 5 2 2" xfId="41532" xr:uid="{00000000-0005-0000-0000-0000672B0000}"/>
    <cellStyle name="Comma 6 5 4 5 3" xfId="29099" xr:uid="{00000000-0005-0000-0000-0000682B0000}"/>
    <cellStyle name="Comma 6 5 4 6" xfId="14966" xr:uid="{00000000-0005-0000-0000-0000692B0000}"/>
    <cellStyle name="Comma 6 5 4 6 2" xfId="39840" xr:uid="{00000000-0005-0000-0000-00006A2B0000}"/>
    <cellStyle name="Comma 6 5 4 7" xfId="27399" xr:uid="{00000000-0005-0000-0000-00006B2B0000}"/>
    <cellStyle name="Comma 6 5 5" xfId="1123" xr:uid="{00000000-0005-0000-0000-00006C2B0000}"/>
    <cellStyle name="Comma 6 5 5 2" xfId="10284" xr:uid="{00000000-0005-0000-0000-00006D2B0000}"/>
    <cellStyle name="Comma 6 5 5 2 2" xfId="22727" xr:uid="{00000000-0005-0000-0000-00006E2B0000}"/>
    <cellStyle name="Comma 6 5 5 2 2 2" xfId="47601" xr:uid="{00000000-0005-0000-0000-00006F2B0000}"/>
    <cellStyle name="Comma 6 5 5 2 3" xfId="35168" xr:uid="{00000000-0005-0000-0000-0000702B0000}"/>
    <cellStyle name="Comma 6 5 5 3" xfId="5268" xr:uid="{00000000-0005-0000-0000-0000712B0000}"/>
    <cellStyle name="Comma 6 5 5 3 2" xfId="17720" xr:uid="{00000000-0005-0000-0000-0000722B0000}"/>
    <cellStyle name="Comma 6 5 5 3 2 2" xfId="42594" xr:uid="{00000000-0005-0000-0000-0000732B0000}"/>
    <cellStyle name="Comma 6 5 5 3 3" xfId="30161" xr:uid="{00000000-0005-0000-0000-0000742B0000}"/>
    <cellStyle name="Comma 6 5 5 4" xfId="13923" xr:uid="{00000000-0005-0000-0000-0000752B0000}"/>
    <cellStyle name="Comma 6 5 5 4 2" xfId="38797" xr:uid="{00000000-0005-0000-0000-0000762B0000}"/>
    <cellStyle name="Comma 6 5 5 5" xfId="26356" xr:uid="{00000000-0005-0000-0000-0000772B0000}"/>
    <cellStyle name="Comma 6 5 6" xfId="7845" xr:uid="{00000000-0005-0000-0000-0000782B0000}"/>
    <cellStyle name="Comma 6 5 6 2" xfId="20291" xr:uid="{00000000-0005-0000-0000-0000792B0000}"/>
    <cellStyle name="Comma 6 5 6 2 2" xfId="45165" xr:uid="{00000000-0005-0000-0000-00007A2B0000}"/>
    <cellStyle name="Comma 6 5 6 3" xfId="32732" xr:uid="{00000000-0005-0000-0000-00007B2B0000}"/>
    <cellStyle name="Comma 6 5 7" xfId="11738" xr:uid="{00000000-0005-0000-0000-00007C2B0000}"/>
    <cellStyle name="Comma 6 5 7 2" xfId="24172" xr:uid="{00000000-0005-0000-0000-00007D2B0000}"/>
    <cellStyle name="Comma 6 5 7 2 2" xfId="49046" xr:uid="{00000000-0005-0000-0000-00007E2B0000}"/>
    <cellStyle name="Comma 6 5 7 3" xfId="36613" xr:uid="{00000000-0005-0000-0000-00007F2B0000}"/>
    <cellStyle name="Comma 6 5 8" xfId="6815" xr:uid="{00000000-0005-0000-0000-0000802B0000}"/>
    <cellStyle name="Comma 6 5 8 2" xfId="19264" xr:uid="{00000000-0005-0000-0000-0000812B0000}"/>
    <cellStyle name="Comma 6 5 8 2 2" xfId="44138" xr:uid="{00000000-0005-0000-0000-0000822B0000}"/>
    <cellStyle name="Comma 6 5 8 3" xfId="31705" xr:uid="{00000000-0005-0000-0000-0000832B0000}"/>
    <cellStyle name="Comma 6 5 9" xfId="2766" xr:uid="{00000000-0005-0000-0000-0000842B0000}"/>
    <cellStyle name="Comma 6 5 9 2" xfId="15284" xr:uid="{00000000-0005-0000-0000-0000852B0000}"/>
    <cellStyle name="Comma 6 5 9 2 2" xfId="40158" xr:uid="{00000000-0005-0000-0000-0000862B0000}"/>
    <cellStyle name="Comma 6 5 9 3" xfId="27717" xr:uid="{00000000-0005-0000-0000-0000872B0000}"/>
    <cellStyle name="Comma 6 6" xfId="192" xr:uid="{00000000-0005-0000-0000-0000882B0000}"/>
    <cellStyle name="Comma 6 6 10" xfId="13022" xr:uid="{00000000-0005-0000-0000-0000892B0000}"/>
    <cellStyle name="Comma 6 6 10 2" xfId="37896" xr:uid="{00000000-0005-0000-0000-00008A2B0000}"/>
    <cellStyle name="Comma 6 6 11" xfId="25455" xr:uid="{00000000-0005-0000-0000-00008B2B0000}"/>
    <cellStyle name="Comma 6 6 2" xfId="559" xr:uid="{00000000-0005-0000-0000-00008C2B0000}"/>
    <cellStyle name="Comma 6 6 2 2" xfId="1355" xr:uid="{00000000-0005-0000-0000-00008D2B0000}"/>
    <cellStyle name="Comma 6 6 2 2 2" xfId="9459" xr:uid="{00000000-0005-0000-0000-00008E2B0000}"/>
    <cellStyle name="Comma 6 6 2 2 2 2" xfId="21902" xr:uid="{00000000-0005-0000-0000-00008F2B0000}"/>
    <cellStyle name="Comma 6 6 2 2 2 2 2" xfId="46776" xr:uid="{00000000-0005-0000-0000-0000902B0000}"/>
    <cellStyle name="Comma 6 6 2 2 2 3" xfId="34343" xr:uid="{00000000-0005-0000-0000-0000912B0000}"/>
    <cellStyle name="Comma 6 6 2 2 3" xfId="4441" xr:uid="{00000000-0005-0000-0000-0000922B0000}"/>
    <cellStyle name="Comma 6 6 2 2 3 2" xfId="16895" xr:uid="{00000000-0005-0000-0000-0000932B0000}"/>
    <cellStyle name="Comma 6 6 2 2 3 2 2" xfId="41769" xr:uid="{00000000-0005-0000-0000-0000942B0000}"/>
    <cellStyle name="Comma 6 6 2 2 3 3" xfId="29336" xr:uid="{00000000-0005-0000-0000-0000952B0000}"/>
    <cellStyle name="Comma 6 6 2 2 4" xfId="14155" xr:uid="{00000000-0005-0000-0000-0000962B0000}"/>
    <cellStyle name="Comma 6 6 2 2 4 2" xfId="39029" xr:uid="{00000000-0005-0000-0000-0000972B0000}"/>
    <cellStyle name="Comma 6 6 2 2 5" xfId="26588" xr:uid="{00000000-0005-0000-0000-0000982B0000}"/>
    <cellStyle name="Comma 6 6 2 3" xfId="5500" xr:uid="{00000000-0005-0000-0000-0000992B0000}"/>
    <cellStyle name="Comma 6 6 2 3 2" xfId="10516" xr:uid="{00000000-0005-0000-0000-00009A2B0000}"/>
    <cellStyle name="Comma 6 6 2 3 2 2" xfId="22959" xr:uid="{00000000-0005-0000-0000-00009B2B0000}"/>
    <cellStyle name="Comma 6 6 2 3 2 2 2" xfId="47833" xr:uid="{00000000-0005-0000-0000-00009C2B0000}"/>
    <cellStyle name="Comma 6 6 2 3 2 3" xfId="35400" xr:uid="{00000000-0005-0000-0000-00009D2B0000}"/>
    <cellStyle name="Comma 6 6 2 3 3" xfId="17952" xr:uid="{00000000-0005-0000-0000-00009E2B0000}"/>
    <cellStyle name="Comma 6 6 2 3 3 2" xfId="42826" xr:uid="{00000000-0005-0000-0000-00009F2B0000}"/>
    <cellStyle name="Comma 6 6 2 3 4" xfId="30393" xr:uid="{00000000-0005-0000-0000-0000A02B0000}"/>
    <cellStyle name="Comma 6 6 2 4" xfId="8575" xr:uid="{00000000-0005-0000-0000-0000A12B0000}"/>
    <cellStyle name="Comma 6 6 2 4 2" xfId="21019" xr:uid="{00000000-0005-0000-0000-0000A22B0000}"/>
    <cellStyle name="Comma 6 6 2 4 2 2" xfId="45893" xr:uid="{00000000-0005-0000-0000-0000A32B0000}"/>
    <cellStyle name="Comma 6 6 2 4 3" xfId="33460" xr:uid="{00000000-0005-0000-0000-0000A42B0000}"/>
    <cellStyle name="Comma 6 6 2 5" xfId="11970" xr:uid="{00000000-0005-0000-0000-0000A52B0000}"/>
    <cellStyle name="Comma 6 6 2 5 2" xfId="24404" xr:uid="{00000000-0005-0000-0000-0000A62B0000}"/>
    <cellStyle name="Comma 6 6 2 5 2 2" xfId="49278" xr:uid="{00000000-0005-0000-0000-0000A72B0000}"/>
    <cellStyle name="Comma 6 6 2 5 3" xfId="36845" xr:uid="{00000000-0005-0000-0000-0000A82B0000}"/>
    <cellStyle name="Comma 6 6 2 6" xfId="7052" xr:uid="{00000000-0005-0000-0000-0000A92B0000}"/>
    <cellStyle name="Comma 6 6 2 6 2" xfId="19501" xr:uid="{00000000-0005-0000-0000-0000AA2B0000}"/>
    <cellStyle name="Comma 6 6 2 6 2 2" xfId="44375" xr:uid="{00000000-0005-0000-0000-0000AB2B0000}"/>
    <cellStyle name="Comma 6 6 2 6 3" xfId="31942" xr:uid="{00000000-0005-0000-0000-0000AC2B0000}"/>
    <cellStyle name="Comma 6 6 2 7" xfId="3506" xr:uid="{00000000-0005-0000-0000-0000AD2B0000}"/>
    <cellStyle name="Comma 6 6 2 7 2" xfId="16012" xr:uid="{00000000-0005-0000-0000-0000AE2B0000}"/>
    <cellStyle name="Comma 6 6 2 7 2 2" xfId="40886" xr:uid="{00000000-0005-0000-0000-0000AF2B0000}"/>
    <cellStyle name="Comma 6 6 2 7 3" xfId="28445" xr:uid="{00000000-0005-0000-0000-0000B02B0000}"/>
    <cellStyle name="Comma 6 6 2 8" xfId="13369" xr:uid="{00000000-0005-0000-0000-0000B12B0000}"/>
    <cellStyle name="Comma 6 6 2 8 2" xfId="38243" xr:uid="{00000000-0005-0000-0000-0000B22B0000}"/>
    <cellStyle name="Comma 6 6 2 9" xfId="25802" xr:uid="{00000000-0005-0000-0000-0000B32B0000}"/>
    <cellStyle name="Comma 6 6 3" xfId="1703" xr:uid="{00000000-0005-0000-0000-0000B42B0000}"/>
    <cellStyle name="Comma 6 6 3 2" xfId="4751" xr:uid="{00000000-0005-0000-0000-0000B52B0000}"/>
    <cellStyle name="Comma 6 6 3 2 2" xfId="9768" xr:uid="{00000000-0005-0000-0000-0000B62B0000}"/>
    <cellStyle name="Comma 6 6 3 2 2 2" xfId="22211" xr:uid="{00000000-0005-0000-0000-0000B72B0000}"/>
    <cellStyle name="Comma 6 6 3 2 2 2 2" xfId="47085" xr:uid="{00000000-0005-0000-0000-0000B82B0000}"/>
    <cellStyle name="Comma 6 6 3 2 2 3" xfId="34652" xr:uid="{00000000-0005-0000-0000-0000B92B0000}"/>
    <cellStyle name="Comma 6 6 3 2 3" xfId="17204" xr:uid="{00000000-0005-0000-0000-0000BA2B0000}"/>
    <cellStyle name="Comma 6 6 3 2 3 2" xfId="42078" xr:uid="{00000000-0005-0000-0000-0000BB2B0000}"/>
    <cellStyle name="Comma 6 6 3 2 4" xfId="29645" xr:uid="{00000000-0005-0000-0000-0000BC2B0000}"/>
    <cellStyle name="Comma 6 6 3 3" xfId="5849" xr:uid="{00000000-0005-0000-0000-0000BD2B0000}"/>
    <cellStyle name="Comma 6 6 3 3 2" xfId="10864" xr:uid="{00000000-0005-0000-0000-0000BE2B0000}"/>
    <cellStyle name="Comma 6 6 3 3 2 2" xfId="23307" xr:uid="{00000000-0005-0000-0000-0000BF2B0000}"/>
    <cellStyle name="Comma 6 6 3 3 2 2 2" xfId="48181" xr:uid="{00000000-0005-0000-0000-0000C02B0000}"/>
    <cellStyle name="Comma 6 6 3 3 2 3" xfId="35748" xr:uid="{00000000-0005-0000-0000-0000C12B0000}"/>
    <cellStyle name="Comma 6 6 3 3 3" xfId="18300" xr:uid="{00000000-0005-0000-0000-0000C22B0000}"/>
    <cellStyle name="Comma 6 6 3 3 3 2" xfId="43174" xr:uid="{00000000-0005-0000-0000-0000C32B0000}"/>
    <cellStyle name="Comma 6 6 3 3 4" xfId="30741" xr:uid="{00000000-0005-0000-0000-0000C42B0000}"/>
    <cellStyle name="Comma 6 6 3 4" xfId="8873" xr:uid="{00000000-0005-0000-0000-0000C52B0000}"/>
    <cellStyle name="Comma 6 6 3 4 2" xfId="21316" xr:uid="{00000000-0005-0000-0000-0000C62B0000}"/>
    <cellStyle name="Comma 6 6 3 4 2 2" xfId="46190" xr:uid="{00000000-0005-0000-0000-0000C72B0000}"/>
    <cellStyle name="Comma 6 6 3 4 3" xfId="33757" xr:uid="{00000000-0005-0000-0000-0000C82B0000}"/>
    <cellStyle name="Comma 6 6 3 5" xfId="12318" xr:uid="{00000000-0005-0000-0000-0000C92B0000}"/>
    <cellStyle name="Comma 6 6 3 5 2" xfId="24752" xr:uid="{00000000-0005-0000-0000-0000CA2B0000}"/>
    <cellStyle name="Comma 6 6 3 5 2 2" xfId="49626" xr:uid="{00000000-0005-0000-0000-0000CB2B0000}"/>
    <cellStyle name="Comma 6 6 3 5 3" xfId="37193" xr:uid="{00000000-0005-0000-0000-0000CC2B0000}"/>
    <cellStyle name="Comma 6 6 3 6" xfId="7362" xr:uid="{00000000-0005-0000-0000-0000CD2B0000}"/>
    <cellStyle name="Comma 6 6 3 6 2" xfId="19810" xr:uid="{00000000-0005-0000-0000-0000CE2B0000}"/>
    <cellStyle name="Comma 6 6 3 6 2 2" xfId="44684" xr:uid="{00000000-0005-0000-0000-0000CF2B0000}"/>
    <cellStyle name="Comma 6 6 3 6 3" xfId="32251" xr:uid="{00000000-0005-0000-0000-0000D02B0000}"/>
    <cellStyle name="Comma 6 6 3 7" xfId="3855" xr:uid="{00000000-0005-0000-0000-0000D12B0000}"/>
    <cellStyle name="Comma 6 6 3 7 2" xfId="16309" xr:uid="{00000000-0005-0000-0000-0000D22B0000}"/>
    <cellStyle name="Comma 6 6 3 7 2 2" xfId="41183" xr:uid="{00000000-0005-0000-0000-0000D32B0000}"/>
    <cellStyle name="Comma 6 6 3 7 3" xfId="28750" xr:uid="{00000000-0005-0000-0000-0000D42B0000}"/>
    <cellStyle name="Comma 6 6 3 8" xfId="14503" xr:uid="{00000000-0005-0000-0000-0000D52B0000}"/>
    <cellStyle name="Comma 6 6 3 8 2" xfId="39377" xr:uid="{00000000-0005-0000-0000-0000D62B0000}"/>
    <cellStyle name="Comma 6 6 3 9" xfId="26936" xr:uid="{00000000-0005-0000-0000-0000D72B0000}"/>
    <cellStyle name="Comma 6 6 4" xfId="2110" xr:uid="{00000000-0005-0000-0000-0000D82B0000}"/>
    <cellStyle name="Comma 6 6 4 2" xfId="6149" xr:uid="{00000000-0005-0000-0000-0000D92B0000}"/>
    <cellStyle name="Comma 6 6 4 2 2" xfId="11164" xr:uid="{00000000-0005-0000-0000-0000DA2B0000}"/>
    <cellStyle name="Comma 6 6 4 2 2 2" xfId="23607" xr:uid="{00000000-0005-0000-0000-0000DB2B0000}"/>
    <cellStyle name="Comma 6 6 4 2 2 2 2" xfId="48481" xr:uid="{00000000-0005-0000-0000-0000DC2B0000}"/>
    <cellStyle name="Comma 6 6 4 2 2 3" xfId="36048" xr:uid="{00000000-0005-0000-0000-0000DD2B0000}"/>
    <cellStyle name="Comma 6 6 4 2 3" xfId="18600" xr:uid="{00000000-0005-0000-0000-0000DE2B0000}"/>
    <cellStyle name="Comma 6 6 4 2 3 2" xfId="43474" xr:uid="{00000000-0005-0000-0000-0000DF2B0000}"/>
    <cellStyle name="Comma 6 6 4 2 4" xfId="31041" xr:uid="{00000000-0005-0000-0000-0000E02B0000}"/>
    <cellStyle name="Comma 6 6 4 3" xfId="12618" xr:uid="{00000000-0005-0000-0000-0000E12B0000}"/>
    <cellStyle name="Comma 6 6 4 3 2" xfId="25052" xr:uid="{00000000-0005-0000-0000-0000E22B0000}"/>
    <cellStyle name="Comma 6 6 4 3 2 2" xfId="49926" xr:uid="{00000000-0005-0000-0000-0000E32B0000}"/>
    <cellStyle name="Comma 6 6 4 3 3" xfId="37493" xr:uid="{00000000-0005-0000-0000-0000E42B0000}"/>
    <cellStyle name="Comma 6 6 4 4" xfId="9059" xr:uid="{00000000-0005-0000-0000-0000E52B0000}"/>
    <cellStyle name="Comma 6 6 4 4 2" xfId="21502" xr:uid="{00000000-0005-0000-0000-0000E62B0000}"/>
    <cellStyle name="Comma 6 6 4 4 2 2" xfId="46376" xr:uid="{00000000-0005-0000-0000-0000E72B0000}"/>
    <cellStyle name="Comma 6 6 4 4 3" xfId="33943" xr:uid="{00000000-0005-0000-0000-0000E82B0000}"/>
    <cellStyle name="Comma 6 6 4 5" xfId="4041" xr:uid="{00000000-0005-0000-0000-0000E92B0000}"/>
    <cellStyle name="Comma 6 6 4 5 2" xfId="16495" xr:uid="{00000000-0005-0000-0000-0000EA2B0000}"/>
    <cellStyle name="Comma 6 6 4 5 2 2" xfId="41369" xr:uid="{00000000-0005-0000-0000-0000EB2B0000}"/>
    <cellStyle name="Comma 6 6 4 5 3" xfId="28936" xr:uid="{00000000-0005-0000-0000-0000EC2B0000}"/>
    <cellStyle name="Comma 6 6 4 6" xfId="14803" xr:uid="{00000000-0005-0000-0000-0000ED2B0000}"/>
    <cellStyle name="Comma 6 6 4 6 2" xfId="39677" xr:uid="{00000000-0005-0000-0000-0000EE2B0000}"/>
    <cellStyle name="Comma 6 6 4 7" xfId="27236" xr:uid="{00000000-0005-0000-0000-0000EF2B0000}"/>
    <cellStyle name="Comma 6 6 5" xfId="960" xr:uid="{00000000-0005-0000-0000-0000F02B0000}"/>
    <cellStyle name="Comma 6 6 5 2" xfId="10119" xr:uid="{00000000-0005-0000-0000-0000F12B0000}"/>
    <cellStyle name="Comma 6 6 5 2 2" xfId="22562" xr:uid="{00000000-0005-0000-0000-0000F22B0000}"/>
    <cellStyle name="Comma 6 6 5 2 2 2" xfId="47436" xr:uid="{00000000-0005-0000-0000-0000F32B0000}"/>
    <cellStyle name="Comma 6 6 5 2 3" xfId="35003" xr:uid="{00000000-0005-0000-0000-0000F42B0000}"/>
    <cellStyle name="Comma 6 6 5 3" xfId="5103" xr:uid="{00000000-0005-0000-0000-0000F52B0000}"/>
    <cellStyle name="Comma 6 6 5 3 2" xfId="17555" xr:uid="{00000000-0005-0000-0000-0000F62B0000}"/>
    <cellStyle name="Comma 6 6 5 3 2 2" xfId="42429" xr:uid="{00000000-0005-0000-0000-0000F72B0000}"/>
    <cellStyle name="Comma 6 6 5 3 3" xfId="29996" xr:uid="{00000000-0005-0000-0000-0000F82B0000}"/>
    <cellStyle name="Comma 6 6 5 4" xfId="13760" xr:uid="{00000000-0005-0000-0000-0000F92B0000}"/>
    <cellStyle name="Comma 6 6 5 4 2" xfId="38634" xr:uid="{00000000-0005-0000-0000-0000FA2B0000}"/>
    <cellStyle name="Comma 6 6 5 5" xfId="26193" xr:uid="{00000000-0005-0000-0000-0000FB2B0000}"/>
    <cellStyle name="Comma 6 6 6" xfId="8175" xr:uid="{00000000-0005-0000-0000-0000FC2B0000}"/>
    <cellStyle name="Comma 6 6 6 2" xfId="20619" xr:uid="{00000000-0005-0000-0000-0000FD2B0000}"/>
    <cellStyle name="Comma 6 6 6 2 2" xfId="45493" xr:uid="{00000000-0005-0000-0000-0000FE2B0000}"/>
    <cellStyle name="Comma 6 6 6 3" xfId="33060" xr:uid="{00000000-0005-0000-0000-0000FF2B0000}"/>
    <cellStyle name="Comma 6 6 7" xfId="11575" xr:uid="{00000000-0005-0000-0000-0000002C0000}"/>
    <cellStyle name="Comma 6 6 7 2" xfId="24009" xr:uid="{00000000-0005-0000-0000-0000012C0000}"/>
    <cellStyle name="Comma 6 6 7 2 2" xfId="48883" xr:uid="{00000000-0005-0000-0000-0000022C0000}"/>
    <cellStyle name="Comma 6 6 7 3" xfId="36450" xr:uid="{00000000-0005-0000-0000-0000032C0000}"/>
    <cellStyle name="Comma 6 6 8" xfId="6652" xr:uid="{00000000-0005-0000-0000-0000042C0000}"/>
    <cellStyle name="Comma 6 6 8 2" xfId="19101" xr:uid="{00000000-0005-0000-0000-0000052C0000}"/>
    <cellStyle name="Comma 6 6 8 2 2" xfId="43975" xr:uid="{00000000-0005-0000-0000-0000062C0000}"/>
    <cellStyle name="Comma 6 6 8 3" xfId="31542" xr:uid="{00000000-0005-0000-0000-0000072C0000}"/>
    <cellStyle name="Comma 6 6 9" xfId="3106" xr:uid="{00000000-0005-0000-0000-0000082C0000}"/>
    <cellStyle name="Comma 6 6 9 2" xfId="15612" xr:uid="{00000000-0005-0000-0000-0000092C0000}"/>
    <cellStyle name="Comma 6 6 9 2 2" xfId="40486" xr:uid="{00000000-0005-0000-0000-00000A2C0000}"/>
    <cellStyle name="Comma 6 6 9 3" xfId="28045" xr:uid="{00000000-0005-0000-0000-00000B2C0000}"/>
    <cellStyle name="Comma 6 7" xfId="539" xr:uid="{00000000-0005-0000-0000-00000C2C0000}"/>
    <cellStyle name="Comma 6 7 2" xfId="1344" xr:uid="{00000000-0005-0000-0000-00000D2C0000}"/>
    <cellStyle name="Comma 6 7 2 2" xfId="9448" xr:uid="{00000000-0005-0000-0000-00000E2C0000}"/>
    <cellStyle name="Comma 6 7 2 2 2" xfId="21891" xr:uid="{00000000-0005-0000-0000-00000F2C0000}"/>
    <cellStyle name="Comma 6 7 2 2 2 2" xfId="46765" xr:uid="{00000000-0005-0000-0000-0000102C0000}"/>
    <cellStyle name="Comma 6 7 2 2 3" xfId="34332" xr:uid="{00000000-0005-0000-0000-0000112C0000}"/>
    <cellStyle name="Comma 6 7 2 3" xfId="4430" xr:uid="{00000000-0005-0000-0000-0000122C0000}"/>
    <cellStyle name="Comma 6 7 2 3 2" xfId="16884" xr:uid="{00000000-0005-0000-0000-0000132C0000}"/>
    <cellStyle name="Comma 6 7 2 3 2 2" xfId="41758" xr:uid="{00000000-0005-0000-0000-0000142C0000}"/>
    <cellStyle name="Comma 6 7 2 3 3" xfId="29325" xr:uid="{00000000-0005-0000-0000-0000152C0000}"/>
    <cellStyle name="Comma 6 7 2 4" xfId="14144" xr:uid="{00000000-0005-0000-0000-0000162C0000}"/>
    <cellStyle name="Comma 6 7 2 4 2" xfId="39018" xr:uid="{00000000-0005-0000-0000-0000172C0000}"/>
    <cellStyle name="Comma 6 7 2 5" xfId="26577" xr:uid="{00000000-0005-0000-0000-0000182C0000}"/>
    <cellStyle name="Comma 6 7 3" xfId="5489" xr:uid="{00000000-0005-0000-0000-0000192C0000}"/>
    <cellStyle name="Comma 6 7 3 2" xfId="10505" xr:uid="{00000000-0005-0000-0000-00001A2C0000}"/>
    <cellStyle name="Comma 6 7 3 2 2" xfId="22948" xr:uid="{00000000-0005-0000-0000-00001B2C0000}"/>
    <cellStyle name="Comma 6 7 3 2 2 2" xfId="47822" xr:uid="{00000000-0005-0000-0000-00001C2C0000}"/>
    <cellStyle name="Comma 6 7 3 2 3" xfId="35389" xr:uid="{00000000-0005-0000-0000-00001D2C0000}"/>
    <cellStyle name="Comma 6 7 3 3" xfId="17941" xr:uid="{00000000-0005-0000-0000-00001E2C0000}"/>
    <cellStyle name="Comma 6 7 3 3 2" xfId="42815" xr:uid="{00000000-0005-0000-0000-00001F2C0000}"/>
    <cellStyle name="Comma 6 7 3 4" xfId="30382" xr:uid="{00000000-0005-0000-0000-0000202C0000}"/>
    <cellStyle name="Comma 6 7 4" xfId="8564" xr:uid="{00000000-0005-0000-0000-0000212C0000}"/>
    <cellStyle name="Comma 6 7 4 2" xfId="21008" xr:uid="{00000000-0005-0000-0000-0000222C0000}"/>
    <cellStyle name="Comma 6 7 4 2 2" xfId="45882" xr:uid="{00000000-0005-0000-0000-0000232C0000}"/>
    <cellStyle name="Comma 6 7 4 3" xfId="33449" xr:uid="{00000000-0005-0000-0000-0000242C0000}"/>
    <cellStyle name="Comma 6 7 5" xfId="11959" xr:uid="{00000000-0005-0000-0000-0000252C0000}"/>
    <cellStyle name="Comma 6 7 5 2" xfId="24393" xr:uid="{00000000-0005-0000-0000-0000262C0000}"/>
    <cellStyle name="Comma 6 7 5 2 2" xfId="49267" xr:uid="{00000000-0005-0000-0000-0000272C0000}"/>
    <cellStyle name="Comma 6 7 5 3" xfId="36834" xr:uid="{00000000-0005-0000-0000-0000282C0000}"/>
    <cellStyle name="Comma 6 7 6" xfId="7041" xr:uid="{00000000-0005-0000-0000-0000292C0000}"/>
    <cellStyle name="Comma 6 7 6 2" xfId="19490" xr:uid="{00000000-0005-0000-0000-00002A2C0000}"/>
    <cellStyle name="Comma 6 7 6 2 2" xfId="44364" xr:uid="{00000000-0005-0000-0000-00002B2C0000}"/>
    <cellStyle name="Comma 6 7 6 3" xfId="31931" xr:uid="{00000000-0005-0000-0000-00002C2C0000}"/>
    <cellStyle name="Comma 6 7 7" xfId="3495" xr:uid="{00000000-0005-0000-0000-00002D2C0000}"/>
    <cellStyle name="Comma 6 7 7 2" xfId="16001" xr:uid="{00000000-0005-0000-0000-00002E2C0000}"/>
    <cellStyle name="Comma 6 7 7 2 2" xfId="40875" xr:uid="{00000000-0005-0000-0000-00002F2C0000}"/>
    <cellStyle name="Comma 6 7 7 3" xfId="28434" xr:uid="{00000000-0005-0000-0000-0000302C0000}"/>
    <cellStyle name="Comma 6 7 8" xfId="13349" xr:uid="{00000000-0005-0000-0000-0000312C0000}"/>
    <cellStyle name="Comma 6 7 8 2" xfId="38223" xr:uid="{00000000-0005-0000-0000-0000322C0000}"/>
    <cellStyle name="Comma 6 7 9" xfId="25782" xr:uid="{00000000-0005-0000-0000-0000332C0000}"/>
    <cellStyle name="Comma 6 8" xfId="1692" xr:uid="{00000000-0005-0000-0000-0000342C0000}"/>
    <cellStyle name="Comma 6 8 2" xfId="4731" xr:uid="{00000000-0005-0000-0000-0000352C0000}"/>
    <cellStyle name="Comma 6 8 2 2" xfId="9748" xr:uid="{00000000-0005-0000-0000-0000362C0000}"/>
    <cellStyle name="Comma 6 8 2 2 2" xfId="22191" xr:uid="{00000000-0005-0000-0000-0000372C0000}"/>
    <cellStyle name="Comma 6 8 2 2 2 2" xfId="47065" xr:uid="{00000000-0005-0000-0000-0000382C0000}"/>
    <cellStyle name="Comma 6 8 2 2 3" xfId="34632" xr:uid="{00000000-0005-0000-0000-0000392C0000}"/>
    <cellStyle name="Comma 6 8 2 3" xfId="17184" xr:uid="{00000000-0005-0000-0000-00003A2C0000}"/>
    <cellStyle name="Comma 6 8 2 3 2" xfId="42058" xr:uid="{00000000-0005-0000-0000-00003B2C0000}"/>
    <cellStyle name="Comma 6 8 2 4" xfId="29625" xr:uid="{00000000-0005-0000-0000-00003C2C0000}"/>
    <cellStyle name="Comma 6 8 3" xfId="5838" xr:uid="{00000000-0005-0000-0000-00003D2C0000}"/>
    <cellStyle name="Comma 6 8 3 2" xfId="10853" xr:uid="{00000000-0005-0000-0000-00003E2C0000}"/>
    <cellStyle name="Comma 6 8 3 2 2" xfId="23296" xr:uid="{00000000-0005-0000-0000-00003F2C0000}"/>
    <cellStyle name="Comma 6 8 3 2 2 2" xfId="48170" xr:uid="{00000000-0005-0000-0000-0000402C0000}"/>
    <cellStyle name="Comma 6 8 3 2 3" xfId="35737" xr:uid="{00000000-0005-0000-0000-0000412C0000}"/>
    <cellStyle name="Comma 6 8 3 3" xfId="18289" xr:uid="{00000000-0005-0000-0000-0000422C0000}"/>
    <cellStyle name="Comma 6 8 3 3 2" xfId="43163" xr:uid="{00000000-0005-0000-0000-0000432C0000}"/>
    <cellStyle name="Comma 6 8 3 4" xfId="30730" xr:uid="{00000000-0005-0000-0000-0000442C0000}"/>
    <cellStyle name="Comma 6 8 4" xfId="8018" xr:uid="{00000000-0005-0000-0000-0000452C0000}"/>
    <cellStyle name="Comma 6 8 4 2" xfId="20464" xr:uid="{00000000-0005-0000-0000-0000462C0000}"/>
    <cellStyle name="Comma 6 8 4 2 2" xfId="45338" xr:uid="{00000000-0005-0000-0000-0000472C0000}"/>
    <cellStyle name="Comma 6 8 4 3" xfId="32905" xr:uid="{00000000-0005-0000-0000-0000482C0000}"/>
    <cellStyle name="Comma 6 8 5" xfId="12307" xr:uid="{00000000-0005-0000-0000-0000492C0000}"/>
    <cellStyle name="Comma 6 8 5 2" xfId="24741" xr:uid="{00000000-0005-0000-0000-00004A2C0000}"/>
    <cellStyle name="Comma 6 8 5 2 2" xfId="49615" xr:uid="{00000000-0005-0000-0000-00004B2C0000}"/>
    <cellStyle name="Comma 6 8 5 3" xfId="37182" xr:uid="{00000000-0005-0000-0000-00004C2C0000}"/>
    <cellStyle name="Comma 6 8 6" xfId="7342" xr:uid="{00000000-0005-0000-0000-00004D2C0000}"/>
    <cellStyle name="Comma 6 8 6 2" xfId="19790" xr:uid="{00000000-0005-0000-0000-00004E2C0000}"/>
    <cellStyle name="Comma 6 8 6 2 2" xfId="44664" xr:uid="{00000000-0005-0000-0000-00004F2C0000}"/>
    <cellStyle name="Comma 6 8 6 3" xfId="32231" xr:uid="{00000000-0005-0000-0000-0000502C0000}"/>
    <cellStyle name="Comma 6 8 7" xfId="2942" xr:uid="{00000000-0005-0000-0000-0000512C0000}"/>
    <cellStyle name="Comma 6 8 7 2" xfId="15457" xr:uid="{00000000-0005-0000-0000-0000522C0000}"/>
    <cellStyle name="Comma 6 8 7 2 2" xfId="40331" xr:uid="{00000000-0005-0000-0000-0000532C0000}"/>
    <cellStyle name="Comma 6 8 7 3" xfId="27890" xr:uid="{00000000-0005-0000-0000-0000542C0000}"/>
    <cellStyle name="Comma 6 8 8" xfId="14492" xr:uid="{00000000-0005-0000-0000-0000552C0000}"/>
    <cellStyle name="Comma 6 8 8 2" xfId="39366" xr:uid="{00000000-0005-0000-0000-0000562C0000}"/>
    <cellStyle name="Comma 6 8 9" xfId="26925" xr:uid="{00000000-0005-0000-0000-0000572C0000}"/>
    <cellStyle name="Comma 6 9" xfId="2064" xr:uid="{00000000-0005-0000-0000-0000582C0000}"/>
    <cellStyle name="Comma 6 9 2" xfId="6129" xr:uid="{00000000-0005-0000-0000-0000592C0000}"/>
    <cellStyle name="Comma 6 9 2 2" xfId="11144" xr:uid="{00000000-0005-0000-0000-00005A2C0000}"/>
    <cellStyle name="Comma 6 9 2 2 2" xfId="23587" xr:uid="{00000000-0005-0000-0000-00005B2C0000}"/>
    <cellStyle name="Comma 6 9 2 2 2 2" xfId="48461" xr:uid="{00000000-0005-0000-0000-00005C2C0000}"/>
    <cellStyle name="Comma 6 9 2 2 3" xfId="36028" xr:uid="{00000000-0005-0000-0000-00005D2C0000}"/>
    <cellStyle name="Comma 6 9 2 3" xfId="18580" xr:uid="{00000000-0005-0000-0000-00005E2C0000}"/>
    <cellStyle name="Comma 6 9 2 3 2" xfId="43454" xr:uid="{00000000-0005-0000-0000-00005F2C0000}"/>
    <cellStyle name="Comma 6 9 2 4" xfId="31021" xr:uid="{00000000-0005-0000-0000-0000602C0000}"/>
    <cellStyle name="Comma 6 9 3" xfId="12598" xr:uid="{00000000-0005-0000-0000-0000612C0000}"/>
    <cellStyle name="Comma 6 9 3 2" xfId="25032" xr:uid="{00000000-0005-0000-0000-0000622C0000}"/>
    <cellStyle name="Comma 6 9 3 2 2" xfId="49906" xr:uid="{00000000-0005-0000-0000-0000632C0000}"/>
    <cellStyle name="Comma 6 9 3 3" xfId="37473" xr:uid="{00000000-0005-0000-0000-0000642C0000}"/>
    <cellStyle name="Comma 6 9 4" xfId="8904" xr:uid="{00000000-0005-0000-0000-0000652C0000}"/>
    <cellStyle name="Comma 6 9 4 2" xfId="21347" xr:uid="{00000000-0005-0000-0000-0000662C0000}"/>
    <cellStyle name="Comma 6 9 4 2 2" xfId="46221" xr:uid="{00000000-0005-0000-0000-0000672C0000}"/>
    <cellStyle name="Comma 6 9 4 3" xfId="33788" xr:uid="{00000000-0005-0000-0000-0000682C0000}"/>
    <cellStyle name="Comma 6 9 5" xfId="3886" xr:uid="{00000000-0005-0000-0000-0000692C0000}"/>
    <cellStyle name="Comma 6 9 5 2" xfId="16340" xr:uid="{00000000-0005-0000-0000-00006A2C0000}"/>
    <cellStyle name="Comma 6 9 5 2 2" xfId="41214" xr:uid="{00000000-0005-0000-0000-00006B2C0000}"/>
    <cellStyle name="Comma 6 9 5 3" xfId="28781" xr:uid="{00000000-0005-0000-0000-00006C2C0000}"/>
    <cellStyle name="Comma 6 9 6" xfId="14783" xr:uid="{00000000-0005-0000-0000-00006D2C0000}"/>
    <cellStyle name="Comma 6 9 6 2" xfId="39657" xr:uid="{00000000-0005-0000-0000-00006E2C0000}"/>
    <cellStyle name="Comma 6 9 7" xfId="27216" xr:uid="{00000000-0005-0000-0000-00006F2C0000}"/>
    <cellStyle name="Comma 7" xfId="97" xr:uid="{00000000-0005-0000-0000-0000702C0000}"/>
    <cellStyle name="DataNew" xfId="50246" xr:uid="{5B6D2542-F176-45C6-A5A1-27D2149F367A}"/>
    <cellStyle name="DataOld" xfId="50245" xr:uid="{46CAD604-68AC-46E1-B516-59099BEACEF7}"/>
    <cellStyle name="DataOldLock" xfId="50244" xr:uid="{874FD4B0-E6D6-4D90-A8B3-EE8A090A02A3}"/>
    <cellStyle name="Explanatory Text 2" xfId="3812" xr:uid="{00000000-0005-0000-0000-0000712C0000}"/>
    <cellStyle name="Good 2" xfId="3813" xr:uid="{00000000-0005-0000-0000-0000722C0000}"/>
    <cellStyle name="Heading 1 2" xfId="3814" xr:uid="{00000000-0005-0000-0000-0000732C0000}"/>
    <cellStyle name="Heading 2 2" xfId="3815" xr:uid="{00000000-0005-0000-0000-0000742C0000}"/>
    <cellStyle name="Heading 3 2" xfId="3816" xr:uid="{00000000-0005-0000-0000-0000752C0000}"/>
    <cellStyle name="Heading 4 2" xfId="3817" xr:uid="{00000000-0005-0000-0000-0000762C0000}"/>
    <cellStyle name="Input 2" xfId="3818" xr:uid="{00000000-0005-0000-0000-0000772C0000}"/>
    <cellStyle name="Input 3" xfId="3832" xr:uid="{00000000-0005-0000-0000-0000782C0000}"/>
    <cellStyle name="Linked Cell 2" xfId="3819" xr:uid="{00000000-0005-0000-0000-0000792C0000}"/>
    <cellStyle name="Neutral 2" xfId="3820" xr:uid="{00000000-0005-0000-0000-00007A2C0000}"/>
    <cellStyle name="Normal" xfId="0" builtinId="0"/>
    <cellStyle name="Normal 10" xfId="58" xr:uid="{00000000-0005-0000-0000-00007C2C0000}"/>
    <cellStyle name="Normal 10 10" xfId="888" xr:uid="{00000000-0005-0000-0000-00007D2C0000}"/>
    <cellStyle name="Normal 10 10 2" xfId="11503" xr:uid="{00000000-0005-0000-0000-00007E2C0000}"/>
    <cellStyle name="Normal 10 10 2 2" xfId="23937" xr:uid="{00000000-0005-0000-0000-00007F2C0000}"/>
    <cellStyle name="Normal 10 10 2 2 2" xfId="48811" xr:uid="{00000000-0005-0000-0000-0000802C0000}"/>
    <cellStyle name="Normal 10 10 2 3" xfId="36378" xr:uid="{00000000-0005-0000-0000-0000812C0000}"/>
    <cellStyle name="Normal 10 10 3" xfId="13688" xr:uid="{00000000-0005-0000-0000-0000822C0000}"/>
    <cellStyle name="Normal 10 10 3 2" xfId="38562" xr:uid="{00000000-0005-0000-0000-0000832C0000}"/>
    <cellStyle name="Normal 10 10 4" xfId="26121" xr:uid="{00000000-0005-0000-0000-0000842C0000}"/>
    <cellStyle name="Normal 10 11" xfId="2604" xr:uid="{00000000-0005-0000-0000-0000852C0000}"/>
    <cellStyle name="Normal 10 12" xfId="12940" xr:uid="{00000000-0005-0000-0000-0000862C0000}"/>
    <cellStyle name="Normal 10 12 2" xfId="37814" xr:uid="{00000000-0005-0000-0000-0000872C0000}"/>
    <cellStyle name="Normal 10 13" xfId="25373" xr:uid="{00000000-0005-0000-0000-0000882C0000}"/>
    <cellStyle name="Normal 10 2" xfId="129" xr:uid="{00000000-0005-0000-0000-0000892C0000}"/>
    <cellStyle name="Normal 10 2 10" xfId="951" xr:uid="{00000000-0005-0000-0000-00008A2C0000}"/>
    <cellStyle name="Normal 10 2 10 2" xfId="11566" xr:uid="{00000000-0005-0000-0000-00008B2C0000}"/>
    <cellStyle name="Normal 10 2 10 2 2" xfId="24000" xr:uid="{00000000-0005-0000-0000-00008C2C0000}"/>
    <cellStyle name="Normal 10 2 10 2 2 2" xfId="48874" xr:uid="{00000000-0005-0000-0000-00008D2C0000}"/>
    <cellStyle name="Normal 10 2 10 2 3" xfId="36441" xr:uid="{00000000-0005-0000-0000-00008E2C0000}"/>
    <cellStyle name="Normal 10 2 10 3" xfId="10110" xr:uid="{00000000-0005-0000-0000-00008F2C0000}"/>
    <cellStyle name="Normal 10 2 10 3 2" xfId="22553" xr:uid="{00000000-0005-0000-0000-0000902C0000}"/>
    <cellStyle name="Normal 10 2 10 3 2 2" xfId="47427" xr:uid="{00000000-0005-0000-0000-0000912C0000}"/>
    <cellStyle name="Normal 10 2 10 3 3" xfId="34994" xr:uid="{00000000-0005-0000-0000-0000922C0000}"/>
    <cellStyle name="Normal 10 2 10 4" xfId="5094" xr:uid="{00000000-0005-0000-0000-0000932C0000}"/>
    <cellStyle name="Normal 10 2 10 4 2" xfId="17546" xr:uid="{00000000-0005-0000-0000-0000942C0000}"/>
    <cellStyle name="Normal 10 2 10 4 2 2" xfId="42420" xr:uid="{00000000-0005-0000-0000-0000952C0000}"/>
    <cellStyle name="Normal 10 2 10 4 3" xfId="29987" xr:uid="{00000000-0005-0000-0000-0000962C0000}"/>
    <cellStyle name="Normal 10 2 10 5" xfId="13751" xr:uid="{00000000-0005-0000-0000-0000972C0000}"/>
    <cellStyle name="Normal 10 2 10 5 2" xfId="38625" xr:uid="{00000000-0005-0000-0000-0000982C0000}"/>
    <cellStyle name="Normal 10 2 10 6" xfId="26184" xr:uid="{00000000-0005-0000-0000-0000992C0000}"/>
    <cellStyle name="Normal 10 2 11" xfId="892" xr:uid="{00000000-0005-0000-0000-00009A2C0000}"/>
    <cellStyle name="Normal 10 2 11 2" xfId="7693" xr:uid="{00000000-0005-0000-0000-00009B2C0000}"/>
    <cellStyle name="Normal 10 2 11 2 2" xfId="20139" xr:uid="{00000000-0005-0000-0000-00009C2C0000}"/>
    <cellStyle name="Normal 10 2 11 2 2 2" xfId="45013" xr:uid="{00000000-0005-0000-0000-00009D2C0000}"/>
    <cellStyle name="Normal 10 2 11 2 3" xfId="32580" xr:uid="{00000000-0005-0000-0000-00009E2C0000}"/>
    <cellStyle name="Normal 10 2 11 3" xfId="13692" xr:uid="{00000000-0005-0000-0000-00009F2C0000}"/>
    <cellStyle name="Normal 10 2 11 3 2" xfId="38566" xr:uid="{00000000-0005-0000-0000-0000A02C0000}"/>
    <cellStyle name="Normal 10 2 11 4" xfId="26125" xr:uid="{00000000-0005-0000-0000-0000A12C0000}"/>
    <cellStyle name="Normal 10 2 12" xfId="11507" xr:uid="{00000000-0005-0000-0000-0000A22C0000}"/>
    <cellStyle name="Normal 10 2 12 2" xfId="23941" xr:uid="{00000000-0005-0000-0000-0000A32C0000}"/>
    <cellStyle name="Normal 10 2 12 2 2" xfId="48815" xr:uid="{00000000-0005-0000-0000-0000A42C0000}"/>
    <cellStyle name="Normal 10 2 12 3" xfId="36382" xr:uid="{00000000-0005-0000-0000-0000A52C0000}"/>
    <cellStyle name="Normal 10 2 13" xfId="6491" xr:uid="{00000000-0005-0000-0000-0000A62C0000}"/>
    <cellStyle name="Normal 10 2 13 2" xfId="18940" xr:uid="{00000000-0005-0000-0000-0000A72C0000}"/>
    <cellStyle name="Normal 10 2 13 2 2" xfId="43814" xr:uid="{00000000-0005-0000-0000-0000A82C0000}"/>
    <cellStyle name="Normal 10 2 13 3" xfId="31381" xr:uid="{00000000-0005-0000-0000-0000A92C0000}"/>
    <cellStyle name="Normal 10 2 14" xfId="2613" xr:uid="{00000000-0005-0000-0000-0000AA2C0000}"/>
    <cellStyle name="Normal 10 2 14 2" xfId="15132" xr:uid="{00000000-0005-0000-0000-0000AB2C0000}"/>
    <cellStyle name="Normal 10 2 14 2 2" xfId="40006" xr:uid="{00000000-0005-0000-0000-0000AC2C0000}"/>
    <cellStyle name="Normal 10 2 14 3" xfId="27565" xr:uid="{00000000-0005-0000-0000-0000AD2C0000}"/>
    <cellStyle name="Normal 10 2 15" xfId="12959" xr:uid="{00000000-0005-0000-0000-0000AE2C0000}"/>
    <cellStyle name="Normal 10 2 15 2" xfId="37833" xr:uid="{00000000-0005-0000-0000-0000AF2C0000}"/>
    <cellStyle name="Normal 10 2 16" xfId="25392" xr:uid="{00000000-0005-0000-0000-0000B02C0000}"/>
    <cellStyle name="Normal 10 2 2" xfId="153" xr:uid="{00000000-0005-0000-0000-0000B12C0000}"/>
    <cellStyle name="Normal 10 2 2 10" xfId="7718" xr:uid="{00000000-0005-0000-0000-0000B22C0000}"/>
    <cellStyle name="Normal 10 2 2 10 2" xfId="20164" xr:uid="{00000000-0005-0000-0000-0000B32C0000}"/>
    <cellStyle name="Normal 10 2 2 10 2 2" xfId="45038" xr:uid="{00000000-0005-0000-0000-0000B42C0000}"/>
    <cellStyle name="Normal 10 2 2 10 3" xfId="32605" xr:uid="{00000000-0005-0000-0000-0000B52C0000}"/>
    <cellStyle name="Normal 10 2 2 11" xfId="11536" xr:uid="{00000000-0005-0000-0000-0000B62C0000}"/>
    <cellStyle name="Normal 10 2 2 11 2" xfId="23970" xr:uid="{00000000-0005-0000-0000-0000B72C0000}"/>
    <cellStyle name="Normal 10 2 2 11 2 2" xfId="48844" xr:uid="{00000000-0005-0000-0000-0000B82C0000}"/>
    <cellStyle name="Normal 10 2 2 11 3" xfId="36411" xr:uid="{00000000-0005-0000-0000-0000B92C0000}"/>
    <cellStyle name="Normal 10 2 2 12" xfId="6528" xr:uid="{00000000-0005-0000-0000-0000BA2C0000}"/>
    <cellStyle name="Normal 10 2 2 12 2" xfId="18977" xr:uid="{00000000-0005-0000-0000-0000BB2C0000}"/>
    <cellStyle name="Normal 10 2 2 12 2 2" xfId="43851" xr:uid="{00000000-0005-0000-0000-0000BC2C0000}"/>
    <cellStyle name="Normal 10 2 2 12 3" xfId="31418" xr:uid="{00000000-0005-0000-0000-0000BD2C0000}"/>
    <cellStyle name="Normal 10 2 2 13" xfId="2639" xr:uid="{00000000-0005-0000-0000-0000BE2C0000}"/>
    <cellStyle name="Normal 10 2 2 13 2" xfId="15157" xr:uid="{00000000-0005-0000-0000-0000BF2C0000}"/>
    <cellStyle name="Normal 10 2 2 13 2 2" xfId="40031" xr:uid="{00000000-0005-0000-0000-0000C02C0000}"/>
    <cellStyle name="Normal 10 2 2 13 3" xfId="27590" xr:uid="{00000000-0005-0000-0000-0000C12C0000}"/>
    <cellStyle name="Normal 10 2 2 14" xfId="12983" xr:uid="{00000000-0005-0000-0000-0000C22C0000}"/>
    <cellStyle name="Normal 10 2 2 14 2" xfId="37857" xr:uid="{00000000-0005-0000-0000-0000C32C0000}"/>
    <cellStyle name="Normal 10 2 2 15" xfId="25416" xr:uid="{00000000-0005-0000-0000-0000C42C0000}"/>
    <cellStyle name="Normal 10 2 2 2" xfId="342" xr:uid="{00000000-0005-0000-0000-0000C52C0000}"/>
    <cellStyle name="Normal 10 2 2 2 10" xfId="6571" xr:uid="{00000000-0005-0000-0000-0000C62C0000}"/>
    <cellStyle name="Normal 10 2 2 2 10 2" xfId="19020" xr:uid="{00000000-0005-0000-0000-0000C72C0000}"/>
    <cellStyle name="Normal 10 2 2 2 10 2 2" xfId="43894" xr:uid="{00000000-0005-0000-0000-0000C82C0000}"/>
    <cellStyle name="Normal 10 2 2 2 10 3" xfId="31461" xr:uid="{00000000-0005-0000-0000-0000C92C0000}"/>
    <cellStyle name="Normal 10 2 2 2 11" xfId="2739" xr:uid="{00000000-0005-0000-0000-0000CA2C0000}"/>
    <cellStyle name="Normal 10 2 2 2 11 2" xfId="15257" xr:uid="{00000000-0005-0000-0000-0000CB2C0000}"/>
    <cellStyle name="Normal 10 2 2 2 11 2 2" xfId="40131" xr:uid="{00000000-0005-0000-0000-0000CC2C0000}"/>
    <cellStyle name="Normal 10 2 2 2 11 3" xfId="27690" xr:uid="{00000000-0005-0000-0000-0000CD2C0000}"/>
    <cellStyle name="Normal 10 2 2 2 12" xfId="13158" xr:uid="{00000000-0005-0000-0000-0000CE2C0000}"/>
    <cellStyle name="Normal 10 2 2 2 12 2" xfId="38032" xr:uid="{00000000-0005-0000-0000-0000CF2C0000}"/>
    <cellStyle name="Normal 10 2 2 2 13" xfId="25591" xr:uid="{00000000-0005-0000-0000-0000D02C0000}"/>
    <cellStyle name="Normal 10 2 2 2 2" xfId="444" xr:uid="{00000000-0005-0000-0000-0000D12C0000}"/>
    <cellStyle name="Normal 10 2 2 2 2 10" xfId="13258" xr:uid="{00000000-0005-0000-0000-0000D22C0000}"/>
    <cellStyle name="Normal 10 2 2 2 2 10 2" xfId="38132" xr:uid="{00000000-0005-0000-0000-0000D32C0000}"/>
    <cellStyle name="Normal 10 2 2 2 2 11" xfId="25691" xr:uid="{00000000-0005-0000-0000-0000D42C0000}"/>
    <cellStyle name="Normal 10 2 2 2 2 2" xfId="804" xr:uid="{00000000-0005-0000-0000-0000D52C0000}"/>
    <cellStyle name="Normal 10 2 2 2 2 2 2" xfId="1360" xr:uid="{00000000-0005-0000-0000-0000D62C0000}"/>
    <cellStyle name="Normal 10 2 2 2 2 2 2 2" xfId="9464" xr:uid="{00000000-0005-0000-0000-0000D72C0000}"/>
    <cellStyle name="Normal 10 2 2 2 2 2 2 2 2" xfId="21907" xr:uid="{00000000-0005-0000-0000-0000D82C0000}"/>
    <cellStyle name="Normal 10 2 2 2 2 2 2 2 2 2" xfId="46781" xr:uid="{00000000-0005-0000-0000-0000D92C0000}"/>
    <cellStyle name="Normal 10 2 2 2 2 2 2 2 3" xfId="34348" xr:uid="{00000000-0005-0000-0000-0000DA2C0000}"/>
    <cellStyle name="Normal 10 2 2 2 2 2 2 3" xfId="4446" xr:uid="{00000000-0005-0000-0000-0000DB2C0000}"/>
    <cellStyle name="Normal 10 2 2 2 2 2 2 3 2" xfId="16900" xr:uid="{00000000-0005-0000-0000-0000DC2C0000}"/>
    <cellStyle name="Normal 10 2 2 2 2 2 2 3 2 2" xfId="41774" xr:uid="{00000000-0005-0000-0000-0000DD2C0000}"/>
    <cellStyle name="Normal 10 2 2 2 2 2 2 3 3" xfId="29341" xr:uid="{00000000-0005-0000-0000-0000DE2C0000}"/>
    <cellStyle name="Normal 10 2 2 2 2 2 2 4" xfId="14160" xr:uid="{00000000-0005-0000-0000-0000DF2C0000}"/>
    <cellStyle name="Normal 10 2 2 2 2 2 2 4 2" xfId="39034" xr:uid="{00000000-0005-0000-0000-0000E02C0000}"/>
    <cellStyle name="Normal 10 2 2 2 2 2 2 5" xfId="26593" xr:uid="{00000000-0005-0000-0000-0000E12C0000}"/>
    <cellStyle name="Normal 10 2 2 2 2 2 3" xfId="5505" xr:uid="{00000000-0005-0000-0000-0000E22C0000}"/>
    <cellStyle name="Normal 10 2 2 2 2 2 3 2" xfId="10521" xr:uid="{00000000-0005-0000-0000-0000E32C0000}"/>
    <cellStyle name="Normal 10 2 2 2 2 2 3 2 2" xfId="22964" xr:uid="{00000000-0005-0000-0000-0000E42C0000}"/>
    <cellStyle name="Normal 10 2 2 2 2 2 3 2 2 2" xfId="47838" xr:uid="{00000000-0005-0000-0000-0000E52C0000}"/>
    <cellStyle name="Normal 10 2 2 2 2 2 3 2 3" xfId="35405" xr:uid="{00000000-0005-0000-0000-0000E62C0000}"/>
    <cellStyle name="Normal 10 2 2 2 2 2 3 3" xfId="17957" xr:uid="{00000000-0005-0000-0000-0000E72C0000}"/>
    <cellStyle name="Normal 10 2 2 2 2 2 3 3 2" xfId="42831" xr:uid="{00000000-0005-0000-0000-0000E82C0000}"/>
    <cellStyle name="Normal 10 2 2 2 2 2 3 4" xfId="30398" xr:uid="{00000000-0005-0000-0000-0000E92C0000}"/>
    <cellStyle name="Normal 10 2 2 2 2 2 4" xfId="8580" xr:uid="{00000000-0005-0000-0000-0000EA2C0000}"/>
    <cellStyle name="Normal 10 2 2 2 2 2 4 2" xfId="21024" xr:uid="{00000000-0005-0000-0000-0000EB2C0000}"/>
    <cellStyle name="Normal 10 2 2 2 2 2 4 2 2" xfId="45898" xr:uid="{00000000-0005-0000-0000-0000EC2C0000}"/>
    <cellStyle name="Normal 10 2 2 2 2 2 4 3" xfId="33465" xr:uid="{00000000-0005-0000-0000-0000ED2C0000}"/>
    <cellStyle name="Normal 10 2 2 2 2 2 5" xfId="11975" xr:uid="{00000000-0005-0000-0000-0000EE2C0000}"/>
    <cellStyle name="Normal 10 2 2 2 2 2 5 2" xfId="24409" xr:uid="{00000000-0005-0000-0000-0000EF2C0000}"/>
    <cellStyle name="Normal 10 2 2 2 2 2 5 2 2" xfId="49283" xr:uid="{00000000-0005-0000-0000-0000F02C0000}"/>
    <cellStyle name="Normal 10 2 2 2 2 2 5 3" xfId="36850" xr:uid="{00000000-0005-0000-0000-0000F12C0000}"/>
    <cellStyle name="Normal 10 2 2 2 2 2 6" xfId="7057" xr:uid="{00000000-0005-0000-0000-0000F22C0000}"/>
    <cellStyle name="Normal 10 2 2 2 2 2 6 2" xfId="19506" xr:uid="{00000000-0005-0000-0000-0000F32C0000}"/>
    <cellStyle name="Normal 10 2 2 2 2 2 6 2 2" xfId="44380" xr:uid="{00000000-0005-0000-0000-0000F42C0000}"/>
    <cellStyle name="Normal 10 2 2 2 2 2 6 3" xfId="31947" xr:uid="{00000000-0005-0000-0000-0000F52C0000}"/>
    <cellStyle name="Normal 10 2 2 2 2 2 7" xfId="3511" xr:uid="{00000000-0005-0000-0000-0000F62C0000}"/>
    <cellStyle name="Normal 10 2 2 2 2 2 7 2" xfId="16017" xr:uid="{00000000-0005-0000-0000-0000F72C0000}"/>
    <cellStyle name="Normal 10 2 2 2 2 2 7 2 2" xfId="40891" xr:uid="{00000000-0005-0000-0000-0000F82C0000}"/>
    <cellStyle name="Normal 10 2 2 2 2 2 7 3" xfId="28450" xr:uid="{00000000-0005-0000-0000-0000F92C0000}"/>
    <cellStyle name="Normal 10 2 2 2 2 2 8" xfId="13605" xr:uid="{00000000-0005-0000-0000-0000FA2C0000}"/>
    <cellStyle name="Normal 10 2 2 2 2 2 8 2" xfId="38479" xr:uid="{00000000-0005-0000-0000-0000FB2C0000}"/>
    <cellStyle name="Normal 10 2 2 2 2 2 9" xfId="26038" xr:uid="{00000000-0005-0000-0000-0000FC2C0000}"/>
    <cellStyle name="Normal 10 2 2 2 2 3" xfId="1708" xr:uid="{00000000-0005-0000-0000-0000FD2C0000}"/>
    <cellStyle name="Normal 10 2 2 2 2 3 2" xfId="4987" xr:uid="{00000000-0005-0000-0000-0000FE2C0000}"/>
    <cellStyle name="Normal 10 2 2 2 2 3 2 2" xfId="10004" xr:uid="{00000000-0005-0000-0000-0000FF2C0000}"/>
    <cellStyle name="Normal 10 2 2 2 2 3 2 2 2" xfId="22447" xr:uid="{00000000-0005-0000-0000-0000002D0000}"/>
    <cellStyle name="Normal 10 2 2 2 2 3 2 2 2 2" xfId="47321" xr:uid="{00000000-0005-0000-0000-0000012D0000}"/>
    <cellStyle name="Normal 10 2 2 2 2 3 2 2 3" xfId="34888" xr:uid="{00000000-0005-0000-0000-0000022D0000}"/>
    <cellStyle name="Normal 10 2 2 2 2 3 2 3" xfId="17440" xr:uid="{00000000-0005-0000-0000-0000032D0000}"/>
    <cellStyle name="Normal 10 2 2 2 2 3 2 3 2" xfId="42314" xr:uid="{00000000-0005-0000-0000-0000042D0000}"/>
    <cellStyle name="Normal 10 2 2 2 2 3 2 4" xfId="29881" xr:uid="{00000000-0005-0000-0000-0000052D0000}"/>
    <cellStyle name="Normal 10 2 2 2 2 3 3" xfId="5854" xr:uid="{00000000-0005-0000-0000-0000062D0000}"/>
    <cellStyle name="Normal 10 2 2 2 2 3 3 2" xfId="10869" xr:uid="{00000000-0005-0000-0000-0000072D0000}"/>
    <cellStyle name="Normal 10 2 2 2 2 3 3 2 2" xfId="23312" xr:uid="{00000000-0005-0000-0000-0000082D0000}"/>
    <cellStyle name="Normal 10 2 2 2 2 3 3 2 2 2" xfId="48186" xr:uid="{00000000-0005-0000-0000-0000092D0000}"/>
    <cellStyle name="Normal 10 2 2 2 2 3 3 2 3" xfId="35753" xr:uid="{00000000-0005-0000-0000-00000A2D0000}"/>
    <cellStyle name="Normal 10 2 2 2 2 3 3 3" xfId="18305" xr:uid="{00000000-0005-0000-0000-00000B2D0000}"/>
    <cellStyle name="Normal 10 2 2 2 2 3 3 3 2" xfId="43179" xr:uid="{00000000-0005-0000-0000-00000C2D0000}"/>
    <cellStyle name="Normal 10 2 2 2 2 3 3 4" xfId="30746" xr:uid="{00000000-0005-0000-0000-00000D2D0000}"/>
    <cellStyle name="Normal 10 2 2 2 2 3 4" xfId="8411" xr:uid="{00000000-0005-0000-0000-00000E2D0000}"/>
    <cellStyle name="Normal 10 2 2 2 2 3 4 2" xfId="20855" xr:uid="{00000000-0005-0000-0000-00000F2D0000}"/>
    <cellStyle name="Normal 10 2 2 2 2 3 4 2 2" xfId="45729" xr:uid="{00000000-0005-0000-0000-0000102D0000}"/>
    <cellStyle name="Normal 10 2 2 2 2 3 4 3" xfId="33296" xr:uid="{00000000-0005-0000-0000-0000112D0000}"/>
    <cellStyle name="Normal 10 2 2 2 2 3 5" xfId="12323" xr:uid="{00000000-0005-0000-0000-0000122D0000}"/>
    <cellStyle name="Normal 10 2 2 2 2 3 5 2" xfId="24757" xr:uid="{00000000-0005-0000-0000-0000132D0000}"/>
    <cellStyle name="Normal 10 2 2 2 2 3 5 2 2" xfId="49631" xr:uid="{00000000-0005-0000-0000-0000142D0000}"/>
    <cellStyle name="Normal 10 2 2 2 2 3 5 3" xfId="37198" xr:uid="{00000000-0005-0000-0000-0000152D0000}"/>
    <cellStyle name="Normal 10 2 2 2 2 3 6" xfId="7598" xr:uid="{00000000-0005-0000-0000-0000162D0000}"/>
    <cellStyle name="Normal 10 2 2 2 2 3 6 2" xfId="20046" xr:uid="{00000000-0005-0000-0000-0000172D0000}"/>
    <cellStyle name="Normal 10 2 2 2 2 3 6 2 2" xfId="44920" xr:uid="{00000000-0005-0000-0000-0000182D0000}"/>
    <cellStyle name="Normal 10 2 2 2 2 3 6 3" xfId="32487" xr:uid="{00000000-0005-0000-0000-0000192D0000}"/>
    <cellStyle name="Normal 10 2 2 2 2 3 7" xfId="3342" xr:uid="{00000000-0005-0000-0000-00001A2D0000}"/>
    <cellStyle name="Normal 10 2 2 2 2 3 7 2" xfId="15848" xr:uid="{00000000-0005-0000-0000-00001B2D0000}"/>
    <cellStyle name="Normal 10 2 2 2 2 3 7 2 2" xfId="40722" xr:uid="{00000000-0005-0000-0000-00001C2D0000}"/>
    <cellStyle name="Normal 10 2 2 2 2 3 7 3" xfId="28281" xr:uid="{00000000-0005-0000-0000-00001D2D0000}"/>
    <cellStyle name="Normal 10 2 2 2 2 3 8" xfId="14508" xr:uid="{00000000-0005-0000-0000-00001E2D0000}"/>
    <cellStyle name="Normal 10 2 2 2 2 3 8 2" xfId="39382" xr:uid="{00000000-0005-0000-0000-00001F2D0000}"/>
    <cellStyle name="Normal 10 2 2 2 2 3 9" xfId="26941" xr:uid="{00000000-0005-0000-0000-0000202D0000}"/>
    <cellStyle name="Normal 10 2 2 2 2 4" xfId="2362" xr:uid="{00000000-0005-0000-0000-0000212D0000}"/>
    <cellStyle name="Normal 10 2 2 2 2 4 2" xfId="6385" xr:uid="{00000000-0005-0000-0000-0000222D0000}"/>
    <cellStyle name="Normal 10 2 2 2 2 4 2 2" xfId="11400" xr:uid="{00000000-0005-0000-0000-0000232D0000}"/>
    <cellStyle name="Normal 10 2 2 2 2 4 2 2 2" xfId="23843" xr:uid="{00000000-0005-0000-0000-0000242D0000}"/>
    <cellStyle name="Normal 10 2 2 2 2 4 2 2 2 2" xfId="48717" xr:uid="{00000000-0005-0000-0000-0000252D0000}"/>
    <cellStyle name="Normal 10 2 2 2 2 4 2 2 3" xfId="36284" xr:uid="{00000000-0005-0000-0000-0000262D0000}"/>
    <cellStyle name="Normal 10 2 2 2 2 4 2 3" xfId="18836" xr:uid="{00000000-0005-0000-0000-0000272D0000}"/>
    <cellStyle name="Normal 10 2 2 2 2 4 2 3 2" xfId="43710" xr:uid="{00000000-0005-0000-0000-0000282D0000}"/>
    <cellStyle name="Normal 10 2 2 2 2 4 2 4" xfId="31277" xr:uid="{00000000-0005-0000-0000-0000292D0000}"/>
    <cellStyle name="Normal 10 2 2 2 2 4 3" xfId="12854" xr:uid="{00000000-0005-0000-0000-00002A2D0000}"/>
    <cellStyle name="Normal 10 2 2 2 2 4 3 2" xfId="25288" xr:uid="{00000000-0005-0000-0000-00002B2D0000}"/>
    <cellStyle name="Normal 10 2 2 2 2 4 3 2 2" xfId="50162" xr:uid="{00000000-0005-0000-0000-00002C2D0000}"/>
    <cellStyle name="Normal 10 2 2 2 2 4 3 3" xfId="37729" xr:uid="{00000000-0005-0000-0000-00002D2D0000}"/>
    <cellStyle name="Normal 10 2 2 2 2 4 4" xfId="9295" xr:uid="{00000000-0005-0000-0000-00002E2D0000}"/>
    <cellStyle name="Normal 10 2 2 2 2 4 4 2" xfId="21738" xr:uid="{00000000-0005-0000-0000-00002F2D0000}"/>
    <cellStyle name="Normal 10 2 2 2 2 4 4 2 2" xfId="46612" xr:uid="{00000000-0005-0000-0000-0000302D0000}"/>
    <cellStyle name="Normal 10 2 2 2 2 4 4 3" xfId="34179" xr:uid="{00000000-0005-0000-0000-0000312D0000}"/>
    <cellStyle name="Normal 10 2 2 2 2 4 5" xfId="4277" xr:uid="{00000000-0005-0000-0000-0000322D0000}"/>
    <cellStyle name="Normal 10 2 2 2 2 4 5 2" xfId="16731" xr:uid="{00000000-0005-0000-0000-0000332D0000}"/>
    <cellStyle name="Normal 10 2 2 2 2 4 5 2 2" xfId="41605" xr:uid="{00000000-0005-0000-0000-0000342D0000}"/>
    <cellStyle name="Normal 10 2 2 2 2 4 5 3" xfId="29172" xr:uid="{00000000-0005-0000-0000-0000352D0000}"/>
    <cellStyle name="Normal 10 2 2 2 2 4 6" xfId="15039" xr:uid="{00000000-0005-0000-0000-0000362D0000}"/>
    <cellStyle name="Normal 10 2 2 2 2 4 6 2" xfId="39913" xr:uid="{00000000-0005-0000-0000-0000372D0000}"/>
    <cellStyle name="Normal 10 2 2 2 2 4 7" xfId="27472" xr:uid="{00000000-0005-0000-0000-0000382D0000}"/>
    <cellStyle name="Normal 10 2 2 2 2 5" xfId="1196" xr:uid="{00000000-0005-0000-0000-0000392D0000}"/>
    <cellStyle name="Normal 10 2 2 2 2 5 2" xfId="10357" xr:uid="{00000000-0005-0000-0000-00003A2D0000}"/>
    <cellStyle name="Normal 10 2 2 2 2 5 2 2" xfId="22800" xr:uid="{00000000-0005-0000-0000-00003B2D0000}"/>
    <cellStyle name="Normal 10 2 2 2 2 5 2 2 2" xfId="47674" xr:uid="{00000000-0005-0000-0000-00003C2D0000}"/>
    <cellStyle name="Normal 10 2 2 2 2 5 2 3" xfId="35241" xr:uid="{00000000-0005-0000-0000-00003D2D0000}"/>
    <cellStyle name="Normal 10 2 2 2 2 5 3" xfId="5341" xr:uid="{00000000-0005-0000-0000-00003E2D0000}"/>
    <cellStyle name="Normal 10 2 2 2 2 5 3 2" xfId="17793" xr:uid="{00000000-0005-0000-0000-00003F2D0000}"/>
    <cellStyle name="Normal 10 2 2 2 2 5 3 2 2" xfId="42667" xr:uid="{00000000-0005-0000-0000-0000402D0000}"/>
    <cellStyle name="Normal 10 2 2 2 2 5 3 3" xfId="30234" xr:uid="{00000000-0005-0000-0000-0000412D0000}"/>
    <cellStyle name="Normal 10 2 2 2 2 5 4" xfId="13996" xr:uid="{00000000-0005-0000-0000-0000422D0000}"/>
    <cellStyle name="Normal 10 2 2 2 2 5 4 2" xfId="38870" xr:uid="{00000000-0005-0000-0000-0000432D0000}"/>
    <cellStyle name="Normal 10 2 2 2 2 5 5" xfId="26429" xr:uid="{00000000-0005-0000-0000-0000442D0000}"/>
    <cellStyle name="Normal 10 2 2 2 2 6" xfId="7918" xr:uid="{00000000-0005-0000-0000-0000452D0000}"/>
    <cellStyle name="Normal 10 2 2 2 2 6 2" xfId="20364" xr:uid="{00000000-0005-0000-0000-0000462D0000}"/>
    <cellStyle name="Normal 10 2 2 2 2 6 2 2" xfId="45238" xr:uid="{00000000-0005-0000-0000-0000472D0000}"/>
    <cellStyle name="Normal 10 2 2 2 2 6 3" xfId="32805" xr:uid="{00000000-0005-0000-0000-0000482D0000}"/>
    <cellStyle name="Normal 10 2 2 2 2 7" xfId="11811" xr:uid="{00000000-0005-0000-0000-0000492D0000}"/>
    <cellStyle name="Normal 10 2 2 2 2 7 2" xfId="24245" xr:uid="{00000000-0005-0000-0000-00004A2D0000}"/>
    <cellStyle name="Normal 10 2 2 2 2 7 2 2" xfId="49119" xr:uid="{00000000-0005-0000-0000-00004B2D0000}"/>
    <cellStyle name="Normal 10 2 2 2 2 7 3" xfId="36686" xr:uid="{00000000-0005-0000-0000-00004C2D0000}"/>
    <cellStyle name="Normal 10 2 2 2 2 8" xfId="6888" xr:uid="{00000000-0005-0000-0000-00004D2D0000}"/>
    <cellStyle name="Normal 10 2 2 2 2 8 2" xfId="19337" xr:uid="{00000000-0005-0000-0000-00004E2D0000}"/>
    <cellStyle name="Normal 10 2 2 2 2 8 2 2" xfId="44211" xr:uid="{00000000-0005-0000-0000-00004F2D0000}"/>
    <cellStyle name="Normal 10 2 2 2 2 8 3" xfId="31778" xr:uid="{00000000-0005-0000-0000-0000502D0000}"/>
    <cellStyle name="Normal 10 2 2 2 2 9" xfId="2839" xr:uid="{00000000-0005-0000-0000-0000512D0000}"/>
    <cellStyle name="Normal 10 2 2 2 2 9 2" xfId="15357" xr:uid="{00000000-0005-0000-0000-0000522D0000}"/>
    <cellStyle name="Normal 10 2 2 2 2 9 2 2" xfId="40231" xr:uid="{00000000-0005-0000-0000-0000532D0000}"/>
    <cellStyle name="Normal 10 2 2 2 2 9 3" xfId="27790" xr:uid="{00000000-0005-0000-0000-0000542D0000}"/>
    <cellStyle name="Normal 10 2 2 2 2_Degree data" xfId="2033" xr:uid="{00000000-0005-0000-0000-0000552D0000}"/>
    <cellStyle name="Normal 10 2 2 2 3" xfId="702" xr:uid="{00000000-0005-0000-0000-0000562D0000}"/>
    <cellStyle name="Normal 10 2 2 2 3 2" xfId="1359" xr:uid="{00000000-0005-0000-0000-0000572D0000}"/>
    <cellStyle name="Normal 10 2 2 2 3 2 2" xfId="9195" xr:uid="{00000000-0005-0000-0000-0000582D0000}"/>
    <cellStyle name="Normal 10 2 2 2 3 2 2 2" xfId="21638" xr:uid="{00000000-0005-0000-0000-0000592D0000}"/>
    <cellStyle name="Normal 10 2 2 2 3 2 2 2 2" xfId="46512" xr:uid="{00000000-0005-0000-0000-00005A2D0000}"/>
    <cellStyle name="Normal 10 2 2 2 3 2 2 3" xfId="34079" xr:uid="{00000000-0005-0000-0000-00005B2D0000}"/>
    <cellStyle name="Normal 10 2 2 2 3 2 3" xfId="4177" xr:uid="{00000000-0005-0000-0000-00005C2D0000}"/>
    <cellStyle name="Normal 10 2 2 2 3 2 3 2" xfId="16631" xr:uid="{00000000-0005-0000-0000-00005D2D0000}"/>
    <cellStyle name="Normal 10 2 2 2 3 2 3 2 2" xfId="41505" xr:uid="{00000000-0005-0000-0000-00005E2D0000}"/>
    <cellStyle name="Normal 10 2 2 2 3 2 3 3" xfId="29072" xr:uid="{00000000-0005-0000-0000-00005F2D0000}"/>
    <cellStyle name="Normal 10 2 2 2 3 2 4" xfId="14159" xr:uid="{00000000-0005-0000-0000-0000602D0000}"/>
    <cellStyle name="Normal 10 2 2 2 3 2 4 2" xfId="39033" xr:uid="{00000000-0005-0000-0000-0000612D0000}"/>
    <cellStyle name="Normal 10 2 2 2 3 2 5" xfId="26592" xr:uid="{00000000-0005-0000-0000-0000622D0000}"/>
    <cellStyle name="Normal 10 2 2 2 3 3" xfId="5504" xr:uid="{00000000-0005-0000-0000-0000632D0000}"/>
    <cellStyle name="Normal 10 2 2 2 3 3 2" xfId="10520" xr:uid="{00000000-0005-0000-0000-0000642D0000}"/>
    <cellStyle name="Normal 10 2 2 2 3 3 2 2" xfId="22963" xr:uid="{00000000-0005-0000-0000-0000652D0000}"/>
    <cellStyle name="Normal 10 2 2 2 3 3 2 2 2" xfId="47837" xr:uid="{00000000-0005-0000-0000-0000662D0000}"/>
    <cellStyle name="Normal 10 2 2 2 3 3 2 3" xfId="35404" xr:uid="{00000000-0005-0000-0000-0000672D0000}"/>
    <cellStyle name="Normal 10 2 2 2 3 3 3" xfId="17956" xr:uid="{00000000-0005-0000-0000-0000682D0000}"/>
    <cellStyle name="Normal 10 2 2 2 3 3 3 2" xfId="42830" xr:uid="{00000000-0005-0000-0000-0000692D0000}"/>
    <cellStyle name="Normal 10 2 2 2 3 3 4" xfId="30397" xr:uid="{00000000-0005-0000-0000-00006A2D0000}"/>
    <cellStyle name="Normal 10 2 2 2 3 4" xfId="8311" xr:uid="{00000000-0005-0000-0000-00006B2D0000}"/>
    <cellStyle name="Normal 10 2 2 2 3 4 2" xfId="20755" xr:uid="{00000000-0005-0000-0000-00006C2D0000}"/>
    <cellStyle name="Normal 10 2 2 2 3 4 2 2" xfId="45629" xr:uid="{00000000-0005-0000-0000-00006D2D0000}"/>
    <cellStyle name="Normal 10 2 2 2 3 4 3" xfId="33196" xr:uid="{00000000-0005-0000-0000-00006E2D0000}"/>
    <cellStyle name="Normal 10 2 2 2 3 5" xfId="11974" xr:uid="{00000000-0005-0000-0000-00006F2D0000}"/>
    <cellStyle name="Normal 10 2 2 2 3 5 2" xfId="24408" xr:uid="{00000000-0005-0000-0000-0000702D0000}"/>
    <cellStyle name="Normal 10 2 2 2 3 5 2 2" xfId="49282" xr:uid="{00000000-0005-0000-0000-0000712D0000}"/>
    <cellStyle name="Normal 10 2 2 2 3 5 3" xfId="36849" xr:uid="{00000000-0005-0000-0000-0000722D0000}"/>
    <cellStyle name="Normal 10 2 2 2 3 6" xfId="6788" xr:uid="{00000000-0005-0000-0000-0000732D0000}"/>
    <cellStyle name="Normal 10 2 2 2 3 6 2" xfId="19237" xr:uid="{00000000-0005-0000-0000-0000742D0000}"/>
    <cellStyle name="Normal 10 2 2 2 3 6 2 2" xfId="44111" xr:uid="{00000000-0005-0000-0000-0000752D0000}"/>
    <cellStyle name="Normal 10 2 2 2 3 6 3" xfId="31678" xr:uid="{00000000-0005-0000-0000-0000762D0000}"/>
    <cellStyle name="Normal 10 2 2 2 3 7" xfId="3242" xr:uid="{00000000-0005-0000-0000-0000772D0000}"/>
    <cellStyle name="Normal 10 2 2 2 3 7 2" xfId="15748" xr:uid="{00000000-0005-0000-0000-0000782D0000}"/>
    <cellStyle name="Normal 10 2 2 2 3 7 2 2" xfId="40622" xr:uid="{00000000-0005-0000-0000-0000792D0000}"/>
    <cellStyle name="Normal 10 2 2 2 3 7 3" xfId="28181" xr:uid="{00000000-0005-0000-0000-00007A2D0000}"/>
    <cellStyle name="Normal 10 2 2 2 3 8" xfId="13505" xr:uid="{00000000-0005-0000-0000-00007B2D0000}"/>
    <cellStyle name="Normal 10 2 2 2 3 8 2" xfId="38379" xr:uid="{00000000-0005-0000-0000-00007C2D0000}"/>
    <cellStyle name="Normal 10 2 2 2 3 9" xfId="25938" xr:uid="{00000000-0005-0000-0000-00007D2D0000}"/>
    <cellStyle name="Normal 10 2 2 2 4" xfId="1707" xr:uid="{00000000-0005-0000-0000-00007E2D0000}"/>
    <cellStyle name="Normal 10 2 2 2 4 2" xfId="4445" xr:uid="{00000000-0005-0000-0000-00007F2D0000}"/>
    <cellStyle name="Normal 10 2 2 2 4 2 2" xfId="9463" xr:uid="{00000000-0005-0000-0000-0000802D0000}"/>
    <cellStyle name="Normal 10 2 2 2 4 2 2 2" xfId="21906" xr:uid="{00000000-0005-0000-0000-0000812D0000}"/>
    <cellStyle name="Normal 10 2 2 2 4 2 2 2 2" xfId="46780" xr:uid="{00000000-0005-0000-0000-0000822D0000}"/>
    <cellStyle name="Normal 10 2 2 2 4 2 2 3" xfId="34347" xr:uid="{00000000-0005-0000-0000-0000832D0000}"/>
    <cellStyle name="Normal 10 2 2 2 4 2 3" xfId="16899" xr:uid="{00000000-0005-0000-0000-0000842D0000}"/>
    <cellStyle name="Normal 10 2 2 2 4 2 3 2" xfId="41773" xr:uid="{00000000-0005-0000-0000-0000852D0000}"/>
    <cellStyle name="Normal 10 2 2 2 4 2 4" xfId="29340" xr:uid="{00000000-0005-0000-0000-0000862D0000}"/>
    <cellStyle name="Normal 10 2 2 2 4 3" xfId="5853" xr:uid="{00000000-0005-0000-0000-0000872D0000}"/>
    <cellStyle name="Normal 10 2 2 2 4 3 2" xfId="10868" xr:uid="{00000000-0005-0000-0000-0000882D0000}"/>
    <cellStyle name="Normal 10 2 2 2 4 3 2 2" xfId="23311" xr:uid="{00000000-0005-0000-0000-0000892D0000}"/>
    <cellStyle name="Normal 10 2 2 2 4 3 2 2 2" xfId="48185" xr:uid="{00000000-0005-0000-0000-00008A2D0000}"/>
    <cellStyle name="Normal 10 2 2 2 4 3 2 3" xfId="35752" xr:uid="{00000000-0005-0000-0000-00008B2D0000}"/>
    <cellStyle name="Normal 10 2 2 2 4 3 3" xfId="18304" xr:uid="{00000000-0005-0000-0000-00008C2D0000}"/>
    <cellStyle name="Normal 10 2 2 2 4 3 3 2" xfId="43178" xr:uid="{00000000-0005-0000-0000-00008D2D0000}"/>
    <cellStyle name="Normal 10 2 2 2 4 3 4" xfId="30745" xr:uid="{00000000-0005-0000-0000-00008E2D0000}"/>
    <cellStyle name="Normal 10 2 2 2 4 4" xfId="8579" xr:uid="{00000000-0005-0000-0000-00008F2D0000}"/>
    <cellStyle name="Normal 10 2 2 2 4 4 2" xfId="21023" xr:uid="{00000000-0005-0000-0000-0000902D0000}"/>
    <cellStyle name="Normal 10 2 2 2 4 4 2 2" xfId="45897" xr:uid="{00000000-0005-0000-0000-0000912D0000}"/>
    <cellStyle name="Normal 10 2 2 2 4 4 3" xfId="33464" xr:uid="{00000000-0005-0000-0000-0000922D0000}"/>
    <cellStyle name="Normal 10 2 2 2 4 5" xfId="12322" xr:uid="{00000000-0005-0000-0000-0000932D0000}"/>
    <cellStyle name="Normal 10 2 2 2 4 5 2" xfId="24756" xr:uid="{00000000-0005-0000-0000-0000942D0000}"/>
    <cellStyle name="Normal 10 2 2 2 4 5 2 2" xfId="49630" xr:uid="{00000000-0005-0000-0000-0000952D0000}"/>
    <cellStyle name="Normal 10 2 2 2 4 5 3" xfId="37197" xr:uid="{00000000-0005-0000-0000-0000962D0000}"/>
    <cellStyle name="Normal 10 2 2 2 4 6" xfId="7056" xr:uid="{00000000-0005-0000-0000-0000972D0000}"/>
    <cellStyle name="Normal 10 2 2 2 4 6 2" xfId="19505" xr:uid="{00000000-0005-0000-0000-0000982D0000}"/>
    <cellStyle name="Normal 10 2 2 2 4 6 2 2" xfId="44379" xr:uid="{00000000-0005-0000-0000-0000992D0000}"/>
    <cellStyle name="Normal 10 2 2 2 4 6 3" xfId="31946" xr:uid="{00000000-0005-0000-0000-00009A2D0000}"/>
    <cellStyle name="Normal 10 2 2 2 4 7" xfId="3510" xr:uid="{00000000-0005-0000-0000-00009B2D0000}"/>
    <cellStyle name="Normal 10 2 2 2 4 7 2" xfId="16016" xr:uid="{00000000-0005-0000-0000-00009C2D0000}"/>
    <cellStyle name="Normal 10 2 2 2 4 7 2 2" xfId="40890" xr:uid="{00000000-0005-0000-0000-00009D2D0000}"/>
    <cellStyle name="Normal 10 2 2 2 4 7 3" xfId="28449" xr:uid="{00000000-0005-0000-0000-00009E2D0000}"/>
    <cellStyle name="Normal 10 2 2 2 4 8" xfId="14507" xr:uid="{00000000-0005-0000-0000-00009F2D0000}"/>
    <cellStyle name="Normal 10 2 2 2 4 8 2" xfId="39381" xr:uid="{00000000-0005-0000-0000-0000A02D0000}"/>
    <cellStyle name="Normal 10 2 2 2 4 9" xfId="26940" xr:uid="{00000000-0005-0000-0000-0000A12D0000}"/>
    <cellStyle name="Normal 10 2 2 2 5" xfId="2260" xr:uid="{00000000-0005-0000-0000-0000A22D0000}"/>
    <cellStyle name="Normal 10 2 2 2 5 2" xfId="4887" xr:uid="{00000000-0005-0000-0000-0000A32D0000}"/>
    <cellStyle name="Normal 10 2 2 2 5 2 2" xfId="9904" xr:uid="{00000000-0005-0000-0000-0000A42D0000}"/>
    <cellStyle name="Normal 10 2 2 2 5 2 2 2" xfId="22347" xr:uid="{00000000-0005-0000-0000-0000A52D0000}"/>
    <cellStyle name="Normal 10 2 2 2 5 2 2 2 2" xfId="47221" xr:uid="{00000000-0005-0000-0000-0000A62D0000}"/>
    <cellStyle name="Normal 10 2 2 2 5 2 2 3" xfId="34788" xr:uid="{00000000-0005-0000-0000-0000A72D0000}"/>
    <cellStyle name="Normal 10 2 2 2 5 2 3" xfId="17340" xr:uid="{00000000-0005-0000-0000-0000A82D0000}"/>
    <cellStyle name="Normal 10 2 2 2 5 2 3 2" xfId="42214" xr:uid="{00000000-0005-0000-0000-0000A92D0000}"/>
    <cellStyle name="Normal 10 2 2 2 5 2 4" xfId="29781" xr:uid="{00000000-0005-0000-0000-0000AA2D0000}"/>
    <cellStyle name="Normal 10 2 2 2 5 3" xfId="6285" xr:uid="{00000000-0005-0000-0000-0000AB2D0000}"/>
    <cellStyle name="Normal 10 2 2 2 5 3 2" xfId="11300" xr:uid="{00000000-0005-0000-0000-0000AC2D0000}"/>
    <cellStyle name="Normal 10 2 2 2 5 3 2 2" xfId="23743" xr:uid="{00000000-0005-0000-0000-0000AD2D0000}"/>
    <cellStyle name="Normal 10 2 2 2 5 3 2 2 2" xfId="48617" xr:uid="{00000000-0005-0000-0000-0000AE2D0000}"/>
    <cellStyle name="Normal 10 2 2 2 5 3 2 3" xfId="36184" xr:uid="{00000000-0005-0000-0000-0000AF2D0000}"/>
    <cellStyle name="Normal 10 2 2 2 5 3 3" xfId="18736" xr:uid="{00000000-0005-0000-0000-0000B02D0000}"/>
    <cellStyle name="Normal 10 2 2 2 5 3 3 2" xfId="43610" xr:uid="{00000000-0005-0000-0000-0000B12D0000}"/>
    <cellStyle name="Normal 10 2 2 2 5 3 4" xfId="31177" xr:uid="{00000000-0005-0000-0000-0000B22D0000}"/>
    <cellStyle name="Normal 10 2 2 2 5 4" xfId="8092" xr:uid="{00000000-0005-0000-0000-0000B32D0000}"/>
    <cellStyle name="Normal 10 2 2 2 5 4 2" xfId="20538" xr:uid="{00000000-0005-0000-0000-0000B42D0000}"/>
    <cellStyle name="Normal 10 2 2 2 5 4 2 2" xfId="45412" xr:uid="{00000000-0005-0000-0000-0000B52D0000}"/>
    <cellStyle name="Normal 10 2 2 2 5 4 3" xfId="32979" xr:uid="{00000000-0005-0000-0000-0000B62D0000}"/>
    <cellStyle name="Normal 10 2 2 2 5 5" xfId="12754" xr:uid="{00000000-0005-0000-0000-0000B72D0000}"/>
    <cellStyle name="Normal 10 2 2 2 5 5 2" xfId="25188" xr:uid="{00000000-0005-0000-0000-0000B82D0000}"/>
    <cellStyle name="Normal 10 2 2 2 5 5 2 2" xfId="50062" xr:uid="{00000000-0005-0000-0000-0000B92D0000}"/>
    <cellStyle name="Normal 10 2 2 2 5 5 3" xfId="37629" xr:uid="{00000000-0005-0000-0000-0000BA2D0000}"/>
    <cellStyle name="Normal 10 2 2 2 5 6" xfId="7498" xr:uid="{00000000-0005-0000-0000-0000BB2D0000}"/>
    <cellStyle name="Normal 10 2 2 2 5 6 2" xfId="19946" xr:uid="{00000000-0005-0000-0000-0000BC2D0000}"/>
    <cellStyle name="Normal 10 2 2 2 5 6 2 2" xfId="44820" xr:uid="{00000000-0005-0000-0000-0000BD2D0000}"/>
    <cellStyle name="Normal 10 2 2 2 5 6 3" xfId="32387" xr:uid="{00000000-0005-0000-0000-0000BE2D0000}"/>
    <cellStyle name="Normal 10 2 2 2 5 7" xfId="3022" xr:uid="{00000000-0005-0000-0000-0000BF2D0000}"/>
    <cellStyle name="Normal 10 2 2 2 5 7 2" xfId="15531" xr:uid="{00000000-0005-0000-0000-0000C02D0000}"/>
    <cellStyle name="Normal 10 2 2 2 5 7 2 2" xfId="40405" xr:uid="{00000000-0005-0000-0000-0000C12D0000}"/>
    <cellStyle name="Normal 10 2 2 2 5 7 3" xfId="27964" xr:uid="{00000000-0005-0000-0000-0000C22D0000}"/>
    <cellStyle name="Normal 10 2 2 2 5 8" xfId="14939" xr:uid="{00000000-0005-0000-0000-0000C32D0000}"/>
    <cellStyle name="Normal 10 2 2 2 5 8 2" xfId="39813" xr:uid="{00000000-0005-0000-0000-0000C42D0000}"/>
    <cellStyle name="Normal 10 2 2 2 5 9" xfId="27372" xr:uid="{00000000-0005-0000-0000-0000C52D0000}"/>
    <cellStyle name="Normal 10 2 2 2 6" xfId="1096" xr:uid="{00000000-0005-0000-0000-0000C62D0000}"/>
    <cellStyle name="Normal 10 2 2 2 6 2" xfId="8978" xr:uid="{00000000-0005-0000-0000-0000C72D0000}"/>
    <cellStyle name="Normal 10 2 2 2 6 2 2" xfId="21421" xr:uid="{00000000-0005-0000-0000-0000C82D0000}"/>
    <cellStyle name="Normal 10 2 2 2 6 2 2 2" xfId="46295" xr:uid="{00000000-0005-0000-0000-0000C92D0000}"/>
    <cellStyle name="Normal 10 2 2 2 6 2 3" xfId="33862" xr:uid="{00000000-0005-0000-0000-0000CA2D0000}"/>
    <cellStyle name="Normal 10 2 2 2 6 3" xfId="3960" xr:uid="{00000000-0005-0000-0000-0000CB2D0000}"/>
    <cellStyle name="Normal 10 2 2 2 6 3 2" xfId="16414" xr:uid="{00000000-0005-0000-0000-0000CC2D0000}"/>
    <cellStyle name="Normal 10 2 2 2 6 3 2 2" xfId="41288" xr:uid="{00000000-0005-0000-0000-0000CD2D0000}"/>
    <cellStyle name="Normal 10 2 2 2 6 3 3" xfId="28855" xr:uid="{00000000-0005-0000-0000-0000CE2D0000}"/>
    <cellStyle name="Normal 10 2 2 2 6 4" xfId="13896" xr:uid="{00000000-0005-0000-0000-0000CF2D0000}"/>
    <cellStyle name="Normal 10 2 2 2 6 4 2" xfId="38770" xr:uid="{00000000-0005-0000-0000-0000D02D0000}"/>
    <cellStyle name="Normal 10 2 2 2 6 5" xfId="26329" xr:uid="{00000000-0005-0000-0000-0000D12D0000}"/>
    <cellStyle name="Normal 10 2 2 2 7" xfId="5241" xr:uid="{00000000-0005-0000-0000-0000D22D0000}"/>
    <cellStyle name="Normal 10 2 2 2 7 2" xfId="10257" xr:uid="{00000000-0005-0000-0000-0000D32D0000}"/>
    <cellStyle name="Normal 10 2 2 2 7 2 2" xfId="22700" xr:uid="{00000000-0005-0000-0000-0000D42D0000}"/>
    <cellStyle name="Normal 10 2 2 2 7 2 2 2" xfId="47574" xr:uid="{00000000-0005-0000-0000-0000D52D0000}"/>
    <cellStyle name="Normal 10 2 2 2 7 2 3" xfId="35141" xr:uid="{00000000-0005-0000-0000-0000D62D0000}"/>
    <cellStyle name="Normal 10 2 2 2 7 3" xfId="17693" xr:uid="{00000000-0005-0000-0000-0000D72D0000}"/>
    <cellStyle name="Normal 10 2 2 2 7 3 2" xfId="42567" xr:uid="{00000000-0005-0000-0000-0000D82D0000}"/>
    <cellStyle name="Normal 10 2 2 2 7 4" xfId="30134" xr:uid="{00000000-0005-0000-0000-0000D92D0000}"/>
    <cellStyle name="Normal 10 2 2 2 8" xfId="7818" xr:uid="{00000000-0005-0000-0000-0000DA2D0000}"/>
    <cellStyle name="Normal 10 2 2 2 8 2" xfId="20264" xr:uid="{00000000-0005-0000-0000-0000DB2D0000}"/>
    <cellStyle name="Normal 10 2 2 2 8 2 2" xfId="45138" xr:uid="{00000000-0005-0000-0000-0000DC2D0000}"/>
    <cellStyle name="Normal 10 2 2 2 8 3" xfId="32705" xr:uid="{00000000-0005-0000-0000-0000DD2D0000}"/>
    <cellStyle name="Normal 10 2 2 2 9" xfId="11711" xr:uid="{00000000-0005-0000-0000-0000DE2D0000}"/>
    <cellStyle name="Normal 10 2 2 2 9 2" xfId="24145" xr:uid="{00000000-0005-0000-0000-0000DF2D0000}"/>
    <cellStyle name="Normal 10 2 2 2 9 2 2" xfId="49019" xr:uid="{00000000-0005-0000-0000-0000E02D0000}"/>
    <cellStyle name="Normal 10 2 2 2 9 3" xfId="36586" xr:uid="{00000000-0005-0000-0000-0000E12D0000}"/>
    <cellStyle name="Normal 10 2 2 2_Degree data" xfId="2030" xr:uid="{00000000-0005-0000-0000-0000E22D0000}"/>
    <cellStyle name="Normal 10 2 2 3" xfId="297" xr:uid="{00000000-0005-0000-0000-0000E32D0000}"/>
    <cellStyle name="Normal 10 2 2 3 10" xfId="6632" xr:uid="{00000000-0005-0000-0000-0000E42D0000}"/>
    <cellStyle name="Normal 10 2 2 3 10 2" xfId="19081" xr:uid="{00000000-0005-0000-0000-0000E52D0000}"/>
    <cellStyle name="Normal 10 2 2 3 10 2 2" xfId="43955" xr:uid="{00000000-0005-0000-0000-0000E62D0000}"/>
    <cellStyle name="Normal 10 2 2 3 10 3" xfId="31522" xr:uid="{00000000-0005-0000-0000-0000E72D0000}"/>
    <cellStyle name="Normal 10 2 2 3 11" xfId="2696" xr:uid="{00000000-0005-0000-0000-0000E82D0000}"/>
    <cellStyle name="Normal 10 2 2 3 11 2" xfId="15214" xr:uid="{00000000-0005-0000-0000-0000E92D0000}"/>
    <cellStyle name="Normal 10 2 2 3 11 2 2" xfId="40088" xr:uid="{00000000-0005-0000-0000-0000EA2D0000}"/>
    <cellStyle name="Normal 10 2 2 3 11 3" xfId="27647" xr:uid="{00000000-0005-0000-0000-0000EB2D0000}"/>
    <cellStyle name="Normal 10 2 2 3 12" xfId="13115" xr:uid="{00000000-0005-0000-0000-0000EC2D0000}"/>
    <cellStyle name="Normal 10 2 2 3 12 2" xfId="37989" xr:uid="{00000000-0005-0000-0000-0000ED2D0000}"/>
    <cellStyle name="Normal 10 2 2 3 13" xfId="25548" xr:uid="{00000000-0005-0000-0000-0000EE2D0000}"/>
    <cellStyle name="Normal 10 2 2 3 2" xfId="506" xr:uid="{00000000-0005-0000-0000-0000EF2D0000}"/>
    <cellStyle name="Normal 10 2 2 3 2 10" xfId="13319" xr:uid="{00000000-0005-0000-0000-0000F02D0000}"/>
    <cellStyle name="Normal 10 2 2 3 2 10 2" xfId="38193" xr:uid="{00000000-0005-0000-0000-0000F12D0000}"/>
    <cellStyle name="Normal 10 2 2 3 2 11" xfId="25752" xr:uid="{00000000-0005-0000-0000-0000F22D0000}"/>
    <cellStyle name="Normal 10 2 2 3 2 2" xfId="865" xr:uid="{00000000-0005-0000-0000-0000F32D0000}"/>
    <cellStyle name="Normal 10 2 2 3 2 2 2" xfId="1362" xr:uid="{00000000-0005-0000-0000-0000F42D0000}"/>
    <cellStyle name="Normal 10 2 2 3 2 2 2 2" xfId="9466" xr:uid="{00000000-0005-0000-0000-0000F52D0000}"/>
    <cellStyle name="Normal 10 2 2 3 2 2 2 2 2" xfId="21909" xr:uid="{00000000-0005-0000-0000-0000F62D0000}"/>
    <cellStyle name="Normal 10 2 2 3 2 2 2 2 2 2" xfId="46783" xr:uid="{00000000-0005-0000-0000-0000F72D0000}"/>
    <cellStyle name="Normal 10 2 2 3 2 2 2 2 3" xfId="34350" xr:uid="{00000000-0005-0000-0000-0000F82D0000}"/>
    <cellStyle name="Normal 10 2 2 3 2 2 2 3" xfId="4448" xr:uid="{00000000-0005-0000-0000-0000F92D0000}"/>
    <cellStyle name="Normal 10 2 2 3 2 2 2 3 2" xfId="16902" xr:uid="{00000000-0005-0000-0000-0000FA2D0000}"/>
    <cellStyle name="Normal 10 2 2 3 2 2 2 3 2 2" xfId="41776" xr:uid="{00000000-0005-0000-0000-0000FB2D0000}"/>
    <cellStyle name="Normal 10 2 2 3 2 2 2 3 3" xfId="29343" xr:uid="{00000000-0005-0000-0000-0000FC2D0000}"/>
    <cellStyle name="Normal 10 2 2 3 2 2 2 4" xfId="14162" xr:uid="{00000000-0005-0000-0000-0000FD2D0000}"/>
    <cellStyle name="Normal 10 2 2 3 2 2 2 4 2" xfId="39036" xr:uid="{00000000-0005-0000-0000-0000FE2D0000}"/>
    <cellStyle name="Normal 10 2 2 3 2 2 2 5" xfId="26595" xr:uid="{00000000-0005-0000-0000-0000FF2D0000}"/>
    <cellStyle name="Normal 10 2 2 3 2 2 3" xfId="5507" xr:uid="{00000000-0005-0000-0000-0000002E0000}"/>
    <cellStyle name="Normal 10 2 2 3 2 2 3 2" xfId="10523" xr:uid="{00000000-0005-0000-0000-0000012E0000}"/>
    <cellStyle name="Normal 10 2 2 3 2 2 3 2 2" xfId="22966" xr:uid="{00000000-0005-0000-0000-0000022E0000}"/>
    <cellStyle name="Normal 10 2 2 3 2 2 3 2 2 2" xfId="47840" xr:uid="{00000000-0005-0000-0000-0000032E0000}"/>
    <cellStyle name="Normal 10 2 2 3 2 2 3 2 3" xfId="35407" xr:uid="{00000000-0005-0000-0000-0000042E0000}"/>
    <cellStyle name="Normal 10 2 2 3 2 2 3 3" xfId="17959" xr:uid="{00000000-0005-0000-0000-0000052E0000}"/>
    <cellStyle name="Normal 10 2 2 3 2 2 3 3 2" xfId="42833" xr:uid="{00000000-0005-0000-0000-0000062E0000}"/>
    <cellStyle name="Normal 10 2 2 3 2 2 3 4" xfId="30400" xr:uid="{00000000-0005-0000-0000-0000072E0000}"/>
    <cellStyle name="Normal 10 2 2 3 2 2 4" xfId="8582" xr:uid="{00000000-0005-0000-0000-0000082E0000}"/>
    <cellStyle name="Normal 10 2 2 3 2 2 4 2" xfId="21026" xr:uid="{00000000-0005-0000-0000-0000092E0000}"/>
    <cellStyle name="Normal 10 2 2 3 2 2 4 2 2" xfId="45900" xr:uid="{00000000-0005-0000-0000-00000A2E0000}"/>
    <cellStyle name="Normal 10 2 2 3 2 2 4 3" xfId="33467" xr:uid="{00000000-0005-0000-0000-00000B2E0000}"/>
    <cellStyle name="Normal 10 2 2 3 2 2 5" xfId="11977" xr:uid="{00000000-0005-0000-0000-00000C2E0000}"/>
    <cellStyle name="Normal 10 2 2 3 2 2 5 2" xfId="24411" xr:uid="{00000000-0005-0000-0000-00000D2E0000}"/>
    <cellStyle name="Normal 10 2 2 3 2 2 5 2 2" xfId="49285" xr:uid="{00000000-0005-0000-0000-00000E2E0000}"/>
    <cellStyle name="Normal 10 2 2 3 2 2 5 3" xfId="36852" xr:uid="{00000000-0005-0000-0000-00000F2E0000}"/>
    <cellStyle name="Normal 10 2 2 3 2 2 6" xfId="7059" xr:uid="{00000000-0005-0000-0000-0000102E0000}"/>
    <cellStyle name="Normal 10 2 2 3 2 2 6 2" xfId="19508" xr:uid="{00000000-0005-0000-0000-0000112E0000}"/>
    <cellStyle name="Normal 10 2 2 3 2 2 6 2 2" xfId="44382" xr:uid="{00000000-0005-0000-0000-0000122E0000}"/>
    <cellStyle name="Normal 10 2 2 3 2 2 6 3" xfId="31949" xr:uid="{00000000-0005-0000-0000-0000132E0000}"/>
    <cellStyle name="Normal 10 2 2 3 2 2 7" xfId="3513" xr:uid="{00000000-0005-0000-0000-0000142E0000}"/>
    <cellStyle name="Normal 10 2 2 3 2 2 7 2" xfId="16019" xr:uid="{00000000-0005-0000-0000-0000152E0000}"/>
    <cellStyle name="Normal 10 2 2 3 2 2 7 2 2" xfId="40893" xr:uid="{00000000-0005-0000-0000-0000162E0000}"/>
    <cellStyle name="Normal 10 2 2 3 2 2 7 3" xfId="28452" xr:uid="{00000000-0005-0000-0000-0000172E0000}"/>
    <cellStyle name="Normal 10 2 2 3 2 2 8" xfId="13666" xr:uid="{00000000-0005-0000-0000-0000182E0000}"/>
    <cellStyle name="Normal 10 2 2 3 2 2 8 2" xfId="38540" xr:uid="{00000000-0005-0000-0000-0000192E0000}"/>
    <cellStyle name="Normal 10 2 2 3 2 2 9" xfId="26099" xr:uid="{00000000-0005-0000-0000-00001A2E0000}"/>
    <cellStyle name="Normal 10 2 2 3 2 3" xfId="1710" xr:uid="{00000000-0005-0000-0000-00001B2E0000}"/>
    <cellStyle name="Normal 10 2 2 3 2 3 2" xfId="5048" xr:uid="{00000000-0005-0000-0000-00001C2E0000}"/>
    <cellStyle name="Normal 10 2 2 3 2 3 2 2" xfId="10065" xr:uid="{00000000-0005-0000-0000-00001D2E0000}"/>
    <cellStyle name="Normal 10 2 2 3 2 3 2 2 2" xfId="22508" xr:uid="{00000000-0005-0000-0000-00001E2E0000}"/>
    <cellStyle name="Normal 10 2 2 3 2 3 2 2 2 2" xfId="47382" xr:uid="{00000000-0005-0000-0000-00001F2E0000}"/>
    <cellStyle name="Normal 10 2 2 3 2 3 2 2 3" xfId="34949" xr:uid="{00000000-0005-0000-0000-0000202E0000}"/>
    <cellStyle name="Normal 10 2 2 3 2 3 2 3" xfId="17501" xr:uid="{00000000-0005-0000-0000-0000212E0000}"/>
    <cellStyle name="Normal 10 2 2 3 2 3 2 3 2" xfId="42375" xr:uid="{00000000-0005-0000-0000-0000222E0000}"/>
    <cellStyle name="Normal 10 2 2 3 2 3 2 4" xfId="29942" xr:uid="{00000000-0005-0000-0000-0000232E0000}"/>
    <cellStyle name="Normal 10 2 2 3 2 3 3" xfId="5856" xr:uid="{00000000-0005-0000-0000-0000242E0000}"/>
    <cellStyle name="Normal 10 2 2 3 2 3 3 2" xfId="10871" xr:uid="{00000000-0005-0000-0000-0000252E0000}"/>
    <cellStyle name="Normal 10 2 2 3 2 3 3 2 2" xfId="23314" xr:uid="{00000000-0005-0000-0000-0000262E0000}"/>
    <cellStyle name="Normal 10 2 2 3 2 3 3 2 2 2" xfId="48188" xr:uid="{00000000-0005-0000-0000-0000272E0000}"/>
    <cellStyle name="Normal 10 2 2 3 2 3 3 2 3" xfId="35755" xr:uid="{00000000-0005-0000-0000-0000282E0000}"/>
    <cellStyle name="Normal 10 2 2 3 2 3 3 3" xfId="18307" xr:uid="{00000000-0005-0000-0000-0000292E0000}"/>
    <cellStyle name="Normal 10 2 2 3 2 3 3 3 2" xfId="43181" xr:uid="{00000000-0005-0000-0000-00002A2E0000}"/>
    <cellStyle name="Normal 10 2 2 3 2 3 3 4" xfId="30748" xr:uid="{00000000-0005-0000-0000-00002B2E0000}"/>
    <cellStyle name="Normal 10 2 2 3 2 3 4" xfId="8472" xr:uid="{00000000-0005-0000-0000-00002C2E0000}"/>
    <cellStyle name="Normal 10 2 2 3 2 3 4 2" xfId="20916" xr:uid="{00000000-0005-0000-0000-00002D2E0000}"/>
    <cellStyle name="Normal 10 2 2 3 2 3 4 2 2" xfId="45790" xr:uid="{00000000-0005-0000-0000-00002E2E0000}"/>
    <cellStyle name="Normal 10 2 2 3 2 3 4 3" xfId="33357" xr:uid="{00000000-0005-0000-0000-00002F2E0000}"/>
    <cellStyle name="Normal 10 2 2 3 2 3 5" xfId="12325" xr:uid="{00000000-0005-0000-0000-0000302E0000}"/>
    <cellStyle name="Normal 10 2 2 3 2 3 5 2" xfId="24759" xr:uid="{00000000-0005-0000-0000-0000312E0000}"/>
    <cellStyle name="Normal 10 2 2 3 2 3 5 2 2" xfId="49633" xr:uid="{00000000-0005-0000-0000-0000322E0000}"/>
    <cellStyle name="Normal 10 2 2 3 2 3 5 3" xfId="37200" xr:uid="{00000000-0005-0000-0000-0000332E0000}"/>
    <cellStyle name="Normal 10 2 2 3 2 3 6" xfId="7659" xr:uid="{00000000-0005-0000-0000-0000342E0000}"/>
    <cellStyle name="Normal 10 2 2 3 2 3 6 2" xfId="20107" xr:uid="{00000000-0005-0000-0000-0000352E0000}"/>
    <cellStyle name="Normal 10 2 2 3 2 3 6 2 2" xfId="44981" xr:uid="{00000000-0005-0000-0000-0000362E0000}"/>
    <cellStyle name="Normal 10 2 2 3 2 3 6 3" xfId="32548" xr:uid="{00000000-0005-0000-0000-0000372E0000}"/>
    <cellStyle name="Normal 10 2 2 3 2 3 7" xfId="3403" xr:uid="{00000000-0005-0000-0000-0000382E0000}"/>
    <cellStyle name="Normal 10 2 2 3 2 3 7 2" xfId="15909" xr:uid="{00000000-0005-0000-0000-0000392E0000}"/>
    <cellStyle name="Normal 10 2 2 3 2 3 7 2 2" xfId="40783" xr:uid="{00000000-0005-0000-0000-00003A2E0000}"/>
    <cellStyle name="Normal 10 2 2 3 2 3 7 3" xfId="28342" xr:uid="{00000000-0005-0000-0000-00003B2E0000}"/>
    <cellStyle name="Normal 10 2 2 3 2 3 8" xfId="14510" xr:uid="{00000000-0005-0000-0000-00003C2E0000}"/>
    <cellStyle name="Normal 10 2 2 3 2 3 8 2" xfId="39384" xr:uid="{00000000-0005-0000-0000-00003D2E0000}"/>
    <cellStyle name="Normal 10 2 2 3 2 3 9" xfId="26943" xr:uid="{00000000-0005-0000-0000-00003E2E0000}"/>
    <cellStyle name="Normal 10 2 2 3 2 4" xfId="2424" xr:uid="{00000000-0005-0000-0000-00003F2E0000}"/>
    <cellStyle name="Normal 10 2 2 3 2 4 2" xfId="6446" xr:uid="{00000000-0005-0000-0000-0000402E0000}"/>
    <cellStyle name="Normal 10 2 2 3 2 4 2 2" xfId="11461" xr:uid="{00000000-0005-0000-0000-0000412E0000}"/>
    <cellStyle name="Normal 10 2 2 3 2 4 2 2 2" xfId="23904" xr:uid="{00000000-0005-0000-0000-0000422E0000}"/>
    <cellStyle name="Normal 10 2 2 3 2 4 2 2 2 2" xfId="48778" xr:uid="{00000000-0005-0000-0000-0000432E0000}"/>
    <cellStyle name="Normal 10 2 2 3 2 4 2 2 3" xfId="36345" xr:uid="{00000000-0005-0000-0000-0000442E0000}"/>
    <cellStyle name="Normal 10 2 2 3 2 4 2 3" xfId="18897" xr:uid="{00000000-0005-0000-0000-0000452E0000}"/>
    <cellStyle name="Normal 10 2 2 3 2 4 2 3 2" xfId="43771" xr:uid="{00000000-0005-0000-0000-0000462E0000}"/>
    <cellStyle name="Normal 10 2 2 3 2 4 2 4" xfId="31338" xr:uid="{00000000-0005-0000-0000-0000472E0000}"/>
    <cellStyle name="Normal 10 2 2 3 2 4 3" xfId="12915" xr:uid="{00000000-0005-0000-0000-0000482E0000}"/>
    <cellStyle name="Normal 10 2 2 3 2 4 3 2" xfId="25349" xr:uid="{00000000-0005-0000-0000-0000492E0000}"/>
    <cellStyle name="Normal 10 2 2 3 2 4 3 2 2" xfId="50223" xr:uid="{00000000-0005-0000-0000-00004A2E0000}"/>
    <cellStyle name="Normal 10 2 2 3 2 4 3 3" xfId="37790" xr:uid="{00000000-0005-0000-0000-00004B2E0000}"/>
    <cellStyle name="Normal 10 2 2 3 2 4 4" xfId="9356" xr:uid="{00000000-0005-0000-0000-00004C2E0000}"/>
    <cellStyle name="Normal 10 2 2 3 2 4 4 2" xfId="21799" xr:uid="{00000000-0005-0000-0000-00004D2E0000}"/>
    <cellStyle name="Normal 10 2 2 3 2 4 4 2 2" xfId="46673" xr:uid="{00000000-0005-0000-0000-00004E2E0000}"/>
    <cellStyle name="Normal 10 2 2 3 2 4 4 3" xfId="34240" xr:uid="{00000000-0005-0000-0000-00004F2E0000}"/>
    <cellStyle name="Normal 10 2 2 3 2 4 5" xfId="4338" xr:uid="{00000000-0005-0000-0000-0000502E0000}"/>
    <cellStyle name="Normal 10 2 2 3 2 4 5 2" xfId="16792" xr:uid="{00000000-0005-0000-0000-0000512E0000}"/>
    <cellStyle name="Normal 10 2 2 3 2 4 5 2 2" xfId="41666" xr:uid="{00000000-0005-0000-0000-0000522E0000}"/>
    <cellStyle name="Normal 10 2 2 3 2 4 5 3" xfId="29233" xr:uid="{00000000-0005-0000-0000-0000532E0000}"/>
    <cellStyle name="Normal 10 2 2 3 2 4 6" xfId="15100" xr:uid="{00000000-0005-0000-0000-0000542E0000}"/>
    <cellStyle name="Normal 10 2 2 3 2 4 6 2" xfId="39974" xr:uid="{00000000-0005-0000-0000-0000552E0000}"/>
    <cellStyle name="Normal 10 2 2 3 2 4 7" xfId="27533" xr:uid="{00000000-0005-0000-0000-0000562E0000}"/>
    <cellStyle name="Normal 10 2 2 3 2 5" xfId="1257" xr:uid="{00000000-0005-0000-0000-0000572E0000}"/>
    <cellStyle name="Normal 10 2 2 3 2 5 2" xfId="10418" xr:uid="{00000000-0005-0000-0000-0000582E0000}"/>
    <cellStyle name="Normal 10 2 2 3 2 5 2 2" xfId="22861" xr:uid="{00000000-0005-0000-0000-0000592E0000}"/>
    <cellStyle name="Normal 10 2 2 3 2 5 2 2 2" xfId="47735" xr:uid="{00000000-0005-0000-0000-00005A2E0000}"/>
    <cellStyle name="Normal 10 2 2 3 2 5 2 3" xfId="35302" xr:uid="{00000000-0005-0000-0000-00005B2E0000}"/>
    <cellStyle name="Normal 10 2 2 3 2 5 3" xfId="5402" xr:uid="{00000000-0005-0000-0000-00005C2E0000}"/>
    <cellStyle name="Normal 10 2 2 3 2 5 3 2" xfId="17854" xr:uid="{00000000-0005-0000-0000-00005D2E0000}"/>
    <cellStyle name="Normal 10 2 2 3 2 5 3 2 2" xfId="42728" xr:uid="{00000000-0005-0000-0000-00005E2E0000}"/>
    <cellStyle name="Normal 10 2 2 3 2 5 3 3" xfId="30295" xr:uid="{00000000-0005-0000-0000-00005F2E0000}"/>
    <cellStyle name="Normal 10 2 2 3 2 5 4" xfId="14057" xr:uid="{00000000-0005-0000-0000-0000602E0000}"/>
    <cellStyle name="Normal 10 2 2 3 2 5 4 2" xfId="38931" xr:uid="{00000000-0005-0000-0000-0000612E0000}"/>
    <cellStyle name="Normal 10 2 2 3 2 5 5" xfId="26490" xr:uid="{00000000-0005-0000-0000-0000622E0000}"/>
    <cellStyle name="Normal 10 2 2 3 2 6" xfId="7979" xr:uid="{00000000-0005-0000-0000-0000632E0000}"/>
    <cellStyle name="Normal 10 2 2 3 2 6 2" xfId="20425" xr:uid="{00000000-0005-0000-0000-0000642E0000}"/>
    <cellStyle name="Normal 10 2 2 3 2 6 2 2" xfId="45299" xr:uid="{00000000-0005-0000-0000-0000652E0000}"/>
    <cellStyle name="Normal 10 2 2 3 2 6 3" xfId="32866" xr:uid="{00000000-0005-0000-0000-0000662E0000}"/>
    <cellStyle name="Normal 10 2 2 3 2 7" xfId="11872" xr:uid="{00000000-0005-0000-0000-0000672E0000}"/>
    <cellStyle name="Normal 10 2 2 3 2 7 2" xfId="24306" xr:uid="{00000000-0005-0000-0000-0000682E0000}"/>
    <cellStyle name="Normal 10 2 2 3 2 7 2 2" xfId="49180" xr:uid="{00000000-0005-0000-0000-0000692E0000}"/>
    <cellStyle name="Normal 10 2 2 3 2 7 3" xfId="36747" xr:uid="{00000000-0005-0000-0000-00006A2E0000}"/>
    <cellStyle name="Normal 10 2 2 3 2 8" xfId="6949" xr:uid="{00000000-0005-0000-0000-00006B2E0000}"/>
    <cellStyle name="Normal 10 2 2 3 2 8 2" xfId="19398" xr:uid="{00000000-0005-0000-0000-00006C2E0000}"/>
    <cellStyle name="Normal 10 2 2 3 2 8 2 2" xfId="44272" xr:uid="{00000000-0005-0000-0000-00006D2E0000}"/>
    <cellStyle name="Normal 10 2 2 3 2 8 3" xfId="31839" xr:uid="{00000000-0005-0000-0000-00006E2E0000}"/>
    <cellStyle name="Normal 10 2 2 3 2 9" xfId="2900" xr:uid="{00000000-0005-0000-0000-00006F2E0000}"/>
    <cellStyle name="Normal 10 2 2 3 2 9 2" xfId="15418" xr:uid="{00000000-0005-0000-0000-0000702E0000}"/>
    <cellStyle name="Normal 10 2 2 3 2 9 2 2" xfId="40292" xr:uid="{00000000-0005-0000-0000-0000712E0000}"/>
    <cellStyle name="Normal 10 2 2 3 2 9 3" xfId="27851" xr:uid="{00000000-0005-0000-0000-0000722E0000}"/>
    <cellStyle name="Normal 10 2 2 3 2_Degree data" xfId="2144" xr:uid="{00000000-0005-0000-0000-0000732E0000}"/>
    <cellStyle name="Normal 10 2 2 3 3" xfId="658" xr:uid="{00000000-0005-0000-0000-0000742E0000}"/>
    <cellStyle name="Normal 10 2 2 3 3 2" xfId="1361" xr:uid="{00000000-0005-0000-0000-0000752E0000}"/>
    <cellStyle name="Normal 10 2 2 3 3 2 2" xfId="9152" xr:uid="{00000000-0005-0000-0000-0000762E0000}"/>
    <cellStyle name="Normal 10 2 2 3 3 2 2 2" xfId="21595" xr:uid="{00000000-0005-0000-0000-0000772E0000}"/>
    <cellStyle name="Normal 10 2 2 3 3 2 2 2 2" xfId="46469" xr:uid="{00000000-0005-0000-0000-0000782E0000}"/>
    <cellStyle name="Normal 10 2 2 3 3 2 2 3" xfId="34036" xr:uid="{00000000-0005-0000-0000-0000792E0000}"/>
    <cellStyle name="Normal 10 2 2 3 3 2 3" xfId="4134" xr:uid="{00000000-0005-0000-0000-00007A2E0000}"/>
    <cellStyle name="Normal 10 2 2 3 3 2 3 2" xfId="16588" xr:uid="{00000000-0005-0000-0000-00007B2E0000}"/>
    <cellStyle name="Normal 10 2 2 3 3 2 3 2 2" xfId="41462" xr:uid="{00000000-0005-0000-0000-00007C2E0000}"/>
    <cellStyle name="Normal 10 2 2 3 3 2 3 3" xfId="29029" xr:uid="{00000000-0005-0000-0000-00007D2E0000}"/>
    <cellStyle name="Normal 10 2 2 3 3 2 4" xfId="14161" xr:uid="{00000000-0005-0000-0000-00007E2E0000}"/>
    <cellStyle name="Normal 10 2 2 3 3 2 4 2" xfId="39035" xr:uid="{00000000-0005-0000-0000-00007F2E0000}"/>
    <cellStyle name="Normal 10 2 2 3 3 2 5" xfId="26594" xr:uid="{00000000-0005-0000-0000-0000802E0000}"/>
    <cellStyle name="Normal 10 2 2 3 3 3" xfId="5506" xr:uid="{00000000-0005-0000-0000-0000812E0000}"/>
    <cellStyle name="Normal 10 2 2 3 3 3 2" xfId="10522" xr:uid="{00000000-0005-0000-0000-0000822E0000}"/>
    <cellStyle name="Normal 10 2 2 3 3 3 2 2" xfId="22965" xr:uid="{00000000-0005-0000-0000-0000832E0000}"/>
    <cellStyle name="Normal 10 2 2 3 3 3 2 2 2" xfId="47839" xr:uid="{00000000-0005-0000-0000-0000842E0000}"/>
    <cellStyle name="Normal 10 2 2 3 3 3 2 3" xfId="35406" xr:uid="{00000000-0005-0000-0000-0000852E0000}"/>
    <cellStyle name="Normal 10 2 2 3 3 3 3" xfId="17958" xr:uid="{00000000-0005-0000-0000-0000862E0000}"/>
    <cellStyle name="Normal 10 2 2 3 3 3 3 2" xfId="42832" xr:uid="{00000000-0005-0000-0000-0000872E0000}"/>
    <cellStyle name="Normal 10 2 2 3 3 3 4" xfId="30399" xr:uid="{00000000-0005-0000-0000-0000882E0000}"/>
    <cellStyle name="Normal 10 2 2 3 3 4" xfId="8268" xr:uid="{00000000-0005-0000-0000-0000892E0000}"/>
    <cellStyle name="Normal 10 2 2 3 3 4 2" xfId="20712" xr:uid="{00000000-0005-0000-0000-00008A2E0000}"/>
    <cellStyle name="Normal 10 2 2 3 3 4 2 2" xfId="45586" xr:uid="{00000000-0005-0000-0000-00008B2E0000}"/>
    <cellStyle name="Normal 10 2 2 3 3 4 3" xfId="33153" xr:uid="{00000000-0005-0000-0000-00008C2E0000}"/>
    <cellStyle name="Normal 10 2 2 3 3 5" xfId="11976" xr:uid="{00000000-0005-0000-0000-00008D2E0000}"/>
    <cellStyle name="Normal 10 2 2 3 3 5 2" xfId="24410" xr:uid="{00000000-0005-0000-0000-00008E2E0000}"/>
    <cellStyle name="Normal 10 2 2 3 3 5 2 2" xfId="49284" xr:uid="{00000000-0005-0000-0000-00008F2E0000}"/>
    <cellStyle name="Normal 10 2 2 3 3 5 3" xfId="36851" xr:uid="{00000000-0005-0000-0000-0000902E0000}"/>
    <cellStyle name="Normal 10 2 2 3 3 6" xfId="6745" xr:uid="{00000000-0005-0000-0000-0000912E0000}"/>
    <cellStyle name="Normal 10 2 2 3 3 6 2" xfId="19194" xr:uid="{00000000-0005-0000-0000-0000922E0000}"/>
    <cellStyle name="Normal 10 2 2 3 3 6 2 2" xfId="44068" xr:uid="{00000000-0005-0000-0000-0000932E0000}"/>
    <cellStyle name="Normal 10 2 2 3 3 6 3" xfId="31635" xr:uid="{00000000-0005-0000-0000-0000942E0000}"/>
    <cellStyle name="Normal 10 2 2 3 3 7" xfId="3199" xr:uid="{00000000-0005-0000-0000-0000952E0000}"/>
    <cellStyle name="Normal 10 2 2 3 3 7 2" xfId="15705" xr:uid="{00000000-0005-0000-0000-0000962E0000}"/>
    <cellStyle name="Normal 10 2 2 3 3 7 2 2" xfId="40579" xr:uid="{00000000-0005-0000-0000-0000972E0000}"/>
    <cellStyle name="Normal 10 2 2 3 3 7 3" xfId="28138" xr:uid="{00000000-0005-0000-0000-0000982E0000}"/>
    <cellStyle name="Normal 10 2 2 3 3 8" xfId="13462" xr:uid="{00000000-0005-0000-0000-0000992E0000}"/>
    <cellStyle name="Normal 10 2 2 3 3 8 2" xfId="38336" xr:uid="{00000000-0005-0000-0000-00009A2E0000}"/>
    <cellStyle name="Normal 10 2 2 3 3 9" xfId="25895" xr:uid="{00000000-0005-0000-0000-00009B2E0000}"/>
    <cellStyle name="Normal 10 2 2 3 4" xfId="1709" xr:uid="{00000000-0005-0000-0000-00009C2E0000}"/>
    <cellStyle name="Normal 10 2 2 3 4 2" xfId="4447" xr:uid="{00000000-0005-0000-0000-00009D2E0000}"/>
    <cellStyle name="Normal 10 2 2 3 4 2 2" xfId="9465" xr:uid="{00000000-0005-0000-0000-00009E2E0000}"/>
    <cellStyle name="Normal 10 2 2 3 4 2 2 2" xfId="21908" xr:uid="{00000000-0005-0000-0000-00009F2E0000}"/>
    <cellStyle name="Normal 10 2 2 3 4 2 2 2 2" xfId="46782" xr:uid="{00000000-0005-0000-0000-0000A02E0000}"/>
    <cellStyle name="Normal 10 2 2 3 4 2 2 3" xfId="34349" xr:uid="{00000000-0005-0000-0000-0000A12E0000}"/>
    <cellStyle name="Normal 10 2 2 3 4 2 3" xfId="16901" xr:uid="{00000000-0005-0000-0000-0000A22E0000}"/>
    <cellStyle name="Normal 10 2 2 3 4 2 3 2" xfId="41775" xr:uid="{00000000-0005-0000-0000-0000A32E0000}"/>
    <cellStyle name="Normal 10 2 2 3 4 2 4" xfId="29342" xr:uid="{00000000-0005-0000-0000-0000A42E0000}"/>
    <cellStyle name="Normal 10 2 2 3 4 3" xfId="5855" xr:uid="{00000000-0005-0000-0000-0000A52E0000}"/>
    <cellStyle name="Normal 10 2 2 3 4 3 2" xfId="10870" xr:uid="{00000000-0005-0000-0000-0000A62E0000}"/>
    <cellStyle name="Normal 10 2 2 3 4 3 2 2" xfId="23313" xr:uid="{00000000-0005-0000-0000-0000A72E0000}"/>
    <cellStyle name="Normal 10 2 2 3 4 3 2 2 2" xfId="48187" xr:uid="{00000000-0005-0000-0000-0000A82E0000}"/>
    <cellStyle name="Normal 10 2 2 3 4 3 2 3" xfId="35754" xr:uid="{00000000-0005-0000-0000-0000A92E0000}"/>
    <cellStyle name="Normal 10 2 2 3 4 3 3" xfId="18306" xr:uid="{00000000-0005-0000-0000-0000AA2E0000}"/>
    <cellStyle name="Normal 10 2 2 3 4 3 3 2" xfId="43180" xr:uid="{00000000-0005-0000-0000-0000AB2E0000}"/>
    <cellStyle name="Normal 10 2 2 3 4 3 4" xfId="30747" xr:uid="{00000000-0005-0000-0000-0000AC2E0000}"/>
    <cellStyle name="Normal 10 2 2 3 4 4" xfId="8581" xr:uid="{00000000-0005-0000-0000-0000AD2E0000}"/>
    <cellStyle name="Normal 10 2 2 3 4 4 2" xfId="21025" xr:uid="{00000000-0005-0000-0000-0000AE2E0000}"/>
    <cellStyle name="Normal 10 2 2 3 4 4 2 2" xfId="45899" xr:uid="{00000000-0005-0000-0000-0000AF2E0000}"/>
    <cellStyle name="Normal 10 2 2 3 4 4 3" xfId="33466" xr:uid="{00000000-0005-0000-0000-0000B02E0000}"/>
    <cellStyle name="Normal 10 2 2 3 4 5" xfId="12324" xr:uid="{00000000-0005-0000-0000-0000B12E0000}"/>
    <cellStyle name="Normal 10 2 2 3 4 5 2" xfId="24758" xr:uid="{00000000-0005-0000-0000-0000B22E0000}"/>
    <cellStyle name="Normal 10 2 2 3 4 5 2 2" xfId="49632" xr:uid="{00000000-0005-0000-0000-0000B32E0000}"/>
    <cellStyle name="Normal 10 2 2 3 4 5 3" xfId="37199" xr:uid="{00000000-0005-0000-0000-0000B42E0000}"/>
    <cellStyle name="Normal 10 2 2 3 4 6" xfId="7058" xr:uid="{00000000-0005-0000-0000-0000B52E0000}"/>
    <cellStyle name="Normal 10 2 2 3 4 6 2" xfId="19507" xr:uid="{00000000-0005-0000-0000-0000B62E0000}"/>
    <cellStyle name="Normal 10 2 2 3 4 6 2 2" xfId="44381" xr:uid="{00000000-0005-0000-0000-0000B72E0000}"/>
    <cellStyle name="Normal 10 2 2 3 4 6 3" xfId="31948" xr:uid="{00000000-0005-0000-0000-0000B82E0000}"/>
    <cellStyle name="Normal 10 2 2 3 4 7" xfId="3512" xr:uid="{00000000-0005-0000-0000-0000B92E0000}"/>
    <cellStyle name="Normal 10 2 2 3 4 7 2" xfId="16018" xr:uid="{00000000-0005-0000-0000-0000BA2E0000}"/>
    <cellStyle name="Normal 10 2 2 3 4 7 2 2" xfId="40892" xr:uid="{00000000-0005-0000-0000-0000BB2E0000}"/>
    <cellStyle name="Normal 10 2 2 3 4 7 3" xfId="28451" xr:uid="{00000000-0005-0000-0000-0000BC2E0000}"/>
    <cellStyle name="Normal 10 2 2 3 4 8" xfId="14509" xr:uid="{00000000-0005-0000-0000-0000BD2E0000}"/>
    <cellStyle name="Normal 10 2 2 3 4 8 2" xfId="39383" xr:uid="{00000000-0005-0000-0000-0000BE2E0000}"/>
    <cellStyle name="Normal 10 2 2 3 4 9" xfId="26942" xr:uid="{00000000-0005-0000-0000-0000BF2E0000}"/>
    <cellStyle name="Normal 10 2 2 3 5" xfId="2215" xr:uid="{00000000-0005-0000-0000-0000C02E0000}"/>
    <cellStyle name="Normal 10 2 2 3 5 2" xfId="4844" xr:uid="{00000000-0005-0000-0000-0000C12E0000}"/>
    <cellStyle name="Normal 10 2 2 3 5 2 2" xfId="9861" xr:uid="{00000000-0005-0000-0000-0000C22E0000}"/>
    <cellStyle name="Normal 10 2 2 3 5 2 2 2" xfId="22304" xr:uid="{00000000-0005-0000-0000-0000C32E0000}"/>
    <cellStyle name="Normal 10 2 2 3 5 2 2 2 2" xfId="47178" xr:uid="{00000000-0005-0000-0000-0000C42E0000}"/>
    <cellStyle name="Normal 10 2 2 3 5 2 2 3" xfId="34745" xr:uid="{00000000-0005-0000-0000-0000C52E0000}"/>
    <cellStyle name="Normal 10 2 2 3 5 2 3" xfId="17297" xr:uid="{00000000-0005-0000-0000-0000C62E0000}"/>
    <cellStyle name="Normal 10 2 2 3 5 2 3 2" xfId="42171" xr:uid="{00000000-0005-0000-0000-0000C72E0000}"/>
    <cellStyle name="Normal 10 2 2 3 5 2 4" xfId="29738" xr:uid="{00000000-0005-0000-0000-0000C82E0000}"/>
    <cellStyle name="Normal 10 2 2 3 5 3" xfId="6242" xr:uid="{00000000-0005-0000-0000-0000C92E0000}"/>
    <cellStyle name="Normal 10 2 2 3 5 3 2" xfId="11257" xr:uid="{00000000-0005-0000-0000-0000CA2E0000}"/>
    <cellStyle name="Normal 10 2 2 3 5 3 2 2" xfId="23700" xr:uid="{00000000-0005-0000-0000-0000CB2E0000}"/>
    <cellStyle name="Normal 10 2 2 3 5 3 2 2 2" xfId="48574" xr:uid="{00000000-0005-0000-0000-0000CC2E0000}"/>
    <cellStyle name="Normal 10 2 2 3 5 3 2 3" xfId="36141" xr:uid="{00000000-0005-0000-0000-0000CD2E0000}"/>
    <cellStyle name="Normal 10 2 2 3 5 3 3" xfId="18693" xr:uid="{00000000-0005-0000-0000-0000CE2E0000}"/>
    <cellStyle name="Normal 10 2 2 3 5 3 3 2" xfId="43567" xr:uid="{00000000-0005-0000-0000-0000CF2E0000}"/>
    <cellStyle name="Normal 10 2 2 3 5 3 4" xfId="31134" xr:uid="{00000000-0005-0000-0000-0000D02E0000}"/>
    <cellStyle name="Normal 10 2 2 3 5 4" xfId="8153" xr:uid="{00000000-0005-0000-0000-0000D12E0000}"/>
    <cellStyle name="Normal 10 2 2 3 5 4 2" xfId="20599" xr:uid="{00000000-0005-0000-0000-0000D22E0000}"/>
    <cellStyle name="Normal 10 2 2 3 5 4 2 2" xfId="45473" xr:uid="{00000000-0005-0000-0000-0000D32E0000}"/>
    <cellStyle name="Normal 10 2 2 3 5 4 3" xfId="33040" xr:uid="{00000000-0005-0000-0000-0000D42E0000}"/>
    <cellStyle name="Normal 10 2 2 3 5 5" xfId="12711" xr:uid="{00000000-0005-0000-0000-0000D52E0000}"/>
    <cellStyle name="Normal 10 2 2 3 5 5 2" xfId="25145" xr:uid="{00000000-0005-0000-0000-0000D62E0000}"/>
    <cellStyle name="Normal 10 2 2 3 5 5 2 2" xfId="50019" xr:uid="{00000000-0005-0000-0000-0000D72E0000}"/>
    <cellStyle name="Normal 10 2 2 3 5 5 3" xfId="37586" xr:uid="{00000000-0005-0000-0000-0000D82E0000}"/>
    <cellStyle name="Normal 10 2 2 3 5 6" xfId="7455" xr:uid="{00000000-0005-0000-0000-0000D92E0000}"/>
    <cellStyle name="Normal 10 2 2 3 5 6 2" xfId="19903" xr:uid="{00000000-0005-0000-0000-0000DA2E0000}"/>
    <cellStyle name="Normal 10 2 2 3 5 6 2 2" xfId="44777" xr:uid="{00000000-0005-0000-0000-0000DB2E0000}"/>
    <cellStyle name="Normal 10 2 2 3 5 6 3" xfId="32344" xr:uid="{00000000-0005-0000-0000-0000DC2E0000}"/>
    <cellStyle name="Normal 10 2 2 3 5 7" xfId="3083" xr:uid="{00000000-0005-0000-0000-0000DD2E0000}"/>
    <cellStyle name="Normal 10 2 2 3 5 7 2" xfId="15592" xr:uid="{00000000-0005-0000-0000-0000DE2E0000}"/>
    <cellStyle name="Normal 10 2 2 3 5 7 2 2" xfId="40466" xr:uid="{00000000-0005-0000-0000-0000DF2E0000}"/>
    <cellStyle name="Normal 10 2 2 3 5 7 3" xfId="28025" xr:uid="{00000000-0005-0000-0000-0000E02E0000}"/>
    <cellStyle name="Normal 10 2 2 3 5 8" xfId="14896" xr:uid="{00000000-0005-0000-0000-0000E12E0000}"/>
    <cellStyle name="Normal 10 2 2 3 5 8 2" xfId="39770" xr:uid="{00000000-0005-0000-0000-0000E22E0000}"/>
    <cellStyle name="Normal 10 2 2 3 5 9" xfId="27329" xr:uid="{00000000-0005-0000-0000-0000E32E0000}"/>
    <cellStyle name="Normal 10 2 2 3 6" xfId="1053" xr:uid="{00000000-0005-0000-0000-0000E42E0000}"/>
    <cellStyle name="Normal 10 2 2 3 6 2" xfId="9039" xr:uid="{00000000-0005-0000-0000-0000E52E0000}"/>
    <cellStyle name="Normal 10 2 2 3 6 2 2" xfId="21482" xr:uid="{00000000-0005-0000-0000-0000E62E0000}"/>
    <cellStyle name="Normal 10 2 2 3 6 2 2 2" xfId="46356" xr:uid="{00000000-0005-0000-0000-0000E72E0000}"/>
    <cellStyle name="Normal 10 2 2 3 6 2 3" xfId="33923" xr:uid="{00000000-0005-0000-0000-0000E82E0000}"/>
    <cellStyle name="Normal 10 2 2 3 6 3" xfId="4021" xr:uid="{00000000-0005-0000-0000-0000E92E0000}"/>
    <cellStyle name="Normal 10 2 2 3 6 3 2" xfId="16475" xr:uid="{00000000-0005-0000-0000-0000EA2E0000}"/>
    <cellStyle name="Normal 10 2 2 3 6 3 2 2" xfId="41349" xr:uid="{00000000-0005-0000-0000-0000EB2E0000}"/>
    <cellStyle name="Normal 10 2 2 3 6 3 3" xfId="28916" xr:uid="{00000000-0005-0000-0000-0000EC2E0000}"/>
    <cellStyle name="Normal 10 2 2 3 6 4" xfId="13853" xr:uid="{00000000-0005-0000-0000-0000ED2E0000}"/>
    <cellStyle name="Normal 10 2 2 3 6 4 2" xfId="38727" xr:uid="{00000000-0005-0000-0000-0000EE2E0000}"/>
    <cellStyle name="Normal 10 2 2 3 6 5" xfId="26286" xr:uid="{00000000-0005-0000-0000-0000EF2E0000}"/>
    <cellStyle name="Normal 10 2 2 3 7" xfId="5198" xr:uid="{00000000-0005-0000-0000-0000F02E0000}"/>
    <cellStyle name="Normal 10 2 2 3 7 2" xfId="10214" xr:uid="{00000000-0005-0000-0000-0000F12E0000}"/>
    <cellStyle name="Normal 10 2 2 3 7 2 2" xfId="22657" xr:uid="{00000000-0005-0000-0000-0000F22E0000}"/>
    <cellStyle name="Normal 10 2 2 3 7 2 2 2" xfId="47531" xr:uid="{00000000-0005-0000-0000-0000F32E0000}"/>
    <cellStyle name="Normal 10 2 2 3 7 2 3" xfId="35098" xr:uid="{00000000-0005-0000-0000-0000F42E0000}"/>
    <cellStyle name="Normal 10 2 2 3 7 3" xfId="17650" xr:uid="{00000000-0005-0000-0000-0000F52E0000}"/>
    <cellStyle name="Normal 10 2 2 3 7 3 2" xfId="42524" xr:uid="{00000000-0005-0000-0000-0000F62E0000}"/>
    <cellStyle name="Normal 10 2 2 3 7 4" xfId="30091" xr:uid="{00000000-0005-0000-0000-0000F72E0000}"/>
    <cellStyle name="Normal 10 2 2 3 8" xfId="7775" xr:uid="{00000000-0005-0000-0000-0000F82E0000}"/>
    <cellStyle name="Normal 10 2 2 3 8 2" xfId="20221" xr:uid="{00000000-0005-0000-0000-0000F92E0000}"/>
    <cellStyle name="Normal 10 2 2 3 8 2 2" xfId="45095" xr:uid="{00000000-0005-0000-0000-0000FA2E0000}"/>
    <cellStyle name="Normal 10 2 2 3 8 3" xfId="32662" xr:uid="{00000000-0005-0000-0000-0000FB2E0000}"/>
    <cellStyle name="Normal 10 2 2 3 9" xfId="11668" xr:uid="{00000000-0005-0000-0000-0000FC2E0000}"/>
    <cellStyle name="Normal 10 2 2 3 9 2" xfId="24102" xr:uid="{00000000-0005-0000-0000-0000FD2E0000}"/>
    <cellStyle name="Normal 10 2 2 3 9 2 2" xfId="48976" xr:uid="{00000000-0005-0000-0000-0000FE2E0000}"/>
    <cellStyle name="Normal 10 2 2 3 9 3" xfId="36543" xr:uid="{00000000-0005-0000-0000-0000FF2E0000}"/>
    <cellStyle name="Normal 10 2 2 3_Degree data" xfId="2018" xr:uid="{00000000-0005-0000-0000-0000002F0000}"/>
    <cellStyle name="Normal 10 2 2 4" xfId="399" xr:uid="{00000000-0005-0000-0000-0000012F0000}"/>
    <cellStyle name="Normal 10 2 2 4 10" xfId="13215" xr:uid="{00000000-0005-0000-0000-0000022F0000}"/>
    <cellStyle name="Normal 10 2 2 4 10 2" xfId="38089" xr:uid="{00000000-0005-0000-0000-0000032F0000}"/>
    <cellStyle name="Normal 10 2 2 4 11" xfId="25648" xr:uid="{00000000-0005-0000-0000-0000042F0000}"/>
    <cellStyle name="Normal 10 2 2 4 2" xfId="759" xr:uid="{00000000-0005-0000-0000-0000052F0000}"/>
    <cellStyle name="Normal 10 2 2 4 2 2" xfId="1363" xr:uid="{00000000-0005-0000-0000-0000062F0000}"/>
    <cellStyle name="Normal 10 2 2 4 2 2 2" xfId="9467" xr:uid="{00000000-0005-0000-0000-0000072F0000}"/>
    <cellStyle name="Normal 10 2 2 4 2 2 2 2" xfId="21910" xr:uid="{00000000-0005-0000-0000-0000082F0000}"/>
    <cellStyle name="Normal 10 2 2 4 2 2 2 2 2" xfId="46784" xr:uid="{00000000-0005-0000-0000-0000092F0000}"/>
    <cellStyle name="Normal 10 2 2 4 2 2 2 3" xfId="34351" xr:uid="{00000000-0005-0000-0000-00000A2F0000}"/>
    <cellStyle name="Normal 10 2 2 4 2 2 3" xfId="4449" xr:uid="{00000000-0005-0000-0000-00000B2F0000}"/>
    <cellStyle name="Normal 10 2 2 4 2 2 3 2" xfId="16903" xr:uid="{00000000-0005-0000-0000-00000C2F0000}"/>
    <cellStyle name="Normal 10 2 2 4 2 2 3 2 2" xfId="41777" xr:uid="{00000000-0005-0000-0000-00000D2F0000}"/>
    <cellStyle name="Normal 10 2 2 4 2 2 3 3" xfId="29344" xr:uid="{00000000-0005-0000-0000-00000E2F0000}"/>
    <cellStyle name="Normal 10 2 2 4 2 2 4" xfId="14163" xr:uid="{00000000-0005-0000-0000-00000F2F0000}"/>
    <cellStyle name="Normal 10 2 2 4 2 2 4 2" xfId="39037" xr:uid="{00000000-0005-0000-0000-0000102F0000}"/>
    <cellStyle name="Normal 10 2 2 4 2 2 5" xfId="26596" xr:uid="{00000000-0005-0000-0000-0000112F0000}"/>
    <cellStyle name="Normal 10 2 2 4 2 3" xfId="5508" xr:uid="{00000000-0005-0000-0000-0000122F0000}"/>
    <cellStyle name="Normal 10 2 2 4 2 3 2" xfId="10524" xr:uid="{00000000-0005-0000-0000-0000132F0000}"/>
    <cellStyle name="Normal 10 2 2 4 2 3 2 2" xfId="22967" xr:uid="{00000000-0005-0000-0000-0000142F0000}"/>
    <cellStyle name="Normal 10 2 2 4 2 3 2 2 2" xfId="47841" xr:uid="{00000000-0005-0000-0000-0000152F0000}"/>
    <cellStyle name="Normal 10 2 2 4 2 3 2 3" xfId="35408" xr:uid="{00000000-0005-0000-0000-0000162F0000}"/>
    <cellStyle name="Normal 10 2 2 4 2 3 3" xfId="17960" xr:uid="{00000000-0005-0000-0000-0000172F0000}"/>
    <cellStyle name="Normal 10 2 2 4 2 3 3 2" xfId="42834" xr:uid="{00000000-0005-0000-0000-0000182F0000}"/>
    <cellStyle name="Normal 10 2 2 4 2 3 4" xfId="30401" xr:uid="{00000000-0005-0000-0000-0000192F0000}"/>
    <cellStyle name="Normal 10 2 2 4 2 4" xfId="8583" xr:uid="{00000000-0005-0000-0000-00001A2F0000}"/>
    <cellStyle name="Normal 10 2 2 4 2 4 2" xfId="21027" xr:uid="{00000000-0005-0000-0000-00001B2F0000}"/>
    <cellStyle name="Normal 10 2 2 4 2 4 2 2" xfId="45901" xr:uid="{00000000-0005-0000-0000-00001C2F0000}"/>
    <cellStyle name="Normal 10 2 2 4 2 4 3" xfId="33468" xr:uid="{00000000-0005-0000-0000-00001D2F0000}"/>
    <cellStyle name="Normal 10 2 2 4 2 5" xfId="11978" xr:uid="{00000000-0005-0000-0000-00001E2F0000}"/>
    <cellStyle name="Normal 10 2 2 4 2 5 2" xfId="24412" xr:uid="{00000000-0005-0000-0000-00001F2F0000}"/>
    <cellStyle name="Normal 10 2 2 4 2 5 2 2" xfId="49286" xr:uid="{00000000-0005-0000-0000-0000202F0000}"/>
    <cellStyle name="Normal 10 2 2 4 2 5 3" xfId="36853" xr:uid="{00000000-0005-0000-0000-0000212F0000}"/>
    <cellStyle name="Normal 10 2 2 4 2 6" xfId="7060" xr:uid="{00000000-0005-0000-0000-0000222F0000}"/>
    <cellStyle name="Normal 10 2 2 4 2 6 2" xfId="19509" xr:uid="{00000000-0005-0000-0000-0000232F0000}"/>
    <cellStyle name="Normal 10 2 2 4 2 6 2 2" xfId="44383" xr:uid="{00000000-0005-0000-0000-0000242F0000}"/>
    <cellStyle name="Normal 10 2 2 4 2 6 3" xfId="31950" xr:uid="{00000000-0005-0000-0000-0000252F0000}"/>
    <cellStyle name="Normal 10 2 2 4 2 7" xfId="3514" xr:uid="{00000000-0005-0000-0000-0000262F0000}"/>
    <cellStyle name="Normal 10 2 2 4 2 7 2" xfId="16020" xr:uid="{00000000-0005-0000-0000-0000272F0000}"/>
    <cellStyle name="Normal 10 2 2 4 2 7 2 2" xfId="40894" xr:uid="{00000000-0005-0000-0000-0000282F0000}"/>
    <cellStyle name="Normal 10 2 2 4 2 7 3" xfId="28453" xr:uid="{00000000-0005-0000-0000-0000292F0000}"/>
    <cellStyle name="Normal 10 2 2 4 2 8" xfId="13562" xr:uid="{00000000-0005-0000-0000-00002A2F0000}"/>
    <cellStyle name="Normal 10 2 2 4 2 8 2" xfId="38436" xr:uid="{00000000-0005-0000-0000-00002B2F0000}"/>
    <cellStyle name="Normal 10 2 2 4 2 9" xfId="25995" xr:uid="{00000000-0005-0000-0000-00002C2F0000}"/>
    <cellStyle name="Normal 10 2 2 4 3" xfId="1711" xr:uid="{00000000-0005-0000-0000-00002D2F0000}"/>
    <cellStyle name="Normal 10 2 2 4 3 2" xfId="4944" xr:uid="{00000000-0005-0000-0000-00002E2F0000}"/>
    <cellStyle name="Normal 10 2 2 4 3 2 2" xfId="9961" xr:uid="{00000000-0005-0000-0000-00002F2F0000}"/>
    <cellStyle name="Normal 10 2 2 4 3 2 2 2" xfId="22404" xr:uid="{00000000-0005-0000-0000-0000302F0000}"/>
    <cellStyle name="Normal 10 2 2 4 3 2 2 2 2" xfId="47278" xr:uid="{00000000-0005-0000-0000-0000312F0000}"/>
    <cellStyle name="Normal 10 2 2 4 3 2 2 3" xfId="34845" xr:uid="{00000000-0005-0000-0000-0000322F0000}"/>
    <cellStyle name="Normal 10 2 2 4 3 2 3" xfId="17397" xr:uid="{00000000-0005-0000-0000-0000332F0000}"/>
    <cellStyle name="Normal 10 2 2 4 3 2 3 2" xfId="42271" xr:uid="{00000000-0005-0000-0000-0000342F0000}"/>
    <cellStyle name="Normal 10 2 2 4 3 2 4" xfId="29838" xr:uid="{00000000-0005-0000-0000-0000352F0000}"/>
    <cellStyle name="Normal 10 2 2 4 3 3" xfId="5857" xr:uid="{00000000-0005-0000-0000-0000362F0000}"/>
    <cellStyle name="Normal 10 2 2 4 3 3 2" xfId="10872" xr:uid="{00000000-0005-0000-0000-0000372F0000}"/>
    <cellStyle name="Normal 10 2 2 4 3 3 2 2" xfId="23315" xr:uid="{00000000-0005-0000-0000-0000382F0000}"/>
    <cellStyle name="Normal 10 2 2 4 3 3 2 2 2" xfId="48189" xr:uid="{00000000-0005-0000-0000-0000392F0000}"/>
    <cellStyle name="Normal 10 2 2 4 3 3 2 3" xfId="35756" xr:uid="{00000000-0005-0000-0000-00003A2F0000}"/>
    <cellStyle name="Normal 10 2 2 4 3 3 3" xfId="18308" xr:uid="{00000000-0005-0000-0000-00003B2F0000}"/>
    <cellStyle name="Normal 10 2 2 4 3 3 3 2" xfId="43182" xr:uid="{00000000-0005-0000-0000-00003C2F0000}"/>
    <cellStyle name="Normal 10 2 2 4 3 3 4" xfId="30749" xr:uid="{00000000-0005-0000-0000-00003D2F0000}"/>
    <cellStyle name="Normal 10 2 2 4 3 4" xfId="8368" xr:uid="{00000000-0005-0000-0000-00003E2F0000}"/>
    <cellStyle name="Normal 10 2 2 4 3 4 2" xfId="20812" xr:uid="{00000000-0005-0000-0000-00003F2F0000}"/>
    <cellStyle name="Normal 10 2 2 4 3 4 2 2" xfId="45686" xr:uid="{00000000-0005-0000-0000-0000402F0000}"/>
    <cellStyle name="Normal 10 2 2 4 3 4 3" xfId="33253" xr:uid="{00000000-0005-0000-0000-0000412F0000}"/>
    <cellStyle name="Normal 10 2 2 4 3 5" xfId="12326" xr:uid="{00000000-0005-0000-0000-0000422F0000}"/>
    <cellStyle name="Normal 10 2 2 4 3 5 2" xfId="24760" xr:uid="{00000000-0005-0000-0000-0000432F0000}"/>
    <cellStyle name="Normal 10 2 2 4 3 5 2 2" xfId="49634" xr:uid="{00000000-0005-0000-0000-0000442F0000}"/>
    <cellStyle name="Normal 10 2 2 4 3 5 3" xfId="37201" xr:uid="{00000000-0005-0000-0000-0000452F0000}"/>
    <cellStyle name="Normal 10 2 2 4 3 6" xfId="7555" xr:uid="{00000000-0005-0000-0000-0000462F0000}"/>
    <cellStyle name="Normal 10 2 2 4 3 6 2" xfId="20003" xr:uid="{00000000-0005-0000-0000-0000472F0000}"/>
    <cellStyle name="Normal 10 2 2 4 3 6 2 2" xfId="44877" xr:uid="{00000000-0005-0000-0000-0000482F0000}"/>
    <cellStyle name="Normal 10 2 2 4 3 6 3" xfId="32444" xr:uid="{00000000-0005-0000-0000-0000492F0000}"/>
    <cellStyle name="Normal 10 2 2 4 3 7" xfId="3299" xr:uid="{00000000-0005-0000-0000-00004A2F0000}"/>
    <cellStyle name="Normal 10 2 2 4 3 7 2" xfId="15805" xr:uid="{00000000-0005-0000-0000-00004B2F0000}"/>
    <cellStyle name="Normal 10 2 2 4 3 7 2 2" xfId="40679" xr:uid="{00000000-0005-0000-0000-00004C2F0000}"/>
    <cellStyle name="Normal 10 2 2 4 3 7 3" xfId="28238" xr:uid="{00000000-0005-0000-0000-00004D2F0000}"/>
    <cellStyle name="Normal 10 2 2 4 3 8" xfId="14511" xr:uid="{00000000-0005-0000-0000-00004E2F0000}"/>
    <cellStyle name="Normal 10 2 2 4 3 8 2" xfId="39385" xr:uid="{00000000-0005-0000-0000-00004F2F0000}"/>
    <cellStyle name="Normal 10 2 2 4 3 9" xfId="26944" xr:uid="{00000000-0005-0000-0000-0000502F0000}"/>
    <cellStyle name="Normal 10 2 2 4 4" xfId="2317" xr:uid="{00000000-0005-0000-0000-0000512F0000}"/>
    <cellStyle name="Normal 10 2 2 4 4 2" xfId="6342" xr:uid="{00000000-0005-0000-0000-0000522F0000}"/>
    <cellStyle name="Normal 10 2 2 4 4 2 2" xfId="11357" xr:uid="{00000000-0005-0000-0000-0000532F0000}"/>
    <cellStyle name="Normal 10 2 2 4 4 2 2 2" xfId="23800" xr:uid="{00000000-0005-0000-0000-0000542F0000}"/>
    <cellStyle name="Normal 10 2 2 4 4 2 2 2 2" xfId="48674" xr:uid="{00000000-0005-0000-0000-0000552F0000}"/>
    <cellStyle name="Normal 10 2 2 4 4 2 2 3" xfId="36241" xr:uid="{00000000-0005-0000-0000-0000562F0000}"/>
    <cellStyle name="Normal 10 2 2 4 4 2 3" xfId="18793" xr:uid="{00000000-0005-0000-0000-0000572F0000}"/>
    <cellStyle name="Normal 10 2 2 4 4 2 3 2" xfId="43667" xr:uid="{00000000-0005-0000-0000-0000582F0000}"/>
    <cellStyle name="Normal 10 2 2 4 4 2 4" xfId="31234" xr:uid="{00000000-0005-0000-0000-0000592F0000}"/>
    <cellStyle name="Normal 10 2 2 4 4 3" xfId="12811" xr:uid="{00000000-0005-0000-0000-00005A2F0000}"/>
    <cellStyle name="Normal 10 2 2 4 4 3 2" xfId="25245" xr:uid="{00000000-0005-0000-0000-00005B2F0000}"/>
    <cellStyle name="Normal 10 2 2 4 4 3 2 2" xfId="50119" xr:uid="{00000000-0005-0000-0000-00005C2F0000}"/>
    <cellStyle name="Normal 10 2 2 4 4 3 3" xfId="37686" xr:uid="{00000000-0005-0000-0000-00005D2F0000}"/>
    <cellStyle name="Normal 10 2 2 4 4 4" xfId="9252" xr:uid="{00000000-0005-0000-0000-00005E2F0000}"/>
    <cellStyle name="Normal 10 2 2 4 4 4 2" xfId="21695" xr:uid="{00000000-0005-0000-0000-00005F2F0000}"/>
    <cellStyle name="Normal 10 2 2 4 4 4 2 2" xfId="46569" xr:uid="{00000000-0005-0000-0000-0000602F0000}"/>
    <cellStyle name="Normal 10 2 2 4 4 4 3" xfId="34136" xr:uid="{00000000-0005-0000-0000-0000612F0000}"/>
    <cellStyle name="Normal 10 2 2 4 4 5" xfId="4234" xr:uid="{00000000-0005-0000-0000-0000622F0000}"/>
    <cellStyle name="Normal 10 2 2 4 4 5 2" xfId="16688" xr:uid="{00000000-0005-0000-0000-0000632F0000}"/>
    <cellStyle name="Normal 10 2 2 4 4 5 2 2" xfId="41562" xr:uid="{00000000-0005-0000-0000-0000642F0000}"/>
    <cellStyle name="Normal 10 2 2 4 4 5 3" xfId="29129" xr:uid="{00000000-0005-0000-0000-0000652F0000}"/>
    <cellStyle name="Normal 10 2 2 4 4 6" xfId="14996" xr:uid="{00000000-0005-0000-0000-0000662F0000}"/>
    <cellStyle name="Normal 10 2 2 4 4 6 2" xfId="39870" xr:uid="{00000000-0005-0000-0000-0000672F0000}"/>
    <cellStyle name="Normal 10 2 2 4 4 7" xfId="27429" xr:uid="{00000000-0005-0000-0000-0000682F0000}"/>
    <cellStyle name="Normal 10 2 2 4 5" xfId="1153" xr:uid="{00000000-0005-0000-0000-0000692F0000}"/>
    <cellStyle name="Normal 10 2 2 4 5 2" xfId="10314" xr:uid="{00000000-0005-0000-0000-00006A2F0000}"/>
    <cellStyle name="Normal 10 2 2 4 5 2 2" xfId="22757" xr:uid="{00000000-0005-0000-0000-00006B2F0000}"/>
    <cellStyle name="Normal 10 2 2 4 5 2 2 2" xfId="47631" xr:uid="{00000000-0005-0000-0000-00006C2F0000}"/>
    <cellStyle name="Normal 10 2 2 4 5 2 3" xfId="35198" xr:uid="{00000000-0005-0000-0000-00006D2F0000}"/>
    <cellStyle name="Normal 10 2 2 4 5 3" xfId="5298" xr:uid="{00000000-0005-0000-0000-00006E2F0000}"/>
    <cellStyle name="Normal 10 2 2 4 5 3 2" xfId="17750" xr:uid="{00000000-0005-0000-0000-00006F2F0000}"/>
    <cellStyle name="Normal 10 2 2 4 5 3 2 2" xfId="42624" xr:uid="{00000000-0005-0000-0000-0000702F0000}"/>
    <cellStyle name="Normal 10 2 2 4 5 3 3" xfId="30191" xr:uid="{00000000-0005-0000-0000-0000712F0000}"/>
    <cellStyle name="Normal 10 2 2 4 5 4" xfId="13953" xr:uid="{00000000-0005-0000-0000-0000722F0000}"/>
    <cellStyle name="Normal 10 2 2 4 5 4 2" xfId="38827" xr:uid="{00000000-0005-0000-0000-0000732F0000}"/>
    <cellStyle name="Normal 10 2 2 4 5 5" xfId="26386" xr:uid="{00000000-0005-0000-0000-0000742F0000}"/>
    <cellStyle name="Normal 10 2 2 4 6" xfId="7875" xr:uid="{00000000-0005-0000-0000-0000752F0000}"/>
    <cellStyle name="Normal 10 2 2 4 6 2" xfId="20321" xr:uid="{00000000-0005-0000-0000-0000762F0000}"/>
    <cellStyle name="Normal 10 2 2 4 6 2 2" xfId="45195" xr:uid="{00000000-0005-0000-0000-0000772F0000}"/>
    <cellStyle name="Normal 10 2 2 4 6 3" xfId="32762" xr:uid="{00000000-0005-0000-0000-0000782F0000}"/>
    <cellStyle name="Normal 10 2 2 4 7" xfId="11768" xr:uid="{00000000-0005-0000-0000-0000792F0000}"/>
    <cellStyle name="Normal 10 2 2 4 7 2" xfId="24202" xr:uid="{00000000-0005-0000-0000-00007A2F0000}"/>
    <cellStyle name="Normal 10 2 2 4 7 2 2" xfId="49076" xr:uid="{00000000-0005-0000-0000-00007B2F0000}"/>
    <cellStyle name="Normal 10 2 2 4 7 3" xfId="36643" xr:uid="{00000000-0005-0000-0000-00007C2F0000}"/>
    <cellStyle name="Normal 10 2 2 4 8" xfId="6845" xr:uid="{00000000-0005-0000-0000-00007D2F0000}"/>
    <cellStyle name="Normal 10 2 2 4 8 2" xfId="19294" xr:uid="{00000000-0005-0000-0000-00007E2F0000}"/>
    <cellStyle name="Normal 10 2 2 4 8 2 2" xfId="44168" xr:uid="{00000000-0005-0000-0000-00007F2F0000}"/>
    <cellStyle name="Normal 10 2 2 4 8 3" xfId="31735" xr:uid="{00000000-0005-0000-0000-0000802F0000}"/>
    <cellStyle name="Normal 10 2 2 4 9" xfId="2796" xr:uid="{00000000-0005-0000-0000-0000812F0000}"/>
    <cellStyle name="Normal 10 2 2 4 9 2" xfId="15314" xr:uid="{00000000-0005-0000-0000-0000822F0000}"/>
    <cellStyle name="Normal 10 2 2 4 9 2 2" xfId="40188" xr:uid="{00000000-0005-0000-0000-0000832F0000}"/>
    <cellStyle name="Normal 10 2 2 4 9 3" xfId="27747" xr:uid="{00000000-0005-0000-0000-0000842F0000}"/>
    <cellStyle name="Normal 10 2 2 4_Degree data" xfId="2159" xr:uid="{00000000-0005-0000-0000-0000852F0000}"/>
    <cellStyle name="Normal 10 2 2 5" xfId="232" xr:uid="{00000000-0005-0000-0000-0000862F0000}"/>
    <cellStyle name="Normal 10 2 2 5 2" xfId="1358" xr:uid="{00000000-0005-0000-0000-0000872F0000}"/>
    <cellStyle name="Normal 10 2 2 5 2 2" xfId="9095" xr:uid="{00000000-0005-0000-0000-0000882F0000}"/>
    <cellStyle name="Normal 10 2 2 5 2 2 2" xfId="21538" xr:uid="{00000000-0005-0000-0000-0000892F0000}"/>
    <cellStyle name="Normal 10 2 2 5 2 2 2 2" xfId="46412" xr:uid="{00000000-0005-0000-0000-00008A2F0000}"/>
    <cellStyle name="Normal 10 2 2 5 2 2 3" xfId="33979" xr:uid="{00000000-0005-0000-0000-00008B2F0000}"/>
    <cellStyle name="Normal 10 2 2 5 2 3" xfId="4077" xr:uid="{00000000-0005-0000-0000-00008C2F0000}"/>
    <cellStyle name="Normal 10 2 2 5 2 3 2" xfId="16531" xr:uid="{00000000-0005-0000-0000-00008D2F0000}"/>
    <cellStyle name="Normal 10 2 2 5 2 3 2 2" xfId="41405" xr:uid="{00000000-0005-0000-0000-00008E2F0000}"/>
    <cellStyle name="Normal 10 2 2 5 2 3 3" xfId="28972" xr:uid="{00000000-0005-0000-0000-00008F2F0000}"/>
    <cellStyle name="Normal 10 2 2 5 2 4" xfId="14158" xr:uid="{00000000-0005-0000-0000-0000902F0000}"/>
    <cellStyle name="Normal 10 2 2 5 2 4 2" xfId="39032" xr:uid="{00000000-0005-0000-0000-0000912F0000}"/>
    <cellStyle name="Normal 10 2 2 5 2 5" xfId="26591" xr:uid="{00000000-0005-0000-0000-0000922F0000}"/>
    <cellStyle name="Normal 10 2 2 5 3" xfId="5503" xr:uid="{00000000-0005-0000-0000-0000932F0000}"/>
    <cellStyle name="Normal 10 2 2 5 3 2" xfId="10519" xr:uid="{00000000-0005-0000-0000-0000942F0000}"/>
    <cellStyle name="Normal 10 2 2 5 3 2 2" xfId="22962" xr:uid="{00000000-0005-0000-0000-0000952F0000}"/>
    <cellStyle name="Normal 10 2 2 5 3 2 2 2" xfId="47836" xr:uid="{00000000-0005-0000-0000-0000962F0000}"/>
    <cellStyle name="Normal 10 2 2 5 3 2 3" xfId="35403" xr:uid="{00000000-0005-0000-0000-0000972F0000}"/>
    <cellStyle name="Normal 10 2 2 5 3 3" xfId="17955" xr:uid="{00000000-0005-0000-0000-0000982F0000}"/>
    <cellStyle name="Normal 10 2 2 5 3 3 2" xfId="42829" xr:uid="{00000000-0005-0000-0000-0000992F0000}"/>
    <cellStyle name="Normal 10 2 2 5 3 4" xfId="30396" xr:uid="{00000000-0005-0000-0000-00009A2F0000}"/>
    <cellStyle name="Normal 10 2 2 5 4" xfId="8211" xr:uid="{00000000-0005-0000-0000-00009B2F0000}"/>
    <cellStyle name="Normal 10 2 2 5 4 2" xfId="20655" xr:uid="{00000000-0005-0000-0000-00009C2F0000}"/>
    <cellStyle name="Normal 10 2 2 5 4 2 2" xfId="45529" xr:uid="{00000000-0005-0000-0000-00009D2F0000}"/>
    <cellStyle name="Normal 10 2 2 5 4 3" xfId="33096" xr:uid="{00000000-0005-0000-0000-00009E2F0000}"/>
    <cellStyle name="Normal 10 2 2 5 5" xfId="11973" xr:uid="{00000000-0005-0000-0000-00009F2F0000}"/>
    <cellStyle name="Normal 10 2 2 5 5 2" xfId="24407" xr:uid="{00000000-0005-0000-0000-0000A02F0000}"/>
    <cellStyle name="Normal 10 2 2 5 5 2 2" xfId="49281" xr:uid="{00000000-0005-0000-0000-0000A12F0000}"/>
    <cellStyle name="Normal 10 2 2 5 5 3" xfId="36848" xr:uid="{00000000-0005-0000-0000-0000A22F0000}"/>
    <cellStyle name="Normal 10 2 2 5 6" xfId="6688" xr:uid="{00000000-0005-0000-0000-0000A32F0000}"/>
    <cellStyle name="Normal 10 2 2 5 6 2" xfId="19137" xr:uid="{00000000-0005-0000-0000-0000A42F0000}"/>
    <cellStyle name="Normal 10 2 2 5 6 2 2" xfId="44011" xr:uid="{00000000-0005-0000-0000-0000A52F0000}"/>
    <cellStyle name="Normal 10 2 2 5 6 3" xfId="31578" xr:uid="{00000000-0005-0000-0000-0000A62F0000}"/>
    <cellStyle name="Normal 10 2 2 5 7" xfId="3142" xr:uid="{00000000-0005-0000-0000-0000A72F0000}"/>
    <cellStyle name="Normal 10 2 2 5 7 2" xfId="15648" xr:uid="{00000000-0005-0000-0000-0000A82F0000}"/>
    <cellStyle name="Normal 10 2 2 5 7 2 2" xfId="40522" xr:uid="{00000000-0005-0000-0000-0000A92F0000}"/>
    <cellStyle name="Normal 10 2 2 5 7 3" xfId="28081" xr:uid="{00000000-0005-0000-0000-0000AA2F0000}"/>
    <cellStyle name="Normal 10 2 2 5 8" xfId="13058" xr:uid="{00000000-0005-0000-0000-0000AB2F0000}"/>
    <cellStyle name="Normal 10 2 2 5 8 2" xfId="37932" xr:uid="{00000000-0005-0000-0000-0000AC2F0000}"/>
    <cellStyle name="Normal 10 2 2 5 9" xfId="25491" xr:uid="{00000000-0005-0000-0000-0000AD2F0000}"/>
    <cellStyle name="Normal 10 2 2 6" xfId="596" xr:uid="{00000000-0005-0000-0000-0000AE2F0000}"/>
    <cellStyle name="Normal 10 2 2 6 2" xfId="1706" xr:uid="{00000000-0005-0000-0000-0000AF2F0000}"/>
    <cellStyle name="Normal 10 2 2 6 2 2" xfId="9462" xr:uid="{00000000-0005-0000-0000-0000B02F0000}"/>
    <cellStyle name="Normal 10 2 2 6 2 2 2" xfId="21905" xr:uid="{00000000-0005-0000-0000-0000B12F0000}"/>
    <cellStyle name="Normal 10 2 2 6 2 2 2 2" xfId="46779" xr:uid="{00000000-0005-0000-0000-0000B22F0000}"/>
    <cellStyle name="Normal 10 2 2 6 2 2 3" xfId="34346" xr:uid="{00000000-0005-0000-0000-0000B32F0000}"/>
    <cellStyle name="Normal 10 2 2 6 2 3" xfId="4444" xr:uid="{00000000-0005-0000-0000-0000B42F0000}"/>
    <cellStyle name="Normal 10 2 2 6 2 3 2" xfId="16898" xr:uid="{00000000-0005-0000-0000-0000B52F0000}"/>
    <cellStyle name="Normal 10 2 2 6 2 3 2 2" xfId="41772" xr:uid="{00000000-0005-0000-0000-0000B62F0000}"/>
    <cellStyle name="Normal 10 2 2 6 2 3 3" xfId="29339" xr:uid="{00000000-0005-0000-0000-0000B72F0000}"/>
    <cellStyle name="Normal 10 2 2 6 2 4" xfId="14506" xr:uid="{00000000-0005-0000-0000-0000B82F0000}"/>
    <cellStyle name="Normal 10 2 2 6 2 4 2" xfId="39380" xr:uid="{00000000-0005-0000-0000-0000B92F0000}"/>
    <cellStyle name="Normal 10 2 2 6 2 5" xfId="26939" xr:uid="{00000000-0005-0000-0000-0000BA2F0000}"/>
    <cellStyle name="Normal 10 2 2 6 3" xfId="5852" xr:uid="{00000000-0005-0000-0000-0000BB2F0000}"/>
    <cellStyle name="Normal 10 2 2 6 3 2" xfId="10867" xr:uid="{00000000-0005-0000-0000-0000BC2F0000}"/>
    <cellStyle name="Normal 10 2 2 6 3 2 2" xfId="23310" xr:uid="{00000000-0005-0000-0000-0000BD2F0000}"/>
    <cellStyle name="Normal 10 2 2 6 3 2 2 2" xfId="48184" xr:uid="{00000000-0005-0000-0000-0000BE2F0000}"/>
    <cellStyle name="Normal 10 2 2 6 3 2 3" xfId="35751" xr:uid="{00000000-0005-0000-0000-0000BF2F0000}"/>
    <cellStyle name="Normal 10 2 2 6 3 3" xfId="18303" xr:uid="{00000000-0005-0000-0000-0000C02F0000}"/>
    <cellStyle name="Normal 10 2 2 6 3 3 2" xfId="43177" xr:uid="{00000000-0005-0000-0000-0000C12F0000}"/>
    <cellStyle name="Normal 10 2 2 6 3 4" xfId="30744" xr:uid="{00000000-0005-0000-0000-0000C22F0000}"/>
    <cellStyle name="Normal 10 2 2 6 4" xfId="8578" xr:uid="{00000000-0005-0000-0000-0000C32F0000}"/>
    <cellStyle name="Normal 10 2 2 6 4 2" xfId="21022" xr:uid="{00000000-0005-0000-0000-0000C42F0000}"/>
    <cellStyle name="Normal 10 2 2 6 4 2 2" xfId="45896" xr:uid="{00000000-0005-0000-0000-0000C52F0000}"/>
    <cellStyle name="Normal 10 2 2 6 4 3" xfId="33463" xr:uid="{00000000-0005-0000-0000-0000C62F0000}"/>
    <cellStyle name="Normal 10 2 2 6 5" xfId="12321" xr:uid="{00000000-0005-0000-0000-0000C72F0000}"/>
    <cellStyle name="Normal 10 2 2 6 5 2" xfId="24755" xr:uid="{00000000-0005-0000-0000-0000C82F0000}"/>
    <cellStyle name="Normal 10 2 2 6 5 2 2" xfId="49629" xr:uid="{00000000-0005-0000-0000-0000C92F0000}"/>
    <cellStyle name="Normal 10 2 2 6 5 3" xfId="37196" xr:uid="{00000000-0005-0000-0000-0000CA2F0000}"/>
    <cellStyle name="Normal 10 2 2 6 6" xfId="7055" xr:uid="{00000000-0005-0000-0000-0000CB2F0000}"/>
    <cellStyle name="Normal 10 2 2 6 6 2" xfId="19504" xr:uid="{00000000-0005-0000-0000-0000CC2F0000}"/>
    <cellStyle name="Normal 10 2 2 6 6 2 2" xfId="44378" xr:uid="{00000000-0005-0000-0000-0000CD2F0000}"/>
    <cellStyle name="Normal 10 2 2 6 6 3" xfId="31945" xr:uid="{00000000-0005-0000-0000-0000CE2F0000}"/>
    <cellStyle name="Normal 10 2 2 6 7" xfId="3509" xr:uid="{00000000-0005-0000-0000-0000CF2F0000}"/>
    <cellStyle name="Normal 10 2 2 6 7 2" xfId="16015" xr:uid="{00000000-0005-0000-0000-0000D02F0000}"/>
    <cellStyle name="Normal 10 2 2 6 7 2 2" xfId="40889" xr:uid="{00000000-0005-0000-0000-0000D12F0000}"/>
    <cellStyle name="Normal 10 2 2 6 7 3" xfId="28448" xr:uid="{00000000-0005-0000-0000-0000D22F0000}"/>
    <cellStyle name="Normal 10 2 2 6 8" xfId="13405" xr:uid="{00000000-0005-0000-0000-0000D32F0000}"/>
    <cellStyle name="Normal 10 2 2 6 8 2" xfId="38279" xr:uid="{00000000-0005-0000-0000-0000D42F0000}"/>
    <cellStyle name="Normal 10 2 2 6 9" xfId="25838" xr:uid="{00000000-0005-0000-0000-0000D52F0000}"/>
    <cellStyle name="Normal 10 2 2 7" xfId="2150" xr:uid="{00000000-0005-0000-0000-0000D62F0000}"/>
    <cellStyle name="Normal 10 2 2 7 2" xfId="4787" xr:uid="{00000000-0005-0000-0000-0000D72F0000}"/>
    <cellStyle name="Normal 10 2 2 7 2 2" xfId="9804" xr:uid="{00000000-0005-0000-0000-0000D82F0000}"/>
    <cellStyle name="Normal 10 2 2 7 2 2 2" xfId="22247" xr:uid="{00000000-0005-0000-0000-0000D92F0000}"/>
    <cellStyle name="Normal 10 2 2 7 2 2 2 2" xfId="47121" xr:uid="{00000000-0005-0000-0000-0000DA2F0000}"/>
    <cellStyle name="Normal 10 2 2 7 2 2 3" xfId="34688" xr:uid="{00000000-0005-0000-0000-0000DB2F0000}"/>
    <cellStyle name="Normal 10 2 2 7 2 3" xfId="17240" xr:uid="{00000000-0005-0000-0000-0000DC2F0000}"/>
    <cellStyle name="Normal 10 2 2 7 2 3 2" xfId="42114" xr:uid="{00000000-0005-0000-0000-0000DD2F0000}"/>
    <cellStyle name="Normal 10 2 2 7 2 4" xfId="29681" xr:uid="{00000000-0005-0000-0000-0000DE2F0000}"/>
    <cellStyle name="Normal 10 2 2 7 3" xfId="6185" xr:uid="{00000000-0005-0000-0000-0000DF2F0000}"/>
    <cellStyle name="Normal 10 2 2 7 3 2" xfId="11200" xr:uid="{00000000-0005-0000-0000-0000E02F0000}"/>
    <cellStyle name="Normal 10 2 2 7 3 2 2" xfId="23643" xr:uid="{00000000-0005-0000-0000-0000E12F0000}"/>
    <cellStyle name="Normal 10 2 2 7 3 2 2 2" xfId="48517" xr:uid="{00000000-0005-0000-0000-0000E22F0000}"/>
    <cellStyle name="Normal 10 2 2 7 3 2 3" xfId="36084" xr:uid="{00000000-0005-0000-0000-0000E32F0000}"/>
    <cellStyle name="Normal 10 2 2 7 3 3" xfId="18636" xr:uid="{00000000-0005-0000-0000-0000E42F0000}"/>
    <cellStyle name="Normal 10 2 2 7 3 3 2" xfId="43510" xr:uid="{00000000-0005-0000-0000-0000E52F0000}"/>
    <cellStyle name="Normal 10 2 2 7 3 4" xfId="31077" xr:uid="{00000000-0005-0000-0000-0000E62F0000}"/>
    <cellStyle name="Normal 10 2 2 7 4" xfId="8049" xr:uid="{00000000-0005-0000-0000-0000E72F0000}"/>
    <cellStyle name="Normal 10 2 2 7 4 2" xfId="20495" xr:uid="{00000000-0005-0000-0000-0000E82F0000}"/>
    <cellStyle name="Normal 10 2 2 7 4 2 2" xfId="45369" xr:uid="{00000000-0005-0000-0000-0000E92F0000}"/>
    <cellStyle name="Normal 10 2 2 7 4 3" xfId="32936" xr:uid="{00000000-0005-0000-0000-0000EA2F0000}"/>
    <cellStyle name="Normal 10 2 2 7 5" xfId="12654" xr:uid="{00000000-0005-0000-0000-0000EB2F0000}"/>
    <cellStyle name="Normal 10 2 2 7 5 2" xfId="25088" xr:uid="{00000000-0005-0000-0000-0000EC2F0000}"/>
    <cellStyle name="Normal 10 2 2 7 5 2 2" xfId="49962" xr:uid="{00000000-0005-0000-0000-0000ED2F0000}"/>
    <cellStyle name="Normal 10 2 2 7 5 3" xfId="37529" xr:uid="{00000000-0005-0000-0000-0000EE2F0000}"/>
    <cellStyle name="Normal 10 2 2 7 6" xfId="7398" xr:uid="{00000000-0005-0000-0000-0000EF2F0000}"/>
    <cellStyle name="Normal 10 2 2 7 6 2" xfId="19846" xr:uid="{00000000-0005-0000-0000-0000F02F0000}"/>
    <cellStyle name="Normal 10 2 2 7 6 2 2" xfId="44720" xr:uid="{00000000-0005-0000-0000-0000F12F0000}"/>
    <cellStyle name="Normal 10 2 2 7 6 3" xfId="32287" xr:uid="{00000000-0005-0000-0000-0000F22F0000}"/>
    <cellStyle name="Normal 10 2 2 7 7" xfId="2976" xr:uid="{00000000-0005-0000-0000-0000F32F0000}"/>
    <cellStyle name="Normal 10 2 2 7 7 2" xfId="15488" xr:uid="{00000000-0005-0000-0000-0000F42F0000}"/>
    <cellStyle name="Normal 10 2 2 7 7 2 2" xfId="40362" xr:uid="{00000000-0005-0000-0000-0000F52F0000}"/>
    <cellStyle name="Normal 10 2 2 7 7 3" xfId="27921" xr:uid="{00000000-0005-0000-0000-0000F62F0000}"/>
    <cellStyle name="Normal 10 2 2 7 8" xfId="14839" xr:uid="{00000000-0005-0000-0000-0000F72F0000}"/>
    <cellStyle name="Normal 10 2 2 7 8 2" xfId="39713" xr:uid="{00000000-0005-0000-0000-0000F82F0000}"/>
    <cellStyle name="Normal 10 2 2 7 9" xfId="27272" xr:uid="{00000000-0005-0000-0000-0000F92F0000}"/>
    <cellStyle name="Normal 10 2 2 8" xfId="996" xr:uid="{00000000-0005-0000-0000-0000FA2F0000}"/>
    <cellStyle name="Normal 10 2 2 8 2" xfId="11611" xr:uid="{00000000-0005-0000-0000-0000FB2F0000}"/>
    <cellStyle name="Normal 10 2 2 8 2 2" xfId="24045" xr:uid="{00000000-0005-0000-0000-0000FC2F0000}"/>
    <cellStyle name="Normal 10 2 2 8 2 2 2" xfId="48919" xr:uid="{00000000-0005-0000-0000-0000FD2F0000}"/>
    <cellStyle name="Normal 10 2 2 8 2 3" xfId="36486" xr:uid="{00000000-0005-0000-0000-0000FE2F0000}"/>
    <cellStyle name="Normal 10 2 2 8 3" xfId="8935" xr:uid="{00000000-0005-0000-0000-0000FF2F0000}"/>
    <cellStyle name="Normal 10 2 2 8 3 2" xfId="21378" xr:uid="{00000000-0005-0000-0000-000000300000}"/>
    <cellStyle name="Normal 10 2 2 8 3 2 2" xfId="46252" xr:uid="{00000000-0005-0000-0000-000001300000}"/>
    <cellStyle name="Normal 10 2 2 8 3 3" xfId="33819" xr:uid="{00000000-0005-0000-0000-000002300000}"/>
    <cellStyle name="Normal 10 2 2 8 4" xfId="3917" xr:uid="{00000000-0005-0000-0000-000003300000}"/>
    <cellStyle name="Normal 10 2 2 8 4 2" xfId="16371" xr:uid="{00000000-0005-0000-0000-000004300000}"/>
    <cellStyle name="Normal 10 2 2 8 4 2 2" xfId="41245" xr:uid="{00000000-0005-0000-0000-000005300000}"/>
    <cellStyle name="Normal 10 2 2 8 4 3" xfId="28812" xr:uid="{00000000-0005-0000-0000-000006300000}"/>
    <cellStyle name="Normal 10 2 2 8 5" xfId="13796" xr:uid="{00000000-0005-0000-0000-000007300000}"/>
    <cellStyle name="Normal 10 2 2 8 5 2" xfId="38670" xr:uid="{00000000-0005-0000-0000-000008300000}"/>
    <cellStyle name="Normal 10 2 2 8 6" xfId="26229" xr:uid="{00000000-0005-0000-0000-000009300000}"/>
    <cellStyle name="Normal 10 2 2 9" xfId="921" xr:uid="{00000000-0005-0000-0000-00000A300000}"/>
    <cellStyle name="Normal 10 2 2 9 2" xfId="10155" xr:uid="{00000000-0005-0000-0000-00000B300000}"/>
    <cellStyle name="Normal 10 2 2 9 2 2" xfId="22598" xr:uid="{00000000-0005-0000-0000-00000C300000}"/>
    <cellStyle name="Normal 10 2 2 9 2 2 2" xfId="47472" xr:uid="{00000000-0005-0000-0000-00000D300000}"/>
    <cellStyle name="Normal 10 2 2 9 2 3" xfId="35039" xr:uid="{00000000-0005-0000-0000-00000E300000}"/>
    <cellStyle name="Normal 10 2 2 9 3" xfId="5139" xr:uid="{00000000-0005-0000-0000-00000F300000}"/>
    <cellStyle name="Normal 10 2 2 9 3 2" xfId="17591" xr:uid="{00000000-0005-0000-0000-000010300000}"/>
    <cellStyle name="Normal 10 2 2 9 3 2 2" xfId="42465" xr:uid="{00000000-0005-0000-0000-000011300000}"/>
    <cellStyle name="Normal 10 2 2 9 3 3" xfId="30032" xr:uid="{00000000-0005-0000-0000-000012300000}"/>
    <cellStyle name="Normal 10 2 2 9 4" xfId="13721" xr:uid="{00000000-0005-0000-0000-000013300000}"/>
    <cellStyle name="Normal 10 2 2 9 4 2" xfId="38595" xr:uid="{00000000-0005-0000-0000-000014300000}"/>
    <cellStyle name="Normal 10 2 2 9 5" xfId="26154" xr:uid="{00000000-0005-0000-0000-000015300000}"/>
    <cellStyle name="Normal 10 2 2_Degree data" xfId="1976" xr:uid="{00000000-0005-0000-0000-000016300000}"/>
    <cellStyle name="Normal 10 2 3" xfId="183" xr:uid="{00000000-0005-0000-0000-000017300000}"/>
    <cellStyle name="Normal 10 2 3 10" xfId="6546" xr:uid="{00000000-0005-0000-0000-000018300000}"/>
    <cellStyle name="Normal 10 2 3 10 2" xfId="18995" xr:uid="{00000000-0005-0000-0000-000019300000}"/>
    <cellStyle name="Normal 10 2 3 10 2 2" xfId="43869" xr:uid="{00000000-0005-0000-0000-00001A300000}"/>
    <cellStyle name="Normal 10 2 3 10 3" xfId="31436" xr:uid="{00000000-0005-0000-0000-00001B300000}"/>
    <cellStyle name="Normal 10 2 3 11" xfId="2714" xr:uid="{00000000-0005-0000-0000-00001C300000}"/>
    <cellStyle name="Normal 10 2 3 11 2" xfId="15232" xr:uid="{00000000-0005-0000-0000-00001D300000}"/>
    <cellStyle name="Normal 10 2 3 11 2 2" xfId="40106" xr:uid="{00000000-0005-0000-0000-00001E300000}"/>
    <cellStyle name="Normal 10 2 3 11 3" xfId="27665" xr:uid="{00000000-0005-0000-0000-00001F300000}"/>
    <cellStyle name="Normal 10 2 3 12" xfId="13013" xr:uid="{00000000-0005-0000-0000-000020300000}"/>
    <cellStyle name="Normal 10 2 3 12 2" xfId="37887" xr:uid="{00000000-0005-0000-0000-000021300000}"/>
    <cellStyle name="Normal 10 2 3 13" xfId="25446" xr:uid="{00000000-0005-0000-0000-000022300000}"/>
    <cellStyle name="Normal 10 2 3 2" xfId="418" xr:uid="{00000000-0005-0000-0000-000023300000}"/>
    <cellStyle name="Normal 10 2 3 2 10" xfId="13233" xr:uid="{00000000-0005-0000-0000-000024300000}"/>
    <cellStyle name="Normal 10 2 3 2 10 2" xfId="38107" xr:uid="{00000000-0005-0000-0000-000025300000}"/>
    <cellStyle name="Normal 10 2 3 2 11" xfId="25666" xr:uid="{00000000-0005-0000-0000-000026300000}"/>
    <cellStyle name="Normal 10 2 3 2 2" xfId="778" xr:uid="{00000000-0005-0000-0000-000027300000}"/>
    <cellStyle name="Normal 10 2 3 2 2 2" xfId="1365" xr:uid="{00000000-0005-0000-0000-000028300000}"/>
    <cellStyle name="Normal 10 2 3 2 2 2 2" xfId="9469" xr:uid="{00000000-0005-0000-0000-000029300000}"/>
    <cellStyle name="Normal 10 2 3 2 2 2 2 2" xfId="21912" xr:uid="{00000000-0005-0000-0000-00002A300000}"/>
    <cellStyle name="Normal 10 2 3 2 2 2 2 2 2" xfId="46786" xr:uid="{00000000-0005-0000-0000-00002B300000}"/>
    <cellStyle name="Normal 10 2 3 2 2 2 2 3" xfId="34353" xr:uid="{00000000-0005-0000-0000-00002C300000}"/>
    <cellStyle name="Normal 10 2 3 2 2 2 3" xfId="4451" xr:uid="{00000000-0005-0000-0000-00002D300000}"/>
    <cellStyle name="Normal 10 2 3 2 2 2 3 2" xfId="16905" xr:uid="{00000000-0005-0000-0000-00002E300000}"/>
    <cellStyle name="Normal 10 2 3 2 2 2 3 2 2" xfId="41779" xr:uid="{00000000-0005-0000-0000-00002F300000}"/>
    <cellStyle name="Normal 10 2 3 2 2 2 3 3" xfId="29346" xr:uid="{00000000-0005-0000-0000-000030300000}"/>
    <cellStyle name="Normal 10 2 3 2 2 2 4" xfId="14165" xr:uid="{00000000-0005-0000-0000-000031300000}"/>
    <cellStyle name="Normal 10 2 3 2 2 2 4 2" xfId="39039" xr:uid="{00000000-0005-0000-0000-000032300000}"/>
    <cellStyle name="Normal 10 2 3 2 2 2 5" xfId="26598" xr:uid="{00000000-0005-0000-0000-000033300000}"/>
    <cellStyle name="Normal 10 2 3 2 2 3" xfId="5510" xr:uid="{00000000-0005-0000-0000-000034300000}"/>
    <cellStyle name="Normal 10 2 3 2 2 3 2" xfId="10526" xr:uid="{00000000-0005-0000-0000-000035300000}"/>
    <cellStyle name="Normal 10 2 3 2 2 3 2 2" xfId="22969" xr:uid="{00000000-0005-0000-0000-000036300000}"/>
    <cellStyle name="Normal 10 2 3 2 2 3 2 2 2" xfId="47843" xr:uid="{00000000-0005-0000-0000-000037300000}"/>
    <cellStyle name="Normal 10 2 3 2 2 3 2 3" xfId="35410" xr:uid="{00000000-0005-0000-0000-000038300000}"/>
    <cellStyle name="Normal 10 2 3 2 2 3 3" xfId="17962" xr:uid="{00000000-0005-0000-0000-000039300000}"/>
    <cellStyle name="Normal 10 2 3 2 2 3 3 2" xfId="42836" xr:uid="{00000000-0005-0000-0000-00003A300000}"/>
    <cellStyle name="Normal 10 2 3 2 2 3 4" xfId="30403" xr:uid="{00000000-0005-0000-0000-00003B300000}"/>
    <cellStyle name="Normal 10 2 3 2 2 4" xfId="8585" xr:uid="{00000000-0005-0000-0000-00003C300000}"/>
    <cellStyle name="Normal 10 2 3 2 2 4 2" xfId="21029" xr:uid="{00000000-0005-0000-0000-00003D300000}"/>
    <cellStyle name="Normal 10 2 3 2 2 4 2 2" xfId="45903" xr:uid="{00000000-0005-0000-0000-00003E300000}"/>
    <cellStyle name="Normal 10 2 3 2 2 4 3" xfId="33470" xr:uid="{00000000-0005-0000-0000-00003F300000}"/>
    <cellStyle name="Normal 10 2 3 2 2 5" xfId="11980" xr:uid="{00000000-0005-0000-0000-000040300000}"/>
    <cellStyle name="Normal 10 2 3 2 2 5 2" xfId="24414" xr:uid="{00000000-0005-0000-0000-000041300000}"/>
    <cellStyle name="Normal 10 2 3 2 2 5 2 2" xfId="49288" xr:uid="{00000000-0005-0000-0000-000042300000}"/>
    <cellStyle name="Normal 10 2 3 2 2 5 3" xfId="36855" xr:uid="{00000000-0005-0000-0000-000043300000}"/>
    <cellStyle name="Normal 10 2 3 2 2 6" xfId="7062" xr:uid="{00000000-0005-0000-0000-000044300000}"/>
    <cellStyle name="Normal 10 2 3 2 2 6 2" xfId="19511" xr:uid="{00000000-0005-0000-0000-000045300000}"/>
    <cellStyle name="Normal 10 2 3 2 2 6 2 2" xfId="44385" xr:uid="{00000000-0005-0000-0000-000046300000}"/>
    <cellStyle name="Normal 10 2 3 2 2 6 3" xfId="31952" xr:uid="{00000000-0005-0000-0000-000047300000}"/>
    <cellStyle name="Normal 10 2 3 2 2 7" xfId="3516" xr:uid="{00000000-0005-0000-0000-000048300000}"/>
    <cellStyle name="Normal 10 2 3 2 2 7 2" xfId="16022" xr:uid="{00000000-0005-0000-0000-000049300000}"/>
    <cellStyle name="Normal 10 2 3 2 2 7 2 2" xfId="40896" xr:uid="{00000000-0005-0000-0000-00004A300000}"/>
    <cellStyle name="Normal 10 2 3 2 2 7 3" xfId="28455" xr:uid="{00000000-0005-0000-0000-00004B300000}"/>
    <cellStyle name="Normal 10 2 3 2 2 8" xfId="13580" xr:uid="{00000000-0005-0000-0000-00004C300000}"/>
    <cellStyle name="Normal 10 2 3 2 2 8 2" xfId="38454" xr:uid="{00000000-0005-0000-0000-00004D300000}"/>
    <cellStyle name="Normal 10 2 3 2 2 9" xfId="26013" xr:uid="{00000000-0005-0000-0000-00004E300000}"/>
    <cellStyle name="Normal 10 2 3 2 3" xfId="1713" xr:uid="{00000000-0005-0000-0000-00004F300000}"/>
    <cellStyle name="Normal 10 2 3 2 3 2" xfId="4962" xr:uid="{00000000-0005-0000-0000-000050300000}"/>
    <cellStyle name="Normal 10 2 3 2 3 2 2" xfId="9979" xr:uid="{00000000-0005-0000-0000-000051300000}"/>
    <cellStyle name="Normal 10 2 3 2 3 2 2 2" xfId="22422" xr:uid="{00000000-0005-0000-0000-000052300000}"/>
    <cellStyle name="Normal 10 2 3 2 3 2 2 2 2" xfId="47296" xr:uid="{00000000-0005-0000-0000-000053300000}"/>
    <cellStyle name="Normal 10 2 3 2 3 2 2 3" xfId="34863" xr:uid="{00000000-0005-0000-0000-000054300000}"/>
    <cellStyle name="Normal 10 2 3 2 3 2 3" xfId="17415" xr:uid="{00000000-0005-0000-0000-000055300000}"/>
    <cellStyle name="Normal 10 2 3 2 3 2 3 2" xfId="42289" xr:uid="{00000000-0005-0000-0000-000056300000}"/>
    <cellStyle name="Normal 10 2 3 2 3 2 4" xfId="29856" xr:uid="{00000000-0005-0000-0000-000057300000}"/>
    <cellStyle name="Normal 10 2 3 2 3 3" xfId="5859" xr:uid="{00000000-0005-0000-0000-000058300000}"/>
    <cellStyle name="Normal 10 2 3 2 3 3 2" xfId="10874" xr:uid="{00000000-0005-0000-0000-000059300000}"/>
    <cellStyle name="Normal 10 2 3 2 3 3 2 2" xfId="23317" xr:uid="{00000000-0005-0000-0000-00005A300000}"/>
    <cellStyle name="Normal 10 2 3 2 3 3 2 2 2" xfId="48191" xr:uid="{00000000-0005-0000-0000-00005B300000}"/>
    <cellStyle name="Normal 10 2 3 2 3 3 2 3" xfId="35758" xr:uid="{00000000-0005-0000-0000-00005C300000}"/>
    <cellStyle name="Normal 10 2 3 2 3 3 3" xfId="18310" xr:uid="{00000000-0005-0000-0000-00005D300000}"/>
    <cellStyle name="Normal 10 2 3 2 3 3 3 2" xfId="43184" xr:uid="{00000000-0005-0000-0000-00005E300000}"/>
    <cellStyle name="Normal 10 2 3 2 3 3 4" xfId="30751" xr:uid="{00000000-0005-0000-0000-00005F300000}"/>
    <cellStyle name="Normal 10 2 3 2 3 4" xfId="8386" xr:uid="{00000000-0005-0000-0000-000060300000}"/>
    <cellStyle name="Normal 10 2 3 2 3 4 2" xfId="20830" xr:uid="{00000000-0005-0000-0000-000061300000}"/>
    <cellStyle name="Normal 10 2 3 2 3 4 2 2" xfId="45704" xr:uid="{00000000-0005-0000-0000-000062300000}"/>
    <cellStyle name="Normal 10 2 3 2 3 4 3" xfId="33271" xr:uid="{00000000-0005-0000-0000-000063300000}"/>
    <cellStyle name="Normal 10 2 3 2 3 5" xfId="12328" xr:uid="{00000000-0005-0000-0000-000064300000}"/>
    <cellStyle name="Normal 10 2 3 2 3 5 2" xfId="24762" xr:uid="{00000000-0005-0000-0000-000065300000}"/>
    <cellStyle name="Normal 10 2 3 2 3 5 2 2" xfId="49636" xr:uid="{00000000-0005-0000-0000-000066300000}"/>
    <cellStyle name="Normal 10 2 3 2 3 5 3" xfId="37203" xr:uid="{00000000-0005-0000-0000-000067300000}"/>
    <cellStyle name="Normal 10 2 3 2 3 6" xfId="7573" xr:uid="{00000000-0005-0000-0000-000068300000}"/>
    <cellStyle name="Normal 10 2 3 2 3 6 2" xfId="20021" xr:uid="{00000000-0005-0000-0000-000069300000}"/>
    <cellStyle name="Normal 10 2 3 2 3 6 2 2" xfId="44895" xr:uid="{00000000-0005-0000-0000-00006A300000}"/>
    <cellStyle name="Normal 10 2 3 2 3 6 3" xfId="32462" xr:uid="{00000000-0005-0000-0000-00006B300000}"/>
    <cellStyle name="Normal 10 2 3 2 3 7" xfId="3317" xr:uid="{00000000-0005-0000-0000-00006C300000}"/>
    <cellStyle name="Normal 10 2 3 2 3 7 2" xfId="15823" xr:uid="{00000000-0005-0000-0000-00006D300000}"/>
    <cellStyle name="Normal 10 2 3 2 3 7 2 2" xfId="40697" xr:uid="{00000000-0005-0000-0000-00006E300000}"/>
    <cellStyle name="Normal 10 2 3 2 3 7 3" xfId="28256" xr:uid="{00000000-0005-0000-0000-00006F300000}"/>
    <cellStyle name="Normal 10 2 3 2 3 8" xfId="14513" xr:uid="{00000000-0005-0000-0000-000070300000}"/>
    <cellStyle name="Normal 10 2 3 2 3 8 2" xfId="39387" xr:uid="{00000000-0005-0000-0000-000071300000}"/>
    <cellStyle name="Normal 10 2 3 2 3 9" xfId="26946" xr:uid="{00000000-0005-0000-0000-000072300000}"/>
    <cellStyle name="Normal 10 2 3 2 4" xfId="2336" xr:uid="{00000000-0005-0000-0000-000073300000}"/>
    <cellStyle name="Normal 10 2 3 2 4 2" xfId="6360" xr:uid="{00000000-0005-0000-0000-000074300000}"/>
    <cellStyle name="Normal 10 2 3 2 4 2 2" xfId="11375" xr:uid="{00000000-0005-0000-0000-000075300000}"/>
    <cellStyle name="Normal 10 2 3 2 4 2 2 2" xfId="23818" xr:uid="{00000000-0005-0000-0000-000076300000}"/>
    <cellStyle name="Normal 10 2 3 2 4 2 2 2 2" xfId="48692" xr:uid="{00000000-0005-0000-0000-000077300000}"/>
    <cellStyle name="Normal 10 2 3 2 4 2 2 3" xfId="36259" xr:uid="{00000000-0005-0000-0000-000078300000}"/>
    <cellStyle name="Normal 10 2 3 2 4 2 3" xfId="18811" xr:uid="{00000000-0005-0000-0000-000079300000}"/>
    <cellStyle name="Normal 10 2 3 2 4 2 3 2" xfId="43685" xr:uid="{00000000-0005-0000-0000-00007A300000}"/>
    <cellStyle name="Normal 10 2 3 2 4 2 4" xfId="31252" xr:uid="{00000000-0005-0000-0000-00007B300000}"/>
    <cellStyle name="Normal 10 2 3 2 4 3" xfId="12829" xr:uid="{00000000-0005-0000-0000-00007C300000}"/>
    <cellStyle name="Normal 10 2 3 2 4 3 2" xfId="25263" xr:uid="{00000000-0005-0000-0000-00007D300000}"/>
    <cellStyle name="Normal 10 2 3 2 4 3 2 2" xfId="50137" xr:uid="{00000000-0005-0000-0000-00007E300000}"/>
    <cellStyle name="Normal 10 2 3 2 4 3 3" xfId="37704" xr:uid="{00000000-0005-0000-0000-00007F300000}"/>
    <cellStyle name="Normal 10 2 3 2 4 4" xfId="9270" xr:uid="{00000000-0005-0000-0000-000080300000}"/>
    <cellStyle name="Normal 10 2 3 2 4 4 2" xfId="21713" xr:uid="{00000000-0005-0000-0000-000081300000}"/>
    <cellStyle name="Normal 10 2 3 2 4 4 2 2" xfId="46587" xr:uid="{00000000-0005-0000-0000-000082300000}"/>
    <cellStyle name="Normal 10 2 3 2 4 4 3" xfId="34154" xr:uid="{00000000-0005-0000-0000-000083300000}"/>
    <cellStyle name="Normal 10 2 3 2 4 5" xfId="4252" xr:uid="{00000000-0005-0000-0000-000084300000}"/>
    <cellStyle name="Normal 10 2 3 2 4 5 2" xfId="16706" xr:uid="{00000000-0005-0000-0000-000085300000}"/>
    <cellStyle name="Normal 10 2 3 2 4 5 2 2" xfId="41580" xr:uid="{00000000-0005-0000-0000-000086300000}"/>
    <cellStyle name="Normal 10 2 3 2 4 5 3" xfId="29147" xr:uid="{00000000-0005-0000-0000-000087300000}"/>
    <cellStyle name="Normal 10 2 3 2 4 6" xfId="15014" xr:uid="{00000000-0005-0000-0000-000088300000}"/>
    <cellStyle name="Normal 10 2 3 2 4 6 2" xfId="39888" xr:uid="{00000000-0005-0000-0000-000089300000}"/>
    <cellStyle name="Normal 10 2 3 2 4 7" xfId="27447" xr:uid="{00000000-0005-0000-0000-00008A300000}"/>
    <cellStyle name="Normal 10 2 3 2 5" xfId="1171" xr:uid="{00000000-0005-0000-0000-00008B300000}"/>
    <cellStyle name="Normal 10 2 3 2 5 2" xfId="10332" xr:uid="{00000000-0005-0000-0000-00008C300000}"/>
    <cellStyle name="Normal 10 2 3 2 5 2 2" xfId="22775" xr:uid="{00000000-0005-0000-0000-00008D300000}"/>
    <cellStyle name="Normal 10 2 3 2 5 2 2 2" xfId="47649" xr:uid="{00000000-0005-0000-0000-00008E300000}"/>
    <cellStyle name="Normal 10 2 3 2 5 2 3" xfId="35216" xr:uid="{00000000-0005-0000-0000-00008F300000}"/>
    <cellStyle name="Normal 10 2 3 2 5 3" xfId="5316" xr:uid="{00000000-0005-0000-0000-000090300000}"/>
    <cellStyle name="Normal 10 2 3 2 5 3 2" xfId="17768" xr:uid="{00000000-0005-0000-0000-000091300000}"/>
    <cellStyle name="Normal 10 2 3 2 5 3 2 2" xfId="42642" xr:uid="{00000000-0005-0000-0000-000092300000}"/>
    <cellStyle name="Normal 10 2 3 2 5 3 3" xfId="30209" xr:uid="{00000000-0005-0000-0000-000093300000}"/>
    <cellStyle name="Normal 10 2 3 2 5 4" xfId="13971" xr:uid="{00000000-0005-0000-0000-000094300000}"/>
    <cellStyle name="Normal 10 2 3 2 5 4 2" xfId="38845" xr:uid="{00000000-0005-0000-0000-000095300000}"/>
    <cellStyle name="Normal 10 2 3 2 5 5" xfId="26404" xr:uid="{00000000-0005-0000-0000-000096300000}"/>
    <cellStyle name="Normal 10 2 3 2 6" xfId="7893" xr:uid="{00000000-0005-0000-0000-000097300000}"/>
    <cellStyle name="Normal 10 2 3 2 6 2" xfId="20339" xr:uid="{00000000-0005-0000-0000-000098300000}"/>
    <cellStyle name="Normal 10 2 3 2 6 2 2" xfId="45213" xr:uid="{00000000-0005-0000-0000-000099300000}"/>
    <cellStyle name="Normal 10 2 3 2 6 3" xfId="32780" xr:uid="{00000000-0005-0000-0000-00009A300000}"/>
    <cellStyle name="Normal 10 2 3 2 7" xfId="11786" xr:uid="{00000000-0005-0000-0000-00009B300000}"/>
    <cellStyle name="Normal 10 2 3 2 7 2" xfId="24220" xr:uid="{00000000-0005-0000-0000-00009C300000}"/>
    <cellStyle name="Normal 10 2 3 2 7 2 2" xfId="49094" xr:uid="{00000000-0005-0000-0000-00009D300000}"/>
    <cellStyle name="Normal 10 2 3 2 7 3" xfId="36661" xr:uid="{00000000-0005-0000-0000-00009E300000}"/>
    <cellStyle name="Normal 10 2 3 2 8" xfId="6863" xr:uid="{00000000-0005-0000-0000-00009F300000}"/>
    <cellStyle name="Normal 10 2 3 2 8 2" xfId="19312" xr:uid="{00000000-0005-0000-0000-0000A0300000}"/>
    <cellStyle name="Normal 10 2 3 2 8 2 2" xfId="44186" xr:uid="{00000000-0005-0000-0000-0000A1300000}"/>
    <cellStyle name="Normal 10 2 3 2 8 3" xfId="31753" xr:uid="{00000000-0005-0000-0000-0000A2300000}"/>
    <cellStyle name="Normal 10 2 3 2 9" xfId="2814" xr:uid="{00000000-0005-0000-0000-0000A3300000}"/>
    <cellStyle name="Normal 10 2 3 2 9 2" xfId="15332" xr:uid="{00000000-0005-0000-0000-0000A4300000}"/>
    <cellStyle name="Normal 10 2 3 2 9 2 2" xfId="40206" xr:uid="{00000000-0005-0000-0000-0000A5300000}"/>
    <cellStyle name="Normal 10 2 3 2 9 3" xfId="27765" xr:uid="{00000000-0005-0000-0000-0000A6300000}"/>
    <cellStyle name="Normal 10 2 3 2_Degree data" xfId="2015" xr:uid="{00000000-0005-0000-0000-0000A7300000}"/>
    <cellStyle name="Normal 10 2 3 3" xfId="316" xr:uid="{00000000-0005-0000-0000-0000A8300000}"/>
    <cellStyle name="Normal 10 2 3 3 2" xfId="1364" xr:uid="{00000000-0005-0000-0000-0000A9300000}"/>
    <cellStyle name="Normal 10 2 3 3 2 2" xfId="9170" xr:uid="{00000000-0005-0000-0000-0000AA300000}"/>
    <cellStyle name="Normal 10 2 3 3 2 2 2" xfId="21613" xr:uid="{00000000-0005-0000-0000-0000AB300000}"/>
    <cellStyle name="Normal 10 2 3 3 2 2 2 2" xfId="46487" xr:uid="{00000000-0005-0000-0000-0000AC300000}"/>
    <cellStyle name="Normal 10 2 3 3 2 2 3" xfId="34054" xr:uid="{00000000-0005-0000-0000-0000AD300000}"/>
    <cellStyle name="Normal 10 2 3 3 2 3" xfId="4152" xr:uid="{00000000-0005-0000-0000-0000AE300000}"/>
    <cellStyle name="Normal 10 2 3 3 2 3 2" xfId="16606" xr:uid="{00000000-0005-0000-0000-0000AF300000}"/>
    <cellStyle name="Normal 10 2 3 3 2 3 2 2" xfId="41480" xr:uid="{00000000-0005-0000-0000-0000B0300000}"/>
    <cellStyle name="Normal 10 2 3 3 2 3 3" xfId="29047" xr:uid="{00000000-0005-0000-0000-0000B1300000}"/>
    <cellStyle name="Normal 10 2 3 3 2 4" xfId="14164" xr:uid="{00000000-0005-0000-0000-0000B2300000}"/>
    <cellStyle name="Normal 10 2 3 3 2 4 2" xfId="39038" xr:uid="{00000000-0005-0000-0000-0000B3300000}"/>
    <cellStyle name="Normal 10 2 3 3 2 5" xfId="26597" xr:uid="{00000000-0005-0000-0000-0000B4300000}"/>
    <cellStyle name="Normal 10 2 3 3 3" xfId="5509" xr:uid="{00000000-0005-0000-0000-0000B5300000}"/>
    <cellStyle name="Normal 10 2 3 3 3 2" xfId="10525" xr:uid="{00000000-0005-0000-0000-0000B6300000}"/>
    <cellStyle name="Normal 10 2 3 3 3 2 2" xfId="22968" xr:uid="{00000000-0005-0000-0000-0000B7300000}"/>
    <cellStyle name="Normal 10 2 3 3 3 2 2 2" xfId="47842" xr:uid="{00000000-0005-0000-0000-0000B8300000}"/>
    <cellStyle name="Normal 10 2 3 3 3 2 3" xfId="35409" xr:uid="{00000000-0005-0000-0000-0000B9300000}"/>
    <cellStyle name="Normal 10 2 3 3 3 3" xfId="17961" xr:uid="{00000000-0005-0000-0000-0000BA300000}"/>
    <cellStyle name="Normal 10 2 3 3 3 3 2" xfId="42835" xr:uid="{00000000-0005-0000-0000-0000BB300000}"/>
    <cellStyle name="Normal 10 2 3 3 3 4" xfId="30402" xr:uid="{00000000-0005-0000-0000-0000BC300000}"/>
    <cellStyle name="Normal 10 2 3 3 4" xfId="8286" xr:uid="{00000000-0005-0000-0000-0000BD300000}"/>
    <cellStyle name="Normal 10 2 3 3 4 2" xfId="20730" xr:uid="{00000000-0005-0000-0000-0000BE300000}"/>
    <cellStyle name="Normal 10 2 3 3 4 2 2" xfId="45604" xr:uid="{00000000-0005-0000-0000-0000BF300000}"/>
    <cellStyle name="Normal 10 2 3 3 4 3" xfId="33171" xr:uid="{00000000-0005-0000-0000-0000C0300000}"/>
    <cellStyle name="Normal 10 2 3 3 5" xfId="11979" xr:uid="{00000000-0005-0000-0000-0000C1300000}"/>
    <cellStyle name="Normal 10 2 3 3 5 2" xfId="24413" xr:uid="{00000000-0005-0000-0000-0000C2300000}"/>
    <cellStyle name="Normal 10 2 3 3 5 2 2" xfId="49287" xr:uid="{00000000-0005-0000-0000-0000C3300000}"/>
    <cellStyle name="Normal 10 2 3 3 5 3" xfId="36854" xr:uid="{00000000-0005-0000-0000-0000C4300000}"/>
    <cellStyle name="Normal 10 2 3 3 6" xfId="6763" xr:uid="{00000000-0005-0000-0000-0000C5300000}"/>
    <cellStyle name="Normal 10 2 3 3 6 2" xfId="19212" xr:uid="{00000000-0005-0000-0000-0000C6300000}"/>
    <cellStyle name="Normal 10 2 3 3 6 2 2" xfId="44086" xr:uid="{00000000-0005-0000-0000-0000C7300000}"/>
    <cellStyle name="Normal 10 2 3 3 6 3" xfId="31653" xr:uid="{00000000-0005-0000-0000-0000C8300000}"/>
    <cellStyle name="Normal 10 2 3 3 7" xfId="3217" xr:uid="{00000000-0005-0000-0000-0000C9300000}"/>
    <cellStyle name="Normal 10 2 3 3 7 2" xfId="15723" xr:uid="{00000000-0005-0000-0000-0000CA300000}"/>
    <cellStyle name="Normal 10 2 3 3 7 2 2" xfId="40597" xr:uid="{00000000-0005-0000-0000-0000CB300000}"/>
    <cellStyle name="Normal 10 2 3 3 7 3" xfId="28156" xr:uid="{00000000-0005-0000-0000-0000CC300000}"/>
    <cellStyle name="Normal 10 2 3 3 8" xfId="13133" xr:uid="{00000000-0005-0000-0000-0000CD300000}"/>
    <cellStyle name="Normal 10 2 3 3 8 2" xfId="38007" xr:uid="{00000000-0005-0000-0000-0000CE300000}"/>
    <cellStyle name="Normal 10 2 3 3 9" xfId="25566" xr:uid="{00000000-0005-0000-0000-0000CF300000}"/>
    <cellStyle name="Normal 10 2 3 4" xfId="677" xr:uid="{00000000-0005-0000-0000-0000D0300000}"/>
    <cellStyle name="Normal 10 2 3 4 2" xfId="1712" xr:uid="{00000000-0005-0000-0000-0000D1300000}"/>
    <cellStyle name="Normal 10 2 3 4 2 2" xfId="9468" xr:uid="{00000000-0005-0000-0000-0000D2300000}"/>
    <cellStyle name="Normal 10 2 3 4 2 2 2" xfId="21911" xr:uid="{00000000-0005-0000-0000-0000D3300000}"/>
    <cellStyle name="Normal 10 2 3 4 2 2 2 2" xfId="46785" xr:uid="{00000000-0005-0000-0000-0000D4300000}"/>
    <cellStyle name="Normal 10 2 3 4 2 2 3" xfId="34352" xr:uid="{00000000-0005-0000-0000-0000D5300000}"/>
    <cellStyle name="Normal 10 2 3 4 2 3" xfId="4450" xr:uid="{00000000-0005-0000-0000-0000D6300000}"/>
    <cellStyle name="Normal 10 2 3 4 2 3 2" xfId="16904" xr:uid="{00000000-0005-0000-0000-0000D7300000}"/>
    <cellStyle name="Normal 10 2 3 4 2 3 2 2" xfId="41778" xr:uid="{00000000-0005-0000-0000-0000D8300000}"/>
    <cellStyle name="Normal 10 2 3 4 2 3 3" xfId="29345" xr:uid="{00000000-0005-0000-0000-0000D9300000}"/>
    <cellStyle name="Normal 10 2 3 4 2 4" xfId="14512" xr:uid="{00000000-0005-0000-0000-0000DA300000}"/>
    <cellStyle name="Normal 10 2 3 4 2 4 2" xfId="39386" xr:uid="{00000000-0005-0000-0000-0000DB300000}"/>
    <cellStyle name="Normal 10 2 3 4 2 5" xfId="26945" xr:uid="{00000000-0005-0000-0000-0000DC300000}"/>
    <cellStyle name="Normal 10 2 3 4 3" xfId="5858" xr:uid="{00000000-0005-0000-0000-0000DD300000}"/>
    <cellStyle name="Normal 10 2 3 4 3 2" xfId="10873" xr:uid="{00000000-0005-0000-0000-0000DE300000}"/>
    <cellStyle name="Normal 10 2 3 4 3 2 2" xfId="23316" xr:uid="{00000000-0005-0000-0000-0000DF300000}"/>
    <cellStyle name="Normal 10 2 3 4 3 2 2 2" xfId="48190" xr:uid="{00000000-0005-0000-0000-0000E0300000}"/>
    <cellStyle name="Normal 10 2 3 4 3 2 3" xfId="35757" xr:uid="{00000000-0005-0000-0000-0000E1300000}"/>
    <cellStyle name="Normal 10 2 3 4 3 3" xfId="18309" xr:uid="{00000000-0005-0000-0000-0000E2300000}"/>
    <cellStyle name="Normal 10 2 3 4 3 3 2" xfId="43183" xr:uid="{00000000-0005-0000-0000-0000E3300000}"/>
    <cellStyle name="Normal 10 2 3 4 3 4" xfId="30750" xr:uid="{00000000-0005-0000-0000-0000E4300000}"/>
    <cellStyle name="Normal 10 2 3 4 4" xfId="8584" xr:uid="{00000000-0005-0000-0000-0000E5300000}"/>
    <cellStyle name="Normal 10 2 3 4 4 2" xfId="21028" xr:uid="{00000000-0005-0000-0000-0000E6300000}"/>
    <cellStyle name="Normal 10 2 3 4 4 2 2" xfId="45902" xr:uid="{00000000-0005-0000-0000-0000E7300000}"/>
    <cellStyle name="Normal 10 2 3 4 4 3" xfId="33469" xr:uid="{00000000-0005-0000-0000-0000E8300000}"/>
    <cellStyle name="Normal 10 2 3 4 5" xfId="12327" xr:uid="{00000000-0005-0000-0000-0000E9300000}"/>
    <cellStyle name="Normal 10 2 3 4 5 2" xfId="24761" xr:uid="{00000000-0005-0000-0000-0000EA300000}"/>
    <cellStyle name="Normal 10 2 3 4 5 2 2" xfId="49635" xr:uid="{00000000-0005-0000-0000-0000EB300000}"/>
    <cellStyle name="Normal 10 2 3 4 5 3" xfId="37202" xr:uid="{00000000-0005-0000-0000-0000EC300000}"/>
    <cellStyle name="Normal 10 2 3 4 6" xfId="7061" xr:uid="{00000000-0005-0000-0000-0000ED300000}"/>
    <cellStyle name="Normal 10 2 3 4 6 2" xfId="19510" xr:uid="{00000000-0005-0000-0000-0000EE300000}"/>
    <cellStyle name="Normal 10 2 3 4 6 2 2" xfId="44384" xr:uid="{00000000-0005-0000-0000-0000EF300000}"/>
    <cellStyle name="Normal 10 2 3 4 6 3" xfId="31951" xr:uid="{00000000-0005-0000-0000-0000F0300000}"/>
    <cellStyle name="Normal 10 2 3 4 7" xfId="3515" xr:uid="{00000000-0005-0000-0000-0000F1300000}"/>
    <cellStyle name="Normal 10 2 3 4 7 2" xfId="16021" xr:uid="{00000000-0005-0000-0000-0000F2300000}"/>
    <cellStyle name="Normal 10 2 3 4 7 2 2" xfId="40895" xr:uid="{00000000-0005-0000-0000-0000F3300000}"/>
    <cellStyle name="Normal 10 2 3 4 7 3" xfId="28454" xr:uid="{00000000-0005-0000-0000-0000F4300000}"/>
    <cellStyle name="Normal 10 2 3 4 8" xfId="13480" xr:uid="{00000000-0005-0000-0000-0000F5300000}"/>
    <cellStyle name="Normal 10 2 3 4 8 2" xfId="38354" xr:uid="{00000000-0005-0000-0000-0000F6300000}"/>
    <cellStyle name="Normal 10 2 3 4 9" xfId="25913" xr:uid="{00000000-0005-0000-0000-0000F7300000}"/>
    <cellStyle name="Normal 10 2 3 5" xfId="2234" xr:uid="{00000000-0005-0000-0000-0000F8300000}"/>
    <cellStyle name="Normal 10 2 3 5 2" xfId="4862" xr:uid="{00000000-0005-0000-0000-0000F9300000}"/>
    <cellStyle name="Normal 10 2 3 5 2 2" xfId="9879" xr:uid="{00000000-0005-0000-0000-0000FA300000}"/>
    <cellStyle name="Normal 10 2 3 5 2 2 2" xfId="22322" xr:uid="{00000000-0005-0000-0000-0000FB300000}"/>
    <cellStyle name="Normal 10 2 3 5 2 2 2 2" xfId="47196" xr:uid="{00000000-0005-0000-0000-0000FC300000}"/>
    <cellStyle name="Normal 10 2 3 5 2 2 3" xfId="34763" xr:uid="{00000000-0005-0000-0000-0000FD300000}"/>
    <cellStyle name="Normal 10 2 3 5 2 3" xfId="17315" xr:uid="{00000000-0005-0000-0000-0000FE300000}"/>
    <cellStyle name="Normal 10 2 3 5 2 3 2" xfId="42189" xr:uid="{00000000-0005-0000-0000-0000FF300000}"/>
    <cellStyle name="Normal 10 2 3 5 2 4" xfId="29756" xr:uid="{00000000-0005-0000-0000-000000310000}"/>
    <cellStyle name="Normal 10 2 3 5 3" xfId="6260" xr:uid="{00000000-0005-0000-0000-000001310000}"/>
    <cellStyle name="Normal 10 2 3 5 3 2" xfId="11275" xr:uid="{00000000-0005-0000-0000-000002310000}"/>
    <cellStyle name="Normal 10 2 3 5 3 2 2" xfId="23718" xr:uid="{00000000-0005-0000-0000-000003310000}"/>
    <cellStyle name="Normal 10 2 3 5 3 2 2 2" xfId="48592" xr:uid="{00000000-0005-0000-0000-000004310000}"/>
    <cellStyle name="Normal 10 2 3 5 3 2 3" xfId="36159" xr:uid="{00000000-0005-0000-0000-000005310000}"/>
    <cellStyle name="Normal 10 2 3 5 3 3" xfId="18711" xr:uid="{00000000-0005-0000-0000-000006310000}"/>
    <cellStyle name="Normal 10 2 3 5 3 3 2" xfId="43585" xr:uid="{00000000-0005-0000-0000-000007310000}"/>
    <cellStyle name="Normal 10 2 3 5 3 4" xfId="31152" xr:uid="{00000000-0005-0000-0000-000008310000}"/>
    <cellStyle name="Normal 10 2 3 5 4" xfId="8067" xr:uid="{00000000-0005-0000-0000-000009310000}"/>
    <cellStyle name="Normal 10 2 3 5 4 2" xfId="20513" xr:uid="{00000000-0005-0000-0000-00000A310000}"/>
    <cellStyle name="Normal 10 2 3 5 4 2 2" xfId="45387" xr:uid="{00000000-0005-0000-0000-00000B310000}"/>
    <cellStyle name="Normal 10 2 3 5 4 3" xfId="32954" xr:uid="{00000000-0005-0000-0000-00000C310000}"/>
    <cellStyle name="Normal 10 2 3 5 5" xfId="12729" xr:uid="{00000000-0005-0000-0000-00000D310000}"/>
    <cellStyle name="Normal 10 2 3 5 5 2" xfId="25163" xr:uid="{00000000-0005-0000-0000-00000E310000}"/>
    <cellStyle name="Normal 10 2 3 5 5 2 2" xfId="50037" xr:uid="{00000000-0005-0000-0000-00000F310000}"/>
    <cellStyle name="Normal 10 2 3 5 5 3" xfId="37604" xr:uid="{00000000-0005-0000-0000-000010310000}"/>
    <cellStyle name="Normal 10 2 3 5 6" xfId="7473" xr:uid="{00000000-0005-0000-0000-000011310000}"/>
    <cellStyle name="Normal 10 2 3 5 6 2" xfId="19921" xr:uid="{00000000-0005-0000-0000-000012310000}"/>
    <cellStyle name="Normal 10 2 3 5 6 2 2" xfId="44795" xr:uid="{00000000-0005-0000-0000-000013310000}"/>
    <cellStyle name="Normal 10 2 3 5 6 3" xfId="32362" xr:uid="{00000000-0005-0000-0000-000014310000}"/>
    <cellStyle name="Normal 10 2 3 5 7" xfId="2996" xr:uid="{00000000-0005-0000-0000-000015310000}"/>
    <cellStyle name="Normal 10 2 3 5 7 2" xfId="15506" xr:uid="{00000000-0005-0000-0000-000016310000}"/>
    <cellStyle name="Normal 10 2 3 5 7 2 2" xfId="40380" xr:uid="{00000000-0005-0000-0000-000017310000}"/>
    <cellStyle name="Normal 10 2 3 5 7 3" xfId="27939" xr:uid="{00000000-0005-0000-0000-000018310000}"/>
    <cellStyle name="Normal 10 2 3 5 8" xfId="14914" xr:uid="{00000000-0005-0000-0000-000019310000}"/>
    <cellStyle name="Normal 10 2 3 5 8 2" xfId="39788" xr:uid="{00000000-0005-0000-0000-00001A310000}"/>
    <cellStyle name="Normal 10 2 3 5 9" xfId="27347" xr:uid="{00000000-0005-0000-0000-00001B310000}"/>
    <cellStyle name="Normal 10 2 3 6" xfId="1071" xr:uid="{00000000-0005-0000-0000-00001C310000}"/>
    <cellStyle name="Normal 10 2 3 6 2" xfId="8953" xr:uid="{00000000-0005-0000-0000-00001D310000}"/>
    <cellStyle name="Normal 10 2 3 6 2 2" xfId="21396" xr:uid="{00000000-0005-0000-0000-00001E310000}"/>
    <cellStyle name="Normal 10 2 3 6 2 2 2" xfId="46270" xr:uid="{00000000-0005-0000-0000-00001F310000}"/>
    <cellStyle name="Normal 10 2 3 6 2 3" xfId="33837" xr:uid="{00000000-0005-0000-0000-000020310000}"/>
    <cellStyle name="Normal 10 2 3 6 3" xfId="3935" xr:uid="{00000000-0005-0000-0000-000021310000}"/>
    <cellStyle name="Normal 10 2 3 6 3 2" xfId="16389" xr:uid="{00000000-0005-0000-0000-000022310000}"/>
    <cellStyle name="Normal 10 2 3 6 3 2 2" xfId="41263" xr:uid="{00000000-0005-0000-0000-000023310000}"/>
    <cellStyle name="Normal 10 2 3 6 3 3" xfId="28830" xr:uid="{00000000-0005-0000-0000-000024310000}"/>
    <cellStyle name="Normal 10 2 3 6 4" xfId="13871" xr:uid="{00000000-0005-0000-0000-000025310000}"/>
    <cellStyle name="Normal 10 2 3 6 4 2" xfId="38745" xr:uid="{00000000-0005-0000-0000-000026310000}"/>
    <cellStyle name="Normal 10 2 3 6 5" xfId="26304" xr:uid="{00000000-0005-0000-0000-000027310000}"/>
    <cellStyle name="Normal 10 2 3 7" xfId="5216" xr:uid="{00000000-0005-0000-0000-000028310000}"/>
    <cellStyle name="Normal 10 2 3 7 2" xfId="10232" xr:uid="{00000000-0005-0000-0000-000029310000}"/>
    <cellStyle name="Normal 10 2 3 7 2 2" xfId="22675" xr:uid="{00000000-0005-0000-0000-00002A310000}"/>
    <cellStyle name="Normal 10 2 3 7 2 2 2" xfId="47549" xr:uid="{00000000-0005-0000-0000-00002B310000}"/>
    <cellStyle name="Normal 10 2 3 7 2 3" xfId="35116" xr:uid="{00000000-0005-0000-0000-00002C310000}"/>
    <cellStyle name="Normal 10 2 3 7 3" xfId="17668" xr:uid="{00000000-0005-0000-0000-00002D310000}"/>
    <cellStyle name="Normal 10 2 3 7 3 2" xfId="42542" xr:uid="{00000000-0005-0000-0000-00002E310000}"/>
    <cellStyle name="Normal 10 2 3 7 4" xfId="30109" xr:uid="{00000000-0005-0000-0000-00002F310000}"/>
    <cellStyle name="Normal 10 2 3 8" xfId="7793" xr:uid="{00000000-0005-0000-0000-000030310000}"/>
    <cellStyle name="Normal 10 2 3 8 2" xfId="20239" xr:uid="{00000000-0005-0000-0000-000031310000}"/>
    <cellStyle name="Normal 10 2 3 8 2 2" xfId="45113" xr:uid="{00000000-0005-0000-0000-000032310000}"/>
    <cellStyle name="Normal 10 2 3 8 3" xfId="32680" xr:uid="{00000000-0005-0000-0000-000033310000}"/>
    <cellStyle name="Normal 10 2 3 9" xfId="11686" xr:uid="{00000000-0005-0000-0000-000034310000}"/>
    <cellStyle name="Normal 10 2 3 9 2" xfId="24120" xr:uid="{00000000-0005-0000-0000-000035310000}"/>
    <cellStyle name="Normal 10 2 3 9 2 2" xfId="48994" xr:uid="{00000000-0005-0000-0000-000036310000}"/>
    <cellStyle name="Normal 10 2 3 9 3" xfId="36561" xr:uid="{00000000-0005-0000-0000-000037310000}"/>
    <cellStyle name="Normal 10 2 3_Degree data" xfId="2087" xr:uid="{00000000-0005-0000-0000-000038310000}"/>
    <cellStyle name="Normal 10 2 4" xfId="256" xr:uid="{00000000-0005-0000-0000-000039310000}"/>
    <cellStyle name="Normal 10 2 4 10" xfId="6596" xr:uid="{00000000-0005-0000-0000-00003A310000}"/>
    <cellStyle name="Normal 10 2 4 10 2" xfId="19045" xr:uid="{00000000-0005-0000-0000-00003B310000}"/>
    <cellStyle name="Normal 10 2 4 10 2 2" xfId="43919" xr:uid="{00000000-0005-0000-0000-00003C310000}"/>
    <cellStyle name="Normal 10 2 4 10 3" xfId="31486" xr:uid="{00000000-0005-0000-0000-00003D310000}"/>
    <cellStyle name="Normal 10 2 4 11" xfId="2659" xr:uid="{00000000-0005-0000-0000-00003E310000}"/>
    <cellStyle name="Normal 10 2 4 11 2" xfId="15177" xr:uid="{00000000-0005-0000-0000-00003F310000}"/>
    <cellStyle name="Normal 10 2 4 11 2 2" xfId="40051" xr:uid="{00000000-0005-0000-0000-000040310000}"/>
    <cellStyle name="Normal 10 2 4 11 3" xfId="27610" xr:uid="{00000000-0005-0000-0000-000041310000}"/>
    <cellStyle name="Normal 10 2 4 12" xfId="13078" xr:uid="{00000000-0005-0000-0000-000042310000}"/>
    <cellStyle name="Normal 10 2 4 12 2" xfId="37952" xr:uid="{00000000-0005-0000-0000-000043310000}"/>
    <cellStyle name="Normal 10 2 4 13" xfId="25511" xr:uid="{00000000-0005-0000-0000-000044310000}"/>
    <cellStyle name="Normal 10 2 4 2" xfId="470" xr:uid="{00000000-0005-0000-0000-000045310000}"/>
    <cellStyle name="Normal 10 2 4 2 10" xfId="13283" xr:uid="{00000000-0005-0000-0000-000046310000}"/>
    <cellStyle name="Normal 10 2 4 2 10 2" xfId="38157" xr:uid="{00000000-0005-0000-0000-000047310000}"/>
    <cellStyle name="Normal 10 2 4 2 11" xfId="25716" xr:uid="{00000000-0005-0000-0000-000048310000}"/>
    <cellStyle name="Normal 10 2 4 2 2" xfId="829" xr:uid="{00000000-0005-0000-0000-000049310000}"/>
    <cellStyle name="Normal 10 2 4 2 2 2" xfId="1367" xr:uid="{00000000-0005-0000-0000-00004A310000}"/>
    <cellStyle name="Normal 10 2 4 2 2 2 2" xfId="9471" xr:uid="{00000000-0005-0000-0000-00004B310000}"/>
    <cellStyle name="Normal 10 2 4 2 2 2 2 2" xfId="21914" xr:uid="{00000000-0005-0000-0000-00004C310000}"/>
    <cellStyle name="Normal 10 2 4 2 2 2 2 2 2" xfId="46788" xr:uid="{00000000-0005-0000-0000-00004D310000}"/>
    <cellStyle name="Normal 10 2 4 2 2 2 2 3" xfId="34355" xr:uid="{00000000-0005-0000-0000-00004E310000}"/>
    <cellStyle name="Normal 10 2 4 2 2 2 3" xfId="4453" xr:uid="{00000000-0005-0000-0000-00004F310000}"/>
    <cellStyle name="Normal 10 2 4 2 2 2 3 2" xfId="16907" xr:uid="{00000000-0005-0000-0000-000050310000}"/>
    <cellStyle name="Normal 10 2 4 2 2 2 3 2 2" xfId="41781" xr:uid="{00000000-0005-0000-0000-000051310000}"/>
    <cellStyle name="Normal 10 2 4 2 2 2 3 3" xfId="29348" xr:uid="{00000000-0005-0000-0000-000052310000}"/>
    <cellStyle name="Normal 10 2 4 2 2 2 4" xfId="14167" xr:uid="{00000000-0005-0000-0000-000053310000}"/>
    <cellStyle name="Normal 10 2 4 2 2 2 4 2" xfId="39041" xr:uid="{00000000-0005-0000-0000-000054310000}"/>
    <cellStyle name="Normal 10 2 4 2 2 2 5" xfId="26600" xr:uid="{00000000-0005-0000-0000-000055310000}"/>
    <cellStyle name="Normal 10 2 4 2 2 3" xfId="5512" xr:uid="{00000000-0005-0000-0000-000056310000}"/>
    <cellStyle name="Normal 10 2 4 2 2 3 2" xfId="10528" xr:uid="{00000000-0005-0000-0000-000057310000}"/>
    <cellStyle name="Normal 10 2 4 2 2 3 2 2" xfId="22971" xr:uid="{00000000-0005-0000-0000-000058310000}"/>
    <cellStyle name="Normal 10 2 4 2 2 3 2 2 2" xfId="47845" xr:uid="{00000000-0005-0000-0000-000059310000}"/>
    <cellStyle name="Normal 10 2 4 2 2 3 2 3" xfId="35412" xr:uid="{00000000-0005-0000-0000-00005A310000}"/>
    <cellStyle name="Normal 10 2 4 2 2 3 3" xfId="17964" xr:uid="{00000000-0005-0000-0000-00005B310000}"/>
    <cellStyle name="Normal 10 2 4 2 2 3 3 2" xfId="42838" xr:uid="{00000000-0005-0000-0000-00005C310000}"/>
    <cellStyle name="Normal 10 2 4 2 2 3 4" xfId="30405" xr:uid="{00000000-0005-0000-0000-00005D310000}"/>
    <cellStyle name="Normal 10 2 4 2 2 4" xfId="8587" xr:uid="{00000000-0005-0000-0000-00005E310000}"/>
    <cellStyle name="Normal 10 2 4 2 2 4 2" xfId="21031" xr:uid="{00000000-0005-0000-0000-00005F310000}"/>
    <cellStyle name="Normal 10 2 4 2 2 4 2 2" xfId="45905" xr:uid="{00000000-0005-0000-0000-000060310000}"/>
    <cellStyle name="Normal 10 2 4 2 2 4 3" xfId="33472" xr:uid="{00000000-0005-0000-0000-000061310000}"/>
    <cellStyle name="Normal 10 2 4 2 2 5" xfId="11982" xr:uid="{00000000-0005-0000-0000-000062310000}"/>
    <cellStyle name="Normal 10 2 4 2 2 5 2" xfId="24416" xr:uid="{00000000-0005-0000-0000-000063310000}"/>
    <cellStyle name="Normal 10 2 4 2 2 5 2 2" xfId="49290" xr:uid="{00000000-0005-0000-0000-000064310000}"/>
    <cellStyle name="Normal 10 2 4 2 2 5 3" xfId="36857" xr:uid="{00000000-0005-0000-0000-000065310000}"/>
    <cellStyle name="Normal 10 2 4 2 2 6" xfId="7064" xr:uid="{00000000-0005-0000-0000-000066310000}"/>
    <cellStyle name="Normal 10 2 4 2 2 6 2" xfId="19513" xr:uid="{00000000-0005-0000-0000-000067310000}"/>
    <cellStyle name="Normal 10 2 4 2 2 6 2 2" xfId="44387" xr:uid="{00000000-0005-0000-0000-000068310000}"/>
    <cellStyle name="Normal 10 2 4 2 2 6 3" xfId="31954" xr:uid="{00000000-0005-0000-0000-000069310000}"/>
    <cellStyle name="Normal 10 2 4 2 2 7" xfId="3518" xr:uid="{00000000-0005-0000-0000-00006A310000}"/>
    <cellStyle name="Normal 10 2 4 2 2 7 2" xfId="16024" xr:uid="{00000000-0005-0000-0000-00006B310000}"/>
    <cellStyle name="Normal 10 2 4 2 2 7 2 2" xfId="40898" xr:uid="{00000000-0005-0000-0000-00006C310000}"/>
    <cellStyle name="Normal 10 2 4 2 2 7 3" xfId="28457" xr:uid="{00000000-0005-0000-0000-00006D310000}"/>
    <cellStyle name="Normal 10 2 4 2 2 8" xfId="13630" xr:uid="{00000000-0005-0000-0000-00006E310000}"/>
    <cellStyle name="Normal 10 2 4 2 2 8 2" xfId="38504" xr:uid="{00000000-0005-0000-0000-00006F310000}"/>
    <cellStyle name="Normal 10 2 4 2 2 9" xfId="26063" xr:uid="{00000000-0005-0000-0000-000070310000}"/>
    <cellStyle name="Normal 10 2 4 2 3" xfId="1715" xr:uid="{00000000-0005-0000-0000-000071310000}"/>
    <cellStyle name="Normal 10 2 4 2 3 2" xfId="5012" xr:uid="{00000000-0005-0000-0000-000072310000}"/>
    <cellStyle name="Normal 10 2 4 2 3 2 2" xfId="10029" xr:uid="{00000000-0005-0000-0000-000073310000}"/>
    <cellStyle name="Normal 10 2 4 2 3 2 2 2" xfId="22472" xr:uid="{00000000-0005-0000-0000-000074310000}"/>
    <cellStyle name="Normal 10 2 4 2 3 2 2 2 2" xfId="47346" xr:uid="{00000000-0005-0000-0000-000075310000}"/>
    <cellStyle name="Normal 10 2 4 2 3 2 2 3" xfId="34913" xr:uid="{00000000-0005-0000-0000-000076310000}"/>
    <cellStyle name="Normal 10 2 4 2 3 2 3" xfId="17465" xr:uid="{00000000-0005-0000-0000-000077310000}"/>
    <cellStyle name="Normal 10 2 4 2 3 2 3 2" xfId="42339" xr:uid="{00000000-0005-0000-0000-000078310000}"/>
    <cellStyle name="Normal 10 2 4 2 3 2 4" xfId="29906" xr:uid="{00000000-0005-0000-0000-000079310000}"/>
    <cellStyle name="Normal 10 2 4 2 3 3" xfId="5861" xr:uid="{00000000-0005-0000-0000-00007A310000}"/>
    <cellStyle name="Normal 10 2 4 2 3 3 2" xfId="10876" xr:uid="{00000000-0005-0000-0000-00007B310000}"/>
    <cellStyle name="Normal 10 2 4 2 3 3 2 2" xfId="23319" xr:uid="{00000000-0005-0000-0000-00007C310000}"/>
    <cellStyle name="Normal 10 2 4 2 3 3 2 2 2" xfId="48193" xr:uid="{00000000-0005-0000-0000-00007D310000}"/>
    <cellStyle name="Normal 10 2 4 2 3 3 2 3" xfId="35760" xr:uid="{00000000-0005-0000-0000-00007E310000}"/>
    <cellStyle name="Normal 10 2 4 2 3 3 3" xfId="18312" xr:uid="{00000000-0005-0000-0000-00007F310000}"/>
    <cellStyle name="Normal 10 2 4 2 3 3 3 2" xfId="43186" xr:uid="{00000000-0005-0000-0000-000080310000}"/>
    <cellStyle name="Normal 10 2 4 2 3 3 4" xfId="30753" xr:uid="{00000000-0005-0000-0000-000081310000}"/>
    <cellStyle name="Normal 10 2 4 2 3 4" xfId="8436" xr:uid="{00000000-0005-0000-0000-000082310000}"/>
    <cellStyle name="Normal 10 2 4 2 3 4 2" xfId="20880" xr:uid="{00000000-0005-0000-0000-000083310000}"/>
    <cellStyle name="Normal 10 2 4 2 3 4 2 2" xfId="45754" xr:uid="{00000000-0005-0000-0000-000084310000}"/>
    <cellStyle name="Normal 10 2 4 2 3 4 3" xfId="33321" xr:uid="{00000000-0005-0000-0000-000085310000}"/>
    <cellStyle name="Normal 10 2 4 2 3 5" xfId="12330" xr:uid="{00000000-0005-0000-0000-000086310000}"/>
    <cellStyle name="Normal 10 2 4 2 3 5 2" xfId="24764" xr:uid="{00000000-0005-0000-0000-000087310000}"/>
    <cellStyle name="Normal 10 2 4 2 3 5 2 2" xfId="49638" xr:uid="{00000000-0005-0000-0000-000088310000}"/>
    <cellStyle name="Normal 10 2 4 2 3 5 3" xfId="37205" xr:uid="{00000000-0005-0000-0000-000089310000}"/>
    <cellStyle name="Normal 10 2 4 2 3 6" xfId="7623" xr:uid="{00000000-0005-0000-0000-00008A310000}"/>
    <cellStyle name="Normal 10 2 4 2 3 6 2" xfId="20071" xr:uid="{00000000-0005-0000-0000-00008B310000}"/>
    <cellStyle name="Normal 10 2 4 2 3 6 2 2" xfId="44945" xr:uid="{00000000-0005-0000-0000-00008C310000}"/>
    <cellStyle name="Normal 10 2 4 2 3 6 3" xfId="32512" xr:uid="{00000000-0005-0000-0000-00008D310000}"/>
    <cellStyle name="Normal 10 2 4 2 3 7" xfId="3367" xr:uid="{00000000-0005-0000-0000-00008E310000}"/>
    <cellStyle name="Normal 10 2 4 2 3 7 2" xfId="15873" xr:uid="{00000000-0005-0000-0000-00008F310000}"/>
    <cellStyle name="Normal 10 2 4 2 3 7 2 2" xfId="40747" xr:uid="{00000000-0005-0000-0000-000090310000}"/>
    <cellStyle name="Normal 10 2 4 2 3 7 3" xfId="28306" xr:uid="{00000000-0005-0000-0000-000091310000}"/>
    <cellStyle name="Normal 10 2 4 2 3 8" xfId="14515" xr:uid="{00000000-0005-0000-0000-000092310000}"/>
    <cellStyle name="Normal 10 2 4 2 3 8 2" xfId="39389" xr:uid="{00000000-0005-0000-0000-000093310000}"/>
    <cellStyle name="Normal 10 2 4 2 3 9" xfId="26948" xr:uid="{00000000-0005-0000-0000-000094310000}"/>
    <cellStyle name="Normal 10 2 4 2 4" xfId="2388" xr:uid="{00000000-0005-0000-0000-000095310000}"/>
    <cellStyle name="Normal 10 2 4 2 4 2" xfId="6410" xr:uid="{00000000-0005-0000-0000-000096310000}"/>
    <cellStyle name="Normal 10 2 4 2 4 2 2" xfId="11425" xr:uid="{00000000-0005-0000-0000-000097310000}"/>
    <cellStyle name="Normal 10 2 4 2 4 2 2 2" xfId="23868" xr:uid="{00000000-0005-0000-0000-000098310000}"/>
    <cellStyle name="Normal 10 2 4 2 4 2 2 2 2" xfId="48742" xr:uid="{00000000-0005-0000-0000-000099310000}"/>
    <cellStyle name="Normal 10 2 4 2 4 2 2 3" xfId="36309" xr:uid="{00000000-0005-0000-0000-00009A310000}"/>
    <cellStyle name="Normal 10 2 4 2 4 2 3" xfId="18861" xr:uid="{00000000-0005-0000-0000-00009B310000}"/>
    <cellStyle name="Normal 10 2 4 2 4 2 3 2" xfId="43735" xr:uid="{00000000-0005-0000-0000-00009C310000}"/>
    <cellStyle name="Normal 10 2 4 2 4 2 4" xfId="31302" xr:uid="{00000000-0005-0000-0000-00009D310000}"/>
    <cellStyle name="Normal 10 2 4 2 4 3" xfId="12879" xr:uid="{00000000-0005-0000-0000-00009E310000}"/>
    <cellStyle name="Normal 10 2 4 2 4 3 2" xfId="25313" xr:uid="{00000000-0005-0000-0000-00009F310000}"/>
    <cellStyle name="Normal 10 2 4 2 4 3 2 2" xfId="50187" xr:uid="{00000000-0005-0000-0000-0000A0310000}"/>
    <cellStyle name="Normal 10 2 4 2 4 3 3" xfId="37754" xr:uid="{00000000-0005-0000-0000-0000A1310000}"/>
    <cellStyle name="Normal 10 2 4 2 4 4" xfId="9320" xr:uid="{00000000-0005-0000-0000-0000A2310000}"/>
    <cellStyle name="Normal 10 2 4 2 4 4 2" xfId="21763" xr:uid="{00000000-0005-0000-0000-0000A3310000}"/>
    <cellStyle name="Normal 10 2 4 2 4 4 2 2" xfId="46637" xr:uid="{00000000-0005-0000-0000-0000A4310000}"/>
    <cellStyle name="Normal 10 2 4 2 4 4 3" xfId="34204" xr:uid="{00000000-0005-0000-0000-0000A5310000}"/>
    <cellStyle name="Normal 10 2 4 2 4 5" xfId="4302" xr:uid="{00000000-0005-0000-0000-0000A6310000}"/>
    <cellStyle name="Normal 10 2 4 2 4 5 2" xfId="16756" xr:uid="{00000000-0005-0000-0000-0000A7310000}"/>
    <cellStyle name="Normal 10 2 4 2 4 5 2 2" xfId="41630" xr:uid="{00000000-0005-0000-0000-0000A8310000}"/>
    <cellStyle name="Normal 10 2 4 2 4 5 3" xfId="29197" xr:uid="{00000000-0005-0000-0000-0000A9310000}"/>
    <cellStyle name="Normal 10 2 4 2 4 6" xfId="15064" xr:uid="{00000000-0005-0000-0000-0000AA310000}"/>
    <cellStyle name="Normal 10 2 4 2 4 6 2" xfId="39938" xr:uid="{00000000-0005-0000-0000-0000AB310000}"/>
    <cellStyle name="Normal 10 2 4 2 4 7" xfId="27497" xr:uid="{00000000-0005-0000-0000-0000AC310000}"/>
    <cellStyle name="Normal 10 2 4 2 5" xfId="1221" xr:uid="{00000000-0005-0000-0000-0000AD310000}"/>
    <cellStyle name="Normal 10 2 4 2 5 2" xfId="10382" xr:uid="{00000000-0005-0000-0000-0000AE310000}"/>
    <cellStyle name="Normal 10 2 4 2 5 2 2" xfId="22825" xr:uid="{00000000-0005-0000-0000-0000AF310000}"/>
    <cellStyle name="Normal 10 2 4 2 5 2 2 2" xfId="47699" xr:uid="{00000000-0005-0000-0000-0000B0310000}"/>
    <cellStyle name="Normal 10 2 4 2 5 2 3" xfId="35266" xr:uid="{00000000-0005-0000-0000-0000B1310000}"/>
    <cellStyle name="Normal 10 2 4 2 5 3" xfId="5366" xr:uid="{00000000-0005-0000-0000-0000B2310000}"/>
    <cellStyle name="Normal 10 2 4 2 5 3 2" xfId="17818" xr:uid="{00000000-0005-0000-0000-0000B3310000}"/>
    <cellStyle name="Normal 10 2 4 2 5 3 2 2" xfId="42692" xr:uid="{00000000-0005-0000-0000-0000B4310000}"/>
    <cellStyle name="Normal 10 2 4 2 5 3 3" xfId="30259" xr:uid="{00000000-0005-0000-0000-0000B5310000}"/>
    <cellStyle name="Normal 10 2 4 2 5 4" xfId="14021" xr:uid="{00000000-0005-0000-0000-0000B6310000}"/>
    <cellStyle name="Normal 10 2 4 2 5 4 2" xfId="38895" xr:uid="{00000000-0005-0000-0000-0000B7310000}"/>
    <cellStyle name="Normal 10 2 4 2 5 5" xfId="26454" xr:uid="{00000000-0005-0000-0000-0000B8310000}"/>
    <cellStyle name="Normal 10 2 4 2 6" xfId="7943" xr:uid="{00000000-0005-0000-0000-0000B9310000}"/>
    <cellStyle name="Normal 10 2 4 2 6 2" xfId="20389" xr:uid="{00000000-0005-0000-0000-0000BA310000}"/>
    <cellStyle name="Normal 10 2 4 2 6 2 2" xfId="45263" xr:uid="{00000000-0005-0000-0000-0000BB310000}"/>
    <cellStyle name="Normal 10 2 4 2 6 3" xfId="32830" xr:uid="{00000000-0005-0000-0000-0000BC310000}"/>
    <cellStyle name="Normal 10 2 4 2 7" xfId="11836" xr:uid="{00000000-0005-0000-0000-0000BD310000}"/>
    <cellStyle name="Normal 10 2 4 2 7 2" xfId="24270" xr:uid="{00000000-0005-0000-0000-0000BE310000}"/>
    <cellStyle name="Normal 10 2 4 2 7 2 2" xfId="49144" xr:uid="{00000000-0005-0000-0000-0000BF310000}"/>
    <cellStyle name="Normal 10 2 4 2 7 3" xfId="36711" xr:uid="{00000000-0005-0000-0000-0000C0310000}"/>
    <cellStyle name="Normal 10 2 4 2 8" xfId="6913" xr:uid="{00000000-0005-0000-0000-0000C1310000}"/>
    <cellStyle name="Normal 10 2 4 2 8 2" xfId="19362" xr:uid="{00000000-0005-0000-0000-0000C2310000}"/>
    <cellStyle name="Normal 10 2 4 2 8 2 2" xfId="44236" xr:uid="{00000000-0005-0000-0000-0000C3310000}"/>
    <cellStyle name="Normal 10 2 4 2 8 3" xfId="31803" xr:uid="{00000000-0005-0000-0000-0000C4310000}"/>
    <cellStyle name="Normal 10 2 4 2 9" xfId="2864" xr:uid="{00000000-0005-0000-0000-0000C5310000}"/>
    <cellStyle name="Normal 10 2 4 2 9 2" xfId="15382" xr:uid="{00000000-0005-0000-0000-0000C6310000}"/>
    <cellStyle name="Normal 10 2 4 2 9 2 2" xfId="40256" xr:uid="{00000000-0005-0000-0000-0000C7310000}"/>
    <cellStyle name="Normal 10 2 4 2 9 3" xfId="27815" xr:uid="{00000000-0005-0000-0000-0000C8310000}"/>
    <cellStyle name="Normal 10 2 4 2_Degree data" xfId="2020" xr:uid="{00000000-0005-0000-0000-0000C9310000}"/>
    <cellStyle name="Normal 10 2 4 3" xfId="618" xr:uid="{00000000-0005-0000-0000-0000CA310000}"/>
    <cellStyle name="Normal 10 2 4 3 2" xfId="1366" xr:uid="{00000000-0005-0000-0000-0000CB310000}"/>
    <cellStyle name="Normal 10 2 4 3 2 2" xfId="9115" xr:uid="{00000000-0005-0000-0000-0000CC310000}"/>
    <cellStyle name="Normal 10 2 4 3 2 2 2" xfId="21558" xr:uid="{00000000-0005-0000-0000-0000CD310000}"/>
    <cellStyle name="Normal 10 2 4 3 2 2 2 2" xfId="46432" xr:uid="{00000000-0005-0000-0000-0000CE310000}"/>
    <cellStyle name="Normal 10 2 4 3 2 2 3" xfId="33999" xr:uid="{00000000-0005-0000-0000-0000CF310000}"/>
    <cellStyle name="Normal 10 2 4 3 2 3" xfId="4097" xr:uid="{00000000-0005-0000-0000-0000D0310000}"/>
    <cellStyle name="Normal 10 2 4 3 2 3 2" xfId="16551" xr:uid="{00000000-0005-0000-0000-0000D1310000}"/>
    <cellStyle name="Normal 10 2 4 3 2 3 2 2" xfId="41425" xr:uid="{00000000-0005-0000-0000-0000D2310000}"/>
    <cellStyle name="Normal 10 2 4 3 2 3 3" xfId="28992" xr:uid="{00000000-0005-0000-0000-0000D3310000}"/>
    <cellStyle name="Normal 10 2 4 3 2 4" xfId="14166" xr:uid="{00000000-0005-0000-0000-0000D4310000}"/>
    <cellStyle name="Normal 10 2 4 3 2 4 2" xfId="39040" xr:uid="{00000000-0005-0000-0000-0000D5310000}"/>
    <cellStyle name="Normal 10 2 4 3 2 5" xfId="26599" xr:uid="{00000000-0005-0000-0000-0000D6310000}"/>
    <cellStyle name="Normal 10 2 4 3 3" xfId="5511" xr:uid="{00000000-0005-0000-0000-0000D7310000}"/>
    <cellStyle name="Normal 10 2 4 3 3 2" xfId="10527" xr:uid="{00000000-0005-0000-0000-0000D8310000}"/>
    <cellStyle name="Normal 10 2 4 3 3 2 2" xfId="22970" xr:uid="{00000000-0005-0000-0000-0000D9310000}"/>
    <cellStyle name="Normal 10 2 4 3 3 2 2 2" xfId="47844" xr:uid="{00000000-0005-0000-0000-0000DA310000}"/>
    <cellStyle name="Normal 10 2 4 3 3 2 3" xfId="35411" xr:uid="{00000000-0005-0000-0000-0000DB310000}"/>
    <cellStyle name="Normal 10 2 4 3 3 3" xfId="17963" xr:uid="{00000000-0005-0000-0000-0000DC310000}"/>
    <cellStyle name="Normal 10 2 4 3 3 3 2" xfId="42837" xr:uid="{00000000-0005-0000-0000-0000DD310000}"/>
    <cellStyle name="Normal 10 2 4 3 3 4" xfId="30404" xr:uid="{00000000-0005-0000-0000-0000DE310000}"/>
    <cellStyle name="Normal 10 2 4 3 4" xfId="8231" xr:uid="{00000000-0005-0000-0000-0000DF310000}"/>
    <cellStyle name="Normal 10 2 4 3 4 2" xfId="20675" xr:uid="{00000000-0005-0000-0000-0000E0310000}"/>
    <cellStyle name="Normal 10 2 4 3 4 2 2" xfId="45549" xr:uid="{00000000-0005-0000-0000-0000E1310000}"/>
    <cellStyle name="Normal 10 2 4 3 4 3" xfId="33116" xr:uid="{00000000-0005-0000-0000-0000E2310000}"/>
    <cellStyle name="Normal 10 2 4 3 5" xfId="11981" xr:uid="{00000000-0005-0000-0000-0000E3310000}"/>
    <cellStyle name="Normal 10 2 4 3 5 2" xfId="24415" xr:uid="{00000000-0005-0000-0000-0000E4310000}"/>
    <cellStyle name="Normal 10 2 4 3 5 2 2" xfId="49289" xr:uid="{00000000-0005-0000-0000-0000E5310000}"/>
    <cellStyle name="Normal 10 2 4 3 5 3" xfId="36856" xr:uid="{00000000-0005-0000-0000-0000E6310000}"/>
    <cellStyle name="Normal 10 2 4 3 6" xfId="6708" xr:uid="{00000000-0005-0000-0000-0000E7310000}"/>
    <cellStyle name="Normal 10 2 4 3 6 2" xfId="19157" xr:uid="{00000000-0005-0000-0000-0000E8310000}"/>
    <cellStyle name="Normal 10 2 4 3 6 2 2" xfId="44031" xr:uid="{00000000-0005-0000-0000-0000E9310000}"/>
    <cellStyle name="Normal 10 2 4 3 6 3" xfId="31598" xr:uid="{00000000-0005-0000-0000-0000EA310000}"/>
    <cellStyle name="Normal 10 2 4 3 7" xfId="3162" xr:uid="{00000000-0005-0000-0000-0000EB310000}"/>
    <cellStyle name="Normal 10 2 4 3 7 2" xfId="15668" xr:uid="{00000000-0005-0000-0000-0000EC310000}"/>
    <cellStyle name="Normal 10 2 4 3 7 2 2" xfId="40542" xr:uid="{00000000-0005-0000-0000-0000ED310000}"/>
    <cellStyle name="Normal 10 2 4 3 7 3" xfId="28101" xr:uid="{00000000-0005-0000-0000-0000EE310000}"/>
    <cellStyle name="Normal 10 2 4 3 8" xfId="13425" xr:uid="{00000000-0005-0000-0000-0000EF310000}"/>
    <cellStyle name="Normal 10 2 4 3 8 2" xfId="38299" xr:uid="{00000000-0005-0000-0000-0000F0310000}"/>
    <cellStyle name="Normal 10 2 4 3 9" xfId="25858" xr:uid="{00000000-0005-0000-0000-0000F1310000}"/>
    <cellStyle name="Normal 10 2 4 4" xfId="1714" xr:uid="{00000000-0005-0000-0000-0000F2310000}"/>
    <cellStyle name="Normal 10 2 4 4 2" xfId="4452" xr:uid="{00000000-0005-0000-0000-0000F3310000}"/>
    <cellStyle name="Normal 10 2 4 4 2 2" xfId="9470" xr:uid="{00000000-0005-0000-0000-0000F4310000}"/>
    <cellStyle name="Normal 10 2 4 4 2 2 2" xfId="21913" xr:uid="{00000000-0005-0000-0000-0000F5310000}"/>
    <cellStyle name="Normal 10 2 4 4 2 2 2 2" xfId="46787" xr:uid="{00000000-0005-0000-0000-0000F6310000}"/>
    <cellStyle name="Normal 10 2 4 4 2 2 3" xfId="34354" xr:uid="{00000000-0005-0000-0000-0000F7310000}"/>
    <cellStyle name="Normal 10 2 4 4 2 3" xfId="16906" xr:uid="{00000000-0005-0000-0000-0000F8310000}"/>
    <cellStyle name="Normal 10 2 4 4 2 3 2" xfId="41780" xr:uid="{00000000-0005-0000-0000-0000F9310000}"/>
    <cellStyle name="Normal 10 2 4 4 2 4" xfId="29347" xr:uid="{00000000-0005-0000-0000-0000FA310000}"/>
    <cellStyle name="Normal 10 2 4 4 3" xfId="5860" xr:uid="{00000000-0005-0000-0000-0000FB310000}"/>
    <cellStyle name="Normal 10 2 4 4 3 2" xfId="10875" xr:uid="{00000000-0005-0000-0000-0000FC310000}"/>
    <cellStyle name="Normal 10 2 4 4 3 2 2" xfId="23318" xr:uid="{00000000-0005-0000-0000-0000FD310000}"/>
    <cellStyle name="Normal 10 2 4 4 3 2 2 2" xfId="48192" xr:uid="{00000000-0005-0000-0000-0000FE310000}"/>
    <cellStyle name="Normal 10 2 4 4 3 2 3" xfId="35759" xr:uid="{00000000-0005-0000-0000-0000FF310000}"/>
    <cellStyle name="Normal 10 2 4 4 3 3" xfId="18311" xr:uid="{00000000-0005-0000-0000-000000320000}"/>
    <cellStyle name="Normal 10 2 4 4 3 3 2" xfId="43185" xr:uid="{00000000-0005-0000-0000-000001320000}"/>
    <cellStyle name="Normal 10 2 4 4 3 4" xfId="30752" xr:uid="{00000000-0005-0000-0000-000002320000}"/>
    <cellStyle name="Normal 10 2 4 4 4" xfId="8586" xr:uid="{00000000-0005-0000-0000-000003320000}"/>
    <cellStyle name="Normal 10 2 4 4 4 2" xfId="21030" xr:uid="{00000000-0005-0000-0000-000004320000}"/>
    <cellStyle name="Normal 10 2 4 4 4 2 2" xfId="45904" xr:uid="{00000000-0005-0000-0000-000005320000}"/>
    <cellStyle name="Normal 10 2 4 4 4 3" xfId="33471" xr:uid="{00000000-0005-0000-0000-000006320000}"/>
    <cellStyle name="Normal 10 2 4 4 5" xfId="12329" xr:uid="{00000000-0005-0000-0000-000007320000}"/>
    <cellStyle name="Normal 10 2 4 4 5 2" xfId="24763" xr:uid="{00000000-0005-0000-0000-000008320000}"/>
    <cellStyle name="Normal 10 2 4 4 5 2 2" xfId="49637" xr:uid="{00000000-0005-0000-0000-000009320000}"/>
    <cellStyle name="Normal 10 2 4 4 5 3" xfId="37204" xr:uid="{00000000-0005-0000-0000-00000A320000}"/>
    <cellStyle name="Normal 10 2 4 4 6" xfId="7063" xr:uid="{00000000-0005-0000-0000-00000B320000}"/>
    <cellStyle name="Normal 10 2 4 4 6 2" xfId="19512" xr:uid="{00000000-0005-0000-0000-00000C320000}"/>
    <cellStyle name="Normal 10 2 4 4 6 2 2" xfId="44386" xr:uid="{00000000-0005-0000-0000-00000D320000}"/>
    <cellStyle name="Normal 10 2 4 4 6 3" xfId="31953" xr:uid="{00000000-0005-0000-0000-00000E320000}"/>
    <cellStyle name="Normal 10 2 4 4 7" xfId="3517" xr:uid="{00000000-0005-0000-0000-00000F320000}"/>
    <cellStyle name="Normal 10 2 4 4 7 2" xfId="16023" xr:uid="{00000000-0005-0000-0000-000010320000}"/>
    <cellStyle name="Normal 10 2 4 4 7 2 2" xfId="40897" xr:uid="{00000000-0005-0000-0000-000011320000}"/>
    <cellStyle name="Normal 10 2 4 4 7 3" xfId="28456" xr:uid="{00000000-0005-0000-0000-000012320000}"/>
    <cellStyle name="Normal 10 2 4 4 8" xfId="14514" xr:uid="{00000000-0005-0000-0000-000013320000}"/>
    <cellStyle name="Normal 10 2 4 4 8 2" xfId="39388" xr:uid="{00000000-0005-0000-0000-000014320000}"/>
    <cellStyle name="Normal 10 2 4 4 9" xfId="26947" xr:uid="{00000000-0005-0000-0000-000015320000}"/>
    <cellStyle name="Normal 10 2 4 5" xfId="2174" xr:uid="{00000000-0005-0000-0000-000016320000}"/>
    <cellStyle name="Normal 10 2 4 5 2" xfId="4807" xr:uid="{00000000-0005-0000-0000-000017320000}"/>
    <cellStyle name="Normal 10 2 4 5 2 2" xfId="9824" xr:uid="{00000000-0005-0000-0000-000018320000}"/>
    <cellStyle name="Normal 10 2 4 5 2 2 2" xfId="22267" xr:uid="{00000000-0005-0000-0000-000019320000}"/>
    <cellStyle name="Normal 10 2 4 5 2 2 2 2" xfId="47141" xr:uid="{00000000-0005-0000-0000-00001A320000}"/>
    <cellStyle name="Normal 10 2 4 5 2 2 3" xfId="34708" xr:uid="{00000000-0005-0000-0000-00001B320000}"/>
    <cellStyle name="Normal 10 2 4 5 2 3" xfId="17260" xr:uid="{00000000-0005-0000-0000-00001C320000}"/>
    <cellStyle name="Normal 10 2 4 5 2 3 2" xfId="42134" xr:uid="{00000000-0005-0000-0000-00001D320000}"/>
    <cellStyle name="Normal 10 2 4 5 2 4" xfId="29701" xr:uid="{00000000-0005-0000-0000-00001E320000}"/>
    <cellStyle name="Normal 10 2 4 5 3" xfId="6205" xr:uid="{00000000-0005-0000-0000-00001F320000}"/>
    <cellStyle name="Normal 10 2 4 5 3 2" xfId="11220" xr:uid="{00000000-0005-0000-0000-000020320000}"/>
    <cellStyle name="Normal 10 2 4 5 3 2 2" xfId="23663" xr:uid="{00000000-0005-0000-0000-000021320000}"/>
    <cellStyle name="Normal 10 2 4 5 3 2 2 2" xfId="48537" xr:uid="{00000000-0005-0000-0000-000022320000}"/>
    <cellStyle name="Normal 10 2 4 5 3 2 3" xfId="36104" xr:uid="{00000000-0005-0000-0000-000023320000}"/>
    <cellStyle name="Normal 10 2 4 5 3 3" xfId="18656" xr:uid="{00000000-0005-0000-0000-000024320000}"/>
    <cellStyle name="Normal 10 2 4 5 3 3 2" xfId="43530" xr:uid="{00000000-0005-0000-0000-000025320000}"/>
    <cellStyle name="Normal 10 2 4 5 3 4" xfId="31097" xr:uid="{00000000-0005-0000-0000-000026320000}"/>
    <cellStyle name="Normal 10 2 4 5 4" xfId="8117" xr:uid="{00000000-0005-0000-0000-000027320000}"/>
    <cellStyle name="Normal 10 2 4 5 4 2" xfId="20563" xr:uid="{00000000-0005-0000-0000-000028320000}"/>
    <cellStyle name="Normal 10 2 4 5 4 2 2" xfId="45437" xr:uid="{00000000-0005-0000-0000-000029320000}"/>
    <cellStyle name="Normal 10 2 4 5 4 3" xfId="33004" xr:uid="{00000000-0005-0000-0000-00002A320000}"/>
    <cellStyle name="Normal 10 2 4 5 5" xfId="12674" xr:uid="{00000000-0005-0000-0000-00002B320000}"/>
    <cellStyle name="Normal 10 2 4 5 5 2" xfId="25108" xr:uid="{00000000-0005-0000-0000-00002C320000}"/>
    <cellStyle name="Normal 10 2 4 5 5 2 2" xfId="49982" xr:uid="{00000000-0005-0000-0000-00002D320000}"/>
    <cellStyle name="Normal 10 2 4 5 5 3" xfId="37549" xr:uid="{00000000-0005-0000-0000-00002E320000}"/>
    <cellStyle name="Normal 10 2 4 5 6" xfId="7418" xr:uid="{00000000-0005-0000-0000-00002F320000}"/>
    <cellStyle name="Normal 10 2 4 5 6 2" xfId="19866" xr:uid="{00000000-0005-0000-0000-000030320000}"/>
    <cellStyle name="Normal 10 2 4 5 6 2 2" xfId="44740" xr:uid="{00000000-0005-0000-0000-000031320000}"/>
    <cellStyle name="Normal 10 2 4 5 6 3" xfId="32307" xr:uid="{00000000-0005-0000-0000-000032320000}"/>
    <cellStyle name="Normal 10 2 4 5 7" xfId="3047" xr:uid="{00000000-0005-0000-0000-000033320000}"/>
    <cellStyle name="Normal 10 2 4 5 7 2" xfId="15556" xr:uid="{00000000-0005-0000-0000-000034320000}"/>
    <cellStyle name="Normal 10 2 4 5 7 2 2" xfId="40430" xr:uid="{00000000-0005-0000-0000-000035320000}"/>
    <cellStyle name="Normal 10 2 4 5 7 3" xfId="27989" xr:uid="{00000000-0005-0000-0000-000036320000}"/>
    <cellStyle name="Normal 10 2 4 5 8" xfId="14859" xr:uid="{00000000-0005-0000-0000-000037320000}"/>
    <cellStyle name="Normal 10 2 4 5 8 2" xfId="39733" xr:uid="{00000000-0005-0000-0000-000038320000}"/>
    <cellStyle name="Normal 10 2 4 5 9" xfId="27292" xr:uid="{00000000-0005-0000-0000-000039320000}"/>
    <cellStyle name="Normal 10 2 4 6" xfId="1016" xr:uid="{00000000-0005-0000-0000-00003A320000}"/>
    <cellStyle name="Normal 10 2 4 6 2" xfId="9003" xr:uid="{00000000-0005-0000-0000-00003B320000}"/>
    <cellStyle name="Normal 10 2 4 6 2 2" xfId="21446" xr:uid="{00000000-0005-0000-0000-00003C320000}"/>
    <cellStyle name="Normal 10 2 4 6 2 2 2" xfId="46320" xr:uid="{00000000-0005-0000-0000-00003D320000}"/>
    <cellStyle name="Normal 10 2 4 6 2 3" xfId="33887" xr:uid="{00000000-0005-0000-0000-00003E320000}"/>
    <cellStyle name="Normal 10 2 4 6 3" xfId="3985" xr:uid="{00000000-0005-0000-0000-00003F320000}"/>
    <cellStyle name="Normal 10 2 4 6 3 2" xfId="16439" xr:uid="{00000000-0005-0000-0000-000040320000}"/>
    <cellStyle name="Normal 10 2 4 6 3 2 2" xfId="41313" xr:uid="{00000000-0005-0000-0000-000041320000}"/>
    <cellStyle name="Normal 10 2 4 6 3 3" xfId="28880" xr:uid="{00000000-0005-0000-0000-000042320000}"/>
    <cellStyle name="Normal 10 2 4 6 4" xfId="13816" xr:uid="{00000000-0005-0000-0000-000043320000}"/>
    <cellStyle name="Normal 10 2 4 6 4 2" xfId="38690" xr:uid="{00000000-0005-0000-0000-000044320000}"/>
    <cellStyle name="Normal 10 2 4 6 5" xfId="26249" xr:uid="{00000000-0005-0000-0000-000045320000}"/>
    <cellStyle name="Normal 10 2 4 7" xfId="5161" xr:uid="{00000000-0005-0000-0000-000046320000}"/>
    <cellStyle name="Normal 10 2 4 7 2" xfId="10177" xr:uid="{00000000-0005-0000-0000-000047320000}"/>
    <cellStyle name="Normal 10 2 4 7 2 2" xfId="22620" xr:uid="{00000000-0005-0000-0000-000048320000}"/>
    <cellStyle name="Normal 10 2 4 7 2 2 2" xfId="47494" xr:uid="{00000000-0005-0000-0000-000049320000}"/>
    <cellStyle name="Normal 10 2 4 7 2 3" xfId="35061" xr:uid="{00000000-0005-0000-0000-00004A320000}"/>
    <cellStyle name="Normal 10 2 4 7 3" xfId="17613" xr:uid="{00000000-0005-0000-0000-00004B320000}"/>
    <cellStyle name="Normal 10 2 4 7 3 2" xfId="42487" xr:uid="{00000000-0005-0000-0000-00004C320000}"/>
    <cellStyle name="Normal 10 2 4 7 4" xfId="30054" xr:uid="{00000000-0005-0000-0000-00004D320000}"/>
    <cellStyle name="Normal 10 2 4 8" xfId="7738" xr:uid="{00000000-0005-0000-0000-00004E320000}"/>
    <cellStyle name="Normal 10 2 4 8 2" xfId="20184" xr:uid="{00000000-0005-0000-0000-00004F320000}"/>
    <cellStyle name="Normal 10 2 4 8 2 2" xfId="45058" xr:uid="{00000000-0005-0000-0000-000050320000}"/>
    <cellStyle name="Normal 10 2 4 8 3" xfId="32625" xr:uid="{00000000-0005-0000-0000-000051320000}"/>
    <cellStyle name="Normal 10 2 4 9" xfId="11631" xr:uid="{00000000-0005-0000-0000-000052320000}"/>
    <cellStyle name="Normal 10 2 4 9 2" xfId="24065" xr:uid="{00000000-0005-0000-0000-000053320000}"/>
    <cellStyle name="Normal 10 2 4 9 2 2" xfId="48939" xr:uid="{00000000-0005-0000-0000-000054320000}"/>
    <cellStyle name="Normal 10 2 4 9 3" xfId="36506" xr:uid="{00000000-0005-0000-0000-000055320000}"/>
    <cellStyle name="Normal 10 2 4_Degree data" xfId="1975" xr:uid="{00000000-0005-0000-0000-000056320000}"/>
    <cellStyle name="Normal 10 2 5" xfId="362" xr:uid="{00000000-0005-0000-0000-000057320000}"/>
    <cellStyle name="Normal 10 2 5 10" xfId="13178" xr:uid="{00000000-0005-0000-0000-000058320000}"/>
    <cellStyle name="Normal 10 2 5 10 2" xfId="38052" xr:uid="{00000000-0005-0000-0000-000059320000}"/>
    <cellStyle name="Normal 10 2 5 11" xfId="25611" xr:uid="{00000000-0005-0000-0000-00005A320000}"/>
    <cellStyle name="Normal 10 2 5 2" xfId="722" xr:uid="{00000000-0005-0000-0000-00005B320000}"/>
    <cellStyle name="Normal 10 2 5 2 2" xfId="1368" xr:uid="{00000000-0005-0000-0000-00005C320000}"/>
    <cellStyle name="Normal 10 2 5 2 2 2" xfId="9472" xr:uid="{00000000-0005-0000-0000-00005D320000}"/>
    <cellStyle name="Normal 10 2 5 2 2 2 2" xfId="21915" xr:uid="{00000000-0005-0000-0000-00005E320000}"/>
    <cellStyle name="Normal 10 2 5 2 2 2 2 2" xfId="46789" xr:uid="{00000000-0005-0000-0000-00005F320000}"/>
    <cellStyle name="Normal 10 2 5 2 2 2 3" xfId="34356" xr:uid="{00000000-0005-0000-0000-000060320000}"/>
    <cellStyle name="Normal 10 2 5 2 2 3" xfId="4454" xr:uid="{00000000-0005-0000-0000-000061320000}"/>
    <cellStyle name="Normal 10 2 5 2 2 3 2" xfId="16908" xr:uid="{00000000-0005-0000-0000-000062320000}"/>
    <cellStyle name="Normal 10 2 5 2 2 3 2 2" xfId="41782" xr:uid="{00000000-0005-0000-0000-000063320000}"/>
    <cellStyle name="Normal 10 2 5 2 2 3 3" xfId="29349" xr:uid="{00000000-0005-0000-0000-000064320000}"/>
    <cellStyle name="Normal 10 2 5 2 2 4" xfId="14168" xr:uid="{00000000-0005-0000-0000-000065320000}"/>
    <cellStyle name="Normal 10 2 5 2 2 4 2" xfId="39042" xr:uid="{00000000-0005-0000-0000-000066320000}"/>
    <cellStyle name="Normal 10 2 5 2 2 5" xfId="26601" xr:uid="{00000000-0005-0000-0000-000067320000}"/>
    <cellStyle name="Normal 10 2 5 2 3" xfId="5513" xr:uid="{00000000-0005-0000-0000-000068320000}"/>
    <cellStyle name="Normal 10 2 5 2 3 2" xfId="10529" xr:uid="{00000000-0005-0000-0000-000069320000}"/>
    <cellStyle name="Normal 10 2 5 2 3 2 2" xfId="22972" xr:uid="{00000000-0005-0000-0000-00006A320000}"/>
    <cellStyle name="Normal 10 2 5 2 3 2 2 2" xfId="47846" xr:uid="{00000000-0005-0000-0000-00006B320000}"/>
    <cellStyle name="Normal 10 2 5 2 3 2 3" xfId="35413" xr:uid="{00000000-0005-0000-0000-00006C320000}"/>
    <cellStyle name="Normal 10 2 5 2 3 3" xfId="17965" xr:uid="{00000000-0005-0000-0000-00006D320000}"/>
    <cellStyle name="Normal 10 2 5 2 3 3 2" xfId="42839" xr:uid="{00000000-0005-0000-0000-00006E320000}"/>
    <cellStyle name="Normal 10 2 5 2 3 4" xfId="30406" xr:uid="{00000000-0005-0000-0000-00006F320000}"/>
    <cellStyle name="Normal 10 2 5 2 4" xfId="8588" xr:uid="{00000000-0005-0000-0000-000070320000}"/>
    <cellStyle name="Normal 10 2 5 2 4 2" xfId="21032" xr:uid="{00000000-0005-0000-0000-000071320000}"/>
    <cellStyle name="Normal 10 2 5 2 4 2 2" xfId="45906" xr:uid="{00000000-0005-0000-0000-000072320000}"/>
    <cellStyle name="Normal 10 2 5 2 4 3" xfId="33473" xr:uid="{00000000-0005-0000-0000-000073320000}"/>
    <cellStyle name="Normal 10 2 5 2 5" xfId="11983" xr:uid="{00000000-0005-0000-0000-000074320000}"/>
    <cellStyle name="Normal 10 2 5 2 5 2" xfId="24417" xr:uid="{00000000-0005-0000-0000-000075320000}"/>
    <cellStyle name="Normal 10 2 5 2 5 2 2" xfId="49291" xr:uid="{00000000-0005-0000-0000-000076320000}"/>
    <cellStyle name="Normal 10 2 5 2 5 3" xfId="36858" xr:uid="{00000000-0005-0000-0000-000077320000}"/>
    <cellStyle name="Normal 10 2 5 2 6" xfId="7065" xr:uid="{00000000-0005-0000-0000-000078320000}"/>
    <cellStyle name="Normal 10 2 5 2 6 2" xfId="19514" xr:uid="{00000000-0005-0000-0000-000079320000}"/>
    <cellStyle name="Normal 10 2 5 2 6 2 2" xfId="44388" xr:uid="{00000000-0005-0000-0000-00007A320000}"/>
    <cellStyle name="Normal 10 2 5 2 6 3" xfId="31955" xr:uid="{00000000-0005-0000-0000-00007B320000}"/>
    <cellStyle name="Normal 10 2 5 2 7" xfId="3519" xr:uid="{00000000-0005-0000-0000-00007C320000}"/>
    <cellStyle name="Normal 10 2 5 2 7 2" xfId="16025" xr:uid="{00000000-0005-0000-0000-00007D320000}"/>
    <cellStyle name="Normal 10 2 5 2 7 2 2" xfId="40899" xr:uid="{00000000-0005-0000-0000-00007E320000}"/>
    <cellStyle name="Normal 10 2 5 2 7 3" xfId="28458" xr:uid="{00000000-0005-0000-0000-00007F320000}"/>
    <cellStyle name="Normal 10 2 5 2 8" xfId="13525" xr:uid="{00000000-0005-0000-0000-000080320000}"/>
    <cellStyle name="Normal 10 2 5 2 8 2" xfId="38399" xr:uid="{00000000-0005-0000-0000-000081320000}"/>
    <cellStyle name="Normal 10 2 5 2 9" xfId="25958" xr:uid="{00000000-0005-0000-0000-000082320000}"/>
    <cellStyle name="Normal 10 2 5 3" xfId="1716" xr:uid="{00000000-0005-0000-0000-000083320000}"/>
    <cellStyle name="Normal 10 2 5 3 2" xfId="4907" xr:uid="{00000000-0005-0000-0000-000084320000}"/>
    <cellStyle name="Normal 10 2 5 3 2 2" xfId="9924" xr:uid="{00000000-0005-0000-0000-000085320000}"/>
    <cellStyle name="Normal 10 2 5 3 2 2 2" xfId="22367" xr:uid="{00000000-0005-0000-0000-000086320000}"/>
    <cellStyle name="Normal 10 2 5 3 2 2 2 2" xfId="47241" xr:uid="{00000000-0005-0000-0000-000087320000}"/>
    <cellStyle name="Normal 10 2 5 3 2 2 3" xfId="34808" xr:uid="{00000000-0005-0000-0000-000088320000}"/>
    <cellStyle name="Normal 10 2 5 3 2 3" xfId="17360" xr:uid="{00000000-0005-0000-0000-000089320000}"/>
    <cellStyle name="Normal 10 2 5 3 2 3 2" xfId="42234" xr:uid="{00000000-0005-0000-0000-00008A320000}"/>
    <cellStyle name="Normal 10 2 5 3 2 4" xfId="29801" xr:uid="{00000000-0005-0000-0000-00008B320000}"/>
    <cellStyle name="Normal 10 2 5 3 3" xfId="5862" xr:uid="{00000000-0005-0000-0000-00008C320000}"/>
    <cellStyle name="Normal 10 2 5 3 3 2" xfId="10877" xr:uid="{00000000-0005-0000-0000-00008D320000}"/>
    <cellStyle name="Normal 10 2 5 3 3 2 2" xfId="23320" xr:uid="{00000000-0005-0000-0000-00008E320000}"/>
    <cellStyle name="Normal 10 2 5 3 3 2 2 2" xfId="48194" xr:uid="{00000000-0005-0000-0000-00008F320000}"/>
    <cellStyle name="Normal 10 2 5 3 3 2 3" xfId="35761" xr:uid="{00000000-0005-0000-0000-000090320000}"/>
    <cellStyle name="Normal 10 2 5 3 3 3" xfId="18313" xr:uid="{00000000-0005-0000-0000-000091320000}"/>
    <cellStyle name="Normal 10 2 5 3 3 3 2" xfId="43187" xr:uid="{00000000-0005-0000-0000-000092320000}"/>
    <cellStyle name="Normal 10 2 5 3 3 4" xfId="30754" xr:uid="{00000000-0005-0000-0000-000093320000}"/>
    <cellStyle name="Normal 10 2 5 3 4" xfId="8331" xr:uid="{00000000-0005-0000-0000-000094320000}"/>
    <cellStyle name="Normal 10 2 5 3 4 2" xfId="20775" xr:uid="{00000000-0005-0000-0000-000095320000}"/>
    <cellStyle name="Normal 10 2 5 3 4 2 2" xfId="45649" xr:uid="{00000000-0005-0000-0000-000096320000}"/>
    <cellStyle name="Normal 10 2 5 3 4 3" xfId="33216" xr:uid="{00000000-0005-0000-0000-000097320000}"/>
    <cellStyle name="Normal 10 2 5 3 5" xfId="12331" xr:uid="{00000000-0005-0000-0000-000098320000}"/>
    <cellStyle name="Normal 10 2 5 3 5 2" xfId="24765" xr:uid="{00000000-0005-0000-0000-000099320000}"/>
    <cellStyle name="Normal 10 2 5 3 5 2 2" xfId="49639" xr:uid="{00000000-0005-0000-0000-00009A320000}"/>
    <cellStyle name="Normal 10 2 5 3 5 3" xfId="37206" xr:uid="{00000000-0005-0000-0000-00009B320000}"/>
    <cellStyle name="Normal 10 2 5 3 6" xfId="7518" xr:uid="{00000000-0005-0000-0000-00009C320000}"/>
    <cellStyle name="Normal 10 2 5 3 6 2" xfId="19966" xr:uid="{00000000-0005-0000-0000-00009D320000}"/>
    <cellStyle name="Normal 10 2 5 3 6 2 2" xfId="44840" xr:uid="{00000000-0005-0000-0000-00009E320000}"/>
    <cellStyle name="Normal 10 2 5 3 6 3" xfId="32407" xr:uid="{00000000-0005-0000-0000-00009F320000}"/>
    <cellStyle name="Normal 10 2 5 3 7" xfId="3262" xr:uid="{00000000-0005-0000-0000-0000A0320000}"/>
    <cellStyle name="Normal 10 2 5 3 7 2" xfId="15768" xr:uid="{00000000-0005-0000-0000-0000A1320000}"/>
    <cellStyle name="Normal 10 2 5 3 7 2 2" xfId="40642" xr:uid="{00000000-0005-0000-0000-0000A2320000}"/>
    <cellStyle name="Normal 10 2 5 3 7 3" xfId="28201" xr:uid="{00000000-0005-0000-0000-0000A3320000}"/>
    <cellStyle name="Normal 10 2 5 3 8" xfId="14516" xr:uid="{00000000-0005-0000-0000-0000A4320000}"/>
    <cellStyle name="Normal 10 2 5 3 8 2" xfId="39390" xr:uid="{00000000-0005-0000-0000-0000A5320000}"/>
    <cellStyle name="Normal 10 2 5 3 9" xfId="26949" xr:uid="{00000000-0005-0000-0000-0000A6320000}"/>
    <cellStyle name="Normal 10 2 5 4" xfId="2280" xr:uid="{00000000-0005-0000-0000-0000A7320000}"/>
    <cellStyle name="Normal 10 2 5 4 2" xfId="6305" xr:uid="{00000000-0005-0000-0000-0000A8320000}"/>
    <cellStyle name="Normal 10 2 5 4 2 2" xfId="11320" xr:uid="{00000000-0005-0000-0000-0000A9320000}"/>
    <cellStyle name="Normal 10 2 5 4 2 2 2" xfId="23763" xr:uid="{00000000-0005-0000-0000-0000AA320000}"/>
    <cellStyle name="Normal 10 2 5 4 2 2 2 2" xfId="48637" xr:uid="{00000000-0005-0000-0000-0000AB320000}"/>
    <cellStyle name="Normal 10 2 5 4 2 2 3" xfId="36204" xr:uid="{00000000-0005-0000-0000-0000AC320000}"/>
    <cellStyle name="Normal 10 2 5 4 2 3" xfId="18756" xr:uid="{00000000-0005-0000-0000-0000AD320000}"/>
    <cellStyle name="Normal 10 2 5 4 2 3 2" xfId="43630" xr:uid="{00000000-0005-0000-0000-0000AE320000}"/>
    <cellStyle name="Normal 10 2 5 4 2 4" xfId="31197" xr:uid="{00000000-0005-0000-0000-0000AF320000}"/>
    <cellStyle name="Normal 10 2 5 4 3" xfId="12774" xr:uid="{00000000-0005-0000-0000-0000B0320000}"/>
    <cellStyle name="Normal 10 2 5 4 3 2" xfId="25208" xr:uid="{00000000-0005-0000-0000-0000B1320000}"/>
    <cellStyle name="Normal 10 2 5 4 3 2 2" xfId="50082" xr:uid="{00000000-0005-0000-0000-0000B2320000}"/>
    <cellStyle name="Normal 10 2 5 4 3 3" xfId="37649" xr:uid="{00000000-0005-0000-0000-0000B3320000}"/>
    <cellStyle name="Normal 10 2 5 4 4" xfId="9215" xr:uid="{00000000-0005-0000-0000-0000B4320000}"/>
    <cellStyle name="Normal 10 2 5 4 4 2" xfId="21658" xr:uid="{00000000-0005-0000-0000-0000B5320000}"/>
    <cellStyle name="Normal 10 2 5 4 4 2 2" xfId="46532" xr:uid="{00000000-0005-0000-0000-0000B6320000}"/>
    <cellStyle name="Normal 10 2 5 4 4 3" xfId="34099" xr:uid="{00000000-0005-0000-0000-0000B7320000}"/>
    <cellStyle name="Normal 10 2 5 4 5" xfId="4197" xr:uid="{00000000-0005-0000-0000-0000B8320000}"/>
    <cellStyle name="Normal 10 2 5 4 5 2" xfId="16651" xr:uid="{00000000-0005-0000-0000-0000B9320000}"/>
    <cellStyle name="Normal 10 2 5 4 5 2 2" xfId="41525" xr:uid="{00000000-0005-0000-0000-0000BA320000}"/>
    <cellStyle name="Normal 10 2 5 4 5 3" xfId="29092" xr:uid="{00000000-0005-0000-0000-0000BB320000}"/>
    <cellStyle name="Normal 10 2 5 4 6" xfId="14959" xr:uid="{00000000-0005-0000-0000-0000BC320000}"/>
    <cellStyle name="Normal 10 2 5 4 6 2" xfId="39833" xr:uid="{00000000-0005-0000-0000-0000BD320000}"/>
    <cellStyle name="Normal 10 2 5 4 7" xfId="27392" xr:uid="{00000000-0005-0000-0000-0000BE320000}"/>
    <cellStyle name="Normal 10 2 5 5" xfId="1116" xr:uid="{00000000-0005-0000-0000-0000BF320000}"/>
    <cellStyle name="Normal 10 2 5 5 2" xfId="10277" xr:uid="{00000000-0005-0000-0000-0000C0320000}"/>
    <cellStyle name="Normal 10 2 5 5 2 2" xfId="22720" xr:uid="{00000000-0005-0000-0000-0000C1320000}"/>
    <cellStyle name="Normal 10 2 5 5 2 2 2" xfId="47594" xr:uid="{00000000-0005-0000-0000-0000C2320000}"/>
    <cellStyle name="Normal 10 2 5 5 2 3" xfId="35161" xr:uid="{00000000-0005-0000-0000-0000C3320000}"/>
    <cellStyle name="Normal 10 2 5 5 3" xfId="5261" xr:uid="{00000000-0005-0000-0000-0000C4320000}"/>
    <cellStyle name="Normal 10 2 5 5 3 2" xfId="17713" xr:uid="{00000000-0005-0000-0000-0000C5320000}"/>
    <cellStyle name="Normal 10 2 5 5 3 2 2" xfId="42587" xr:uid="{00000000-0005-0000-0000-0000C6320000}"/>
    <cellStyle name="Normal 10 2 5 5 3 3" xfId="30154" xr:uid="{00000000-0005-0000-0000-0000C7320000}"/>
    <cellStyle name="Normal 10 2 5 5 4" xfId="13916" xr:uid="{00000000-0005-0000-0000-0000C8320000}"/>
    <cellStyle name="Normal 10 2 5 5 4 2" xfId="38790" xr:uid="{00000000-0005-0000-0000-0000C9320000}"/>
    <cellStyle name="Normal 10 2 5 5 5" xfId="26349" xr:uid="{00000000-0005-0000-0000-0000CA320000}"/>
    <cellStyle name="Normal 10 2 5 6" xfId="7838" xr:uid="{00000000-0005-0000-0000-0000CB320000}"/>
    <cellStyle name="Normal 10 2 5 6 2" xfId="20284" xr:uid="{00000000-0005-0000-0000-0000CC320000}"/>
    <cellStyle name="Normal 10 2 5 6 2 2" xfId="45158" xr:uid="{00000000-0005-0000-0000-0000CD320000}"/>
    <cellStyle name="Normal 10 2 5 6 3" xfId="32725" xr:uid="{00000000-0005-0000-0000-0000CE320000}"/>
    <cellStyle name="Normal 10 2 5 7" xfId="11731" xr:uid="{00000000-0005-0000-0000-0000CF320000}"/>
    <cellStyle name="Normal 10 2 5 7 2" xfId="24165" xr:uid="{00000000-0005-0000-0000-0000D0320000}"/>
    <cellStyle name="Normal 10 2 5 7 2 2" xfId="49039" xr:uid="{00000000-0005-0000-0000-0000D1320000}"/>
    <cellStyle name="Normal 10 2 5 7 3" xfId="36606" xr:uid="{00000000-0005-0000-0000-0000D2320000}"/>
    <cellStyle name="Normal 10 2 5 8" xfId="6808" xr:uid="{00000000-0005-0000-0000-0000D3320000}"/>
    <cellStyle name="Normal 10 2 5 8 2" xfId="19257" xr:uid="{00000000-0005-0000-0000-0000D4320000}"/>
    <cellStyle name="Normal 10 2 5 8 2 2" xfId="44131" xr:uid="{00000000-0005-0000-0000-0000D5320000}"/>
    <cellStyle name="Normal 10 2 5 8 3" xfId="31698" xr:uid="{00000000-0005-0000-0000-0000D6320000}"/>
    <cellStyle name="Normal 10 2 5 9" xfId="2759" xr:uid="{00000000-0005-0000-0000-0000D7320000}"/>
    <cellStyle name="Normal 10 2 5 9 2" xfId="15277" xr:uid="{00000000-0005-0000-0000-0000D8320000}"/>
    <cellStyle name="Normal 10 2 5 9 2 2" xfId="40151" xr:uid="{00000000-0005-0000-0000-0000D9320000}"/>
    <cellStyle name="Normal 10 2 5 9 3" xfId="27710" xr:uid="{00000000-0005-0000-0000-0000DA320000}"/>
    <cellStyle name="Normal 10 2 5_Degree data" xfId="2024" xr:uid="{00000000-0005-0000-0000-0000DB320000}"/>
    <cellStyle name="Normal 10 2 6" xfId="203" xr:uid="{00000000-0005-0000-0000-0000DC320000}"/>
    <cellStyle name="Normal 10 2 6 10" xfId="13033" xr:uid="{00000000-0005-0000-0000-0000DD320000}"/>
    <cellStyle name="Normal 10 2 6 10 2" xfId="37907" xr:uid="{00000000-0005-0000-0000-0000DE320000}"/>
    <cellStyle name="Normal 10 2 6 11" xfId="25466" xr:uid="{00000000-0005-0000-0000-0000DF320000}"/>
    <cellStyle name="Normal 10 2 6 2" xfId="570" xr:uid="{00000000-0005-0000-0000-0000E0320000}"/>
    <cellStyle name="Normal 10 2 6 2 2" xfId="1369" xr:uid="{00000000-0005-0000-0000-0000E1320000}"/>
    <cellStyle name="Normal 10 2 6 2 2 2" xfId="9473" xr:uid="{00000000-0005-0000-0000-0000E2320000}"/>
    <cellStyle name="Normal 10 2 6 2 2 2 2" xfId="21916" xr:uid="{00000000-0005-0000-0000-0000E3320000}"/>
    <cellStyle name="Normal 10 2 6 2 2 2 2 2" xfId="46790" xr:uid="{00000000-0005-0000-0000-0000E4320000}"/>
    <cellStyle name="Normal 10 2 6 2 2 2 3" xfId="34357" xr:uid="{00000000-0005-0000-0000-0000E5320000}"/>
    <cellStyle name="Normal 10 2 6 2 2 3" xfId="4455" xr:uid="{00000000-0005-0000-0000-0000E6320000}"/>
    <cellStyle name="Normal 10 2 6 2 2 3 2" xfId="16909" xr:uid="{00000000-0005-0000-0000-0000E7320000}"/>
    <cellStyle name="Normal 10 2 6 2 2 3 2 2" xfId="41783" xr:uid="{00000000-0005-0000-0000-0000E8320000}"/>
    <cellStyle name="Normal 10 2 6 2 2 3 3" xfId="29350" xr:uid="{00000000-0005-0000-0000-0000E9320000}"/>
    <cellStyle name="Normal 10 2 6 2 2 4" xfId="14169" xr:uid="{00000000-0005-0000-0000-0000EA320000}"/>
    <cellStyle name="Normal 10 2 6 2 2 4 2" xfId="39043" xr:uid="{00000000-0005-0000-0000-0000EB320000}"/>
    <cellStyle name="Normal 10 2 6 2 2 5" xfId="26602" xr:uid="{00000000-0005-0000-0000-0000EC320000}"/>
    <cellStyle name="Normal 10 2 6 2 3" xfId="5514" xr:uid="{00000000-0005-0000-0000-0000ED320000}"/>
    <cellStyle name="Normal 10 2 6 2 3 2" xfId="10530" xr:uid="{00000000-0005-0000-0000-0000EE320000}"/>
    <cellStyle name="Normal 10 2 6 2 3 2 2" xfId="22973" xr:uid="{00000000-0005-0000-0000-0000EF320000}"/>
    <cellStyle name="Normal 10 2 6 2 3 2 2 2" xfId="47847" xr:uid="{00000000-0005-0000-0000-0000F0320000}"/>
    <cellStyle name="Normal 10 2 6 2 3 2 3" xfId="35414" xr:uid="{00000000-0005-0000-0000-0000F1320000}"/>
    <cellStyle name="Normal 10 2 6 2 3 3" xfId="17966" xr:uid="{00000000-0005-0000-0000-0000F2320000}"/>
    <cellStyle name="Normal 10 2 6 2 3 3 2" xfId="42840" xr:uid="{00000000-0005-0000-0000-0000F3320000}"/>
    <cellStyle name="Normal 10 2 6 2 3 4" xfId="30407" xr:uid="{00000000-0005-0000-0000-0000F4320000}"/>
    <cellStyle name="Normal 10 2 6 2 4" xfId="8589" xr:uid="{00000000-0005-0000-0000-0000F5320000}"/>
    <cellStyle name="Normal 10 2 6 2 4 2" xfId="21033" xr:uid="{00000000-0005-0000-0000-0000F6320000}"/>
    <cellStyle name="Normal 10 2 6 2 4 2 2" xfId="45907" xr:uid="{00000000-0005-0000-0000-0000F7320000}"/>
    <cellStyle name="Normal 10 2 6 2 4 3" xfId="33474" xr:uid="{00000000-0005-0000-0000-0000F8320000}"/>
    <cellStyle name="Normal 10 2 6 2 5" xfId="11984" xr:uid="{00000000-0005-0000-0000-0000F9320000}"/>
    <cellStyle name="Normal 10 2 6 2 5 2" xfId="24418" xr:uid="{00000000-0005-0000-0000-0000FA320000}"/>
    <cellStyle name="Normal 10 2 6 2 5 2 2" xfId="49292" xr:uid="{00000000-0005-0000-0000-0000FB320000}"/>
    <cellStyle name="Normal 10 2 6 2 5 3" xfId="36859" xr:uid="{00000000-0005-0000-0000-0000FC320000}"/>
    <cellStyle name="Normal 10 2 6 2 6" xfId="7066" xr:uid="{00000000-0005-0000-0000-0000FD320000}"/>
    <cellStyle name="Normal 10 2 6 2 6 2" xfId="19515" xr:uid="{00000000-0005-0000-0000-0000FE320000}"/>
    <cellStyle name="Normal 10 2 6 2 6 2 2" xfId="44389" xr:uid="{00000000-0005-0000-0000-0000FF320000}"/>
    <cellStyle name="Normal 10 2 6 2 6 3" xfId="31956" xr:uid="{00000000-0005-0000-0000-000000330000}"/>
    <cellStyle name="Normal 10 2 6 2 7" xfId="3520" xr:uid="{00000000-0005-0000-0000-000001330000}"/>
    <cellStyle name="Normal 10 2 6 2 7 2" xfId="16026" xr:uid="{00000000-0005-0000-0000-000002330000}"/>
    <cellStyle name="Normal 10 2 6 2 7 2 2" xfId="40900" xr:uid="{00000000-0005-0000-0000-000003330000}"/>
    <cellStyle name="Normal 10 2 6 2 7 3" xfId="28459" xr:uid="{00000000-0005-0000-0000-000004330000}"/>
    <cellStyle name="Normal 10 2 6 2 8" xfId="13380" xr:uid="{00000000-0005-0000-0000-000005330000}"/>
    <cellStyle name="Normal 10 2 6 2 8 2" xfId="38254" xr:uid="{00000000-0005-0000-0000-000006330000}"/>
    <cellStyle name="Normal 10 2 6 2 9" xfId="25813" xr:uid="{00000000-0005-0000-0000-000007330000}"/>
    <cellStyle name="Normal 10 2 6 3" xfId="1717" xr:uid="{00000000-0005-0000-0000-000008330000}"/>
    <cellStyle name="Normal 10 2 6 3 2" xfId="4762" xr:uid="{00000000-0005-0000-0000-000009330000}"/>
    <cellStyle name="Normal 10 2 6 3 2 2" xfId="9779" xr:uid="{00000000-0005-0000-0000-00000A330000}"/>
    <cellStyle name="Normal 10 2 6 3 2 2 2" xfId="22222" xr:uid="{00000000-0005-0000-0000-00000B330000}"/>
    <cellStyle name="Normal 10 2 6 3 2 2 2 2" xfId="47096" xr:uid="{00000000-0005-0000-0000-00000C330000}"/>
    <cellStyle name="Normal 10 2 6 3 2 2 3" xfId="34663" xr:uid="{00000000-0005-0000-0000-00000D330000}"/>
    <cellStyle name="Normal 10 2 6 3 2 3" xfId="17215" xr:uid="{00000000-0005-0000-0000-00000E330000}"/>
    <cellStyle name="Normal 10 2 6 3 2 3 2" xfId="42089" xr:uid="{00000000-0005-0000-0000-00000F330000}"/>
    <cellStyle name="Normal 10 2 6 3 2 4" xfId="29656" xr:uid="{00000000-0005-0000-0000-000010330000}"/>
    <cellStyle name="Normal 10 2 6 3 3" xfId="5863" xr:uid="{00000000-0005-0000-0000-000011330000}"/>
    <cellStyle name="Normal 10 2 6 3 3 2" xfId="10878" xr:uid="{00000000-0005-0000-0000-000012330000}"/>
    <cellStyle name="Normal 10 2 6 3 3 2 2" xfId="23321" xr:uid="{00000000-0005-0000-0000-000013330000}"/>
    <cellStyle name="Normal 10 2 6 3 3 2 2 2" xfId="48195" xr:uid="{00000000-0005-0000-0000-000014330000}"/>
    <cellStyle name="Normal 10 2 6 3 3 2 3" xfId="35762" xr:uid="{00000000-0005-0000-0000-000015330000}"/>
    <cellStyle name="Normal 10 2 6 3 3 3" xfId="18314" xr:uid="{00000000-0005-0000-0000-000016330000}"/>
    <cellStyle name="Normal 10 2 6 3 3 3 2" xfId="43188" xr:uid="{00000000-0005-0000-0000-000017330000}"/>
    <cellStyle name="Normal 10 2 6 3 3 4" xfId="30755" xr:uid="{00000000-0005-0000-0000-000018330000}"/>
    <cellStyle name="Normal 10 2 6 3 4" xfId="8867" xr:uid="{00000000-0005-0000-0000-000019330000}"/>
    <cellStyle name="Normal 10 2 6 3 4 2" xfId="21310" xr:uid="{00000000-0005-0000-0000-00001A330000}"/>
    <cellStyle name="Normal 10 2 6 3 4 2 2" xfId="46184" xr:uid="{00000000-0005-0000-0000-00001B330000}"/>
    <cellStyle name="Normal 10 2 6 3 4 3" xfId="33751" xr:uid="{00000000-0005-0000-0000-00001C330000}"/>
    <cellStyle name="Normal 10 2 6 3 5" xfId="12332" xr:uid="{00000000-0005-0000-0000-00001D330000}"/>
    <cellStyle name="Normal 10 2 6 3 5 2" xfId="24766" xr:uid="{00000000-0005-0000-0000-00001E330000}"/>
    <cellStyle name="Normal 10 2 6 3 5 2 2" xfId="49640" xr:uid="{00000000-0005-0000-0000-00001F330000}"/>
    <cellStyle name="Normal 10 2 6 3 5 3" xfId="37207" xr:uid="{00000000-0005-0000-0000-000020330000}"/>
    <cellStyle name="Normal 10 2 6 3 6" xfId="7373" xr:uid="{00000000-0005-0000-0000-000021330000}"/>
    <cellStyle name="Normal 10 2 6 3 6 2" xfId="19821" xr:uid="{00000000-0005-0000-0000-000022330000}"/>
    <cellStyle name="Normal 10 2 6 3 6 2 2" xfId="44695" xr:uid="{00000000-0005-0000-0000-000023330000}"/>
    <cellStyle name="Normal 10 2 6 3 6 3" xfId="32262" xr:uid="{00000000-0005-0000-0000-000024330000}"/>
    <cellStyle name="Normal 10 2 6 3 7" xfId="3849" xr:uid="{00000000-0005-0000-0000-000025330000}"/>
    <cellStyle name="Normal 10 2 6 3 7 2" xfId="16303" xr:uid="{00000000-0005-0000-0000-000026330000}"/>
    <cellStyle name="Normal 10 2 6 3 7 2 2" xfId="41177" xr:uid="{00000000-0005-0000-0000-000027330000}"/>
    <cellStyle name="Normal 10 2 6 3 7 3" xfId="28744" xr:uid="{00000000-0005-0000-0000-000028330000}"/>
    <cellStyle name="Normal 10 2 6 3 8" xfId="14517" xr:uid="{00000000-0005-0000-0000-000029330000}"/>
    <cellStyle name="Normal 10 2 6 3 8 2" xfId="39391" xr:uid="{00000000-0005-0000-0000-00002A330000}"/>
    <cellStyle name="Normal 10 2 6 3 9" xfId="26950" xr:uid="{00000000-0005-0000-0000-00002B330000}"/>
    <cellStyle name="Normal 10 2 6 4" xfId="2121" xr:uid="{00000000-0005-0000-0000-00002C330000}"/>
    <cellStyle name="Normal 10 2 6 4 2" xfId="6160" xr:uid="{00000000-0005-0000-0000-00002D330000}"/>
    <cellStyle name="Normal 10 2 6 4 2 2" xfId="11175" xr:uid="{00000000-0005-0000-0000-00002E330000}"/>
    <cellStyle name="Normal 10 2 6 4 2 2 2" xfId="23618" xr:uid="{00000000-0005-0000-0000-00002F330000}"/>
    <cellStyle name="Normal 10 2 6 4 2 2 2 2" xfId="48492" xr:uid="{00000000-0005-0000-0000-000030330000}"/>
    <cellStyle name="Normal 10 2 6 4 2 2 3" xfId="36059" xr:uid="{00000000-0005-0000-0000-000031330000}"/>
    <cellStyle name="Normal 10 2 6 4 2 3" xfId="18611" xr:uid="{00000000-0005-0000-0000-000032330000}"/>
    <cellStyle name="Normal 10 2 6 4 2 3 2" xfId="43485" xr:uid="{00000000-0005-0000-0000-000033330000}"/>
    <cellStyle name="Normal 10 2 6 4 2 4" xfId="31052" xr:uid="{00000000-0005-0000-0000-000034330000}"/>
    <cellStyle name="Normal 10 2 6 4 3" xfId="12629" xr:uid="{00000000-0005-0000-0000-000035330000}"/>
    <cellStyle name="Normal 10 2 6 4 3 2" xfId="25063" xr:uid="{00000000-0005-0000-0000-000036330000}"/>
    <cellStyle name="Normal 10 2 6 4 3 2 2" xfId="49937" xr:uid="{00000000-0005-0000-0000-000037330000}"/>
    <cellStyle name="Normal 10 2 6 4 3 3" xfId="37504" xr:uid="{00000000-0005-0000-0000-000038330000}"/>
    <cellStyle name="Normal 10 2 6 4 4" xfId="9070" xr:uid="{00000000-0005-0000-0000-000039330000}"/>
    <cellStyle name="Normal 10 2 6 4 4 2" xfId="21513" xr:uid="{00000000-0005-0000-0000-00003A330000}"/>
    <cellStyle name="Normal 10 2 6 4 4 2 2" xfId="46387" xr:uid="{00000000-0005-0000-0000-00003B330000}"/>
    <cellStyle name="Normal 10 2 6 4 4 3" xfId="33954" xr:uid="{00000000-0005-0000-0000-00003C330000}"/>
    <cellStyle name="Normal 10 2 6 4 5" xfId="4052" xr:uid="{00000000-0005-0000-0000-00003D330000}"/>
    <cellStyle name="Normal 10 2 6 4 5 2" xfId="16506" xr:uid="{00000000-0005-0000-0000-00003E330000}"/>
    <cellStyle name="Normal 10 2 6 4 5 2 2" xfId="41380" xr:uid="{00000000-0005-0000-0000-00003F330000}"/>
    <cellStyle name="Normal 10 2 6 4 5 3" xfId="28947" xr:uid="{00000000-0005-0000-0000-000040330000}"/>
    <cellStyle name="Normal 10 2 6 4 6" xfId="14814" xr:uid="{00000000-0005-0000-0000-000041330000}"/>
    <cellStyle name="Normal 10 2 6 4 6 2" xfId="39688" xr:uid="{00000000-0005-0000-0000-000042330000}"/>
    <cellStyle name="Normal 10 2 6 4 7" xfId="27247" xr:uid="{00000000-0005-0000-0000-000043330000}"/>
    <cellStyle name="Normal 10 2 6 5" xfId="971" xr:uid="{00000000-0005-0000-0000-000044330000}"/>
    <cellStyle name="Normal 10 2 6 5 2" xfId="10130" xr:uid="{00000000-0005-0000-0000-000045330000}"/>
    <cellStyle name="Normal 10 2 6 5 2 2" xfId="22573" xr:uid="{00000000-0005-0000-0000-000046330000}"/>
    <cellStyle name="Normal 10 2 6 5 2 2 2" xfId="47447" xr:uid="{00000000-0005-0000-0000-000047330000}"/>
    <cellStyle name="Normal 10 2 6 5 2 3" xfId="35014" xr:uid="{00000000-0005-0000-0000-000048330000}"/>
    <cellStyle name="Normal 10 2 6 5 3" xfId="5114" xr:uid="{00000000-0005-0000-0000-000049330000}"/>
    <cellStyle name="Normal 10 2 6 5 3 2" xfId="17566" xr:uid="{00000000-0005-0000-0000-00004A330000}"/>
    <cellStyle name="Normal 10 2 6 5 3 2 2" xfId="42440" xr:uid="{00000000-0005-0000-0000-00004B330000}"/>
    <cellStyle name="Normal 10 2 6 5 3 3" xfId="30007" xr:uid="{00000000-0005-0000-0000-00004C330000}"/>
    <cellStyle name="Normal 10 2 6 5 4" xfId="13771" xr:uid="{00000000-0005-0000-0000-00004D330000}"/>
    <cellStyle name="Normal 10 2 6 5 4 2" xfId="38645" xr:uid="{00000000-0005-0000-0000-00004E330000}"/>
    <cellStyle name="Normal 10 2 6 5 5" xfId="26204" xr:uid="{00000000-0005-0000-0000-00004F330000}"/>
    <cellStyle name="Normal 10 2 6 6" xfId="8186" xr:uid="{00000000-0005-0000-0000-000050330000}"/>
    <cellStyle name="Normal 10 2 6 6 2" xfId="20630" xr:uid="{00000000-0005-0000-0000-000051330000}"/>
    <cellStyle name="Normal 10 2 6 6 2 2" xfId="45504" xr:uid="{00000000-0005-0000-0000-000052330000}"/>
    <cellStyle name="Normal 10 2 6 6 3" xfId="33071" xr:uid="{00000000-0005-0000-0000-000053330000}"/>
    <cellStyle name="Normal 10 2 6 7" xfId="11586" xr:uid="{00000000-0005-0000-0000-000054330000}"/>
    <cellStyle name="Normal 10 2 6 7 2" xfId="24020" xr:uid="{00000000-0005-0000-0000-000055330000}"/>
    <cellStyle name="Normal 10 2 6 7 2 2" xfId="48894" xr:uid="{00000000-0005-0000-0000-000056330000}"/>
    <cellStyle name="Normal 10 2 6 7 3" xfId="36461" xr:uid="{00000000-0005-0000-0000-000057330000}"/>
    <cellStyle name="Normal 10 2 6 8" xfId="6663" xr:uid="{00000000-0005-0000-0000-000058330000}"/>
    <cellStyle name="Normal 10 2 6 8 2" xfId="19112" xr:uid="{00000000-0005-0000-0000-000059330000}"/>
    <cellStyle name="Normal 10 2 6 8 2 2" xfId="43986" xr:uid="{00000000-0005-0000-0000-00005A330000}"/>
    <cellStyle name="Normal 10 2 6 8 3" xfId="31553" xr:uid="{00000000-0005-0000-0000-00005B330000}"/>
    <cellStyle name="Normal 10 2 6 9" xfId="3117" xr:uid="{00000000-0005-0000-0000-00005C330000}"/>
    <cellStyle name="Normal 10 2 6 9 2" xfId="15623" xr:uid="{00000000-0005-0000-0000-00005D330000}"/>
    <cellStyle name="Normal 10 2 6 9 2 2" xfId="40497" xr:uid="{00000000-0005-0000-0000-00005E330000}"/>
    <cellStyle name="Normal 10 2 6 9 3" xfId="28056" xr:uid="{00000000-0005-0000-0000-00005F330000}"/>
    <cellStyle name="Normal 10 2 6_Degree data" xfId="2019" xr:uid="{00000000-0005-0000-0000-000060330000}"/>
    <cellStyle name="Normal 10 2 7" xfId="550" xr:uid="{00000000-0005-0000-0000-000061330000}"/>
    <cellStyle name="Normal 10 2 7 2" xfId="1357" xr:uid="{00000000-0005-0000-0000-000062330000}"/>
    <cellStyle name="Normal 10 2 7 2 2" xfId="9461" xr:uid="{00000000-0005-0000-0000-000063330000}"/>
    <cellStyle name="Normal 10 2 7 2 2 2" xfId="21904" xr:uid="{00000000-0005-0000-0000-000064330000}"/>
    <cellStyle name="Normal 10 2 7 2 2 2 2" xfId="46778" xr:uid="{00000000-0005-0000-0000-000065330000}"/>
    <cellStyle name="Normal 10 2 7 2 2 3" xfId="34345" xr:uid="{00000000-0005-0000-0000-000066330000}"/>
    <cellStyle name="Normal 10 2 7 2 3" xfId="4443" xr:uid="{00000000-0005-0000-0000-000067330000}"/>
    <cellStyle name="Normal 10 2 7 2 3 2" xfId="16897" xr:uid="{00000000-0005-0000-0000-000068330000}"/>
    <cellStyle name="Normal 10 2 7 2 3 2 2" xfId="41771" xr:uid="{00000000-0005-0000-0000-000069330000}"/>
    <cellStyle name="Normal 10 2 7 2 3 3" xfId="29338" xr:uid="{00000000-0005-0000-0000-00006A330000}"/>
    <cellStyle name="Normal 10 2 7 2 4" xfId="14157" xr:uid="{00000000-0005-0000-0000-00006B330000}"/>
    <cellStyle name="Normal 10 2 7 2 4 2" xfId="39031" xr:uid="{00000000-0005-0000-0000-00006C330000}"/>
    <cellStyle name="Normal 10 2 7 2 5" xfId="26590" xr:uid="{00000000-0005-0000-0000-00006D330000}"/>
    <cellStyle name="Normal 10 2 7 3" xfId="5502" xr:uid="{00000000-0005-0000-0000-00006E330000}"/>
    <cellStyle name="Normal 10 2 7 3 2" xfId="10518" xr:uid="{00000000-0005-0000-0000-00006F330000}"/>
    <cellStyle name="Normal 10 2 7 3 2 2" xfId="22961" xr:uid="{00000000-0005-0000-0000-000070330000}"/>
    <cellStyle name="Normal 10 2 7 3 2 2 2" xfId="47835" xr:uid="{00000000-0005-0000-0000-000071330000}"/>
    <cellStyle name="Normal 10 2 7 3 2 3" xfId="35402" xr:uid="{00000000-0005-0000-0000-000072330000}"/>
    <cellStyle name="Normal 10 2 7 3 3" xfId="17954" xr:uid="{00000000-0005-0000-0000-000073330000}"/>
    <cellStyle name="Normal 10 2 7 3 3 2" xfId="42828" xr:uid="{00000000-0005-0000-0000-000074330000}"/>
    <cellStyle name="Normal 10 2 7 3 4" xfId="30395" xr:uid="{00000000-0005-0000-0000-000075330000}"/>
    <cellStyle name="Normal 10 2 7 4" xfId="8577" xr:uid="{00000000-0005-0000-0000-000076330000}"/>
    <cellStyle name="Normal 10 2 7 4 2" xfId="21021" xr:uid="{00000000-0005-0000-0000-000077330000}"/>
    <cellStyle name="Normal 10 2 7 4 2 2" xfId="45895" xr:uid="{00000000-0005-0000-0000-000078330000}"/>
    <cellStyle name="Normal 10 2 7 4 3" xfId="33462" xr:uid="{00000000-0005-0000-0000-000079330000}"/>
    <cellStyle name="Normal 10 2 7 5" xfId="11972" xr:uid="{00000000-0005-0000-0000-00007A330000}"/>
    <cellStyle name="Normal 10 2 7 5 2" xfId="24406" xr:uid="{00000000-0005-0000-0000-00007B330000}"/>
    <cellStyle name="Normal 10 2 7 5 2 2" xfId="49280" xr:uid="{00000000-0005-0000-0000-00007C330000}"/>
    <cellStyle name="Normal 10 2 7 5 3" xfId="36847" xr:uid="{00000000-0005-0000-0000-00007D330000}"/>
    <cellStyle name="Normal 10 2 7 6" xfId="7054" xr:uid="{00000000-0005-0000-0000-00007E330000}"/>
    <cellStyle name="Normal 10 2 7 6 2" xfId="19503" xr:uid="{00000000-0005-0000-0000-00007F330000}"/>
    <cellStyle name="Normal 10 2 7 6 2 2" xfId="44377" xr:uid="{00000000-0005-0000-0000-000080330000}"/>
    <cellStyle name="Normal 10 2 7 6 3" xfId="31944" xr:uid="{00000000-0005-0000-0000-000081330000}"/>
    <cellStyle name="Normal 10 2 7 7" xfId="3508" xr:uid="{00000000-0005-0000-0000-000082330000}"/>
    <cellStyle name="Normal 10 2 7 7 2" xfId="16014" xr:uid="{00000000-0005-0000-0000-000083330000}"/>
    <cellStyle name="Normal 10 2 7 7 2 2" xfId="40888" xr:uid="{00000000-0005-0000-0000-000084330000}"/>
    <cellStyle name="Normal 10 2 7 7 3" xfId="28447" xr:uid="{00000000-0005-0000-0000-000085330000}"/>
    <cellStyle name="Normal 10 2 7 8" xfId="13360" xr:uid="{00000000-0005-0000-0000-000086330000}"/>
    <cellStyle name="Normal 10 2 7 8 2" xfId="38234" xr:uid="{00000000-0005-0000-0000-000087330000}"/>
    <cellStyle name="Normal 10 2 7 9" xfId="25793" xr:uid="{00000000-0005-0000-0000-000088330000}"/>
    <cellStyle name="Normal 10 2 8" xfId="1705" xr:uid="{00000000-0005-0000-0000-000089330000}"/>
    <cellStyle name="Normal 10 2 8 2" xfId="4742" xr:uid="{00000000-0005-0000-0000-00008A330000}"/>
    <cellStyle name="Normal 10 2 8 2 2" xfId="9759" xr:uid="{00000000-0005-0000-0000-00008B330000}"/>
    <cellStyle name="Normal 10 2 8 2 2 2" xfId="22202" xr:uid="{00000000-0005-0000-0000-00008C330000}"/>
    <cellStyle name="Normal 10 2 8 2 2 2 2" xfId="47076" xr:uid="{00000000-0005-0000-0000-00008D330000}"/>
    <cellStyle name="Normal 10 2 8 2 2 3" xfId="34643" xr:uid="{00000000-0005-0000-0000-00008E330000}"/>
    <cellStyle name="Normal 10 2 8 2 3" xfId="17195" xr:uid="{00000000-0005-0000-0000-00008F330000}"/>
    <cellStyle name="Normal 10 2 8 2 3 2" xfId="42069" xr:uid="{00000000-0005-0000-0000-000090330000}"/>
    <cellStyle name="Normal 10 2 8 2 4" xfId="29636" xr:uid="{00000000-0005-0000-0000-000091330000}"/>
    <cellStyle name="Normal 10 2 8 3" xfId="5851" xr:uid="{00000000-0005-0000-0000-000092330000}"/>
    <cellStyle name="Normal 10 2 8 3 2" xfId="10866" xr:uid="{00000000-0005-0000-0000-000093330000}"/>
    <cellStyle name="Normal 10 2 8 3 2 2" xfId="23309" xr:uid="{00000000-0005-0000-0000-000094330000}"/>
    <cellStyle name="Normal 10 2 8 3 2 2 2" xfId="48183" xr:uid="{00000000-0005-0000-0000-000095330000}"/>
    <cellStyle name="Normal 10 2 8 3 2 3" xfId="35750" xr:uid="{00000000-0005-0000-0000-000096330000}"/>
    <cellStyle name="Normal 10 2 8 3 3" xfId="18302" xr:uid="{00000000-0005-0000-0000-000097330000}"/>
    <cellStyle name="Normal 10 2 8 3 3 2" xfId="43176" xr:uid="{00000000-0005-0000-0000-000098330000}"/>
    <cellStyle name="Normal 10 2 8 3 4" xfId="30743" xr:uid="{00000000-0005-0000-0000-000099330000}"/>
    <cellStyle name="Normal 10 2 8 4" xfId="8011" xr:uid="{00000000-0005-0000-0000-00009A330000}"/>
    <cellStyle name="Normal 10 2 8 4 2" xfId="20457" xr:uid="{00000000-0005-0000-0000-00009B330000}"/>
    <cellStyle name="Normal 10 2 8 4 2 2" xfId="45331" xr:uid="{00000000-0005-0000-0000-00009C330000}"/>
    <cellStyle name="Normal 10 2 8 4 3" xfId="32898" xr:uid="{00000000-0005-0000-0000-00009D330000}"/>
    <cellStyle name="Normal 10 2 8 5" xfId="12320" xr:uid="{00000000-0005-0000-0000-00009E330000}"/>
    <cellStyle name="Normal 10 2 8 5 2" xfId="24754" xr:uid="{00000000-0005-0000-0000-00009F330000}"/>
    <cellStyle name="Normal 10 2 8 5 2 2" xfId="49628" xr:uid="{00000000-0005-0000-0000-0000A0330000}"/>
    <cellStyle name="Normal 10 2 8 5 3" xfId="37195" xr:uid="{00000000-0005-0000-0000-0000A1330000}"/>
    <cellStyle name="Normal 10 2 8 6" xfId="7353" xr:uid="{00000000-0005-0000-0000-0000A2330000}"/>
    <cellStyle name="Normal 10 2 8 6 2" xfId="19801" xr:uid="{00000000-0005-0000-0000-0000A3330000}"/>
    <cellStyle name="Normal 10 2 8 6 2 2" xfId="44675" xr:uid="{00000000-0005-0000-0000-0000A4330000}"/>
    <cellStyle name="Normal 10 2 8 6 3" xfId="32242" xr:uid="{00000000-0005-0000-0000-0000A5330000}"/>
    <cellStyle name="Normal 10 2 8 7" xfId="2935" xr:uid="{00000000-0005-0000-0000-0000A6330000}"/>
    <cellStyle name="Normal 10 2 8 7 2" xfId="15450" xr:uid="{00000000-0005-0000-0000-0000A7330000}"/>
    <cellStyle name="Normal 10 2 8 7 2 2" xfId="40324" xr:uid="{00000000-0005-0000-0000-0000A8330000}"/>
    <cellStyle name="Normal 10 2 8 7 3" xfId="27883" xr:uid="{00000000-0005-0000-0000-0000A9330000}"/>
    <cellStyle name="Normal 10 2 8 8" xfId="14505" xr:uid="{00000000-0005-0000-0000-0000AA330000}"/>
    <cellStyle name="Normal 10 2 8 8 2" xfId="39379" xr:uid="{00000000-0005-0000-0000-0000AB330000}"/>
    <cellStyle name="Normal 10 2 8 9" xfId="26938" xr:uid="{00000000-0005-0000-0000-0000AC330000}"/>
    <cellStyle name="Normal 10 2 9" xfId="2101" xr:uid="{00000000-0005-0000-0000-0000AD330000}"/>
    <cellStyle name="Normal 10 2 9 2" xfId="6140" xr:uid="{00000000-0005-0000-0000-0000AE330000}"/>
    <cellStyle name="Normal 10 2 9 2 2" xfId="11155" xr:uid="{00000000-0005-0000-0000-0000AF330000}"/>
    <cellStyle name="Normal 10 2 9 2 2 2" xfId="23598" xr:uid="{00000000-0005-0000-0000-0000B0330000}"/>
    <cellStyle name="Normal 10 2 9 2 2 2 2" xfId="48472" xr:uid="{00000000-0005-0000-0000-0000B1330000}"/>
    <cellStyle name="Normal 10 2 9 2 2 3" xfId="36039" xr:uid="{00000000-0005-0000-0000-0000B2330000}"/>
    <cellStyle name="Normal 10 2 9 2 3" xfId="18591" xr:uid="{00000000-0005-0000-0000-0000B3330000}"/>
    <cellStyle name="Normal 10 2 9 2 3 2" xfId="43465" xr:uid="{00000000-0005-0000-0000-0000B4330000}"/>
    <cellStyle name="Normal 10 2 9 2 4" xfId="31032" xr:uid="{00000000-0005-0000-0000-0000B5330000}"/>
    <cellStyle name="Normal 10 2 9 3" xfId="12609" xr:uid="{00000000-0005-0000-0000-0000B6330000}"/>
    <cellStyle name="Normal 10 2 9 3 2" xfId="25043" xr:uid="{00000000-0005-0000-0000-0000B7330000}"/>
    <cellStyle name="Normal 10 2 9 3 2 2" xfId="49917" xr:uid="{00000000-0005-0000-0000-0000B8330000}"/>
    <cellStyle name="Normal 10 2 9 3 3" xfId="37484" xr:uid="{00000000-0005-0000-0000-0000B9330000}"/>
    <cellStyle name="Normal 10 2 9 4" xfId="8897" xr:uid="{00000000-0005-0000-0000-0000BA330000}"/>
    <cellStyle name="Normal 10 2 9 4 2" xfId="21340" xr:uid="{00000000-0005-0000-0000-0000BB330000}"/>
    <cellStyle name="Normal 10 2 9 4 2 2" xfId="46214" xr:uid="{00000000-0005-0000-0000-0000BC330000}"/>
    <cellStyle name="Normal 10 2 9 4 3" xfId="33781" xr:uid="{00000000-0005-0000-0000-0000BD330000}"/>
    <cellStyle name="Normal 10 2 9 5" xfId="3879" xr:uid="{00000000-0005-0000-0000-0000BE330000}"/>
    <cellStyle name="Normal 10 2 9 5 2" xfId="16333" xr:uid="{00000000-0005-0000-0000-0000BF330000}"/>
    <cellStyle name="Normal 10 2 9 5 2 2" xfId="41207" xr:uid="{00000000-0005-0000-0000-0000C0330000}"/>
    <cellStyle name="Normal 10 2 9 5 3" xfId="28774" xr:uid="{00000000-0005-0000-0000-0000C1330000}"/>
    <cellStyle name="Normal 10 2 9 6" xfId="14794" xr:uid="{00000000-0005-0000-0000-0000C2330000}"/>
    <cellStyle name="Normal 10 2 9 6 2" xfId="39668" xr:uid="{00000000-0005-0000-0000-0000C3330000}"/>
    <cellStyle name="Normal 10 2 9 7" xfId="27227" xr:uid="{00000000-0005-0000-0000-0000C4330000}"/>
    <cellStyle name="Normal 10 2_Degree data" xfId="2072" xr:uid="{00000000-0005-0000-0000-0000C5330000}"/>
    <cellStyle name="Normal 10 3" xfId="111" xr:uid="{00000000-0005-0000-0000-0000C6330000}"/>
    <cellStyle name="Normal 10 3 2" xfId="222" xr:uid="{00000000-0005-0000-0000-0000C7330000}"/>
    <cellStyle name="Normal 10 3 2 10" xfId="2630" xr:uid="{00000000-0005-0000-0000-0000C8330000}"/>
    <cellStyle name="Normal 10 3 2 10 2" xfId="15148" xr:uid="{00000000-0005-0000-0000-0000C9330000}"/>
    <cellStyle name="Normal 10 3 2 10 2 2" xfId="40022" xr:uid="{00000000-0005-0000-0000-0000CA330000}"/>
    <cellStyle name="Normal 10 3 2 10 3" xfId="27581" xr:uid="{00000000-0005-0000-0000-0000CB330000}"/>
    <cellStyle name="Normal 10 3 2 11" xfId="13049" xr:uid="{00000000-0005-0000-0000-0000CC330000}"/>
    <cellStyle name="Normal 10 3 2 11 2" xfId="37923" xr:uid="{00000000-0005-0000-0000-0000CD330000}"/>
    <cellStyle name="Normal 10 3 2 12" xfId="25482" xr:uid="{00000000-0005-0000-0000-0000CE330000}"/>
    <cellStyle name="Normal 10 3 2 2" xfId="289" xr:uid="{00000000-0005-0000-0000-0000CF330000}"/>
    <cellStyle name="Normal 10 3 2 3" xfId="454" xr:uid="{00000000-0005-0000-0000-0000D0330000}"/>
    <cellStyle name="Normal 10 3 2 3 10" xfId="2848" xr:uid="{00000000-0005-0000-0000-0000D1330000}"/>
    <cellStyle name="Normal 10 3 2 3 10 2" xfId="15366" xr:uid="{00000000-0005-0000-0000-0000D2330000}"/>
    <cellStyle name="Normal 10 3 2 3 10 2 2" xfId="40240" xr:uid="{00000000-0005-0000-0000-0000D3330000}"/>
    <cellStyle name="Normal 10 3 2 3 10 3" xfId="27799" xr:uid="{00000000-0005-0000-0000-0000D4330000}"/>
    <cellStyle name="Normal 10 3 2 3 11" xfId="13267" xr:uid="{00000000-0005-0000-0000-0000D5330000}"/>
    <cellStyle name="Normal 10 3 2 3 11 2" xfId="38141" xr:uid="{00000000-0005-0000-0000-0000D6330000}"/>
    <cellStyle name="Normal 10 3 2 3 12" xfId="25700" xr:uid="{00000000-0005-0000-0000-0000D7330000}"/>
    <cellStyle name="Normal 10 3 2 3 2" xfId="813" xr:uid="{00000000-0005-0000-0000-0000D8330000}"/>
    <cellStyle name="Normal 10 3 2 3 2 2" xfId="1371" xr:uid="{00000000-0005-0000-0000-0000D9330000}"/>
    <cellStyle name="Normal 10 3 2 3 2 2 2" xfId="9304" xr:uid="{00000000-0005-0000-0000-0000DA330000}"/>
    <cellStyle name="Normal 10 3 2 3 2 2 2 2" xfId="21747" xr:uid="{00000000-0005-0000-0000-0000DB330000}"/>
    <cellStyle name="Normal 10 3 2 3 2 2 2 2 2" xfId="46621" xr:uid="{00000000-0005-0000-0000-0000DC330000}"/>
    <cellStyle name="Normal 10 3 2 3 2 2 2 3" xfId="34188" xr:uid="{00000000-0005-0000-0000-0000DD330000}"/>
    <cellStyle name="Normal 10 3 2 3 2 2 3" xfId="4286" xr:uid="{00000000-0005-0000-0000-0000DE330000}"/>
    <cellStyle name="Normal 10 3 2 3 2 2 3 2" xfId="16740" xr:uid="{00000000-0005-0000-0000-0000DF330000}"/>
    <cellStyle name="Normal 10 3 2 3 2 2 3 2 2" xfId="41614" xr:uid="{00000000-0005-0000-0000-0000E0330000}"/>
    <cellStyle name="Normal 10 3 2 3 2 2 3 3" xfId="29181" xr:uid="{00000000-0005-0000-0000-0000E1330000}"/>
    <cellStyle name="Normal 10 3 2 3 2 2 4" xfId="14171" xr:uid="{00000000-0005-0000-0000-0000E2330000}"/>
    <cellStyle name="Normal 10 3 2 3 2 2 4 2" xfId="39045" xr:uid="{00000000-0005-0000-0000-0000E3330000}"/>
    <cellStyle name="Normal 10 3 2 3 2 2 5" xfId="26604" xr:uid="{00000000-0005-0000-0000-0000E4330000}"/>
    <cellStyle name="Normal 10 3 2 3 2 3" xfId="5516" xr:uid="{00000000-0005-0000-0000-0000E5330000}"/>
    <cellStyle name="Normal 10 3 2 3 2 3 2" xfId="10532" xr:uid="{00000000-0005-0000-0000-0000E6330000}"/>
    <cellStyle name="Normal 10 3 2 3 2 3 2 2" xfId="22975" xr:uid="{00000000-0005-0000-0000-0000E7330000}"/>
    <cellStyle name="Normal 10 3 2 3 2 3 2 2 2" xfId="47849" xr:uid="{00000000-0005-0000-0000-0000E8330000}"/>
    <cellStyle name="Normal 10 3 2 3 2 3 2 3" xfId="35416" xr:uid="{00000000-0005-0000-0000-0000E9330000}"/>
    <cellStyle name="Normal 10 3 2 3 2 3 3" xfId="17968" xr:uid="{00000000-0005-0000-0000-0000EA330000}"/>
    <cellStyle name="Normal 10 3 2 3 2 3 3 2" xfId="42842" xr:uid="{00000000-0005-0000-0000-0000EB330000}"/>
    <cellStyle name="Normal 10 3 2 3 2 3 4" xfId="30409" xr:uid="{00000000-0005-0000-0000-0000EC330000}"/>
    <cellStyle name="Normal 10 3 2 3 2 4" xfId="8420" xr:uid="{00000000-0005-0000-0000-0000ED330000}"/>
    <cellStyle name="Normal 10 3 2 3 2 4 2" xfId="20864" xr:uid="{00000000-0005-0000-0000-0000EE330000}"/>
    <cellStyle name="Normal 10 3 2 3 2 4 2 2" xfId="45738" xr:uid="{00000000-0005-0000-0000-0000EF330000}"/>
    <cellStyle name="Normal 10 3 2 3 2 4 3" xfId="33305" xr:uid="{00000000-0005-0000-0000-0000F0330000}"/>
    <cellStyle name="Normal 10 3 2 3 2 5" xfId="11986" xr:uid="{00000000-0005-0000-0000-0000F1330000}"/>
    <cellStyle name="Normal 10 3 2 3 2 5 2" xfId="24420" xr:uid="{00000000-0005-0000-0000-0000F2330000}"/>
    <cellStyle name="Normal 10 3 2 3 2 5 2 2" xfId="49294" xr:uid="{00000000-0005-0000-0000-0000F3330000}"/>
    <cellStyle name="Normal 10 3 2 3 2 5 3" xfId="36861" xr:uid="{00000000-0005-0000-0000-0000F4330000}"/>
    <cellStyle name="Normal 10 3 2 3 2 6" xfId="6897" xr:uid="{00000000-0005-0000-0000-0000F5330000}"/>
    <cellStyle name="Normal 10 3 2 3 2 6 2" xfId="19346" xr:uid="{00000000-0005-0000-0000-0000F6330000}"/>
    <cellStyle name="Normal 10 3 2 3 2 6 2 2" xfId="44220" xr:uid="{00000000-0005-0000-0000-0000F7330000}"/>
    <cellStyle name="Normal 10 3 2 3 2 6 3" xfId="31787" xr:uid="{00000000-0005-0000-0000-0000F8330000}"/>
    <cellStyle name="Normal 10 3 2 3 2 7" xfId="3351" xr:uid="{00000000-0005-0000-0000-0000F9330000}"/>
    <cellStyle name="Normal 10 3 2 3 2 7 2" xfId="15857" xr:uid="{00000000-0005-0000-0000-0000FA330000}"/>
    <cellStyle name="Normal 10 3 2 3 2 7 2 2" xfId="40731" xr:uid="{00000000-0005-0000-0000-0000FB330000}"/>
    <cellStyle name="Normal 10 3 2 3 2 7 3" xfId="28290" xr:uid="{00000000-0005-0000-0000-0000FC330000}"/>
    <cellStyle name="Normal 10 3 2 3 2 8" xfId="13614" xr:uid="{00000000-0005-0000-0000-0000FD330000}"/>
    <cellStyle name="Normal 10 3 2 3 2 8 2" xfId="38488" xr:uid="{00000000-0005-0000-0000-0000FE330000}"/>
    <cellStyle name="Normal 10 3 2 3 2 9" xfId="26047" xr:uid="{00000000-0005-0000-0000-0000FF330000}"/>
    <cellStyle name="Normal 10 3 2 3 3" xfId="1719" xr:uid="{00000000-0005-0000-0000-000000340000}"/>
    <cellStyle name="Normal 10 3 2 3 3 2" xfId="4457" xr:uid="{00000000-0005-0000-0000-000001340000}"/>
    <cellStyle name="Normal 10 3 2 3 3 2 2" xfId="9475" xr:uid="{00000000-0005-0000-0000-000002340000}"/>
    <cellStyle name="Normal 10 3 2 3 3 2 2 2" xfId="21918" xr:uid="{00000000-0005-0000-0000-000003340000}"/>
    <cellStyle name="Normal 10 3 2 3 3 2 2 2 2" xfId="46792" xr:uid="{00000000-0005-0000-0000-000004340000}"/>
    <cellStyle name="Normal 10 3 2 3 3 2 2 3" xfId="34359" xr:uid="{00000000-0005-0000-0000-000005340000}"/>
    <cellStyle name="Normal 10 3 2 3 3 2 3" xfId="16911" xr:uid="{00000000-0005-0000-0000-000006340000}"/>
    <cellStyle name="Normal 10 3 2 3 3 2 3 2" xfId="41785" xr:uid="{00000000-0005-0000-0000-000007340000}"/>
    <cellStyle name="Normal 10 3 2 3 3 2 4" xfId="29352" xr:uid="{00000000-0005-0000-0000-000008340000}"/>
    <cellStyle name="Normal 10 3 2 3 3 3" xfId="5865" xr:uid="{00000000-0005-0000-0000-000009340000}"/>
    <cellStyle name="Normal 10 3 2 3 3 3 2" xfId="10880" xr:uid="{00000000-0005-0000-0000-00000A340000}"/>
    <cellStyle name="Normal 10 3 2 3 3 3 2 2" xfId="23323" xr:uid="{00000000-0005-0000-0000-00000B340000}"/>
    <cellStyle name="Normal 10 3 2 3 3 3 2 2 2" xfId="48197" xr:uid="{00000000-0005-0000-0000-00000C340000}"/>
    <cellStyle name="Normal 10 3 2 3 3 3 2 3" xfId="35764" xr:uid="{00000000-0005-0000-0000-00000D340000}"/>
    <cellStyle name="Normal 10 3 2 3 3 3 3" xfId="18316" xr:uid="{00000000-0005-0000-0000-00000E340000}"/>
    <cellStyle name="Normal 10 3 2 3 3 3 3 2" xfId="43190" xr:uid="{00000000-0005-0000-0000-00000F340000}"/>
    <cellStyle name="Normal 10 3 2 3 3 3 4" xfId="30757" xr:uid="{00000000-0005-0000-0000-000010340000}"/>
    <cellStyle name="Normal 10 3 2 3 3 4" xfId="8591" xr:uid="{00000000-0005-0000-0000-000011340000}"/>
    <cellStyle name="Normal 10 3 2 3 3 4 2" xfId="21035" xr:uid="{00000000-0005-0000-0000-000012340000}"/>
    <cellStyle name="Normal 10 3 2 3 3 4 2 2" xfId="45909" xr:uid="{00000000-0005-0000-0000-000013340000}"/>
    <cellStyle name="Normal 10 3 2 3 3 4 3" xfId="33476" xr:uid="{00000000-0005-0000-0000-000014340000}"/>
    <cellStyle name="Normal 10 3 2 3 3 5" xfId="12334" xr:uid="{00000000-0005-0000-0000-000015340000}"/>
    <cellStyle name="Normal 10 3 2 3 3 5 2" xfId="24768" xr:uid="{00000000-0005-0000-0000-000016340000}"/>
    <cellStyle name="Normal 10 3 2 3 3 5 2 2" xfId="49642" xr:uid="{00000000-0005-0000-0000-000017340000}"/>
    <cellStyle name="Normal 10 3 2 3 3 5 3" xfId="37209" xr:uid="{00000000-0005-0000-0000-000018340000}"/>
    <cellStyle name="Normal 10 3 2 3 3 6" xfId="7068" xr:uid="{00000000-0005-0000-0000-000019340000}"/>
    <cellStyle name="Normal 10 3 2 3 3 6 2" xfId="19517" xr:uid="{00000000-0005-0000-0000-00001A340000}"/>
    <cellStyle name="Normal 10 3 2 3 3 6 2 2" xfId="44391" xr:uid="{00000000-0005-0000-0000-00001B340000}"/>
    <cellStyle name="Normal 10 3 2 3 3 6 3" xfId="31958" xr:uid="{00000000-0005-0000-0000-00001C340000}"/>
    <cellStyle name="Normal 10 3 2 3 3 7" xfId="3522" xr:uid="{00000000-0005-0000-0000-00001D340000}"/>
    <cellStyle name="Normal 10 3 2 3 3 7 2" xfId="16028" xr:uid="{00000000-0005-0000-0000-00001E340000}"/>
    <cellStyle name="Normal 10 3 2 3 3 7 2 2" xfId="40902" xr:uid="{00000000-0005-0000-0000-00001F340000}"/>
    <cellStyle name="Normal 10 3 2 3 3 7 3" xfId="28461" xr:uid="{00000000-0005-0000-0000-000020340000}"/>
    <cellStyle name="Normal 10 3 2 3 3 8" xfId="14519" xr:uid="{00000000-0005-0000-0000-000021340000}"/>
    <cellStyle name="Normal 10 3 2 3 3 8 2" xfId="39393" xr:uid="{00000000-0005-0000-0000-000022340000}"/>
    <cellStyle name="Normal 10 3 2 3 3 9" xfId="26952" xr:uid="{00000000-0005-0000-0000-000023340000}"/>
    <cellStyle name="Normal 10 3 2 3 4" xfId="2372" xr:uid="{00000000-0005-0000-0000-000024340000}"/>
    <cellStyle name="Normal 10 3 2 3 4 2" xfId="4996" xr:uid="{00000000-0005-0000-0000-000025340000}"/>
    <cellStyle name="Normal 10 3 2 3 4 2 2" xfId="10013" xr:uid="{00000000-0005-0000-0000-000026340000}"/>
    <cellStyle name="Normal 10 3 2 3 4 2 2 2" xfId="22456" xr:uid="{00000000-0005-0000-0000-000027340000}"/>
    <cellStyle name="Normal 10 3 2 3 4 2 2 2 2" xfId="47330" xr:uid="{00000000-0005-0000-0000-000028340000}"/>
    <cellStyle name="Normal 10 3 2 3 4 2 2 3" xfId="34897" xr:uid="{00000000-0005-0000-0000-000029340000}"/>
    <cellStyle name="Normal 10 3 2 3 4 2 3" xfId="17449" xr:uid="{00000000-0005-0000-0000-00002A340000}"/>
    <cellStyle name="Normal 10 3 2 3 4 2 3 2" xfId="42323" xr:uid="{00000000-0005-0000-0000-00002B340000}"/>
    <cellStyle name="Normal 10 3 2 3 4 2 4" xfId="29890" xr:uid="{00000000-0005-0000-0000-00002C340000}"/>
    <cellStyle name="Normal 10 3 2 3 4 3" xfId="6394" xr:uid="{00000000-0005-0000-0000-00002D340000}"/>
    <cellStyle name="Normal 10 3 2 3 4 3 2" xfId="11409" xr:uid="{00000000-0005-0000-0000-00002E340000}"/>
    <cellStyle name="Normal 10 3 2 3 4 3 2 2" xfId="23852" xr:uid="{00000000-0005-0000-0000-00002F340000}"/>
    <cellStyle name="Normal 10 3 2 3 4 3 2 2 2" xfId="48726" xr:uid="{00000000-0005-0000-0000-000030340000}"/>
    <cellStyle name="Normal 10 3 2 3 4 3 2 3" xfId="36293" xr:uid="{00000000-0005-0000-0000-000031340000}"/>
    <cellStyle name="Normal 10 3 2 3 4 3 3" xfId="18845" xr:uid="{00000000-0005-0000-0000-000032340000}"/>
    <cellStyle name="Normal 10 3 2 3 4 3 3 2" xfId="43719" xr:uid="{00000000-0005-0000-0000-000033340000}"/>
    <cellStyle name="Normal 10 3 2 3 4 3 4" xfId="31286" xr:uid="{00000000-0005-0000-0000-000034340000}"/>
    <cellStyle name="Normal 10 3 2 3 4 4" xfId="8101" xr:uid="{00000000-0005-0000-0000-000035340000}"/>
    <cellStyle name="Normal 10 3 2 3 4 4 2" xfId="20547" xr:uid="{00000000-0005-0000-0000-000036340000}"/>
    <cellStyle name="Normal 10 3 2 3 4 4 2 2" xfId="45421" xr:uid="{00000000-0005-0000-0000-000037340000}"/>
    <cellStyle name="Normal 10 3 2 3 4 4 3" xfId="32988" xr:uid="{00000000-0005-0000-0000-000038340000}"/>
    <cellStyle name="Normal 10 3 2 3 4 5" xfId="12863" xr:uid="{00000000-0005-0000-0000-000039340000}"/>
    <cellStyle name="Normal 10 3 2 3 4 5 2" xfId="25297" xr:uid="{00000000-0005-0000-0000-00003A340000}"/>
    <cellStyle name="Normal 10 3 2 3 4 5 2 2" xfId="50171" xr:uid="{00000000-0005-0000-0000-00003B340000}"/>
    <cellStyle name="Normal 10 3 2 3 4 5 3" xfId="37738" xr:uid="{00000000-0005-0000-0000-00003C340000}"/>
    <cellStyle name="Normal 10 3 2 3 4 6" xfId="7607" xr:uid="{00000000-0005-0000-0000-00003D340000}"/>
    <cellStyle name="Normal 10 3 2 3 4 6 2" xfId="20055" xr:uid="{00000000-0005-0000-0000-00003E340000}"/>
    <cellStyle name="Normal 10 3 2 3 4 6 2 2" xfId="44929" xr:uid="{00000000-0005-0000-0000-00003F340000}"/>
    <cellStyle name="Normal 10 3 2 3 4 6 3" xfId="32496" xr:uid="{00000000-0005-0000-0000-000040340000}"/>
    <cellStyle name="Normal 10 3 2 3 4 7" xfId="3031" xr:uid="{00000000-0005-0000-0000-000041340000}"/>
    <cellStyle name="Normal 10 3 2 3 4 7 2" xfId="15540" xr:uid="{00000000-0005-0000-0000-000042340000}"/>
    <cellStyle name="Normal 10 3 2 3 4 7 2 2" xfId="40414" xr:uid="{00000000-0005-0000-0000-000043340000}"/>
    <cellStyle name="Normal 10 3 2 3 4 7 3" xfId="27973" xr:uid="{00000000-0005-0000-0000-000044340000}"/>
    <cellStyle name="Normal 10 3 2 3 4 8" xfId="15048" xr:uid="{00000000-0005-0000-0000-000045340000}"/>
    <cellStyle name="Normal 10 3 2 3 4 8 2" xfId="39922" xr:uid="{00000000-0005-0000-0000-000046340000}"/>
    <cellStyle name="Normal 10 3 2 3 4 9" xfId="27481" xr:uid="{00000000-0005-0000-0000-000047340000}"/>
    <cellStyle name="Normal 10 3 2 3 5" xfId="1205" xr:uid="{00000000-0005-0000-0000-000048340000}"/>
    <cellStyle name="Normal 10 3 2 3 5 2" xfId="8987" xr:uid="{00000000-0005-0000-0000-000049340000}"/>
    <cellStyle name="Normal 10 3 2 3 5 2 2" xfId="21430" xr:uid="{00000000-0005-0000-0000-00004A340000}"/>
    <cellStyle name="Normal 10 3 2 3 5 2 2 2" xfId="46304" xr:uid="{00000000-0005-0000-0000-00004B340000}"/>
    <cellStyle name="Normal 10 3 2 3 5 2 3" xfId="33871" xr:uid="{00000000-0005-0000-0000-00004C340000}"/>
    <cellStyle name="Normal 10 3 2 3 5 3" xfId="3969" xr:uid="{00000000-0005-0000-0000-00004D340000}"/>
    <cellStyle name="Normal 10 3 2 3 5 3 2" xfId="16423" xr:uid="{00000000-0005-0000-0000-00004E340000}"/>
    <cellStyle name="Normal 10 3 2 3 5 3 2 2" xfId="41297" xr:uid="{00000000-0005-0000-0000-00004F340000}"/>
    <cellStyle name="Normal 10 3 2 3 5 3 3" xfId="28864" xr:uid="{00000000-0005-0000-0000-000050340000}"/>
    <cellStyle name="Normal 10 3 2 3 5 4" xfId="14005" xr:uid="{00000000-0005-0000-0000-000051340000}"/>
    <cellStyle name="Normal 10 3 2 3 5 4 2" xfId="38879" xr:uid="{00000000-0005-0000-0000-000052340000}"/>
    <cellStyle name="Normal 10 3 2 3 5 5" xfId="26438" xr:uid="{00000000-0005-0000-0000-000053340000}"/>
    <cellStyle name="Normal 10 3 2 3 6" xfId="5350" xr:uid="{00000000-0005-0000-0000-000054340000}"/>
    <cellStyle name="Normal 10 3 2 3 6 2" xfId="10366" xr:uid="{00000000-0005-0000-0000-000055340000}"/>
    <cellStyle name="Normal 10 3 2 3 6 2 2" xfId="22809" xr:uid="{00000000-0005-0000-0000-000056340000}"/>
    <cellStyle name="Normal 10 3 2 3 6 2 2 2" xfId="47683" xr:uid="{00000000-0005-0000-0000-000057340000}"/>
    <cellStyle name="Normal 10 3 2 3 6 2 3" xfId="35250" xr:uid="{00000000-0005-0000-0000-000058340000}"/>
    <cellStyle name="Normal 10 3 2 3 6 3" xfId="17802" xr:uid="{00000000-0005-0000-0000-000059340000}"/>
    <cellStyle name="Normal 10 3 2 3 6 3 2" xfId="42676" xr:uid="{00000000-0005-0000-0000-00005A340000}"/>
    <cellStyle name="Normal 10 3 2 3 6 4" xfId="30243" xr:uid="{00000000-0005-0000-0000-00005B340000}"/>
    <cellStyle name="Normal 10 3 2 3 7" xfId="7927" xr:uid="{00000000-0005-0000-0000-00005C340000}"/>
    <cellStyle name="Normal 10 3 2 3 7 2" xfId="20373" xr:uid="{00000000-0005-0000-0000-00005D340000}"/>
    <cellStyle name="Normal 10 3 2 3 7 2 2" xfId="45247" xr:uid="{00000000-0005-0000-0000-00005E340000}"/>
    <cellStyle name="Normal 10 3 2 3 7 3" xfId="32814" xr:uid="{00000000-0005-0000-0000-00005F340000}"/>
    <cellStyle name="Normal 10 3 2 3 8" xfId="11820" xr:uid="{00000000-0005-0000-0000-000060340000}"/>
    <cellStyle name="Normal 10 3 2 3 8 2" xfId="24254" xr:uid="{00000000-0005-0000-0000-000061340000}"/>
    <cellStyle name="Normal 10 3 2 3 8 2 2" xfId="49128" xr:uid="{00000000-0005-0000-0000-000062340000}"/>
    <cellStyle name="Normal 10 3 2 3 8 3" xfId="36695" xr:uid="{00000000-0005-0000-0000-000063340000}"/>
    <cellStyle name="Normal 10 3 2 3 9" xfId="6580" xr:uid="{00000000-0005-0000-0000-000064340000}"/>
    <cellStyle name="Normal 10 3 2 3 9 2" xfId="19029" xr:uid="{00000000-0005-0000-0000-000065340000}"/>
    <cellStyle name="Normal 10 3 2 3 9 2 2" xfId="43903" xr:uid="{00000000-0005-0000-0000-000066340000}"/>
    <cellStyle name="Normal 10 3 2 3 9 3" xfId="31470" xr:uid="{00000000-0005-0000-0000-000067340000}"/>
    <cellStyle name="Normal 10 3 2 3_Degree data" xfId="2023" xr:uid="{00000000-0005-0000-0000-000068340000}"/>
    <cellStyle name="Normal 10 3 2 4" xfId="587" xr:uid="{00000000-0005-0000-0000-000069340000}"/>
    <cellStyle name="Normal 10 3 2 4 2" xfId="1370" xr:uid="{00000000-0005-0000-0000-00006A340000}"/>
    <cellStyle name="Normal 10 3 2 4 2 2" xfId="9086" xr:uid="{00000000-0005-0000-0000-00006B340000}"/>
    <cellStyle name="Normal 10 3 2 4 2 2 2" xfId="21529" xr:uid="{00000000-0005-0000-0000-00006C340000}"/>
    <cellStyle name="Normal 10 3 2 4 2 2 2 2" xfId="46403" xr:uid="{00000000-0005-0000-0000-00006D340000}"/>
    <cellStyle name="Normal 10 3 2 4 2 2 3" xfId="33970" xr:uid="{00000000-0005-0000-0000-00006E340000}"/>
    <cellStyle name="Normal 10 3 2 4 2 3" xfId="4068" xr:uid="{00000000-0005-0000-0000-00006F340000}"/>
    <cellStyle name="Normal 10 3 2 4 2 3 2" xfId="16522" xr:uid="{00000000-0005-0000-0000-000070340000}"/>
    <cellStyle name="Normal 10 3 2 4 2 3 2 2" xfId="41396" xr:uid="{00000000-0005-0000-0000-000071340000}"/>
    <cellStyle name="Normal 10 3 2 4 2 3 3" xfId="28963" xr:uid="{00000000-0005-0000-0000-000072340000}"/>
    <cellStyle name="Normal 10 3 2 4 2 4" xfId="14170" xr:uid="{00000000-0005-0000-0000-000073340000}"/>
    <cellStyle name="Normal 10 3 2 4 2 4 2" xfId="39044" xr:uid="{00000000-0005-0000-0000-000074340000}"/>
    <cellStyle name="Normal 10 3 2 4 2 5" xfId="26603" xr:uid="{00000000-0005-0000-0000-000075340000}"/>
    <cellStyle name="Normal 10 3 2 4 3" xfId="5515" xr:uid="{00000000-0005-0000-0000-000076340000}"/>
    <cellStyle name="Normal 10 3 2 4 3 2" xfId="10531" xr:uid="{00000000-0005-0000-0000-000077340000}"/>
    <cellStyle name="Normal 10 3 2 4 3 2 2" xfId="22974" xr:uid="{00000000-0005-0000-0000-000078340000}"/>
    <cellStyle name="Normal 10 3 2 4 3 2 2 2" xfId="47848" xr:uid="{00000000-0005-0000-0000-000079340000}"/>
    <cellStyle name="Normal 10 3 2 4 3 2 3" xfId="35415" xr:uid="{00000000-0005-0000-0000-00007A340000}"/>
    <cellStyle name="Normal 10 3 2 4 3 3" xfId="17967" xr:uid="{00000000-0005-0000-0000-00007B340000}"/>
    <cellStyle name="Normal 10 3 2 4 3 3 2" xfId="42841" xr:uid="{00000000-0005-0000-0000-00007C340000}"/>
    <cellStyle name="Normal 10 3 2 4 3 4" xfId="30408" xr:uid="{00000000-0005-0000-0000-00007D340000}"/>
    <cellStyle name="Normal 10 3 2 4 4" xfId="8202" xr:uid="{00000000-0005-0000-0000-00007E340000}"/>
    <cellStyle name="Normal 10 3 2 4 4 2" xfId="20646" xr:uid="{00000000-0005-0000-0000-00007F340000}"/>
    <cellStyle name="Normal 10 3 2 4 4 2 2" xfId="45520" xr:uid="{00000000-0005-0000-0000-000080340000}"/>
    <cellStyle name="Normal 10 3 2 4 4 3" xfId="33087" xr:uid="{00000000-0005-0000-0000-000081340000}"/>
    <cellStyle name="Normal 10 3 2 4 5" xfId="11985" xr:uid="{00000000-0005-0000-0000-000082340000}"/>
    <cellStyle name="Normal 10 3 2 4 5 2" xfId="24419" xr:uid="{00000000-0005-0000-0000-000083340000}"/>
    <cellStyle name="Normal 10 3 2 4 5 2 2" xfId="49293" xr:uid="{00000000-0005-0000-0000-000084340000}"/>
    <cellStyle name="Normal 10 3 2 4 5 3" xfId="36860" xr:uid="{00000000-0005-0000-0000-000085340000}"/>
    <cellStyle name="Normal 10 3 2 4 6" xfId="6679" xr:uid="{00000000-0005-0000-0000-000086340000}"/>
    <cellStyle name="Normal 10 3 2 4 6 2" xfId="19128" xr:uid="{00000000-0005-0000-0000-000087340000}"/>
    <cellStyle name="Normal 10 3 2 4 6 2 2" xfId="44002" xr:uid="{00000000-0005-0000-0000-000088340000}"/>
    <cellStyle name="Normal 10 3 2 4 6 3" xfId="31569" xr:uid="{00000000-0005-0000-0000-000089340000}"/>
    <cellStyle name="Normal 10 3 2 4 7" xfId="3133" xr:uid="{00000000-0005-0000-0000-00008A340000}"/>
    <cellStyle name="Normal 10 3 2 4 7 2" xfId="15639" xr:uid="{00000000-0005-0000-0000-00008B340000}"/>
    <cellStyle name="Normal 10 3 2 4 7 2 2" xfId="40513" xr:uid="{00000000-0005-0000-0000-00008C340000}"/>
    <cellStyle name="Normal 10 3 2 4 7 3" xfId="28072" xr:uid="{00000000-0005-0000-0000-00008D340000}"/>
    <cellStyle name="Normal 10 3 2 4 8" xfId="13396" xr:uid="{00000000-0005-0000-0000-00008E340000}"/>
    <cellStyle name="Normal 10 3 2 4 8 2" xfId="38270" xr:uid="{00000000-0005-0000-0000-00008F340000}"/>
    <cellStyle name="Normal 10 3 2 4 9" xfId="25829" xr:uid="{00000000-0005-0000-0000-000090340000}"/>
    <cellStyle name="Normal 10 3 2 5" xfId="1718" xr:uid="{00000000-0005-0000-0000-000091340000}"/>
    <cellStyle name="Normal 10 3 2 5 2" xfId="4456" xr:uid="{00000000-0005-0000-0000-000092340000}"/>
    <cellStyle name="Normal 10 3 2 5 2 2" xfId="9474" xr:uid="{00000000-0005-0000-0000-000093340000}"/>
    <cellStyle name="Normal 10 3 2 5 2 2 2" xfId="21917" xr:uid="{00000000-0005-0000-0000-000094340000}"/>
    <cellStyle name="Normal 10 3 2 5 2 2 2 2" xfId="46791" xr:uid="{00000000-0005-0000-0000-000095340000}"/>
    <cellStyle name="Normal 10 3 2 5 2 2 3" xfId="34358" xr:uid="{00000000-0005-0000-0000-000096340000}"/>
    <cellStyle name="Normal 10 3 2 5 2 3" xfId="16910" xr:uid="{00000000-0005-0000-0000-000097340000}"/>
    <cellStyle name="Normal 10 3 2 5 2 3 2" xfId="41784" xr:uid="{00000000-0005-0000-0000-000098340000}"/>
    <cellStyle name="Normal 10 3 2 5 2 4" xfId="29351" xr:uid="{00000000-0005-0000-0000-000099340000}"/>
    <cellStyle name="Normal 10 3 2 5 3" xfId="5864" xr:uid="{00000000-0005-0000-0000-00009A340000}"/>
    <cellStyle name="Normal 10 3 2 5 3 2" xfId="10879" xr:uid="{00000000-0005-0000-0000-00009B340000}"/>
    <cellStyle name="Normal 10 3 2 5 3 2 2" xfId="23322" xr:uid="{00000000-0005-0000-0000-00009C340000}"/>
    <cellStyle name="Normal 10 3 2 5 3 2 2 2" xfId="48196" xr:uid="{00000000-0005-0000-0000-00009D340000}"/>
    <cellStyle name="Normal 10 3 2 5 3 2 3" xfId="35763" xr:uid="{00000000-0005-0000-0000-00009E340000}"/>
    <cellStyle name="Normal 10 3 2 5 3 3" xfId="18315" xr:uid="{00000000-0005-0000-0000-00009F340000}"/>
    <cellStyle name="Normal 10 3 2 5 3 3 2" xfId="43189" xr:uid="{00000000-0005-0000-0000-0000A0340000}"/>
    <cellStyle name="Normal 10 3 2 5 3 4" xfId="30756" xr:uid="{00000000-0005-0000-0000-0000A1340000}"/>
    <cellStyle name="Normal 10 3 2 5 4" xfId="8590" xr:uid="{00000000-0005-0000-0000-0000A2340000}"/>
    <cellStyle name="Normal 10 3 2 5 4 2" xfId="21034" xr:uid="{00000000-0005-0000-0000-0000A3340000}"/>
    <cellStyle name="Normal 10 3 2 5 4 2 2" xfId="45908" xr:uid="{00000000-0005-0000-0000-0000A4340000}"/>
    <cellStyle name="Normal 10 3 2 5 4 3" xfId="33475" xr:uid="{00000000-0005-0000-0000-0000A5340000}"/>
    <cellStyle name="Normal 10 3 2 5 5" xfId="12333" xr:uid="{00000000-0005-0000-0000-0000A6340000}"/>
    <cellStyle name="Normal 10 3 2 5 5 2" xfId="24767" xr:uid="{00000000-0005-0000-0000-0000A7340000}"/>
    <cellStyle name="Normal 10 3 2 5 5 2 2" xfId="49641" xr:uid="{00000000-0005-0000-0000-0000A8340000}"/>
    <cellStyle name="Normal 10 3 2 5 5 3" xfId="37208" xr:uid="{00000000-0005-0000-0000-0000A9340000}"/>
    <cellStyle name="Normal 10 3 2 5 6" xfId="7067" xr:uid="{00000000-0005-0000-0000-0000AA340000}"/>
    <cellStyle name="Normal 10 3 2 5 6 2" xfId="19516" xr:uid="{00000000-0005-0000-0000-0000AB340000}"/>
    <cellStyle name="Normal 10 3 2 5 6 2 2" xfId="44390" xr:uid="{00000000-0005-0000-0000-0000AC340000}"/>
    <cellStyle name="Normal 10 3 2 5 6 3" xfId="31957" xr:uid="{00000000-0005-0000-0000-0000AD340000}"/>
    <cellStyle name="Normal 10 3 2 5 7" xfId="3521" xr:uid="{00000000-0005-0000-0000-0000AE340000}"/>
    <cellStyle name="Normal 10 3 2 5 7 2" xfId="16027" xr:uid="{00000000-0005-0000-0000-0000AF340000}"/>
    <cellStyle name="Normal 10 3 2 5 7 2 2" xfId="40901" xr:uid="{00000000-0005-0000-0000-0000B0340000}"/>
    <cellStyle name="Normal 10 3 2 5 7 3" xfId="28460" xr:uid="{00000000-0005-0000-0000-0000B1340000}"/>
    <cellStyle name="Normal 10 3 2 5 8" xfId="14518" xr:uid="{00000000-0005-0000-0000-0000B2340000}"/>
    <cellStyle name="Normal 10 3 2 5 8 2" xfId="39392" xr:uid="{00000000-0005-0000-0000-0000B3340000}"/>
    <cellStyle name="Normal 10 3 2 5 9" xfId="26951" xr:uid="{00000000-0005-0000-0000-0000B4340000}"/>
    <cellStyle name="Normal 10 3 2 6" xfId="2140" xr:uid="{00000000-0005-0000-0000-0000B5340000}"/>
    <cellStyle name="Normal 10 3 2 6 2" xfId="6176" xr:uid="{00000000-0005-0000-0000-0000B6340000}"/>
    <cellStyle name="Normal 10 3 2 6 2 2" xfId="11191" xr:uid="{00000000-0005-0000-0000-0000B7340000}"/>
    <cellStyle name="Normal 10 3 2 6 2 2 2" xfId="23634" xr:uid="{00000000-0005-0000-0000-0000B8340000}"/>
    <cellStyle name="Normal 10 3 2 6 2 2 2 2" xfId="48508" xr:uid="{00000000-0005-0000-0000-0000B9340000}"/>
    <cellStyle name="Normal 10 3 2 6 2 2 3" xfId="36075" xr:uid="{00000000-0005-0000-0000-0000BA340000}"/>
    <cellStyle name="Normal 10 3 2 6 2 3" xfId="18627" xr:uid="{00000000-0005-0000-0000-0000BB340000}"/>
    <cellStyle name="Normal 10 3 2 6 2 3 2" xfId="43501" xr:uid="{00000000-0005-0000-0000-0000BC340000}"/>
    <cellStyle name="Normal 10 3 2 6 2 4" xfId="31068" xr:uid="{00000000-0005-0000-0000-0000BD340000}"/>
    <cellStyle name="Normal 10 3 2 6 3" xfId="9795" xr:uid="{00000000-0005-0000-0000-0000BE340000}"/>
    <cellStyle name="Normal 10 3 2 6 3 2" xfId="22238" xr:uid="{00000000-0005-0000-0000-0000BF340000}"/>
    <cellStyle name="Normal 10 3 2 6 3 2 2" xfId="47112" xr:uid="{00000000-0005-0000-0000-0000C0340000}"/>
    <cellStyle name="Normal 10 3 2 6 3 3" xfId="34679" xr:uid="{00000000-0005-0000-0000-0000C1340000}"/>
    <cellStyle name="Normal 10 3 2 6 4" xfId="12645" xr:uid="{00000000-0005-0000-0000-0000C2340000}"/>
    <cellStyle name="Normal 10 3 2 6 4 2" xfId="25079" xr:uid="{00000000-0005-0000-0000-0000C3340000}"/>
    <cellStyle name="Normal 10 3 2 6 4 2 2" xfId="49953" xr:uid="{00000000-0005-0000-0000-0000C4340000}"/>
    <cellStyle name="Normal 10 3 2 6 4 3" xfId="37520" xr:uid="{00000000-0005-0000-0000-0000C5340000}"/>
    <cellStyle name="Normal 10 3 2 6 5" xfId="7389" xr:uid="{00000000-0005-0000-0000-0000C6340000}"/>
    <cellStyle name="Normal 10 3 2 6 5 2" xfId="19837" xr:uid="{00000000-0005-0000-0000-0000C7340000}"/>
    <cellStyle name="Normal 10 3 2 6 5 2 2" xfId="44711" xr:uid="{00000000-0005-0000-0000-0000C8340000}"/>
    <cellStyle name="Normal 10 3 2 6 5 3" xfId="32278" xr:uid="{00000000-0005-0000-0000-0000C9340000}"/>
    <cellStyle name="Normal 10 3 2 6 6" xfId="4778" xr:uid="{00000000-0005-0000-0000-0000CA340000}"/>
    <cellStyle name="Normal 10 3 2 6 6 2" xfId="17231" xr:uid="{00000000-0005-0000-0000-0000CB340000}"/>
    <cellStyle name="Normal 10 3 2 6 6 2 2" xfId="42105" xr:uid="{00000000-0005-0000-0000-0000CC340000}"/>
    <cellStyle name="Normal 10 3 2 6 6 3" xfId="29672" xr:uid="{00000000-0005-0000-0000-0000CD340000}"/>
    <cellStyle name="Normal 10 3 2 6 7" xfId="14830" xr:uid="{00000000-0005-0000-0000-0000CE340000}"/>
    <cellStyle name="Normal 10 3 2 6 7 2" xfId="39704" xr:uid="{00000000-0005-0000-0000-0000CF340000}"/>
    <cellStyle name="Normal 10 3 2 6 8" xfId="27263" xr:uid="{00000000-0005-0000-0000-0000D0340000}"/>
    <cellStyle name="Normal 10 3 2 7" xfId="987" xr:uid="{00000000-0005-0000-0000-0000D1340000}"/>
    <cellStyle name="Normal 10 3 2 7 2" xfId="10146" xr:uid="{00000000-0005-0000-0000-0000D2340000}"/>
    <cellStyle name="Normal 10 3 2 7 2 2" xfId="22589" xr:uid="{00000000-0005-0000-0000-0000D3340000}"/>
    <cellStyle name="Normal 10 3 2 7 2 2 2" xfId="47463" xr:uid="{00000000-0005-0000-0000-0000D4340000}"/>
    <cellStyle name="Normal 10 3 2 7 2 3" xfId="35030" xr:uid="{00000000-0005-0000-0000-0000D5340000}"/>
    <cellStyle name="Normal 10 3 2 7 3" xfId="5130" xr:uid="{00000000-0005-0000-0000-0000D6340000}"/>
    <cellStyle name="Normal 10 3 2 7 3 2" xfId="17582" xr:uid="{00000000-0005-0000-0000-0000D7340000}"/>
    <cellStyle name="Normal 10 3 2 7 3 2 2" xfId="42456" xr:uid="{00000000-0005-0000-0000-0000D8340000}"/>
    <cellStyle name="Normal 10 3 2 7 3 3" xfId="30023" xr:uid="{00000000-0005-0000-0000-0000D9340000}"/>
    <cellStyle name="Normal 10 3 2 7 4" xfId="13787" xr:uid="{00000000-0005-0000-0000-0000DA340000}"/>
    <cellStyle name="Normal 10 3 2 7 4 2" xfId="38661" xr:uid="{00000000-0005-0000-0000-0000DB340000}"/>
    <cellStyle name="Normal 10 3 2 7 5" xfId="26220" xr:uid="{00000000-0005-0000-0000-0000DC340000}"/>
    <cellStyle name="Normal 10 3 2 8" xfId="7709" xr:uid="{00000000-0005-0000-0000-0000DD340000}"/>
    <cellStyle name="Normal 10 3 2 8 2" xfId="20155" xr:uid="{00000000-0005-0000-0000-0000DE340000}"/>
    <cellStyle name="Normal 10 3 2 8 2 2" xfId="45029" xr:uid="{00000000-0005-0000-0000-0000DF340000}"/>
    <cellStyle name="Normal 10 3 2 8 3" xfId="32596" xr:uid="{00000000-0005-0000-0000-0000E0340000}"/>
    <cellStyle name="Normal 10 3 2 9" xfId="11602" xr:uid="{00000000-0005-0000-0000-0000E1340000}"/>
    <cellStyle name="Normal 10 3 2 9 2" xfId="24036" xr:uid="{00000000-0005-0000-0000-0000E2340000}"/>
    <cellStyle name="Normal 10 3 2 9 2 2" xfId="48910" xr:uid="{00000000-0005-0000-0000-0000E3340000}"/>
    <cellStyle name="Normal 10 3 2 9 3" xfId="36477" xr:uid="{00000000-0005-0000-0000-0000E4340000}"/>
    <cellStyle name="Normal 10 3 2_Degree data" xfId="1974" xr:uid="{00000000-0005-0000-0000-0000E5340000}"/>
    <cellStyle name="Normal 10 3 3" xfId="252" xr:uid="{00000000-0005-0000-0000-0000E6340000}"/>
    <cellStyle name="Normal 10 3 3 10" xfId="6592" xr:uid="{00000000-0005-0000-0000-0000E7340000}"/>
    <cellStyle name="Normal 10 3 3 10 2" xfId="19041" xr:uid="{00000000-0005-0000-0000-0000E8340000}"/>
    <cellStyle name="Normal 10 3 3 10 2 2" xfId="43915" xr:uid="{00000000-0005-0000-0000-0000E9340000}"/>
    <cellStyle name="Normal 10 3 3 10 3" xfId="31482" xr:uid="{00000000-0005-0000-0000-0000EA340000}"/>
    <cellStyle name="Normal 10 3 3 11" xfId="2655" xr:uid="{00000000-0005-0000-0000-0000EB340000}"/>
    <cellStyle name="Normal 10 3 3 11 2" xfId="15173" xr:uid="{00000000-0005-0000-0000-0000EC340000}"/>
    <cellStyle name="Normal 10 3 3 11 2 2" xfId="40047" xr:uid="{00000000-0005-0000-0000-0000ED340000}"/>
    <cellStyle name="Normal 10 3 3 11 3" xfId="27606" xr:uid="{00000000-0005-0000-0000-0000EE340000}"/>
    <cellStyle name="Normal 10 3 3 12" xfId="13074" xr:uid="{00000000-0005-0000-0000-0000EF340000}"/>
    <cellStyle name="Normal 10 3 3 12 2" xfId="37948" xr:uid="{00000000-0005-0000-0000-0000F0340000}"/>
    <cellStyle name="Normal 10 3 3 13" xfId="25507" xr:uid="{00000000-0005-0000-0000-0000F1340000}"/>
    <cellStyle name="Normal 10 3 3 2" xfId="466" xr:uid="{00000000-0005-0000-0000-0000F2340000}"/>
    <cellStyle name="Normal 10 3 3 2 10" xfId="13279" xr:uid="{00000000-0005-0000-0000-0000F3340000}"/>
    <cellStyle name="Normal 10 3 3 2 10 2" xfId="38153" xr:uid="{00000000-0005-0000-0000-0000F4340000}"/>
    <cellStyle name="Normal 10 3 3 2 11" xfId="25712" xr:uid="{00000000-0005-0000-0000-0000F5340000}"/>
    <cellStyle name="Normal 10 3 3 2 2" xfId="825" xr:uid="{00000000-0005-0000-0000-0000F6340000}"/>
    <cellStyle name="Normal 10 3 3 2 2 2" xfId="1373" xr:uid="{00000000-0005-0000-0000-0000F7340000}"/>
    <cellStyle name="Normal 10 3 3 2 2 2 2" xfId="9477" xr:uid="{00000000-0005-0000-0000-0000F8340000}"/>
    <cellStyle name="Normal 10 3 3 2 2 2 2 2" xfId="21920" xr:uid="{00000000-0005-0000-0000-0000F9340000}"/>
    <cellStyle name="Normal 10 3 3 2 2 2 2 2 2" xfId="46794" xr:uid="{00000000-0005-0000-0000-0000FA340000}"/>
    <cellStyle name="Normal 10 3 3 2 2 2 2 3" xfId="34361" xr:uid="{00000000-0005-0000-0000-0000FB340000}"/>
    <cellStyle name="Normal 10 3 3 2 2 2 3" xfId="4459" xr:uid="{00000000-0005-0000-0000-0000FC340000}"/>
    <cellStyle name="Normal 10 3 3 2 2 2 3 2" xfId="16913" xr:uid="{00000000-0005-0000-0000-0000FD340000}"/>
    <cellStyle name="Normal 10 3 3 2 2 2 3 2 2" xfId="41787" xr:uid="{00000000-0005-0000-0000-0000FE340000}"/>
    <cellStyle name="Normal 10 3 3 2 2 2 3 3" xfId="29354" xr:uid="{00000000-0005-0000-0000-0000FF340000}"/>
    <cellStyle name="Normal 10 3 3 2 2 2 4" xfId="14173" xr:uid="{00000000-0005-0000-0000-000000350000}"/>
    <cellStyle name="Normal 10 3 3 2 2 2 4 2" xfId="39047" xr:uid="{00000000-0005-0000-0000-000001350000}"/>
    <cellStyle name="Normal 10 3 3 2 2 2 5" xfId="26606" xr:uid="{00000000-0005-0000-0000-000002350000}"/>
    <cellStyle name="Normal 10 3 3 2 2 3" xfId="5518" xr:uid="{00000000-0005-0000-0000-000003350000}"/>
    <cellStyle name="Normal 10 3 3 2 2 3 2" xfId="10534" xr:uid="{00000000-0005-0000-0000-000004350000}"/>
    <cellStyle name="Normal 10 3 3 2 2 3 2 2" xfId="22977" xr:uid="{00000000-0005-0000-0000-000005350000}"/>
    <cellStyle name="Normal 10 3 3 2 2 3 2 2 2" xfId="47851" xr:uid="{00000000-0005-0000-0000-000006350000}"/>
    <cellStyle name="Normal 10 3 3 2 2 3 2 3" xfId="35418" xr:uid="{00000000-0005-0000-0000-000007350000}"/>
    <cellStyle name="Normal 10 3 3 2 2 3 3" xfId="17970" xr:uid="{00000000-0005-0000-0000-000008350000}"/>
    <cellStyle name="Normal 10 3 3 2 2 3 3 2" xfId="42844" xr:uid="{00000000-0005-0000-0000-000009350000}"/>
    <cellStyle name="Normal 10 3 3 2 2 3 4" xfId="30411" xr:uid="{00000000-0005-0000-0000-00000A350000}"/>
    <cellStyle name="Normal 10 3 3 2 2 4" xfId="8593" xr:uid="{00000000-0005-0000-0000-00000B350000}"/>
    <cellStyle name="Normal 10 3 3 2 2 4 2" xfId="21037" xr:uid="{00000000-0005-0000-0000-00000C350000}"/>
    <cellStyle name="Normal 10 3 3 2 2 4 2 2" xfId="45911" xr:uid="{00000000-0005-0000-0000-00000D350000}"/>
    <cellStyle name="Normal 10 3 3 2 2 4 3" xfId="33478" xr:uid="{00000000-0005-0000-0000-00000E350000}"/>
    <cellStyle name="Normal 10 3 3 2 2 5" xfId="11988" xr:uid="{00000000-0005-0000-0000-00000F350000}"/>
    <cellStyle name="Normal 10 3 3 2 2 5 2" xfId="24422" xr:uid="{00000000-0005-0000-0000-000010350000}"/>
    <cellStyle name="Normal 10 3 3 2 2 5 2 2" xfId="49296" xr:uid="{00000000-0005-0000-0000-000011350000}"/>
    <cellStyle name="Normal 10 3 3 2 2 5 3" xfId="36863" xr:uid="{00000000-0005-0000-0000-000012350000}"/>
    <cellStyle name="Normal 10 3 3 2 2 6" xfId="7070" xr:uid="{00000000-0005-0000-0000-000013350000}"/>
    <cellStyle name="Normal 10 3 3 2 2 6 2" xfId="19519" xr:uid="{00000000-0005-0000-0000-000014350000}"/>
    <cellStyle name="Normal 10 3 3 2 2 6 2 2" xfId="44393" xr:uid="{00000000-0005-0000-0000-000015350000}"/>
    <cellStyle name="Normal 10 3 3 2 2 6 3" xfId="31960" xr:uid="{00000000-0005-0000-0000-000016350000}"/>
    <cellStyle name="Normal 10 3 3 2 2 7" xfId="3524" xr:uid="{00000000-0005-0000-0000-000017350000}"/>
    <cellStyle name="Normal 10 3 3 2 2 7 2" xfId="16030" xr:uid="{00000000-0005-0000-0000-000018350000}"/>
    <cellStyle name="Normal 10 3 3 2 2 7 2 2" xfId="40904" xr:uid="{00000000-0005-0000-0000-000019350000}"/>
    <cellStyle name="Normal 10 3 3 2 2 7 3" xfId="28463" xr:uid="{00000000-0005-0000-0000-00001A350000}"/>
    <cellStyle name="Normal 10 3 3 2 2 8" xfId="13626" xr:uid="{00000000-0005-0000-0000-00001B350000}"/>
    <cellStyle name="Normal 10 3 3 2 2 8 2" xfId="38500" xr:uid="{00000000-0005-0000-0000-00001C350000}"/>
    <cellStyle name="Normal 10 3 3 2 2 9" xfId="26059" xr:uid="{00000000-0005-0000-0000-00001D350000}"/>
    <cellStyle name="Normal 10 3 3 2 3" xfId="1721" xr:uid="{00000000-0005-0000-0000-00001E350000}"/>
    <cellStyle name="Normal 10 3 3 2 3 2" xfId="5008" xr:uid="{00000000-0005-0000-0000-00001F350000}"/>
    <cellStyle name="Normal 10 3 3 2 3 2 2" xfId="10025" xr:uid="{00000000-0005-0000-0000-000020350000}"/>
    <cellStyle name="Normal 10 3 3 2 3 2 2 2" xfId="22468" xr:uid="{00000000-0005-0000-0000-000021350000}"/>
    <cellStyle name="Normal 10 3 3 2 3 2 2 2 2" xfId="47342" xr:uid="{00000000-0005-0000-0000-000022350000}"/>
    <cellStyle name="Normal 10 3 3 2 3 2 2 3" xfId="34909" xr:uid="{00000000-0005-0000-0000-000023350000}"/>
    <cellStyle name="Normal 10 3 3 2 3 2 3" xfId="17461" xr:uid="{00000000-0005-0000-0000-000024350000}"/>
    <cellStyle name="Normal 10 3 3 2 3 2 3 2" xfId="42335" xr:uid="{00000000-0005-0000-0000-000025350000}"/>
    <cellStyle name="Normal 10 3 3 2 3 2 4" xfId="29902" xr:uid="{00000000-0005-0000-0000-000026350000}"/>
    <cellStyle name="Normal 10 3 3 2 3 3" xfId="5867" xr:uid="{00000000-0005-0000-0000-000027350000}"/>
    <cellStyle name="Normal 10 3 3 2 3 3 2" xfId="10882" xr:uid="{00000000-0005-0000-0000-000028350000}"/>
    <cellStyle name="Normal 10 3 3 2 3 3 2 2" xfId="23325" xr:uid="{00000000-0005-0000-0000-000029350000}"/>
    <cellStyle name="Normal 10 3 3 2 3 3 2 2 2" xfId="48199" xr:uid="{00000000-0005-0000-0000-00002A350000}"/>
    <cellStyle name="Normal 10 3 3 2 3 3 2 3" xfId="35766" xr:uid="{00000000-0005-0000-0000-00002B350000}"/>
    <cellStyle name="Normal 10 3 3 2 3 3 3" xfId="18318" xr:uid="{00000000-0005-0000-0000-00002C350000}"/>
    <cellStyle name="Normal 10 3 3 2 3 3 3 2" xfId="43192" xr:uid="{00000000-0005-0000-0000-00002D350000}"/>
    <cellStyle name="Normal 10 3 3 2 3 3 4" xfId="30759" xr:uid="{00000000-0005-0000-0000-00002E350000}"/>
    <cellStyle name="Normal 10 3 3 2 3 4" xfId="8432" xr:uid="{00000000-0005-0000-0000-00002F350000}"/>
    <cellStyle name="Normal 10 3 3 2 3 4 2" xfId="20876" xr:uid="{00000000-0005-0000-0000-000030350000}"/>
    <cellStyle name="Normal 10 3 3 2 3 4 2 2" xfId="45750" xr:uid="{00000000-0005-0000-0000-000031350000}"/>
    <cellStyle name="Normal 10 3 3 2 3 4 3" xfId="33317" xr:uid="{00000000-0005-0000-0000-000032350000}"/>
    <cellStyle name="Normal 10 3 3 2 3 5" xfId="12336" xr:uid="{00000000-0005-0000-0000-000033350000}"/>
    <cellStyle name="Normal 10 3 3 2 3 5 2" xfId="24770" xr:uid="{00000000-0005-0000-0000-000034350000}"/>
    <cellStyle name="Normal 10 3 3 2 3 5 2 2" xfId="49644" xr:uid="{00000000-0005-0000-0000-000035350000}"/>
    <cellStyle name="Normal 10 3 3 2 3 5 3" xfId="37211" xr:uid="{00000000-0005-0000-0000-000036350000}"/>
    <cellStyle name="Normal 10 3 3 2 3 6" xfId="7619" xr:uid="{00000000-0005-0000-0000-000037350000}"/>
    <cellStyle name="Normal 10 3 3 2 3 6 2" xfId="20067" xr:uid="{00000000-0005-0000-0000-000038350000}"/>
    <cellStyle name="Normal 10 3 3 2 3 6 2 2" xfId="44941" xr:uid="{00000000-0005-0000-0000-000039350000}"/>
    <cellStyle name="Normal 10 3 3 2 3 6 3" xfId="32508" xr:uid="{00000000-0005-0000-0000-00003A350000}"/>
    <cellStyle name="Normal 10 3 3 2 3 7" xfId="3363" xr:uid="{00000000-0005-0000-0000-00003B350000}"/>
    <cellStyle name="Normal 10 3 3 2 3 7 2" xfId="15869" xr:uid="{00000000-0005-0000-0000-00003C350000}"/>
    <cellStyle name="Normal 10 3 3 2 3 7 2 2" xfId="40743" xr:uid="{00000000-0005-0000-0000-00003D350000}"/>
    <cellStyle name="Normal 10 3 3 2 3 7 3" xfId="28302" xr:uid="{00000000-0005-0000-0000-00003E350000}"/>
    <cellStyle name="Normal 10 3 3 2 3 8" xfId="14521" xr:uid="{00000000-0005-0000-0000-00003F350000}"/>
    <cellStyle name="Normal 10 3 3 2 3 8 2" xfId="39395" xr:uid="{00000000-0005-0000-0000-000040350000}"/>
    <cellStyle name="Normal 10 3 3 2 3 9" xfId="26954" xr:uid="{00000000-0005-0000-0000-000041350000}"/>
    <cellStyle name="Normal 10 3 3 2 4" xfId="2384" xr:uid="{00000000-0005-0000-0000-000042350000}"/>
    <cellStyle name="Normal 10 3 3 2 4 2" xfId="6406" xr:uid="{00000000-0005-0000-0000-000043350000}"/>
    <cellStyle name="Normal 10 3 3 2 4 2 2" xfId="11421" xr:uid="{00000000-0005-0000-0000-000044350000}"/>
    <cellStyle name="Normal 10 3 3 2 4 2 2 2" xfId="23864" xr:uid="{00000000-0005-0000-0000-000045350000}"/>
    <cellStyle name="Normal 10 3 3 2 4 2 2 2 2" xfId="48738" xr:uid="{00000000-0005-0000-0000-000046350000}"/>
    <cellStyle name="Normal 10 3 3 2 4 2 2 3" xfId="36305" xr:uid="{00000000-0005-0000-0000-000047350000}"/>
    <cellStyle name="Normal 10 3 3 2 4 2 3" xfId="18857" xr:uid="{00000000-0005-0000-0000-000048350000}"/>
    <cellStyle name="Normal 10 3 3 2 4 2 3 2" xfId="43731" xr:uid="{00000000-0005-0000-0000-000049350000}"/>
    <cellStyle name="Normal 10 3 3 2 4 2 4" xfId="31298" xr:uid="{00000000-0005-0000-0000-00004A350000}"/>
    <cellStyle name="Normal 10 3 3 2 4 3" xfId="12875" xr:uid="{00000000-0005-0000-0000-00004B350000}"/>
    <cellStyle name="Normal 10 3 3 2 4 3 2" xfId="25309" xr:uid="{00000000-0005-0000-0000-00004C350000}"/>
    <cellStyle name="Normal 10 3 3 2 4 3 2 2" xfId="50183" xr:uid="{00000000-0005-0000-0000-00004D350000}"/>
    <cellStyle name="Normal 10 3 3 2 4 3 3" xfId="37750" xr:uid="{00000000-0005-0000-0000-00004E350000}"/>
    <cellStyle name="Normal 10 3 3 2 4 4" xfId="9316" xr:uid="{00000000-0005-0000-0000-00004F350000}"/>
    <cellStyle name="Normal 10 3 3 2 4 4 2" xfId="21759" xr:uid="{00000000-0005-0000-0000-000050350000}"/>
    <cellStyle name="Normal 10 3 3 2 4 4 2 2" xfId="46633" xr:uid="{00000000-0005-0000-0000-000051350000}"/>
    <cellStyle name="Normal 10 3 3 2 4 4 3" xfId="34200" xr:uid="{00000000-0005-0000-0000-000052350000}"/>
    <cellStyle name="Normal 10 3 3 2 4 5" xfId="4298" xr:uid="{00000000-0005-0000-0000-000053350000}"/>
    <cellStyle name="Normal 10 3 3 2 4 5 2" xfId="16752" xr:uid="{00000000-0005-0000-0000-000054350000}"/>
    <cellStyle name="Normal 10 3 3 2 4 5 2 2" xfId="41626" xr:uid="{00000000-0005-0000-0000-000055350000}"/>
    <cellStyle name="Normal 10 3 3 2 4 5 3" xfId="29193" xr:uid="{00000000-0005-0000-0000-000056350000}"/>
    <cellStyle name="Normal 10 3 3 2 4 6" xfId="15060" xr:uid="{00000000-0005-0000-0000-000057350000}"/>
    <cellStyle name="Normal 10 3 3 2 4 6 2" xfId="39934" xr:uid="{00000000-0005-0000-0000-000058350000}"/>
    <cellStyle name="Normal 10 3 3 2 4 7" xfId="27493" xr:uid="{00000000-0005-0000-0000-000059350000}"/>
    <cellStyle name="Normal 10 3 3 2 5" xfId="1217" xr:uid="{00000000-0005-0000-0000-00005A350000}"/>
    <cellStyle name="Normal 10 3 3 2 5 2" xfId="10378" xr:uid="{00000000-0005-0000-0000-00005B350000}"/>
    <cellStyle name="Normal 10 3 3 2 5 2 2" xfId="22821" xr:uid="{00000000-0005-0000-0000-00005C350000}"/>
    <cellStyle name="Normal 10 3 3 2 5 2 2 2" xfId="47695" xr:uid="{00000000-0005-0000-0000-00005D350000}"/>
    <cellStyle name="Normal 10 3 3 2 5 2 3" xfId="35262" xr:uid="{00000000-0005-0000-0000-00005E350000}"/>
    <cellStyle name="Normal 10 3 3 2 5 3" xfId="5362" xr:uid="{00000000-0005-0000-0000-00005F350000}"/>
    <cellStyle name="Normal 10 3 3 2 5 3 2" xfId="17814" xr:uid="{00000000-0005-0000-0000-000060350000}"/>
    <cellStyle name="Normal 10 3 3 2 5 3 2 2" xfId="42688" xr:uid="{00000000-0005-0000-0000-000061350000}"/>
    <cellStyle name="Normal 10 3 3 2 5 3 3" xfId="30255" xr:uid="{00000000-0005-0000-0000-000062350000}"/>
    <cellStyle name="Normal 10 3 3 2 5 4" xfId="14017" xr:uid="{00000000-0005-0000-0000-000063350000}"/>
    <cellStyle name="Normal 10 3 3 2 5 4 2" xfId="38891" xr:uid="{00000000-0005-0000-0000-000064350000}"/>
    <cellStyle name="Normal 10 3 3 2 5 5" xfId="26450" xr:uid="{00000000-0005-0000-0000-000065350000}"/>
    <cellStyle name="Normal 10 3 3 2 6" xfId="7939" xr:uid="{00000000-0005-0000-0000-000066350000}"/>
    <cellStyle name="Normal 10 3 3 2 6 2" xfId="20385" xr:uid="{00000000-0005-0000-0000-000067350000}"/>
    <cellStyle name="Normal 10 3 3 2 6 2 2" xfId="45259" xr:uid="{00000000-0005-0000-0000-000068350000}"/>
    <cellStyle name="Normal 10 3 3 2 6 3" xfId="32826" xr:uid="{00000000-0005-0000-0000-000069350000}"/>
    <cellStyle name="Normal 10 3 3 2 7" xfId="11832" xr:uid="{00000000-0005-0000-0000-00006A350000}"/>
    <cellStyle name="Normal 10 3 3 2 7 2" xfId="24266" xr:uid="{00000000-0005-0000-0000-00006B350000}"/>
    <cellStyle name="Normal 10 3 3 2 7 2 2" xfId="49140" xr:uid="{00000000-0005-0000-0000-00006C350000}"/>
    <cellStyle name="Normal 10 3 3 2 7 3" xfId="36707" xr:uid="{00000000-0005-0000-0000-00006D350000}"/>
    <cellStyle name="Normal 10 3 3 2 8" xfId="6909" xr:uid="{00000000-0005-0000-0000-00006E350000}"/>
    <cellStyle name="Normal 10 3 3 2 8 2" xfId="19358" xr:uid="{00000000-0005-0000-0000-00006F350000}"/>
    <cellStyle name="Normal 10 3 3 2 8 2 2" xfId="44232" xr:uid="{00000000-0005-0000-0000-000070350000}"/>
    <cellStyle name="Normal 10 3 3 2 8 3" xfId="31799" xr:uid="{00000000-0005-0000-0000-000071350000}"/>
    <cellStyle name="Normal 10 3 3 2 9" xfId="2860" xr:uid="{00000000-0005-0000-0000-000072350000}"/>
    <cellStyle name="Normal 10 3 3 2 9 2" xfId="15378" xr:uid="{00000000-0005-0000-0000-000073350000}"/>
    <cellStyle name="Normal 10 3 3 2 9 2 2" xfId="40252" xr:uid="{00000000-0005-0000-0000-000074350000}"/>
    <cellStyle name="Normal 10 3 3 2 9 3" xfId="27811" xr:uid="{00000000-0005-0000-0000-000075350000}"/>
    <cellStyle name="Normal 10 3 3 2_Degree data" xfId="2060" xr:uid="{00000000-0005-0000-0000-000076350000}"/>
    <cellStyle name="Normal 10 3 3 3" xfId="614" xr:uid="{00000000-0005-0000-0000-000077350000}"/>
    <cellStyle name="Normal 10 3 3 3 2" xfId="1372" xr:uid="{00000000-0005-0000-0000-000078350000}"/>
    <cellStyle name="Normal 10 3 3 3 2 2" xfId="9111" xr:uid="{00000000-0005-0000-0000-000079350000}"/>
    <cellStyle name="Normal 10 3 3 3 2 2 2" xfId="21554" xr:uid="{00000000-0005-0000-0000-00007A350000}"/>
    <cellStyle name="Normal 10 3 3 3 2 2 2 2" xfId="46428" xr:uid="{00000000-0005-0000-0000-00007B350000}"/>
    <cellStyle name="Normal 10 3 3 3 2 2 3" xfId="33995" xr:uid="{00000000-0005-0000-0000-00007C350000}"/>
    <cellStyle name="Normal 10 3 3 3 2 3" xfId="4093" xr:uid="{00000000-0005-0000-0000-00007D350000}"/>
    <cellStyle name="Normal 10 3 3 3 2 3 2" xfId="16547" xr:uid="{00000000-0005-0000-0000-00007E350000}"/>
    <cellStyle name="Normal 10 3 3 3 2 3 2 2" xfId="41421" xr:uid="{00000000-0005-0000-0000-00007F350000}"/>
    <cellStyle name="Normal 10 3 3 3 2 3 3" xfId="28988" xr:uid="{00000000-0005-0000-0000-000080350000}"/>
    <cellStyle name="Normal 10 3 3 3 2 4" xfId="14172" xr:uid="{00000000-0005-0000-0000-000081350000}"/>
    <cellStyle name="Normal 10 3 3 3 2 4 2" xfId="39046" xr:uid="{00000000-0005-0000-0000-000082350000}"/>
    <cellStyle name="Normal 10 3 3 3 2 5" xfId="26605" xr:uid="{00000000-0005-0000-0000-000083350000}"/>
    <cellStyle name="Normal 10 3 3 3 3" xfId="5517" xr:uid="{00000000-0005-0000-0000-000084350000}"/>
    <cellStyle name="Normal 10 3 3 3 3 2" xfId="10533" xr:uid="{00000000-0005-0000-0000-000085350000}"/>
    <cellStyle name="Normal 10 3 3 3 3 2 2" xfId="22976" xr:uid="{00000000-0005-0000-0000-000086350000}"/>
    <cellStyle name="Normal 10 3 3 3 3 2 2 2" xfId="47850" xr:uid="{00000000-0005-0000-0000-000087350000}"/>
    <cellStyle name="Normal 10 3 3 3 3 2 3" xfId="35417" xr:uid="{00000000-0005-0000-0000-000088350000}"/>
    <cellStyle name="Normal 10 3 3 3 3 3" xfId="17969" xr:uid="{00000000-0005-0000-0000-000089350000}"/>
    <cellStyle name="Normal 10 3 3 3 3 3 2" xfId="42843" xr:uid="{00000000-0005-0000-0000-00008A350000}"/>
    <cellStyle name="Normal 10 3 3 3 3 4" xfId="30410" xr:uid="{00000000-0005-0000-0000-00008B350000}"/>
    <cellStyle name="Normal 10 3 3 3 4" xfId="8227" xr:uid="{00000000-0005-0000-0000-00008C350000}"/>
    <cellStyle name="Normal 10 3 3 3 4 2" xfId="20671" xr:uid="{00000000-0005-0000-0000-00008D350000}"/>
    <cellStyle name="Normal 10 3 3 3 4 2 2" xfId="45545" xr:uid="{00000000-0005-0000-0000-00008E350000}"/>
    <cellStyle name="Normal 10 3 3 3 4 3" xfId="33112" xr:uid="{00000000-0005-0000-0000-00008F350000}"/>
    <cellStyle name="Normal 10 3 3 3 5" xfId="11987" xr:uid="{00000000-0005-0000-0000-000090350000}"/>
    <cellStyle name="Normal 10 3 3 3 5 2" xfId="24421" xr:uid="{00000000-0005-0000-0000-000091350000}"/>
    <cellStyle name="Normal 10 3 3 3 5 2 2" xfId="49295" xr:uid="{00000000-0005-0000-0000-000092350000}"/>
    <cellStyle name="Normal 10 3 3 3 5 3" xfId="36862" xr:uid="{00000000-0005-0000-0000-000093350000}"/>
    <cellStyle name="Normal 10 3 3 3 6" xfId="6704" xr:uid="{00000000-0005-0000-0000-000094350000}"/>
    <cellStyle name="Normal 10 3 3 3 6 2" xfId="19153" xr:uid="{00000000-0005-0000-0000-000095350000}"/>
    <cellStyle name="Normal 10 3 3 3 6 2 2" xfId="44027" xr:uid="{00000000-0005-0000-0000-000096350000}"/>
    <cellStyle name="Normal 10 3 3 3 6 3" xfId="31594" xr:uid="{00000000-0005-0000-0000-000097350000}"/>
    <cellStyle name="Normal 10 3 3 3 7" xfId="3158" xr:uid="{00000000-0005-0000-0000-000098350000}"/>
    <cellStyle name="Normal 10 3 3 3 7 2" xfId="15664" xr:uid="{00000000-0005-0000-0000-000099350000}"/>
    <cellStyle name="Normal 10 3 3 3 7 2 2" xfId="40538" xr:uid="{00000000-0005-0000-0000-00009A350000}"/>
    <cellStyle name="Normal 10 3 3 3 7 3" xfId="28097" xr:uid="{00000000-0005-0000-0000-00009B350000}"/>
    <cellStyle name="Normal 10 3 3 3 8" xfId="13421" xr:uid="{00000000-0005-0000-0000-00009C350000}"/>
    <cellStyle name="Normal 10 3 3 3 8 2" xfId="38295" xr:uid="{00000000-0005-0000-0000-00009D350000}"/>
    <cellStyle name="Normal 10 3 3 3 9" xfId="25854" xr:uid="{00000000-0005-0000-0000-00009E350000}"/>
    <cellStyle name="Normal 10 3 3 4" xfId="1720" xr:uid="{00000000-0005-0000-0000-00009F350000}"/>
    <cellStyle name="Normal 10 3 3 4 2" xfId="4458" xr:uid="{00000000-0005-0000-0000-0000A0350000}"/>
    <cellStyle name="Normal 10 3 3 4 2 2" xfId="9476" xr:uid="{00000000-0005-0000-0000-0000A1350000}"/>
    <cellStyle name="Normal 10 3 3 4 2 2 2" xfId="21919" xr:uid="{00000000-0005-0000-0000-0000A2350000}"/>
    <cellStyle name="Normal 10 3 3 4 2 2 2 2" xfId="46793" xr:uid="{00000000-0005-0000-0000-0000A3350000}"/>
    <cellStyle name="Normal 10 3 3 4 2 2 3" xfId="34360" xr:uid="{00000000-0005-0000-0000-0000A4350000}"/>
    <cellStyle name="Normal 10 3 3 4 2 3" xfId="16912" xr:uid="{00000000-0005-0000-0000-0000A5350000}"/>
    <cellStyle name="Normal 10 3 3 4 2 3 2" xfId="41786" xr:uid="{00000000-0005-0000-0000-0000A6350000}"/>
    <cellStyle name="Normal 10 3 3 4 2 4" xfId="29353" xr:uid="{00000000-0005-0000-0000-0000A7350000}"/>
    <cellStyle name="Normal 10 3 3 4 3" xfId="5866" xr:uid="{00000000-0005-0000-0000-0000A8350000}"/>
    <cellStyle name="Normal 10 3 3 4 3 2" xfId="10881" xr:uid="{00000000-0005-0000-0000-0000A9350000}"/>
    <cellStyle name="Normal 10 3 3 4 3 2 2" xfId="23324" xr:uid="{00000000-0005-0000-0000-0000AA350000}"/>
    <cellStyle name="Normal 10 3 3 4 3 2 2 2" xfId="48198" xr:uid="{00000000-0005-0000-0000-0000AB350000}"/>
    <cellStyle name="Normal 10 3 3 4 3 2 3" xfId="35765" xr:uid="{00000000-0005-0000-0000-0000AC350000}"/>
    <cellStyle name="Normal 10 3 3 4 3 3" xfId="18317" xr:uid="{00000000-0005-0000-0000-0000AD350000}"/>
    <cellStyle name="Normal 10 3 3 4 3 3 2" xfId="43191" xr:uid="{00000000-0005-0000-0000-0000AE350000}"/>
    <cellStyle name="Normal 10 3 3 4 3 4" xfId="30758" xr:uid="{00000000-0005-0000-0000-0000AF350000}"/>
    <cellStyle name="Normal 10 3 3 4 4" xfId="8592" xr:uid="{00000000-0005-0000-0000-0000B0350000}"/>
    <cellStyle name="Normal 10 3 3 4 4 2" xfId="21036" xr:uid="{00000000-0005-0000-0000-0000B1350000}"/>
    <cellStyle name="Normal 10 3 3 4 4 2 2" xfId="45910" xr:uid="{00000000-0005-0000-0000-0000B2350000}"/>
    <cellStyle name="Normal 10 3 3 4 4 3" xfId="33477" xr:uid="{00000000-0005-0000-0000-0000B3350000}"/>
    <cellStyle name="Normal 10 3 3 4 5" xfId="12335" xr:uid="{00000000-0005-0000-0000-0000B4350000}"/>
    <cellStyle name="Normal 10 3 3 4 5 2" xfId="24769" xr:uid="{00000000-0005-0000-0000-0000B5350000}"/>
    <cellStyle name="Normal 10 3 3 4 5 2 2" xfId="49643" xr:uid="{00000000-0005-0000-0000-0000B6350000}"/>
    <cellStyle name="Normal 10 3 3 4 5 3" xfId="37210" xr:uid="{00000000-0005-0000-0000-0000B7350000}"/>
    <cellStyle name="Normal 10 3 3 4 6" xfId="7069" xr:uid="{00000000-0005-0000-0000-0000B8350000}"/>
    <cellStyle name="Normal 10 3 3 4 6 2" xfId="19518" xr:uid="{00000000-0005-0000-0000-0000B9350000}"/>
    <cellStyle name="Normal 10 3 3 4 6 2 2" xfId="44392" xr:uid="{00000000-0005-0000-0000-0000BA350000}"/>
    <cellStyle name="Normal 10 3 3 4 6 3" xfId="31959" xr:uid="{00000000-0005-0000-0000-0000BB350000}"/>
    <cellStyle name="Normal 10 3 3 4 7" xfId="3523" xr:uid="{00000000-0005-0000-0000-0000BC350000}"/>
    <cellStyle name="Normal 10 3 3 4 7 2" xfId="16029" xr:uid="{00000000-0005-0000-0000-0000BD350000}"/>
    <cellStyle name="Normal 10 3 3 4 7 2 2" xfId="40903" xr:uid="{00000000-0005-0000-0000-0000BE350000}"/>
    <cellStyle name="Normal 10 3 3 4 7 3" xfId="28462" xr:uid="{00000000-0005-0000-0000-0000BF350000}"/>
    <cellStyle name="Normal 10 3 3 4 8" xfId="14520" xr:uid="{00000000-0005-0000-0000-0000C0350000}"/>
    <cellStyle name="Normal 10 3 3 4 8 2" xfId="39394" xr:uid="{00000000-0005-0000-0000-0000C1350000}"/>
    <cellStyle name="Normal 10 3 3 4 9" xfId="26953" xr:uid="{00000000-0005-0000-0000-0000C2350000}"/>
    <cellStyle name="Normal 10 3 3 5" xfId="2170" xr:uid="{00000000-0005-0000-0000-0000C3350000}"/>
    <cellStyle name="Normal 10 3 3 5 2" xfId="4803" xr:uid="{00000000-0005-0000-0000-0000C4350000}"/>
    <cellStyle name="Normal 10 3 3 5 2 2" xfId="9820" xr:uid="{00000000-0005-0000-0000-0000C5350000}"/>
    <cellStyle name="Normal 10 3 3 5 2 2 2" xfId="22263" xr:uid="{00000000-0005-0000-0000-0000C6350000}"/>
    <cellStyle name="Normal 10 3 3 5 2 2 2 2" xfId="47137" xr:uid="{00000000-0005-0000-0000-0000C7350000}"/>
    <cellStyle name="Normal 10 3 3 5 2 2 3" xfId="34704" xr:uid="{00000000-0005-0000-0000-0000C8350000}"/>
    <cellStyle name="Normal 10 3 3 5 2 3" xfId="17256" xr:uid="{00000000-0005-0000-0000-0000C9350000}"/>
    <cellStyle name="Normal 10 3 3 5 2 3 2" xfId="42130" xr:uid="{00000000-0005-0000-0000-0000CA350000}"/>
    <cellStyle name="Normal 10 3 3 5 2 4" xfId="29697" xr:uid="{00000000-0005-0000-0000-0000CB350000}"/>
    <cellStyle name="Normal 10 3 3 5 3" xfId="6201" xr:uid="{00000000-0005-0000-0000-0000CC350000}"/>
    <cellStyle name="Normal 10 3 3 5 3 2" xfId="11216" xr:uid="{00000000-0005-0000-0000-0000CD350000}"/>
    <cellStyle name="Normal 10 3 3 5 3 2 2" xfId="23659" xr:uid="{00000000-0005-0000-0000-0000CE350000}"/>
    <cellStyle name="Normal 10 3 3 5 3 2 2 2" xfId="48533" xr:uid="{00000000-0005-0000-0000-0000CF350000}"/>
    <cellStyle name="Normal 10 3 3 5 3 2 3" xfId="36100" xr:uid="{00000000-0005-0000-0000-0000D0350000}"/>
    <cellStyle name="Normal 10 3 3 5 3 3" xfId="18652" xr:uid="{00000000-0005-0000-0000-0000D1350000}"/>
    <cellStyle name="Normal 10 3 3 5 3 3 2" xfId="43526" xr:uid="{00000000-0005-0000-0000-0000D2350000}"/>
    <cellStyle name="Normal 10 3 3 5 3 4" xfId="31093" xr:uid="{00000000-0005-0000-0000-0000D3350000}"/>
    <cellStyle name="Normal 10 3 3 5 4" xfId="8113" xr:uid="{00000000-0005-0000-0000-0000D4350000}"/>
    <cellStyle name="Normal 10 3 3 5 4 2" xfId="20559" xr:uid="{00000000-0005-0000-0000-0000D5350000}"/>
    <cellStyle name="Normal 10 3 3 5 4 2 2" xfId="45433" xr:uid="{00000000-0005-0000-0000-0000D6350000}"/>
    <cellStyle name="Normal 10 3 3 5 4 3" xfId="33000" xr:uid="{00000000-0005-0000-0000-0000D7350000}"/>
    <cellStyle name="Normal 10 3 3 5 5" xfId="12670" xr:uid="{00000000-0005-0000-0000-0000D8350000}"/>
    <cellStyle name="Normal 10 3 3 5 5 2" xfId="25104" xr:uid="{00000000-0005-0000-0000-0000D9350000}"/>
    <cellStyle name="Normal 10 3 3 5 5 2 2" xfId="49978" xr:uid="{00000000-0005-0000-0000-0000DA350000}"/>
    <cellStyle name="Normal 10 3 3 5 5 3" xfId="37545" xr:uid="{00000000-0005-0000-0000-0000DB350000}"/>
    <cellStyle name="Normal 10 3 3 5 6" xfId="7414" xr:uid="{00000000-0005-0000-0000-0000DC350000}"/>
    <cellStyle name="Normal 10 3 3 5 6 2" xfId="19862" xr:uid="{00000000-0005-0000-0000-0000DD350000}"/>
    <cellStyle name="Normal 10 3 3 5 6 2 2" xfId="44736" xr:uid="{00000000-0005-0000-0000-0000DE350000}"/>
    <cellStyle name="Normal 10 3 3 5 6 3" xfId="32303" xr:uid="{00000000-0005-0000-0000-0000DF350000}"/>
    <cellStyle name="Normal 10 3 3 5 7" xfId="3043" xr:uid="{00000000-0005-0000-0000-0000E0350000}"/>
    <cellStyle name="Normal 10 3 3 5 7 2" xfId="15552" xr:uid="{00000000-0005-0000-0000-0000E1350000}"/>
    <cellStyle name="Normal 10 3 3 5 7 2 2" xfId="40426" xr:uid="{00000000-0005-0000-0000-0000E2350000}"/>
    <cellStyle name="Normal 10 3 3 5 7 3" xfId="27985" xr:uid="{00000000-0005-0000-0000-0000E3350000}"/>
    <cellStyle name="Normal 10 3 3 5 8" xfId="14855" xr:uid="{00000000-0005-0000-0000-0000E4350000}"/>
    <cellStyle name="Normal 10 3 3 5 8 2" xfId="39729" xr:uid="{00000000-0005-0000-0000-0000E5350000}"/>
    <cellStyle name="Normal 10 3 3 5 9" xfId="27288" xr:uid="{00000000-0005-0000-0000-0000E6350000}"/>
    <cellStyle name="Normal 10 3 3 6" xfId="1012" xr:uid="{00000000-0005-0000-0000-0000E7350000}"/>
    <cellStyle name="Normal 10 3 3 6 2" xfId="8999" xr:uid="{00000000-0005-0000-0000-0000E8350000}"/>
    <cellStyle name="Normal 10 3 3 6 2 2" xfId="21442" xr:uid="{00000000-0005-0000-0000-0000E9350000}"/>
    <cellStyle name="Normal 10 3 3 6 2 2 2" xfId="46316" xr:uid="{00000000-0005-0000-0000-0000EA350000}"/>
    <cellStyle name="Normal 10 3 3 6 2 3" xfId="33883" xr:uid="{00000000-0005-0000-0000-0000EB350000}"/>
    <cellStyle name="Normal 10 3 3 6 3" xfId="3981" xr:uid="{00000000-0005-0000-0000-0000EC350000}"/>
    <cellStyle name="Normal 10 3 3 6 3 2" xfId="16435" xr:uid="{00000000-0005-0000-0000-0000ED350000}"/>
    <cellStyle name="Normal 10 3 3 6 3 2 2" xfId="41309" xr:uid="{00000000-0005-0000-0000-0000EE350000}"/>
    <cellStyle name="Normal 10 3 3 6 3 3" xfId="28876" xr:uid="{00000000-0005-0000-0000-0000EF350000}"/>
    <cellStyle name="Normal 10 3 3 6 4" xfId="13812" xr:uid="{00000000-0005-0000-0000-0000F0350000}"/>
    <cellStyle name="Normal 10 3 3 6 4 2" xfId="38686" xr:uid="{00000000-0005-0000-0000-0000F1350000}"/>
    <cellStyle name="Normal 10 3 3 6 5" xfId="26245" xr:uid="{00000000-0005-0000-0000-0000F2350000}"/>
    <cellStyle name="Normal 10 3 3 7" xfId="5157" xr:uid="{00000000-0005-0000-0000-0000F3350000}"/>
    <cellStyle name="Normal 10 3 3 7 2" xfId="10173" xr:uid="{00000000-0005-0000-0000-0000F4350000}"/>
    <cellStyle name="Normal 10 3 3 7 2 2" xfId="22616" xr:uid="{00000000-0005-0000-0000-0000F5350000}"/>
    <cellStyle name="Normal 10 3 3 7 2 2 2" xfId="47490" xr:uid="{00000000-0005-0000-0000-0000F6350000}"/>
    <cellStyle name="Normal 10 3 3 7 2 3" xfId="35057" xr:uid="{00000000-0005-0000-0000-0000F7350000}"/>
    <cellStyle name="Normal 10 3 3 7 3" xfId="17609" xr:uid="{00000000-0005-0000-0000-0000F8350000}"/>
    <cellStyle name="Normal 10 3 3 7 3 2" xfId="42483" xr:uid="{00000000-0005-0000-0000-0000F9350000}"/>
    <cellStyle name="Normal 10 3 3 7 4" xfId="30050" xr:uid="{00000000-0005-0000-0000-0000FA350000}"/>
    <cellStyle name="Normal 10 3 3 8" xfId="7734" xr:uid="{00000000-0005-0000-0000-0000FB350000}"/>
    <cellStyle name="Normal 10 3 3 8 2" xfId="20180" xr:uid="{00000000-0005-0000-0000-0000FC350000}"/>
    <cellStyle name="Normal 10 3 3 8 2 2" xfId="45054" xr:uid="{00000000-0005-0000-0000-0000FD350000}"/>
    <cellStyle name="Normal 10 3 3 8 3" xfId="32621" xr:uid="{00000000-0005-0000-0000-0000FE350000}"/>
    <cellStyle name="Normal 10 3 3 9" xfId="11627" xr:uid="{00000000-0005-0000-0000-0000FF350000}"/>
    <cellStyle name="Normal 10 3 3 9 2" xfId="24061" xr:uid="{00000000-0005-0000-0000-000000360000}"/>
    <cellStyle name="Normal 10 3 3 9 2 2" xfId="48935" xr:uid="{00000000-0005-0000-0000-000001360000}"/>
    <cellStyle name="Normal 10 3 3 9 3" xfId="36502" xr:uid="{00000000-0005-0000-0000-000002360000}"/>
    <cellStyle name="Normal 10 3 3_Degree data" xfId="1973" xr:uid="{00000000-0005-0000-0000-000003360000}"/>
    <cellStyle name="Normal 10 3 4" xfId="358" xr:uid="{00000000-0005-0000-0000-000004360000}"/>
    <cellStyle name="Normal 10 3 4 10" xfId="13174" xr:uid="{00000000-0005-0000-0000-000005360000}"/>
    <cellStyle name="Normal 10 3 4 10 2" xfId="38048" xr:uid="{00000000-0005-0000-0000-000006360000}"/>
    <cellStyle name="Normal 10 3 4 11" xfId="25607" xr:uid="{00000000-0005-0000-0000-000007360000}"/>
    <cellStyle name="Normal 10 3 4 2" xfId="718" xr:uid="{00000000-0005-0000-0000-000008360000}"/>
    <cellStyle name="Normal 10 3 4 2 2" xfId="1374" xr:uid="{00000000-0005-0000-0000-000009360000}"/>
    <cellStyle name="Normal 10 3 4 2 2 2" xfId="9478" xr:uid="{00000000-0005-0000-0000-00000A360000}"/>
    <cellStyle name="Normal 10 3 4 2 2 2 2" xfId="21921" xr:uid="{00000000-0005-0000-0000-00000B360000}"/>
    <cellStyle name="Normal 10 3 4 2 2 2 2 2" xfId="46795" xr:uid="{00000000-0005-0000-0000-00000C360000}"/>
    <cellStyle name="Normal 10 3 4 2 2 2 3" xfId="34362" xr:uid="{00000000-0005-0000-0000-00000D360000}"/>
    <cellStyle name="Normal 10 3 4 2 2 3" xfId="4460" xr:uid="{00000000-0005-0000-0000-00000E360000}"/>
    <cellStyle name="Normal 10 3 4 2 2 3 2" xfId="16914" xr:uid="{00000000-0005-0000-0000-00000F360000}"/>
    <cellStyle name="Normal 10 3 4 2 2 3 2 2" xfId="41788" xr:uid="{00000000-0005-0000-0000-000010360000}"/>
    <cellStyle name="Normal 10 3 4 2 2 3 3" xfId="29355" xr:uid="{00000000-0005-0000-0000-000011360000}"/>
    <cellStyle name="Normal 10 3 4 2 2 4" xfId="14174" xr:uid="{00000000-0005-0000-0000-000012360000}"/>
    <cellStyle name="Normal 10 3 4 2 2 4 2" xfId="39048" xr:uid="{00000000-0005-0000-0000-000013360000}"/>
    <cellStyle name="Normal 10 3 4 2 2 5" xfId="26607" xr:uid="{00000000-0005-0000-0000-000014360000}"/>
    <cellStyle name="Normal 10 3 4 2 3" xfId="5519" xr:uid="{00000000-0005-0000-0000-000015360000}"/>
    <cellStyle name="Normal 10 3 4 2 3 2" xfId="10535" xr:uid="{00000000-0005-0000-0000-000016360000}"/>
    <cellStyle name="Normal 10 3 4 2 3 2 2" xfId="22978" xr:uid="{00000000-0005-0000-0000-000017360000}"/>
    <cellStyle name="Normal 10 3 4 2 3 2 2 2" xfId="47852" xr:uid="{00000000-0005-0000-0000-000018360000}"/>
    <cellStyle name="Normal 10 3 4 2 3 2 3" xfId="35419" xr:uid="{00000000-0005-0000-0000-000019360000}"/>
    <cellStyle name="Normal 10 3 4 2 3 3" xfId="17971" xr:uid="{00000000-0005-0000-0000-00001A360000}"/>
    <cellStyle name="Normal 10 3 4 2 3 3 2" xfId="42845" xr:uid="{00000000-0005-0000-0000-00001B360000}"/>
    <cellStyle name="Normal 10 3 4 2 3 4" xfId="30412" xr:uid="{00000000-0005-0000-0000-00001C360000}"/>
    <cellStyle name="Normal 10 3 4 2 4" xfId="8594" xr:uid="{00000000-0005-0000-0000-00001D360000}"/>
    <cellStyle name="Normal 10 3 4 2 4 2" xfId="21038" xr:uid="{00000000-0005-0000-0000-00001E360000}"/>
    <cellStyle name="Normal 10 3 4 2 4 2 2" xfId="45912" xr:uid="{00000000-0005-0000-0000-00001F360000}"/>
    <cellStyle name="Normal 10 3 4 2 4 3" xfId="33479" xr:uid="{00000000-0005-0000-0000-000020360000}"/>
    <cellStyle name="Normal 10 3 4 2 5" xfId="11989" xr:uid="{00000000-0005-0000-0000-000021360000}"/>
    <cellStyle name="Normal 10 3 4 2 5 2" xfId="24423" xr:uid="{00000000-0005-0000-0000-000022360000}"/>
    <cellStyle name="Normal 10 3 4 2 5 2 2" xfId="49297" xr:uid="{00000000-0005-0000-0000-000023360000}"/>
    <cellStyle name="Normal 10 3 4 2 5 3" xfId="36864" xr:uid="{00000000-0005-0000-0000-000024360000}"/>
    <cellStyle name="Normal 10 3 4 2 6" xfId="7071" xr:uid="{00000000-0005-0000-0000-000025360000}"/>
    <cellStyle name="Normal 10 3 4 2 6 2" xfId="19520" xr:uid="{00000000-0005-0000-0000-000026360000}"/>
    <cellStyle name="Normal 10 3 4 2 6 2 2" xfId="44394" xr:uid="{00000000-0005-0000-0000-000027360000}"/>
    <cellStyle name="Normal 10 3 4 2 6 3" xfId="31961" xr:uid="{00000000-0005-0000-0000-000028360000}"/>
    <cellStyle name="Normal 10 3 4 2 7" xfId="3525" xr:uid="{00000000-0005-0000-0000-000029360000}"/>
    <cellStyle name="Normal 10 3 4 2 7 2" xfId="16031" xr:uid="{00000000-0005-0000-0000-00002A360000}"/>
    <cellStyle name="Normal 10 3 4 2 7 2 2" xfId="40905" xr:uid="{00000000-0005-0000-0000-00002B360000}"/>
    <cellStyle name="Normal 10 3 4 2 7 3" xfId="28464" xr:uid="{00000000-0005-0000-0000-00002C360000}"/>
    <cellStyle name="Normal 10 3 4 2 8" xfId="13521" xr:uid="{00000000-0005-0000-0000-00002D360000}"/>
    <cellStyle name="Normal 10 3 4 2 8 2" xfId="38395" xr:uid="{00000000-0005-0000-0000-00002E360000}"/>
    <cellStyle name="Normal 10 3 4 2 9" xfId="25954" xr:uid="{00000000-0005-0000-0000-00002F360000}"/>
    <cellStyle name="Normal 10 3 4 3" xfId="1722" xr:uid="{00000000-0005-0000-0000-000030360000}"/>
    <cellStyle name="Normal 10 3 4 3 2" xfId="4903" xr:uid="{00000000-0005-0000-0000-000031360000}"/>
    <cellStyle name="Normal 10 3 4 3 2 2" xfId="9920" xr:uid="{00000000-0005-0000-0000-000032360000}"/>
    <cellStyle name="Normal 10 3 4 3 2 2 2" xfId="22363" xr:uid="{00000000-0005-0000-0000-000033360000}"/>
    <cellStyle name="Normal 10 3 4 3 2 2 2 2" xfId="47237" xr:uid="{00000000-0005-0000-0000-000034360000}"/>
    <cellStyle name="Normal 10 3 4 3 2 2 3" xfId="34804" xr:uid="{00000000-0005-0000-0000-000035360000}"/>
    <cellStyle name="Normal 10 3 4 3 2 3" xfId="17356" xr:uid="{00000000-0005-0000-0000-000036360000}"/>
    <cellStyle name="Normal 10 3 4 3 2 3 2" xfId="42230" xr:uid="{00000000-0005-0000-0000-000037360000}"/>
    <cellStyle name="Normal 10 3 4 3 2 4" xfId="29797" xr:uid="{00000000-0005-0000-0000-000038360000}"/>
    <cellStyle name="Normal 10 3 4 3 3" xfId="5868" xr:uid="{00000000-0005-0000-0000-000039360000}"/>
    <cellStyle name="Normal 10 3 4 3 3 2" xfId="10883" xr:uid="{00000000-0005-0000-0000-00003A360000}"/>
    <cellStyle name="Normal 10 3 4 3 3 2 2" xfId="23326" xr:uid="{00000000-0005-0000-0000-00003B360000}"/>
    <cellStyle name="Normal 10 3 4 3 3 2 2 2" xfId="48200" xr:uid="{00000000-0005-0000-0000-00003C360000}"/>
    <cellStyle name="Normal 10 3 4 3 3 2 3" xfId="35767" xr:uid="{00000000-0005-0000-0000-00003D360000}"/>
    <cellStyle name="Normal 10 3 4 3 3 3" xfId="18319" xr:uid="{00000000-0005-0000-0000-00003E360000}"/>
    <cellStyle name="Normal 10 3 4 3 3 3 2" xfId="43193" xr:uid="{00000000-0005-0000-0000-00003F360000}"/>
    <cellStyle name="Normal 10 3 4 3 3 4" xfId="30760" xr:uid="{00000000-0005-0000-0000-000040360000}"/>
    <cellStyle name="Normal 10 3 4 3 4" xfId="8327" xr:uid="{00000000-0005-0000-0000-000041360000}"/>
    <cellStyle name="Normal 10 3 4 3 4 2" xfId="20771" xr:uid="{00000000-0005-0000-0000-000042360000}"/>
    <cellStyle name="Normal 10 3 4 3 4 2 2" xfId="45645" xr:uid="{00000000-0005-0000-0000-000043360000}"/>
    <cellStyle name="Normal 10 3 4 3 4 3" xfId="33212" xr:uid="{00000000-0005-0000-0000-000044360000}"/>
    <cellStyle name="Normal 10 3 4 3 5" xfId="12337" xr:uid="{00000000-0005-0000-0000-000045360000}"/>
    <cellStyle name="Normal 10 3 4 3 5 2" xfId="24771" xr:uid="{00000000-0005-0000-0000-000046360000}"/>
    <cellStyle name="Normal 10 3 4 3 5 2 2" xfId="49645" xr:uid="{00000000-0005-0000-0000-000047360000}"/>
    <cellStyle name="Normal 10 3 4 3 5 3" xfId="37212" xr:uid="{00000000-0005-0000-0000-000048360000}"/>
    <cellStyle name="Normal 10 3 4 3 6" xfId="7514" xr:uid="{00000000-0005-0000-0000-000049360000}"/>
    <cellStyle name="Normal 10 3 4 3 6 2" xfId="19962" xr:uid="{00000000-0005-0000-0000-00004A360000}"/>
    <cellStyle name="Normal 10 3 4 3 6 2 2" xfId="44836" xr:uid="{00000000-0005-0000-0000-00004B360000}"/>
    <cellStyle name="Normal 10 3 4 3 6 3" xfId="32403" xr:uid="{00000000-0005-0000-0000-00004C360000}"/>
    <cellStyle name="Normal 10 3 4 3 7" xfId="3258" xr:uid="{00000000-0005-0000-0000-00004D360000}"/>
    <cellStyle name="Normal 10 3 4 3 7 2" xfId="15764" xr:uid="{00000000-0005-0000-0000-00004E360000}"/>
    <cellStyle name="Normal 10 3 4 3 7 2 2" xfId="40638" xr:uid="{00000000-0005-0000-0000-00004F360000}"/>
    <cellStyle name="Normal 10 3 4 3 7 3" xfId="28197" xr:uid="{00000000-0005-0000-0000-000050360000}"/>
    <cellStyle name="Normal 10 3 4 3 8" xfId="14522" xr:uid="{00000000-0005-0000-0000-000051360000}"/>
    <cellStyle name="Normal 10 3 4 3 8 2" xfId="39396" xr:uid="{00000000-0005-0000-0000-000052360000}"/>
    <cellStyle name="Normal 10 3 4 3 9" xfId="26955" xr:uid="{00000000-0005-0000-0000-000053360000}"/>
    <cellStyle name="Normal 10 3 4 4" xfId="2276" xr:uid="{00000000-0005-0000-0000-000054360000}"/>
    <cellStyle name="Normal 10 3 4 4 2" xfId="6301" xr:uid="{00000000-0005-0000-0000-000055360000}"/>
    <cellStyle name="Normal 10 3 4 4 2 2" xfId="11316" xr:uid="{00000000-0005-0000-0000-000056360000}"/>
    <cellStyle name="Normal 10 3 4 4 2 2 2" xfId="23759" xr:uid="{00000000-0005-0000-0000-000057360000}"/>
    <cellStyle name="Normal 10 3 4 4 2 2 2 2" xfId="48633" xr:uid="{00000000-0005-0000-0000-000058360000}"/>
    <cellStyle name="Normal 10 3 4 4 2 2 3" xfId="36200" xr:uid="{00000000-0005-0000-0000-000059360000}"/>
    <cellStyle name="Normal 10 3 4 4 2 3" xfId="18752" xr:uid="{00000000-0005-0000-0000-00005A360000}"/>
    <cellStyle name="Normal 10 3 4 4 2 3 2" xfId="43626" xr:uid="{00000000-0005-0000-0000-00005B360000}"/>
    <cellStyle name="Normal 10 3 4 4 2 4" xfId="31193" xr:uid="{00000000-0005-0000-0000-00005C360000}"/>
    <cellStyle name="Normal 10 3 4 4 3" xfId="12770" xr:uid="{00000000-0005-0000-0000-00005D360000}"/>
    <cellStyle name="Normal 10 3 4 4 3 2" xfId="25204" xr:uid="{00000000-0005-0000-0000-00005E360000}"/>
    <cellStyle name="Normal 10 3 4 4 3 2 2" xfId="50078" xr:uid="{00000000-0005-0000-0000-00005F360000}"/>
    <cellStyle name="Normal 10 3 4 4 3 3" xfId="37645" xr:uid="{00000000-0005-0000-0000-000060360000}"/>
    <cellStyle name="Normal 10 3 4 4 4" xfId="9211" xr:uid="{00000000-0005-0000-0000-000061360000}"/>
    <cellStyle name="Normal 10 3 4 4 4 2" xfId="21654" xr:uid="{00000000-0005-0000-0000-000062360000}"/>
    <cellStyle name="Normal 10 3 4 4 4 2 2" xfId="46528" xr:uid="{00000000-0005-0000-0000-000063360000}"/>
    <cellStyle name="Normal 10 3 4 4 4 3" xfId="34095" xr:uid="{00000000-0005-0000-0000-000064360000}"/>
    <cellStyle name="Normal 10 3 4 4 5" xfId="4193" xr:uid="{00000000-0005-0000-0000-000065360000}"/>
    <cellStyle name="Normal 10 3 4 4 5 2" xfId="16647" xr:uid="{00000000-0005-0000-0000-000066360000}"/>
    <cellStyle name="Normal 10 3 4 4 5 2 2" xfId="41521" xr:uid="{00000000-0005-0000-0000-000067360000}"/>
    <cellStyle name="Normal 10 3 4 4 5 3" xfId="29088" xr:uid="{00000000-0005-0000-0000-000068360000}"/>
    <cellStyle name="Normal 10 3 4 4 6" xfId="14955" xr:uid="{00000000-0005-0000-0000-000069360000}"/>
    <cellStyle name="Normal 10 3 4 4 6 2" xfId="39829" xr:uid="{00000000-0005-0000-0000-00006A360000}"/>
    <cellStyle name="Normal 10 3 4 4 7" xfId="27388" xr:uid="{00000000-0005-0000-0000-00006B360000}"/>
    <cellStyle name="Normal 10 3 4 5" xfId="1112" xr:uid="{00000000-0005-0000-0000-00006C360000}"/>
    <cellStyle name="Normal 10 3 4 5 2" xfId="10273" xr:uid="{00000000-0005-0000-0000-00006D360000}"/>
    <cellStyle name="Normal 10 3 4 5 2 2" xfId="22716" xr:uid="{00000000-0005-0000-0000-00006E360000}"/>
    <cellStyle name="Normal 10 3 4 5 2 2 2" xfId="47590" xr:uid="{00000000-0005-0000-0000-00006F360000}"/>
    <cellStyle name="Normal 10 3 4 5 2 3" xfId="35157" xr:uid="{00000000-0005-0000-0000-000070360000}"/>
    <cellStyle name="Normal 10 3 4 5 3" xfId="5257" xr:uid="{00000000-0005-0000-0000-000071360000}"/>
    <cellStyle name="Normal 10 3 4 5 3 2" xfId="17709" xr:uid="{00000000-0005-0000-0000-000072360000}"/>
    <cellStyle name="Normal 10 3 4 5 3 2 2" xfId="42583" xr:uid="{00000000-0005-0000-0000-000073360000}"/>
    <cellStyle name="Normal 10 3 4 5 3 3" xfId="30150" xr:uid="{00000000-0005-0000-0000-000074360000}"/>
    <cellStyle name="Normal 10 3 4 5 4" xfId="13912" xr:uid="{00000000-0005-0000-0000-000075360000}"/>
    <cellStyle name="Normal 10 3 4 5 4 2" xfId="38786" xr:uid="{00000000-0005-0000-0000-000076360000}"/>
    <cellStyle name="Normal 10 3 4 5 5" xfId="26345" xr:uid="{00000000-0005-0000-0000-000077360000}"/>
    <cellStyle name="Normal 10 3 4 6" xfId="7834" xr:uid="{00000000-0005-0000-0000-000078360000}"/>
    <cellStyle name="Normal 10 3 4 6 2" xfId="20280" xr:uid="{00000000-0005-0000-0000-000079360000}"/>
    <cellStyle name="Normal 10 3 4 6 2 2" xfId="45154" xr:uid="{00000000-0005-0000-0000-00007A360000}"/>
    <cellStyle name="Normal 10 3 4 6 3" xfId="32721" xr:uid="{00000000-0005-0000-0000-00007B360000}"/>
    <cellStyle name="Normal 10 3 4 7" xfId="11727" xr:uid="{00000000-0005-0000-0000-00007C360000}"/>
    <cellStyle name="Normal 10 3 4 7 2" xfId="24161" xr:uid="{00000000-0005-0000-0000-00007D360000}"/>
    <cellStyle name="Normal 10 3 4 7 2 2" xfId="49035" xr:uid="{00000000-0005-0000-0000-00007E360000}"/>
    <cellStyle name="Normal 10 3 4 7 3" xfId="36602" xr:uid="{00000000-0005-0000-0000-00007F360000}"/>
    <cellStyle name="Normal 10 3 4 8" xfId="6804" xr:uid="{00000000-0005-0000-0000-000080360000}"/>
    <cellStyle name="Normal 10 3 4 8 2" xfId="19253" xr:uid="{00000000-0005-0000-0000-000081360000}"/>
    <cellStyle name="Normal 10 3 4 8 2 2" xfId="44127" xr:uid="{00000000-0005-0000-0000-000082360000}"/>
    <cellStyle name="Normal 10 3 4 8 3" xfId="31694" xr:uid="{00000000-0005-0000-0000-000083360000}"/>
    <cellStyle name="Normal 10 3 4 9" xfId="2755" xr:uid="{00000000-0005-0000-0000-000084360000}"/>
    <cellStyle name="Normal 10 3 4 9 2" xfId="15273" xr:uid="{00000000-0005-0000-0000-000085360000}"/>
    <cellStyle name="Normal 10 3 4 9 2 2" xfId="40147" xr:uid="{00000000-0005-0000-0000-000086360000}"/>
    <cellStyle name="Normal 10 3 4 9 3" xfId="27706" xr:uid="{00000000-0005-0000-0000-000087360000}"/>
    <cellStyle name="Normal 10 3 4_Degree data" xfId="2082" xr:uid="{00000000-0005-0000-0000-000088360000}"/>
    <cellStyle name="Normal 10 3 5" xfId="2931" xr:uid="{00000000-0005-0000-0000-000089360000}"/>
    <cellStyle name="Normal 10 3 5 2" xfId="8007" xr:uid="{00000000-0005-0000-0000-00008A360000}"/>
    <cellStyle name="Normal 10 3 5 2 2" xfId="20453" xr:uid="{00000000-0005-0000-0000-00008B360000}"/>
    <cellStyle name="Normal 10 3 5 2 2 2" xfId="45327" xr:uid="{00000000-0005-0000-0000-00008C360000}"/>
    <cellStyle name="Normal 10 3 5 2 3" xfId="32894" xr:uid="{00000000-0005-0000-0000-00008D360000}"/>
    <cellStyle name="Normal 10 3 5 3" xfId="15446" xr:uid="{00000000-0005-0000-0000-00008E360000}"/>
    <cellStyle name="Normal 10 3 5 3 2" xfId="40320" xr:uid="{00000000-0005-0000-0000-00008F360000}"/>
    <cellStyle name="Normal 10 3 5 4" xfId="27879" xr:uid="{00000000-0005-0000-0000-000090360000}"/>
    <cellStyle name="Normal 10 3 6" xfId="3875" xr:uid="{00000000-0005-0000-0000-000091360000}"/>
    <cellStyle name="Normal 10 3 6 2" xfId="8893" xr:uid="{00000000-0005-0000-0000-000092360000}"/>
    <cellStyle name="Normal 10 3 6 2 2" xfId="21336" xr:uid="{00000000-0005-0000-0000-000093360000}"/>
    <cellStyle name="Normal 10 3 6 2 2 2" xfId="46210" xr:uid="{00000000-0005-0000-0000-000094360000}"/>
    <cellStyle name="Normal 10 3 6 2 3" xfId="33777" xr:uid="{00000000-0005-0000-0000-000095360000}"/>
    <cellStyle name="Normal 10 3 6 3" xfId="16329" xr:uid="{00000000-0005-0000-0000-000096360000}"/>
    <cellStyle name="Normal 10 3 6 3 2" xfId="41203" xr:uid="{00000000-0005-0000-0000-000097360000}"/>
    <cellStyle name="Normal 10 3 6 4" xfId="28770" xr:uid="{00000000-0005-0000-0000-000098360000}"/>
    <cellStyle name="Normal 10 3 7" xfId="6487" xr:uid="{00000000-0005-0000-0000-000099360000}"/>
    <cellStyle name="Normal 10 3 7 2" xfId="18936" xr:uid="{00000000-0005-0000-0000-00009A360000}"/>
    <cellStyle name="Normal 10 3 7 2 2" xfId="43810" xr:uid="{00000000-0005-0000-0000-00009B360000}"/>
    <cellStyle name="Normal 10 3 7 3" xfId="31377" xr:uid="{00000000-0005-0000-0000-00009C360000}"/>
    <cellStyle name="Normal 10 4" xfId="134" xr:uid="{00000000-0005-0000-0000-00009D360000}"/>
    <cellStyle name="Normal 10 4 10" xfId="7697" xr:uid="{00000000-0005-0000-0000-00009E360000}"/>
    <cellStyle name="Normal 10 4 10 2" xfId="20143" xr:uid="{00000000-0005-0000-0000-00009F360000}"/>
    <cellStyle name="Normal 10 4 10 2 2" xfId="45017" xr:uid="{00000000-0005-0000-0000-0000A0360000}"/>
    <cellStyle name="Normal 10 4 10 3" xfId="32584" xr:uid="{00000000-0005-0000-0000-0000A1360000}"/>
    <cellStyle name="Normal 10 4 11" xfId="11517" xr:uid="{00000000-0005-0000-0000-0000A2360000}"/>
    <cellStyle name="Normal 10 4 11 2" xfId="23951" xr:uid="{00000000-0005-0000-0000-0000A3360000}"/>
    <cellStyle name="Normal 10 4 11 2 2" xfId="48825" xr:uid="{00000000-0005-0000-0000-0000A4360000}"/>
    <cellStyle name="Normal 10 4 11 3" xfId="36392" xr:uid="{00000000-0005-0000-0000-0000A5360000}"/>
    <cellStyle name="Normal 10 4 12" xfId="6509" xr:uid="{00000000-0005-0000-0000-0000A6360000}"/>
    <cellStyle name="Normal 10 4 12 2" xfId="18958" xr:uid="{00000000-0005-0000-0000-0000A7360000}"/>
    <cellStyle name="Normal 10 4 12 2 2" xfId="43832" xr:uid="{00000000-0005-0000-0000-0000A8360000}"/>
    <cellStyle name="Normal 10 4 12 3" xfId="31399" xr:uid="{00000000-0005-0000-0000-0000A9360000}"/>
    <cellStyle name="Normal 10 4 13" xfId="2617" xr:uid="{00000000-0005-0000-0000-0000AA360000}"/>
    <cellStyle name="Normal 10 4 13 2" xfId="15136" xr:uid="{00000000-0005-0000-0000-0000AB360000}"/>
    <cellStyle name="Normal 10 4 13 2 2" xfId="40010" xr:uid="{00000000-0005-0000-0000-0000AC360000}"/>
    <cellStyle name="Normal 10 4 13 3" xfId="27569" xr:uid="{00000000-0005-0000-0000-0000AD360000}"/>
    <cellStyle name="Normal 10 4 14" xfId="12964" xr:uid="{00000000-0005-0000-0000-0000AE360000}"/>
    <cellStyle name="Normal 10 4 14 2" xfId="37838" xr:uid="{00000000-0005-0000-0000-0000AF360000}"/>
    <cellStyle name="Normal 10 4 15" xfId="25397" xr:uid="{00000000-0005-0000-0000-0000B0360000}"/>
    <cellStyle name="Normal 10 4 2" xfId="322" xr:uid="{00000000-0005-0000-0000-0000B1360000}"/>
    <cellStyle name="Normal 10 4 2 10" xfId="6552" xr:uid="{00000000-0005-0000-0000-0000B2360000}"/>
    <cellStyle name="Normal 10 4 2 10 2" xfId="19001" xr:uid="{00000000-0005-0000-0000-0000B3360000}"/>
    <cellStyle name="Normal 10 4 2 10 2 2" xfId="43875" xr:uid="{00000000-0005-0000-0000-0000B4360000}"/>
    <cellStyle name="Normal 10 4 2 10 3" xfId="31442" xr:uid="{00000000-0005-0000-0000-0000B5360000}"/>
    <cellStyle name="Normal 10 4 2 11" xfId="2720" xr:uid="{00000000-0005-0000-0000-0000B6360000}"/>
    <cellStyle name="Normal 10 4 2 11 2" xfId="15238" xr:uid="{00000000-0005-0000-0000-0000B7360000}"/>
    <cellStyle name="Normal 10 4 2 11 2 2" xfId="40112" xr:uid="{00000000-0005-0000-0000-0000B8360000}"/>
    <cellStyle name="Normal 10 4 2 11 3" xfId="27671" xr:uid="{00000000-0005-0000-0000-0000B9360000}"/>
    <cellStyle name="Normal 10 4 2 12" xfId="13139" xr:uid="{00000000-0005-0000-0000-0000BA360000}"/>
    <cellStyle name="Normal 10 4 2 12 2" xfId="38013" xr:uid="{00000000-0005-0000-0000-0000BB360000}"/>
    <cellStyle name="Normal 10 4 2 13" xfId="25572" xr:uid="{00000000-0005-0000-0000-0000BC360000}"/>
    <cellStyle name="Normal 10 4 2 2" xfId="424" xr:uid="{00000000-0005-0000-0000-0000BD360000}"/>
    <cellStyle name="Normal 10 4 2 2 10" xfId="13239" xr:uid="{00000000-0005-0000-0000-0000BE360000}"/>
    <cellStyle name="Normal 10 4 2 2 10 2" xfId="38113" xr:uid="{00000000-0005-0000-0000-0000BF360000}"/>
    <cellStyle name="Normal 10 4 2 2 11" xfId="25672" xr:uid="{00000000-0005-0000-0000-0000C0360000}"/>
    <cellStyle name="Normal 10 4 2 2 2" xfId="784" xr:uid="{00000000-0005-0000-0000-0000C1360000}"/>
    <cellStyle name="Normal 10 4 2 2 2 2" xfId="1377" xr:uid="{00000000-0005-0000-0000-0000C2360000}"/>
    <cellStyle name="Normal 10 4 2 2 2 2 2" xfId="9481" xr:uid="{00000000-0005-0000-0000-0000C3360000}"/>
    <cellStyle name="Normal 10 4 2 2 2 2 2 2" xfId="21924" xr:uid="{00000000-0005-0000-0000-0000C4360000}"/>
    <cellStyle name="Normal 10 4 2 2 2 2 2 2 2" xfId="46798" xr:uid="{00000000-0005-0000-0000-0000C5360000}"/>
    <cellStyle name="Normal 10 4 2 2 2 2 2 3" xfId="34365" xr:uid="{00000000-0005-0000-0000-0000C6360000}"/>
    <cellStyle name="Normal 10 4 2 2 2 2 3" xfId="4463" xr:uid="{00000000-0005-0000-0000-0000C7360000}"/>
    <cellStyle name="Normal 10 4 2 2 2 2 3 2" xfId="16917" xr:uid="{00000000-0005-0000-0000-0000C8360000}"/>
    <cellStyle name="Normal 10 4 2 2 2 2 3 2 2" xfId="41791" xr:uid="{00000000-0005-0000-0000-0000C9360000}"/>
    <cellStyle name="Normal 10 4 2 2 2 2 3 3" xfId="29358" xr:uid="{00000000-0005-0000-0000-0000CA360000}"/>
    <cellStyle name="Normal 10 4 2 2 2 2 4" xfId="14177" xr:uid="{00000000-0005-0000-0000-0000CB360000}"/>
    <cellStyle name="Normal 10 4 2 2 2 2 4 2" xfId="39051" xr:uid="{00000000-0005-0000-0000-0000CC360000}"/>
    <cellStyle name="Normal 10 4 2 2 2 2 5" xfId="26610" xr:uid="{00000000-0005-0000-0000-0000CD360000}"/>
    <cellStyle name="Normal 10 4 2 2 2 3" xfId="5522" xr:uid="{00000000-0005-0000-0000-0000CE360000}"/>
    <cellStyle name="Normal 10 4 2 2 2 3 2" xfId="10538" xr:uid="{00000000-0005-0000-0000-0000CF360000}"/>
    <cellStyle name="Normal 10 4 2 2 2 3 2 2" xfId="22981" xr:uid="{00000000-0005-0000-0000-0000D0360000}"/>
    <cellStyle name="Normal 10 4 2 2 2 3 2 2 2" xfId="47855" xr:uid="{00000000-0005-0000-0000-0000D1360000}"/>
    <cellStyle name="Normal 10 4 2 2 2 3 2 3" xfId="35422" xr:uid="{00000000-0005-0000-0000-0000D2360000}"/>
    <cellStyle name="Normal 10 4 2 2 2 3 3" xfId="17974" xr:uid="{00000000-0005-0000-0000-0000D3360000}"/>
    <cellStyle name="Normal 10 4 2 2 2 3 3 2" xfId="42848" xr:uid="{00000000-0005-0000-0000-0000D4360000}"/>
    <cellStyle name="Normal 10 4 2 2 2 3 4" xfId="30415" xr:uid="{00000000-0005-0000-0000-0000D5360000}"/>
    <cellStyle name="Normal 10 4 2 2 2 4" xfId="8597" xr:uid="{00000000-0005-0000-0000-0000D6360000}"/>
    <cellStyle name="Normal 10 4 2 2 2 4 2" xfId="21041" xr:uid="{00000000-0005-0000-0000-0000D7360000}"/>
    <cellStyle name="Normal 10 4 2 2 2 4 2 2" xfId="45915" xr:uid="{00000000-0005-0000-0000-0000D8360000}"/>
    <cellStyle name="Normal 10 4 2 2 2 4 3" xfId="33482" xr:uid="{00000000-0005-0000-0000-0000D9360000}"/>
    <cellStyle name="Normal 10 4 2 2 2 5" xfId="11992" xr:uid="{00000000-0005-0000-0000-0000DA360000}"/>
    <cellStyle name="Normal 10 4 2 2 2 5 2" xfId="24426" xr:uid="{00000000-0005-0000-0000-0000DB360000}"/>
    <cellStyle name="Normal 10 4 2 2 2 5 2 2" xfId="49300" xr:uid="{00000000-0005-0000-0000-0000DC360000}"/>
    <cellStyle name="Normal 10 4 2 2 2 5 3" xfId="36867" xr:uid="{00000000-0005-0000-0000-0000DD360000}"/>
    <cellStyle name="Normal 10 4 2 2 2 6" xfId="7074" xr:uid="{00000000-0005-0000-0000-0000DE360000}"/>
    <cellStyle name="Normal 10 4 2 2 2 6 2" xfId="19523" xr:uid="{00000000-0005-0000-0000-0000DF360000}"/>
    <cellStyle name="Normal 10 4 2 2 2 6 2 2" xfId="44397" xr:uid="{00000000-0005-0000-0000-0000E0360000}"/>
    <cellStyle name="Normal 10 4 2 2 2 6 3" xfId="31964" xr:uid="{00000000-0005-0000-0000-0000E1360000}"/>
    <cellStyle name="Normal 10 4 2 2 2 7" xfId="3528" xr:uid="{00000000-0005-0000-0000-0000E2360000}"/>
    <cellStyle name="Normal 10 4 2 2 2 7 2" xfId="16034" xr:uid="{00000000-0005-0000-0000-0000E3360000}"/>
    <cellStyle name="Normal 10 4 2 2 2 7 2 2" xfId="40908" xr:uid="{00000000-0005-0000-0000-0000E4360000}"/>
    <cellStyle name="Normal 10 4 2 2 2 7 3" xfId="28467" xr:uid="{00000000-0005-0000-0000-0000E5360000}"/>
    <cellStyle name="Normal 10 4 2 2 2 8" xfId="13586" xr:uid="{00000000-0005-0000-0000-0000E6360000}"/>
    <cellStyle name="Normal 10 4 2 2 2 8 2" xfId="38460" xr:uid="{00000000-0005-0000-0000-0000E7360000}"/>
    <cellStyle name="Normal 10 4 2 2 2 9" xfId="26019" xr:uid="{00000000-0005-0000-0000-0000E8360000}"/>
    <cellStyle name="Normal 10 4 2 2 3" xfId="1725" xr:uid="{00000000-0005-0000-0000-0000E9360000}"/>
    <cellStyle name="Normal 10 4 2 2 3 2" xfId="4968" xr:uid="{00000000-0005-0000-0000-0000EA360000}"/>
    <cellStyle name="Normal 10 4 2 2 3 2 2" xfId="9985" xr:uid="{00000000-0005-0000-0000-0000EB360000}"/>
    <cellStyle name="Normal 10 4 2 2 3 2 2 2" xfId="22428" xr:uid="{00000000-0005-0000-0000-0000EC360000}"/>
    <cellStyle name="Normal 10 4 2 2 3 2 2 2 2" xfId="47302" xr:uid="{00000000-0005-0000-0000-0000ED360000}"/>
    <cellStyle name="Normal 10 4 2 2 3 2 2 3" xfId="34869" xr:uid="{00000000-0005-0000-0000-0000EE360000}"/>
    <cellStyle name="Normal 10 4 2 2 3 2 3" xfId="17421" xr:uid="{00000000-0005-0000-0000-0000EF360000}"/>
    <cellStyle name="Normal 10 4 2 2 3 2 3 2" xfId="42295" xr:uid="{00000000-0005-0000-0000-0000F0360000}"/>
    <cellStyle name="Normal 10 4 2 2 3 2 4" xfId="29862" xr:uid="{00000000-0005-0000-0000-0000F1360000}"/>
    <cellStyle name="Normal 10 4 2 2 3 3" xfId="5871" xr:uid="{00000000-0005-0000-0000-0000F2360000}"/>
    <cellStyle name="Normal 10 4 2 2 3 3 2" xfId="10886" xr:uid="{00000000-0005-0000-0000-0000F3360000}"/>
    <cellStyle name="Normal 10 4 2 2 3 3 2 2" xfId="23329" xr:uid="{00000000-0005-0000-0000-0000F4360000}"/>
    <cellStyle name="Normal 10 4 2 2 3 3 2 2 2" xfId="48203" xr:uid="{00000000-0005-0000-0000-0000F5360000}"/>
    <cellStyle name="Normal 10 4 2 2 3 3 2 3" xfId="35770" xr:uid="{00000000-0005-0000-0000-0000F6360000}"/>
    <cellStyle name="Normal 10 4 2 2 3 3 3" xfId="18322" xr:uid="{00000000-0005-0000-0000-0000F7360000}"/>
    <cellStyle name="Normal 10 4 2 2 3 3 3 2" xfId="43196" xr:uid="{00000000-0005-0000-0000-0000F8360000}"/>
    <cellStyle name="Normal 10 4 2 2 3 3 4" xfId="30763" xr:uid="{00000000-0005-0000-0000-0000F9360000}"/>
    <cellStyle name="Normal 10 4 2 2 3 4" xfId="8392" xr:uid="{00000000-0005-0000-0000-0000FA360000}"/>
    <cellStyle name="Normal 10 4 2 2 3 4 2" xfId="20836" xr:uid="{00000000-0005-0000-0000-0000FB360000}"/>
    <cellStyle name="Normal 10 4 2 2 3 4 2 2" xfId="45710" xr:uid="{00000000-0005-0000-0000-0000FC360000}"/>
    <cellStyle name="Normal 10 4 2 2 3 4 3" xfId="33277" xr:uid="{00000000-0005-0000-0000-0000FD360000}"/>
    <cellStyle name="Normal 10 4 2 2 3 5" xfId="12340" xr:uid="{00000000-0005-0000-0000-0000FE360000}"/>
    <cellStyle name="Normal 10 4 2 2 3 5 2" xfId="24774" xr:uid="{00000000-0005-0000-0000-0000FF360000}"/>
    <cellStyle name="Normal 10 4 2 2 3 5 2 2" xfId="49648" xr:uid="{00000000-0005-0000-0000-000000370000}"/>
    <cellStyle name="Normal 10 4 2 2 3 5 3" xfId="37215" xr:uid="{00000000-0005-0000-0000-000001370000}"/>
    <cellStyle name="Normal 10 4 2 2 3 6" xfId="7579" xr:uid="{00000000-0005-0000-0000-000002370000}"/>
    <cellStyle name="Normal 10 4 2 2 3 6 2" xfId="20027" xr:uid="{00000000-0005-0000-0000-000003370000}"/>
    <cellStyle name="Normal 10 4 2 2 3 6 2 2" xfId="44901" xr:uid="{00000000-0005-0000-0000-000004370000}"/>
    <cellStyle name="Normal 10 4 2 2 3 6 3" xfId="32468" xr:uid="{00000000-0005-0000-0000-000005370000}"/>
    <cellStyle name="Normal 10 4 2 2 3 7" xfId="3323" xr:uid="{00000000-0005-0000-0000-000006370000}"/>
    <cellStyle name="Normal 10 4 2 2 3 7 2" xfId="15829" xr:uid="{00000000-0005-0000-0000-000007370000}"/>
    <cellStyle name="Normal 10 4 2 2 3 7 2 2" xfId="40703" xr:uid="{00000000-0005-0000-0000-000008370000}"/>
    <cellStyle name="Normal 10 4 2 2 3 7 3" xfId="28262" xr:uid="{00000000-0005-0000-0000-000009370000}"/>
    <cellStyle name="Normal 10 4 2 2 3 8" xfId="14525" xr:uid="{00000000-0005-0000-0000-00000A370000}"/>
    <cellStyle name="Normal 10 4 2 2 3 8 2" xfId="39399" xr:uid="{00000000-0005-0000-0000-00000B370000}"/>
    <cellStyle name="Normal 10 4 2 2 3 9" xfId="26958" xr:uid="{00000000-0005-0000-0000-00000C370000}"/>
    <cellStyle name="Normal 10 4 2 2 4" xfId="2342" xr:uid="{00000000-0005-0000-0000-00000D370000}"/>
    <cellStyle name="Normal 10 4 2 2 4 2" xfId="6366" xr:uid="{00000000-0005-0000-0000-00000E370000}"/>
    <cellStyle name="Normal 10 4 2 2 4 2 2" xfId="11381" xr:uid="{00000000-0005-0000-0000-00000F370000}"/>
    <cellStyle name="Normal 10 4 2 2 4 2 2 2" xfId="23824" xr:uid="{00000000-0005-0000-0000-000010370000}"/>
    <cellStyle name="Normal 10 4 2 2 4 2 2 2 2" xfId="48698" xr:uid="{00000000-0005-0000-0000-000011370000}"/>
    <cellStyle name="Normal 10 4 2 2 4 2 2 3" xfId="36265" xr:uid="{00000000-0005-0000-0000-000012370000}"/>
    <cellStyle name="Normal 10 4 2 2 4 2 3" xfId="18817" xr:uid="{00000000-0005-0000-0000-000013370000}"/>
    <cellStyle name="Normal 10 4 2 2 4 2 3 2" xfId="43691" xr:uid="{00000000-0005-0000-0000-000014370000}"/>
    <cellStyle name="Normal 10 4 2 2 4 2 4" xfId="31258" xr:uid="{00000000-0005-0000-0000-000015370000}"/>
    <cellStyle name="Normal 10 4 2 2 4 3" xfId="12835" xr:uid="{00000000-0005-0000-0000-000016370000}"/>
    <cellStyle name="Normal 10 4 2 2 4 3 2" xfId="25269" xr:uid="{00000000-0005-0000-0000-000017370000}"/>
    <cellStyle name="Normal 10 4 2 2 4 3 2 2" xfId="50143" xr:uid="{00000000-0005-0000-0000-000018370000}"/>
    <cellStyle name="Normal 10 4 2 2 4 3 3" xfId="37710" xr:uid="{00000000-0005-0000-0000-000019370000}"/>
    <cellStyle name="Normal 10 4 2 2 4 4" xfId="9276" xr:uid="{00000000-0005-0000-0000-00001A370000}"/>
    <cellStyle name="Normal 10 4 2 2 4 4 2" xfId="21719" xr:uid="{00000000-0005-0000-0000-00001B370000}"/>
    <cellStyle name="Normal 10 4 2 2 4 4 2 2" xfId="46593" xr:uid="{00000000-0005-0000-0000-00001C370000}"/>
    <cellStyle name="Normal 10 4 2 2 4 4 3" xfId="34160" xr:uid="{00000000-0005-0000-0000-00001D370000}"/>
    <cellStyle name="Normal 10 4 2 2 4 5" xfId="4258" xr:uid="{00000000-0005-0000-0000-00001E370000}"/>
    <cellStyle name="Normal 10 4 2 2 4 5 2" xfId="16712" xr:uid="{00000000-0005-0000-0000-00001F370000}"/>
    <cellStyle name="Normal 10 4 2 2 4 5 2 2" xfId="41586" xr:uid="{00000000-0005-0000-0000-000020370000}"/>
    <cellStyle name="Normal 10 4 2 2 4 5 3" xfId="29153" xr:uid="{00000000-0005-0000-0000-000021370000}"/>
    <cellStyle name="Normal 10 4 2 2 4 6" xfId="15020" xr:uid="{00000000-0005-0000-0000-000022370000}"/>
    <cellStyle name="Normal 10 4 2 2 4 6 2" xfId="39894" xr:uid="{00000000-0005-0000-0000-000023370000}"/>
    <cellStyle name="Normal 10 4 2 2 4 7" xfId="27453" xr:uid="{00000000-0005-0000-0000-000024370000}"/>
    <cellStyle name="Normal 10 4 2 2 5" xfId="1177" xr:uid="{00000000-0005-0000-0000-000025370000}"/>
    <cellStyle name="Normal 10 4 2 2 5 2" xfId="10338" xr:uid="{00000000-0005-0000-0000-000026370000}"/>
    <cellStyle name="Normal 10 4 2 2 5 2 2" xfId="22781" xr:uid="{00000000-0005-0000-0000-000027370000}"/>
    <cellStyle name="Normal 10 4 2 2 5 2 2 2" xfId="47655" xr:uid="{00000000-0005-0000-0000-000028370000}"/>
    <cellStyle name="Normal 10 4 2 2 5 2 3" xfId="35222" xr:uid="{00000000-0005-0000-0000-000029370000}"/>
    <cellStyle name="Normal 10 4 2 2 5 3" xfId="5322" xr:uid="{00000000-0005-0000-0000-00002A370000}"/>
    <cellStyle name="Normal 10 4 2 2 5 3 2" xfId="17774" xr:uid="{00000000-0005-0000-0000-00002B370000}"/>
    <cellStyle name="Normal 10 4 2 2 5 3 2 2" xfId="42648" xr:uid="{00000000-0005-0000-0000-00002C370000}"/>
    <cellStyle name="Normal 10 4 2 2 5 3 3" xfId="30215" xr:uid="{00000000-0005-0000-0000-00002D370000}"/>
    <cellStyle name="Normal 10 4 2 2 5 4" xfId="13977" xr:uid="{00000000-0005-0000-0000-00002E370000}"/>
    <cellStyle name="Normal 10 4 2 2 5 4 2" xfId="38851" xr:uid="{00000000-0005-0000-0000-00002F370000}"/>
    <cellStyle name="Normal 10 4 2 2 5 5" xfId="26410" xr:uid="{00000000-0005-0000-0000-000030370000}"/>
    <cellStyle name="Normal 10 4 2 2 6" xfId="7899" xr:uid="{00000000-0005-0000-0000-000031370000}"/>
    <cellStyle name="Normal 10 4 2 2 6 2" xfId="20345" xr:uid="{00000000-0005-0000-0000-000032370000}"/>
    <cellStyle name="Normal 10 4 2 2 6 2 2" xfId="45219" xr:uid="{00000000-0005-0000-0000-000033370000}"/>
    <cellStyle name="Normal 10 4 2 2 6 3" xfId="32786" xr:uid="{00000000-0005-0000-0000-000034370000}"/>
    <cellStyle name="Normal 10 4 2 2 7" xfId="11792" xr:uid="{00000000-0005-0000-0000-000035370000}"/>
    <cellStyle name="Normal 10 4 2 2 7 2" xfId="24226" xr:uid="{00000000-0005-0000-0000-000036370000}"/>
    <cellStyle name="Normal 10 4 2 2 7 2 2" xfId="49100" xr:uid="{00000000-0005-0000-0000-000037370000}"/>
    <cellStyle name="Normal 10 4 2 2 7 3" xfId="36667" xr:uid="{00000000-0005-0000-0000-000038370000}"/>
    <cellStyle name="Normal 10 4 2 2 8" xfId="6869" xr:uid="{00000000-0005-0000-0000-000039370000}"/>
    <cellStyle name="Normal 10 4 2 2 8 2" xfId="19318" xr:uid="{00000000-0005-0000-0000-00003A370000}"/>
    <cellStyle name="Normal 10 4 2 2 8 2 2" xfId="44192" xr:uid="{00000000-0005-0000-0000-00003B370000}"/>
    <cellStyle name="Normal 10 4 2 2 8 3" xfId="31759" xr:uid="{00000000-0005-0000-0000-00003C370000}"/>
    <cellStyle name="Normal 10 4 2 2 9" xfId="2820" xr:uid="{00000000-0005-0000-0000-00003D370000}"/>
    <cellStyle name="Normal 10 4 2 2 9 2" xfId="15338" xr:uid="{00000000-0005-0000-0000-00003E370000}"/>
    <cellStyle name="Normal 10 4 2 2 9 2 2" xfId="40212" xr:uid="{00000000-0005-0000-0000-00003F370000}"/>
    <cellStyle name="Normal 10 4 2 2 9 3" xfId="27771" xr:uid="{00000000-0005-0000-0000-000040370000}"/>
    <cellStyle name="Normal 10 4 2 2_Degree data" xfId="2057" xr:uid="{00000000-0005-0000-0000-000041370000}"/>
    <cellStyle name="Normal 10 4 2 3" xfId="683" xr:uid="{00000000-0005-0000-0000-000042370000}"/>
    <cellStyle name="Normal 10 4 2 3 2" xfId="1376" xr:uid="{00000000-0005-0000-0000-000043370000}"/>
    <cellStyle name="Normal 10 4 2 3 2 2" xfId="9176" xr:uid="{00000000-0005-0000-0000-000044370000}"/>
    <cellStyle name="Normal 10 4 2 3 2 2 2" xfId="21619" xr:uid="{00000000-0005-0000-0000-000045370000}"/>
    <cellStyle name="Normal 10 4 2 3 2 2 2 2" xfId="46493" xr:uid="{00000000-0005-0000-0000-000046370000}"/>
    <cellStyle name="Normal 10 4 2 3 2 2 3" xfId="34060" xr:uid="{00000000-0005-0000-0000-000047370000}"/>
    <cellStyle name="Normal 10 4 2 3 2 3" xfId="4158" xr:uid="{00000000-0005-0000-0000-000048370000}"/>
    <cellStyle name="Normal 10 4 2 3 2 3 2" xfId="16612" xr:uid="{00000000-0005-0000-0000-000049370000}"/>
    <cellStyle name="Normal 10 4 2 3 2 3 2 2" xfId="41486" xr:uid="{00000000-0005-0000-0000-00004A370000}"/>
    <cellStyle name="Normal 10 4 2 3 2 3 3" xfId="29053" xr:uid="{00000000-0005-0000-0000-00004B370000}"/>
    <cellStyle name="Normal 10 4 2 3 2 4" xfId="14176" xr:uid="{00000000-0005-0000-0000-00004C370000}"/>
    <cellStyle name="Normal 10 4 2 3 2 4 2" xfId="39050" xr:uid="{00000000-0005-0000-0000-00004D370000}"/>
    <cellStyle name="Normal 10 4 2 3 2 5" xfId="26609" xr:uid="{00000000-0005-0000-0000-00004E370000}"/>
    <cellStyle name="Normal 10 4 2 3 3" xfId="5521" xr:uid="{00000000-0005-0000-0000-00004F370000}"/>
    <cellStyle name="Normal 10 4 2 3 3 2" xfId="10537" xr:uid="{00000000-0005-0000-0000-000050370000}"/>
    <cellStyle name="Normal 10 4 2 3 3 2 2" xfId="22980" xr:uid="{00000000-0005-0000-0000-000051370000}"/>
    <cellStyle name="Normal 10 4 2 3 3 2 2 2" xfId="47854" xr:uid="{00000000-0005-0000-0000-000052370000}"/>
    <cellStyle name="Normal 10 4 2 3 3 2 3" xfId="35421" xr:uid="{00000000-0005-0000-0000-000053370000}"/>
    <cellStyle name="Normal 10 4 2 3 3 3" xfId="17973" xr:uid="{00000000-0005-0000-0000-000054370000}"/>
    <cellStyle name="Normal 10 4 2 3 3 3 2" xfId="42847" xr:uid="{00000000-0005-0000-0000-000055370000}"/>
    <cellStyle name="Normal 10 4 2 3 3 4" xfId="30414" xr:uid="{00000000-0005-0000-0000-000056370000}"/>
    <cellStyle name="Normal 10 4 2 3 4" xfId="8292" xr:uid="{00000000-0005-0000-0000-000057370000}"/>
    <cellStyle name="Normal 10 4 2 3 4 2" xfId="20736" xr:uid="{00000000-0005-0000-0000-000058370000}"/>
    <cellStyle name="Normal 10 4 2 3 4 2 2" xfId="45610" xr:uid="{00000000-0005-0000-0000-000059370000}"/>
    <cellStyle name="Normal 10 4 2 3 4 3" xfId="33177" xr:uid="{00000000-0005-0000-0000-00005A370000}"/>
    <cellStyle name="Normal 10 4 2 3 5" xfId="11991" xr:uid="{00000000-0005-0000-0000-00005B370000}"/>
    <cellStyle name="Normal 10 4 2 3 5 2" xfId="24425" xr:uid="{00000000-0005-0000-0000-00005C370000}"/>
    <cellStyle name="Normal 10 4 2 3 5 2 2" xfId="49299" xr:uid="{00000000-0005-0000-0000-00005D370000}"/>
    <cellStyle name="Normal 10 4 2 3 5 3" xfId="36866" xr:uid="{00000000-0005-0000-0000-00005E370000}"/>
    <cellStyle name="Normal 10 4 2 3 6" xfId="6769" xr:uid="{00000000-0005-0000-0000-00005F370000}"/>
    <cellStyle name="Normal 10 4 2 3 6 2" xfId="19218" xr:uid="{00000000-0005-0000-0000-000060370000}"/>
    <cellStyle name="Normal 10 4 2 3 6 2 2" xfId="44092" xr:uid="{00000000-0005-0000-0000-000061370000}"/>
    <cellStyle name="Normal 10 4 2 3 6 3" xfId="31659" xr:uid="{00000000-0005-0000-0000-000062370000}"/>
    <cellStyle name="Normal 10 4 2 3 7" xfId="3223" xr:uid="{00000000-0005-0000-0000-000063370000}"/>
    <cellStyle name="Normal 10 4 2 3 7 2" xfId="15729" xr:uid="{00000000-0005-0000-0000-000064370000}"/>
    <cellStyle name="Normal 10 4 2 3 7 2 2" xfId="40603" xr:uid="{00000000-0005-0000-0000-000065370000}"/>
    <cellStyle name="Normal 10 4 2 3 7 3" xfId="28162" xr:uid="{00000000-0005-0000-0000-000066370000}"/>
    <cellStyle name="Normal 10 4 2 3 8" xfId="13486" xr:uid="{00000000-0005-0000-0000-000067370000}"/>
    <cellStyle name="Normal 10 4 2 3 8 2" xfId="38360" xr:uid="{00000000-0005-0000-0000-000068370000}"/>
    <cellStyle name="Normal 10 4 2 3 9" xfId="25919" xr:uid="{00000000-0005-0000-0000-000069370000}"/>
    <cellStyle name="Normal 10 4 2 4" xfId="1724" xr:uid="{00000000-0005-0000-0000-00006A370000}"/>
    <cellStyle name="Normal 10 4 2 4 2" xfId="4462" xr:uid="{00000000-0005-0000-0000-00006B370000}"/>
    <cellStyle name="Normal 10 4 2 4 2 2" xfId="9480" xr:uid="{00000000-0005-0000-0000-00006C370000}"/>
    <cellStyle name="Normal 10 4 2 4 2 2 2" xfId="21923" xr:uid="{00000000-0005-0000-0000-00006D370000}"/>
    <cellStyle name="Normal 10 4 2 4 2 2 2 2" xfId="46797" xr:uid="{00000000-0005-0000-0000-00006E370000}"/>
    <cellStyle name="Normal 10 4 2 4 2 2 3" xfId="34364" xr:uid="{00000000-0005-0000-0000-00006F370000}"/>
    <cellStyle name="Normal 10 4 2 4 2 3" xfId="16916" xr:uid="{00000000-0005-0000-0000-000070370000}"/>
    <cellStyle name="Normal 10 4 2 4 2 3 2" xfId="41790" xr:uid="{00000000-0005-0000-0000-000071370000}"/>
    <cellStyle name="Normal 10 4 2 4 2 4" xfId="29357" xr:uid="{00000000-0005-0000-0000-000072370000}"/>
    <cellStyle name="Normal 10 4 2 4 3" xfId="5870" xr:uid="{00000000-0005-0000-0000-000073370000}"/>
    <cellStyle name="Normal 10 4 2 4 3 2" xfId="10885" xr:uid="{00000000-0005-0000-0000-000074370000}"/>
    <cellStyle name="Normal 10 4 2 4 3 2 2" xfId="23328" xr:uid="{00000000-0005-0000-0000-000075370000}"/>
    <cellStyle name="Normal 10 4 2 4 3 2 2 2" xfId="48202" xr:uid="{00000000-0005-0000-0000-000076370000}"/>
    <cellStyle name="Normal 10 4 2 4 3 2 3" xfId="35769" xr:uid="{00000000-0005-0000-0000-000077370000}"/>
    <cellStyle name="Normal 10 4 2 4 3 3" xfId="18321" xr:uid="{00000000-0005-0000-0000-000078370000}"/>
    <cellStyle name="Normal 10 4 2 4 3 3 2" xfId="43195" xr:uid="{00000000-0005-0000-0000-000079370000}"/>
    <cellStyle name="Normal 10 4 2 4 3 4" xfId="30762" xr:uid="{00000000-0005-0000-0000-00007A370000}"/>
    <cellStyle name="Normal 10 4 2 4 4" xfId="8596" xr:uid="{00000000-0005-0000-0000-00007B370000}"/>
    <cellStyle name="Normal 10 4 2 4 4 2" xfId="21040" xr:uid="{00000000-0005-0000-0000-00007C370000}"/>
    <cellStyle name="Normal 10 4 2 4 4 2 2" xfId="45914" xr:uid="{00000000-0005-0000-0000-00007D370000}"/>
    <cellStyle name="Normal 10 4 2 4 4 3" xfId="33481" xr:uid="{00000000-0005-0000-0000-00007E370000}"/>
    <cellStyle name="Normal 10 4 2 4 5" xfId="12339" xr:uid="{00000000-0005-0000-0000-00007F370000}"/>
    <cellStyle name="Normal 10 4 2 4 5 2" xfId="24773" xr:uid="{00000000-0005-0000-0000-000080370000}"/>
    <cellStyle name="Normal 10 4 2 4 5 2 2" xfId="49647" xr:uid="{00000000-0005-0000-0000-000081370000}"/>
    <cellStyle name="Normal 10 4 2 4 5 3" xfId="37214" xr:uid="{00000000-0005-0000-0000-000082370000}"/>
    <cellStyle name="Normal 10 4 2 4 6" xfId="7073" xr:uid="{00000000-0005-0000-0000-000083370000}"/>
    <cellStyle name="Normal 10 4 2 4 6 2" xfId="19522" xr:uid="{00000000-0005-0000-0000-000084370000}"/>
    <cellStyle name="Normal 10 4 2 4 6 2 2" xfId="44396" xr:uid="{00000000-0005-0000-0000-000085370000}"/>
    <cellStyle name="Normal 10 4 2 4 6 3" xfId="31963" xr:uid="{00000000-0005-0000-0000-000086370000}"/>
    <cellStyle name="Normal 10 4 2 4 7" xfId="3527" xr:uid="{00000000-0005-0000-0000-000087370000}"/>
    <cellStyle name="Normal 10 4 2 4 7 2" xfId="16033" xr:uid="{00000000-0005-0000-0000-000088370000}"/>
    <cellStyle name="Normal 10 4 2 4 7 2 2" xfId="40907" xr:uid="{00000000-0005-0000-0000-000089370000}"/>
    <cellStyle name="Normal 10 4 2 4 7 3" xfId="28466" xr:uid="{00000000-0005-0000-0000-00008A370000}"/>
    <cellStyle name="Normal 10 4 2 4 8" xfId="14524" xr:uid="{00000000-0005-0000-0000-00008B370000}"/>
    <cellStyle name="Normal 10 4 2 4 8 2" xfId="39398" xr:uid="{00000000-0005-0000-0000-00008C370000}"/>
    <cellStyle name="Normal 10 4 2 4 9" xfId="26957" xr:uid="{00000000-0005-0000-0000-00008D370000}"/>
    <cellStyle name="Normal 10 4 2 5" xfId="2240" xr:uid="{00000000-0005-0000-0000-00008E370000}"/>
    <cellStyle name="Normal 10 4 2 5 2" xfId="4868" xr:uid="{00000000-0005-0000-0000-00008F370000}"/>
    <cellStyle name="Normal 10 4 2 5 2 2" xfId="9885" xr:uid="{00000000-0005-0000-0000-000090370000}"/>
    <cellStyle name="Normal 10 4 2 5 2 2 2" xfId="22328" xr:uid="{00000000-0005-0000-0000-000091370000}"/>
    <cellStyle name="Normal 10 4 2 5 2 2 2 2" xfId="47202" xr:uid="{00000000-0005-0000-0000-000092370000}"/>
    <cellStyle name="Normal 10 4 2 5 2 2 3" xfId="34769" xr:uid="{00000000-0005-0000-0000-000093370000}"/>
    <cellStyle name="Normal 10 4 2 5 2 3" xfId="17321" xr:uid="{00000000-0005-0000-0000-000094370000}"/>
    <cellStyle name="Normal 10 4 2 5 2 3 2" xfId="42195" xr:uid="{00000000-0005-0000-0000-000095370000}"/>
    <cellStyle name="Normal 10 4 2 5 2 4" xfId="29762" xr:uid="{00000000-0005-0000-0000-000096370000}"/>
    <cellStyle name="Normal 10 4 2 5 3" xfId="6266" xr:uid="{00000000-0005-0000-0000-000097370000}"/>
    <cellStyle name="Normal 10 4 2 5 3 2" xfId="11281" xr:uid="{00000000-0005-0000-0000-000098370000}"/>
    <cellStyle name="Normal 10 4 2 5 3 2 2" xfId="23724" xr:uid="{00000000-0005-0000-0000-000099370000}"/>
    <cellStyle name="Normal 10 4 2 5 3 2 2 2" xfId="48598" xr:uid="{00000000-0005-0000-0000-00009A370000}"/>
    <cellStyle name="Normal 10 4 2 5 3 2 3" xfId="36165" xr:uid="{00000000-0005-0000-0000-00009B370000}"/>
    <cellStyle name="Normal 10 4 2 5 3 3" xfId="18717" xr:uid="{00000000-0005-0000-0000-00009C370000}"/>
    <cellStyle name="Normal 10 4 2 5 3 3 2" xfId="43591" xr:uid="{00000000-0005-0000-0000-00009D370000}"/>
    <cellStyle name="Normal 10 4 2 5 3 4" xfId="31158" xr:uid="{00000000-0005-0000-0000-00009E370000}"/>
    <cellStyle name="Normal 10 4 2 5 4" xfId="8073" xr:uid="{00000000-0005-0000-0000-00009F370000}"/>
    <cellStyle name="Normal 10 4 2 5 4 2" xfId="20519" xr:uid="{00000000-0005-0000-0000-0000A0370000}"/>
    <cellStyle name="Normal 10 4 2 5 4 2 2" xfId="45393" xr:uid="{00000000-0005-0000-0000-0000A1370000}"/>
    <cellStyle name="Normal 10 4 2 5 4 3" xfId="32960" xr:uid="{00000000-0005-0000-0000-0000A2370000}"/>
    <cellStyle name="Normal 10 4 2 5 5" xfId="12735" xr:uid="{00000000-0005-0000-0000-0000A3370000}"/>
    <cellStyle name="Normal 10 4 2 5 5 2" xfId="25169" xr:uid="{00000000-0005-0000-0000-0000A4370000}"/>
    <cellStyle name="Normal 10 4 2 5 5 2 2" xfId="50043" xr:uid="{00000000-0005-0000-0000-0000A5370000}"/>
    <cellStyle name="Normal 10 4 2 5 5 3" xfId="37610" xr:uid="{00000000-0005-0000-0000-0000A6370000}"/>
    <cellStyle name="Normal 10 4 2 5 6" xfId="7479" xr:uid="{00000000-0005-0000-0000-0000A7370000}"/>
    <cellStyle name="Normal 10 4 2 5 6 2" xfId="19927" xr:uid="{00000000-0005-0000-0000-0000A8370000}"/>
    <cellStyle name="Normal 10 4 2 5 6 2 2" xfId="44801" xr:uid="{00000000-0005-0000-0000-0000A9370000}"/>
    <cellStyle name="Normal 10 4 2 5 6 3" xfId="32368" xr:uid="{00000000-0005-0000-0000-0000AA370000}"/>
    <cellStyle name="Normal 10 4 2 5 7" xfId="3002" xr:uid="{00000000-0005-0000-0000-0000AB370000}"/>
    <cellStyle name="Normal 10 4 2 5 7 2" xfId="15512" xr:uid="{00000000-0005-0000-0000-0000AC370000}"/>
    <cellStyle name="Normal 10 4 2 5 7 2 2" xfId="40386" xr:uid="{00000000-0005-0000-0000-0000AD370000}"/>
    <cellStyle name="Normal 10 4 2 5 7 3" xfId="27945" xr:uid="{00000000-0005-0000-0000-0000AE370000}"/>
    <cellStyle name="Normal 10 4 2 5 8" xfId="14920" xr:uid="{00000000-0005-0000-0000-0000AF370000}"/>
    <cellStyle name="Normal 10 4 2 5 8 2" xfId="39794" xr:uid="{00000000-0005-0000-0000-0000B0370000}"/>
    <cellStyle name="Normal 10 4 2 5 9" xfId="27353" xr:uid="{00000000-0005-0000-0000-0000B1370000}"/>
    <cellStyle name="Normal 10 4 2 6" xfId="1077" xr:uid="{00000000-0005-0000-0000-0000B2370000}"/>
    <cellStyle name="Normal 10 4 2 6 2" xfId="8959" xr:uid="{00000000-0005-0000-0000-0000B3370000}"/>
    <cellStyle name="Normal 10 4 2 6 2 2" xfId="21402" xr:uid="{00000000-0005-0000-0000-0000B4370000}"/>
    <cellStyle name="Normal 10 4 2 6 2 2 2" xfId="46276" xr:uid="{00000000-0005-0000-0000-0000B5370000}"/>
    <cellStyle name="Normal 10 4 2 6 2 3" xfId="33843" xr:uid="{00000000-0005-0000-0000-0000B6370000}"/>
    <cellStyle name="Normal 10 4 2 6 3" xfId="3941" xr:uid="{00000000-0005-0000-0000-0000B7370000}"/>
    <cellStyle name="Normal 10 4 2 6 3 2" xfId="16395" xr:uid="{00000000-0005-0000-0000-0000B8370000}"/>
    <cellStyle name="Normal 10 4 2 6 3 2 2" xfId="41269" xr:uid="{00000000-0005-0000-0000-0000B9370000}"/>
    <cellStyle name="Normal 10 4 2 6 3 3" xfId="28836" xr:uid="{00000000-0005-0000-0000-0000BA370000}"/>
    <cellStyle name="Normal 10 4 2 6 4" xfId="13877" xr:uid="{00000000-0005-0000-0000-0000BB370000}"/>
    <cellStyle name="Normal 10 4 2 6 4 2" xfId="38751" xr:uid="{00000000-0005-0000-0000-0000BC370000}"/>
    <cellStyle name="Normal 10 4 2 6 5" xfId="26310" xr:uid="{00000000-0005-0000-0000-0000BD370000}"/>
    <cellStyle name="Normal 10 4 2 7" xfId="5222" xr:uid="{00000000-0005-0000-0000-0000BE370000}"/>
    <cellStyle name="Normal 10 4 2 7 2" xfId="10238" xr:uid="{00000000-0005-0000-0000-0000BF370000}"/>
    <cellStyle name="Normal 10 4 2 7 2 2" xfId="22681" xr:uid="{00000000-0005-0000-0000-0000C0370000}"/>
    <cellStyle name="Normal 10 4 2 7 2 2 2" xfId="47555" xr:uid="{00000000-0005-0000-0000-0000C1370000}"/>
    <cellStyle name="Normal 10 4 2 7 2 3" xfId="35122" xr:uid="{00000000-0005-0000-0000-0000C2370000}"/>
    <cellStyle name="Normal 10 4 2 7 3" xfId="17674" xr:uid="{00000000-0005-0000-0000-0000C3370000}"/>
    <cellStyle name="Normal 10 4 2 7 3 2" xfId="42548" xr:uid="{00000000-0005-0000-0000-0000C4370000}"/>
    <cellStyle name="Normal 10 4 2 7 4" xfId="30115" xr:uid="{00000000-0005-0000-0000-0000C5370000}"/>
    <cellStyle name="Normal 10 4 2 8" xfId="7799" xr:uid="{00000000-0005-0000-0000-0000C6370000}"/>
    <cellStyle name="Normal 10 4 2 8 2" xfId="20245" xr:uid="{00000000-0005-0000-0000-0000C7370000}"/>
    <cellStyle name="Normal 10 4 2 8 2 2" xfId="45119" xr:uid="{00000000-0005-0000-0000-0000C8370000}"/>
    <cellStyle name="Normal 10 4 2 8 3" xfId="32686" xr:uid="{00000000-0005-0000-0000-0000C9370000}"/>
    <cellStyle name="Normal 10 4 2 9" xfId="11692" xr:uid="{00000000-0005-0000-0000-0000CA370000}"/>
    <cellStyle name="Normal 10 4 2 9 2" xfId="24126" xr:uid="{00000000-0005-0000-0000-0000CB370000}"/>
    <cellStyle name="Normal 10 4 2 9 2 2" xfId="49000" xr:uid="{00000000-0005-0000-0000-0000CC370000}"/>
    <cellStyle name="Normal 10 4 2 9 3" xfId="36567" xr:uid="{00000000-0005-0000-0000-0000CD370000}"/>
    <cellStyle name="Normal 10 4 2_Degree data" xfId="2058" xr:uid="{00000000-0005-0000-0000-0000CE370000}"/>
    <cellStyle name="Normal 10 4 3" xfId="277" xr:uid="{00000000-0005-0000-0000-0000CF370000}"/>
    <cellStyle name="Normal 10 4 3 10" xfId="6614" xr:uid="{00000000-0005-0000-0000-0000D0370000}"/>
    <cellStyle name="Normal 10 4 3 10 2" xfId="19063" xr:uid="{00000000-0005-0000-0000-0000D1370000}"/>
    <cellStyle name="Normal 10 4 3 10 2 2" xfId="43937" xr:uid="{00000000-0005-0000-0000-0000D2370000}"/>
    <cellStyle name="Normal 10 4 3 10 3" xfId="31504" xr:uid="{00000000-0005-0000-0000-0000D3370000}"/>
    <cellStyle name="Normal 10 4 3 11" xfId="2677" xr:uid="{00000000-0005-0000-0000-0000D4370000}"/>
    <cellStyle name="Normal 10 4 3 11 2" xfId="15195" xr:uid="{00000000-0005-0000-0000-0000D5370000}"/>
    <cellStyle name="Normal 10 4 3 11 2 2" xfId="40069" xr:uid="{00000000-0005-0000-0000-0000D6370000}"/>
    <cellStyle name="Normal 10 4 3 11 3" xfId="27628" xr:uid="{00000000-0005-0000-0000-0000D7370000}"/>
    <cellStyle name="Normal 10 4 3 12" xfId="13096" xr:uid="{00000000-0005-0000-0000-0000D8370000}"/>
    <cellStyle name="Normal 10 4 3 12 2" xfId="37970" xr:uid="{00000000-0005-0000-0000-0000D9370000}"/>
    <cellStyle name="Normal 10 4 3 13" xfId="25529" xr:uid="{00000000-0005-0000-0000-0000DA370000}"/>
    <cellStyle name="Normal 10 4 3 2" xfId="488" xr:uid="{00000000-0005-0000-0000-0000DB370000}"/>
    <cellStyle name="Normal 10 4 3 2 10" xfId="13301" xr:uid="{00000000-0005-0000-0000-0000DC370000}"/>
    <cellStyle name="Normal 10 4 3 2 10 2" xfId="38175" xr:uid="{00000000-0005-0000-0000-0000DD370000}"/>
    <cellStyle name="Normal 10 4 3 2 11" xfId="25734" xr:uid="{00000000-0005-0000-0000-0000DE370000}"/>
    <cellStyle name="Normal 10 4 3 2 2" xfId="847" xr:uid="{00000000-0005-0000-0000-0000DF370000}"/>
    <cellStyle name="Normal 10 4 3 2 2 2" xfId="1379" xr:uid="{00000000-0005-0000-0000-0000E0370000}"/>
    <cellStyle name="Normal 10 4 3 2 2 2 2" xfId="9483" xr:uid="{00000000-0005-0000-0000-0000E1370000}"/>
    <cellStyle name="Normal 10 4 3 2 2 2 2 2" xfId="21926" xr:uid="{00000000-0005-0000-0000-0000E2370000}"/>
    <cellStyle name="Normal 10 4 3 2 2 2 2 2 2" xfId="46800" xr:uid="{00000000-0005-0000-0000-0000E3370000}"/>
    <cellStyle name="Normal 10 4 3 2 2 2 2 3" xfId="34367" xr:uid="{00000000-0005-0000-0000-0000E4370000}"/>
    <cellStyle name="Normal 10 4 3 2 2 2 3" xfId="4465" xr:uid="{00000000-0005-0000-0000-0000E5370000}"/>
    <cellStyle name="Normal 10 4 3 2 2 2 3 2" xfId="16919" xr:uid="{00000000-0005-0000-0000-0000E6370000}"/>
    <cellStyle name="Normal 10 4 3 2 2 2 3 2 2" xfId="41793" xr:uid="{00000000-0005-0000-0000-0000E7370000}"/>
    <cellStyle name="Normal 10 4 3 2 2 2 3 3" xfId="29360" xr:uid="{00000000-0005-0000-0000-0000E8370000}"/>
    <cellStyle name="Normal 10 4 3 2 2 2 4" xfId="14179" xr:uid="{00000000-0005-0000-0000-0000E9370000}"/>
    <cellStyle name="Normal 10 4 3 2 2 2 4 2" xfId="39053" xr:uid="{00000000-0005-0000-0000-0000EA370000}"/>
    <cellStyle name="Normal 10 4 3 2 2 2 5" xfId="26612" xr:uid="{00000000-0005-0000-0000-0000EB370000}"/>
    <cellStyle name="Normal 10 4 3 2 2 3" xfId="5524" xr:uid="{00000000-0005-0000-0000-0000EC370000}"/>
    <cellStyle name="Normal 10 4 3 2 2 3 2" xfId="10540" xr:uid="{00000000-0005-0000-0000-0000ED370000}"/>
    <cellStyle name="Normal 10 4 3 2 2 3 2 2" xfId="22983" xr:uid="{00000000-0005-0000-0000-0000EE370000}"/>
    <cellStyle name="Normal 10 4 3 2 2 3 2 2 2" xfId="47857" xr:uid="{00000000-0005-0000-0000-0000EF370000}"/>
    <cellStyle name="Normal 10 4 3 2 2 3 2 3" xfId="35424" xr:uid="{00000000-0005-0000-0000-0000F0370000}"/>
    <cellStyle name="Normal 10 4 3 2 2 3 3" xfId="17976" xr:uid="{00000000-0005-0000-0000-0000F1370000}"/>
    <cellStyle name="Normal 10 4 3 2 2 3 3 2" xfId="42850" xr:uid="{00000000-0005-0000-0000-0000F2370000}"/>
    <cellStyle name="Normal 10 4 3 2 2 3 4" xfId="30417" xr:uid="{00000000-0005-0000-0000-0000F3370000}"/>
    <cellStyle name="Normal 10 4 3 2 2 4" xfId="8599" xr:uid="{00000000-0005-0000-0000-0000F4370000}"/>
    <cellStyle name="Normal 10 4 3 2 2 4 2" xfId="21043" xr:uid="{00000000-0005-0000-0000-0000F5370000}"/>
    <cellStyle name="Normal 10 4 3 2 2 4 2 2" xfId="45917" xr:uid="{00000000-0005-0000-0000-0000F6370000}"/>
    <cellStyle name="Normal 10 4 3 2 2 4 3" xfId="33484" xr:uid="{00000000-0005-0000-0000-0000F7370000}"/>
    <cellStyle name="Normal 10 4 3 2 2 5" xfId="11994" xr:uid="{00000000-0005-0000-0000-0000F8370000}"/>
    <cellStyle name="Normal 10 4 3 2 2 5 2" xfId="24428" xr:uid="{00000000-0005-0000-0000-0000F9370000}"/>
    <cellStyle name="Normal 10 4 3 2 2 5 2 2" xfId="49302" xr:uid="{00000000-0005-0000-0000-0000FA370000}"/>
    <cellStyle name="Normal 10 4 3 2 2 5 3" xfId="36869" xr:uid="{00000000-0005-0000-0000-0000FB370000}"/>
    <cellStyle name="Normal 10 4 3 2 2 6" xfId="7076" xr:uid="{00000000-0005-0000-0000-0000FC370000}"/>
    <cellStyle name="Normal 10 4 3 2 2 6 2" xfId="19525" xr:uid="{00000000-0005-0000-0000-0000FD370000}"/>
    <cellStyle name="Normal 10 4 3 2 2 6 2 2" xfId="44399" xr:uid="{00000000-0005-0000-0000-0000FE370000}"/>
    <cellStyle name="Normal 10 4 3 2 2 6 3" xfId="31966" xr:uid="{00000000-0005-0000-0000-0000FF370000}"/>
    <cellStyle name="Normal 10 4 3 2 2 7" xfId="3530" xr:uid="{00000000-0005-0000-0000-000000380000}"/>
    <cellStyle name="Normal 10 4 3 2 2 7 2" xfId="16036" xr:uid="{00000000-0005-0000-0000-000001380000}"/>
    <cellStyle name="Normal 10 4 3 2 2 7 2 2" xfId="40910" xr:uid="{00000000-0005-0000-0000-000002380000}"/>
    <cellStyle name="Normal 10 4 3 2 2 7 3" xfId="28469" xr:uid="{00000000-0005-0000-0000-000003380000}"/>
    <cellStyle name="Normal 10 4 3 2 2 8" xfId="13648" xr:uid="{00000000-0005-0000-0000-000004380000}"/>
    <cellStyle name="Normal 10 4 3 2 2 8 2" xfId="38522" xr:uid="{00000000-0005-0000-0000-000005380000}"/>
    <cellStyle name="Normal 10 4 3 2 2 9" xfId="26081" xr:uid="{00000000-0005-0000-0000-000006380000}"/>
    <cellStyle name="Normal 10 4 3 2 3" xfId="1727" xr:uid="{00000000-0005-0000-0000-000007380000}"/>
    <cellStyle name="Normal 10 4 3 2 3 2" xfId="5030" xr:uid="{00000000-0005-0000-0000-000008380000}"/>
    <cellStyle name="Normal 10 4 3 2 3 2 2" xfId="10047" xr:uid="{00000000-0005-0000-0000-000009380000}"/>
    <cellStyle name="Normal 10 4 3 2 3 2 2 2" xfId="22490" xr:uid="{00000000-0005-0000-0000-00000A380000}"/>
    <cellStyle name="Normal 10 4 3 2 3 2 2 2 2" xfId="47364" xr:uid="{00000000-0005-0000-0000-00000B380000}"/>
    <cellStyle name="Normal 10 4 3 2 3 2 2 3" xfId="34931" xr:uid="{00000000-0005-0000-0000-00000C380000}"/>
    <cellStyle name="Normal 10 4 3 2 3 2 3" xfId="17483" xr:uid="{00000000-0005-0000-0000-00000D380000}"/>
    <cellStyle name="Normal 10 4 3 2 3 2 3 2" xfId="42357" xr:uid="{00000000-0005-0000-0000-00000E380000}"/>
    <cellStyle name="Normal 10 4 3 2 3 2 4" xfId="29924" xr:uid="{00000000-0005-0000-0000-00000F380000}"/>
    <cellStyle name="Normal 10 4 3 2 3 3" xfId="5873" xr:uid="{00000000-0005-0000-0000-000010380000}"/>
    <cellStyle name="Normal 10 4 3 2 3 3 2" xfId="10888" xr:uid="{00000000-0005-0000-0000-000011380000}"/>
    <cellStyle name="Normal 10 4 3 2 3 3 2 2" xfId="23331" xr:uid="{00000000-0005-0000-0000-000012380000}"/>
    <cellStyle name="Normal 10 4 3 2 3 3 2 2 2" xfId="48205" xr:uid="{00000000-0005-0000-0000-000013380000}"/>
    <cellStyle name="Normal 10 4 3 2 3 3 2 3" xfId="35772" xr:uid="{00000000-0005-0000-0000-000014380000}"/>
    <cellStyle name="Normal 10 4 3 2 3 3 3" xfId="18324" xr:uid="{00000000-0005-0000-0000-000015380000}"/>
    <cellStyle name="Normal 10 4 3 2 3 3 3 2" xfId="43198" xr:uid="{00000000-0005-0000-0000-000016380000}"/>
    <cellStyle name="Normal 10 4 3 2 3 3 4" xfId="30765" xr:uid="{00000000-0005-0000-0000-000017380000}"/>
    <cellStyle name="Normal 10 4 3 2 3 4" xfId="8454" xr:uid="{00000000-0005-0000-0000-000018380000}"/>
    <cellStyle name="Normal 10 4 3 2 3 4 2" xfId="20898" xr:uid="{00000000-0005-0000-0000-000019380000}"/>
    <cellStyle name="Normal 10 4 3 2 3 4 2 2" xfId="45772" xr:uid="{00000000-0005-0000-0000-00001A380000}"/>
    <cellStyle name="Normal 10 4 3 2 3 4 3" xfId="33339" xr:uid="{00000000-0005-0000-0000-00001B380000}"/>
    <cellStyle name="Normal 10 4 3 2 3 5" xfId="12342" xr:uid="{00000000-0005-0000-0000-00001C380000}"/>
    <cellStyle name="Normal 10 4 3 2 3 5 2" xfId="24776" xr:uid="{00000000-0005-0000-0000-00001D380000}"/>
    <cellStyle name="Normal 10 4 3 2 3 5 2 2" xfId="49650" xr:uid="{00000000-0005-0000-0000-00001E380000}"/>
    <cellStyle name="Normal 10 4 3 2 3 5 3" xfId="37217" xr:uid="{00000000-0005-0000-0000-00001F380000}"/>
    <cellStyle name="Normal 10 4 3 2 3 6" xfId="7641" xr:uid="{00000000-0005-0000-0000-000020380000}"/>
    <cellStyle name="Normal 10 4 3 2 3 6 2" xfId="20089" xr:uid="{00000000-0005-0000-0000-000021380000}"/>
    <cellStyle name="Normal 10 4 3 2 3 6 2 2" xfId="44963" xr:uid="{00000000-0005-0000-0000-000022380000}"/>
    <cellStyle name="Normal 10 4 3 2 3 6 3" xfId="32530" xr:uid="{00000000-0005-0000-0000-000023380000}"/>
    <cellStyle name="Normal 10 4 3 2 3 7" xfId="3385" xr:uid="{00000000-0005-0000-0000-000024380000}"/>
    <cellStyle name="Normal 10 4 3 2 3 7 2" xfId="15891" xr:uid="{00000000-0005-0000-0000-000025380000}"/>
    <cellStyle name="Normal 10 4 3 2 3 7 2 2" xfId="40765" xr:uid="{00000000-0005-0000-0000-000026380000}"/>
    <cellStyle name="Normal 10 4 3 2 3 7 3" xfId="28324" xr:uid="{00000000-0005-0000-0000-000027380000}"/>
    <cellStyle name="Normal 10 4 3 2 3 8" xfId="14527" xr:uid="{00000000-0005-0000-0000-000028380000}"/>
    <cellStyle name="Normal 10 4 3 2 3 8 2" xfId="39401" xr:uid="{00000000-0005-0000-0000-000029380000}"/>
    <cellStyle name="Normal 10 4 3 2 3 9" xfId="26960" xr:uid="{00000000-0005-0000-0000-00002A380000}"/>
    <cellStyle name="Normal 10 4 3 2 4" xfId="2406" xr:uid="{00000000-0005-0000-0000-00002B380000}"/>
    <cellStyle name="Normal 10 4 3 2 4 2" xfId="6428" xr:uid="{00000000-0005-0000-0000-00002C380000}"/>
    <cellStyle name="Normal 10 4 3 2 4 2 2" xfId="11443" xr:uid="{00000000-0005-0000-0000-00002D380000}"/>
    <cellStyle name="Normal 10 4 3 2 4 2 2 2" xfId="23886" xr:uid="{00000000-0005-0000-0000-00002E380000}"/>
    <cellStyle name="Normal 10 4 3 2 4 2 2 2 2" xfId="48760" xr:uid="{00000000-0005-0000-0000-00002F380000}"/>
    <cellStyle name="Normal 10 4 3 2 4 2 2 3" xfId="36327" xr:uid="{00000000-0005-0000-0000-000030380000}"/>
    <cellStyle name="Normal 10 4 3 2 4 2 3" xfId="18879" xr:uid="{00000000-0005-0000-0000-000031380000}"/>
    <cellStyle name="Normal 10 4 3 2 4 2 3 2" xfId="43753" xr:uid="{00000000-0005-0000-0000-000032380000}"/>
    <cellStyle name="Normal 10 4 3 2 4 2 4" xfId="31320" xr:uid="{00000000-0005-0000-0000-000033380000}"/>
    <cellStyle name="Normal 10 4 3 2 4 3" xfId="12897" xr:uid="{00000000-0005-0000-0000-000034380000}"/>
    <cellStyle name="Normal 10 4 3 2 4 3 2" xfId="25331" xr:uid="{00000000-0005-0000-0000-000035380000}"/>
    <cellStyle name="Normal 10 4 3 2 4 3 2 2" xfId="50205" xr:uid="{00000000-0005-0000-0000-000036380000}"/>
    <cellStyle name="Normal 10 4 3 2 4 3 3" xfId="37772" xr:uid="{00000000-0005-0000-0000-000037380000}"/>
    <cellStyle name="Normal 10 4 3 2 4 4" xfId="9338" xr:uid="{00000000-0005-0000-0000-000038380000}"/>
    <cellStyle name="Normal 10 4 3 2 4 4 2" xfId="21781" xr:uid="{00000000-0005-0000-0000-000039380000}"/>
    <cellStyle name="Normal 10 4 3 2 4 4 2 2" xfId="46655" xr:uid="{00000000-0005-0000-0000-00003A380000}"/>
    <cellStyle name="Normal 10 4 3 2 4 4 3" xfId="34222" xr:uid="{00000000-0005-0000-0000-00003B380000}"/>
    <cellStyle name="Normal 10 4 3 2 4 5" xfId="4320" xr:uid="{00000000-0005-0000-0000-00003C380000}"/>
    <cellStyle name="Normal 10 4 3 2 4 5 2" xfId="16774" xr:uid="{00000000-0005-0000-0000-00003D380000}"/>
    <cellStyle name="Normal 10 4 3 2 4 5 2 2" xfId="41648" xr:uid="{00000000-0005-0000-0000-00003E380000}"/>
    <cellStyle name="Normal 10 4 3 2 4 5 3" xfId="29215" xr:uid="{00000000-0005-0000-0000-00003F380000}"/>
    <cellStyle name="Normal 10 4 3 2 4 6" xfId="15082" xr:uid="{00000000-0005-0000-0000-000040380000}"/>
    <cellStyle name="Normal 10 4 3 2 4 6 2" xfId="39956" xr:uid="{00000000-0005-0000-0000-000041380000}"/>
    <cellStyle name="Normal 10 4 3 2 4 7" xfId="27515" xr:uid="{00000000-0005-0000-0000-000042380000}"/>
    <cellStyle name="Normal 10 4 3 2 5" xfId="1239" xr:uid="{00000000-0005-0000-0000-000043380000}"/>
    <cellStyle name="Normal 10 4 3 2 5 2" xfId="10400" xr:uid="{00000000-0005-0000-0000-000044380000}"/>
    <cellStyle name="Normal 10 4 3 2 5 2 2" xfId="22843" xr:uid="{00000000-0005-0000-0000-000045380000}"/>
    <cellStyle name="Normal 10 4 3 2 5 2 2 2" xfId="47717" xr:uid="{00000000-0005-0000-0000-000046380000}"/>
    <cellStyle name="Normal 10 4 3 2 5 2 3" xfId="35284" xr:uid="{00000000-0005-0000-0000-000047380000}"/>
    <cellStyle name="Normal 10 4 3 2 5 3" xfId="5384" xr:uid="{00000000-0005-0000-0000-000048380000}"/>
    <cellStyle name="Normal 10 4 3 2 5 3 2" xfId="17836" xr:uid="{00000000-0005-0000-0000-000049380000}"/>
    <cellStyle name="Normal 10 4 3 2 5 3 2 2" xfId="42710" xr:uid="{00000000-0005-0000-0000-00004A380000}"/>
    <cellStyle name="Normal 10 4 3 2 5 3 3" xfId="30277" xr:uid="{00000000-0005-0000-0000-00004B380000}"/>
    <cellStyle name="Normal 10 4 3 2 5 4" xfId="14039" xr:uid="{00000000-0005-0000-0000-00004C380000}"/>
    <cellStyle name="Normal 10 4 3 2 5 4 2" xfId="38913" xr:uid="{00000000-0005-0000-0000-00004D380000}"/>
    <cellStyle name="Normal 10 4 3 2 5 5" xfId="26472" xr:uid="{00000000-0005-0000-0000-00004E380000}"/>
    <cellStyle name="Normal 10 4 3 2 6" xfId="7961" xr:uid="{00000000-0005-0000-0000-00004F380000}"/>
    <cellStyle name="Normal 10 4 3 2 6 2" xfId="20407" xr:uid="{00000000-0005-0000-0000-000050380000}"/>
    <cellStyle name="Normal 10 4 3 2 6 2 2" xfId="45281" xr:uid="{00000000-0005-0000-0000-000051380000}"/>
    <cellStyle name="Normal 10 4 3 2 6 3" xfId="32848" xr:uid="{00000000-0005-0000-0000-000052380000}"/>
    <cellStyle name="Normal 10 4 3 2 7" xfId="11854" xr:uid="{00000000-0005-0000-0000-000053380000}"/>
    <cellStyle name="Normal 10 4 3 2 7 2" xfId="24288" xr:uid="{00000000-0005-0000-0000-000054380000}"/>
    <cellStyle name="Normal 10 4 3 2 7 2 2" xfId="49162" xr:uid="{00000000-0005-0000-0000-000055380000}"/>
    <cellStyle name="Normal 10 4 3 2 7 3" xfId="36729" xr:uid="{00000000-0005-0000-0000-000056380000}"/>
    <cellStyle name="Normal 10 4 3 2 8" xfId="6931" xr:uid="{00000000-0005-0000-0000-000057380000}"/>
    <cellStyle name="Normal 10 4 3 2 8 2" xfId="19380" xr:uid="{00000000-0005-0000-0000-000058380000}"/>
    <cellStyle name="Normal 10 4 3 2 8 2 2" xfId="44254" xr:uid="{00000000-0005-0000-0000-000059380000}"/>
    <cellStyle name="Normal 10 4 3 2 8 3" xfId="31821" xr:uid="{00000000-0005-0000-0000-00005A380000}"/>
    <cellStyle name="Normal 10 4 3 2 9" xfId="2882" xr:uid="{00000000-0005-0000-0000-00005B380000}"/>
    <cellStyle name="Normal 10 4 3 2 9 2" xfId="15400" xr:uid="{00000000-0005-0000-0000-00005C380000}"/>
    <cellStyle name="Normal 10 4 3 2 9 2 2" xfId="40274" xr:uid="{00000000-0005-0000-0000-00005D380000}"/>
    <cellStyle name="Normal 10 4 3 2 9 3" xfId="27833" xr:uid="{00000000-0005-0000-0000-00005E380000}"/>
    <cellStyle name="Normal 10 4 3 2_Degree data" xfId="2090" xr:uid="{00000000-0005-0000-0000-00005F380000}"/>
    <cellStyle name="Normal 10 4 3 3" xfId="639" xr:uid="{00000000-0005-0000-0000-000060380000}"/>
    <cellStyle name="Normal 10 4 3 3 2" xfId="1378" xr:uid="{00000000-0005-0000-0000-000061380000}"/>
    <cellStyle name="Normal 10 4 3 3 2 2" xfId="9133" xr:uid="{00000000-0005-0000-0000-000062380000}"/>
    <cellStyle name="Normal 10 4 3 3 2 2 2" xfId="21576" xr:uid="{00000000-0005-0000-0000-000063380000}"/>
    <cellStyle name="Normal 10 4 3 3 2 2 2 2" xfId="46450" xr:uid="{00000000-0005-0000-0000-000064380000}"/>
    <cellStyle name="Normal 10 4 3 3 2 2 3" xfId="34017" xr:uid="{00000000-0005-0000-0000-000065380000}"/>
    <cellStyle name="Normal 10 4 3 3 2 3" xfId="4115" xr:uid="{00000000-0005-0000-0000-000066380000}"/>
    <cellStyle name="Normal 10 4 3 3 2 3 2" xfId="16569" xr:uid="{00000000-0005-0000-0000-000067380000}"/>
    <cellStyle name="Normal 10 4 3 3 2 3 2 2" xfId="41443" xr:uid="{00000000-0005-0000-0000-000068380000}"/>
    <cellStyle name="Normal 10 4 3 3 2 3 3" xfId="29010" xr:uid="{00000000-0005-0000-0000-000069380000}"/>
    <cellStyle name="Normal 10 4 3 3 2 4" xfId="14178" xr:uid="{00000000-0005-0000-0000-00006A380000}"/>
    <cellStyle name="Normal 10 4 3 3 2 4 2" xfId="39052" xr:uid="{00000000-0005-0000-0000-00006B380000}"/>
    <cellStyle name="Normal 10 4 3 3 2 5" xfId="26611" xr:uid="{00000000-0005-0000-0000-00006C380000}"/>
    <cellStyle name="Normal 10 4 3 3 3" xfId="5523" xr:uid="{00000000-0005-0000-0000-00006D380000}"/>
    <cellStyle name="Normal 10 4 3 3 3 2" xfId="10539" xr:uid="{00000000-0005-0000-0000-00006E380000}"/>
    <cellStyle name="Normal 10 4 3 3 3 2 2" xfId="22982" xr:uid="{00000000-0005-0000-0000-00006F380000}"/>
    <cellStyle name="Normal 10 4 3 3 3 2 2 2" xfId="47856" xr:uid="{00000000-0005-0000-0000-000070380000}"/>
    <cellStyle name="Normal 10 4 3 3 3 2 3" xfId="35423" xr:uid="{00000000-0005-0000-0000-000071380000}"/>
    <cellStyle name="Normal 10 4 3 3 3 3" xfId="17975" xr:uid="{00000000-0005-0000-0000-000072380000}"/>
    <cellStyle name="Normal 10 4 3 3 3 3 2" xfId="42849" xr:uid="{00000000-0005-0000-0000-000073380000}"/>
    <cellStyle name="Normal 10 4 3 3 3 4" xfId="30416" xr:uid="{00000000-0005-0000-0000-000074380000}"/>
    <cellStyle name="Normal 10 4 3 3 4" xfId="8249" xr:uid="{00000000-0005-0000-0000-000075380000}"/>
    <cellStyle name="Normal 10 4 3 3 4 2" xfId="20693" xr:uid="{00000000-0005-0000-0000-000076380000}"/>
    <cellStyle name="Normal 10 4 3 3 4 2 2" xfId="45567" xr:uid="{00000000-0005-0000-0000-000077380000}"/>
    <cellStyle name="Normal 10 4 3 3 4 3" xfId="33134" xr:uid="{00000000-0005-0000-0000-000078380000}"/>
    <cellStyle name="Normal 10 4 3 3 5" xfId="11993" xr:uid="{00000000-0005-0000-0000-000079380000}"/>
    <cellStyle name="Normal 10 4 3 3 5 2" xfId="24427" xr:uid="{00000000-0005-0000-0000-00007A380000}"/>
    <cellStyle name="Normal 10 4 3 3 5 2 2" xfId="49301" xr:uid="{00000000-0005-0000-0000-00007B380000}"/>
    <cellStyle name="Normal 10 4 3 3 5 3" xfId="36868" xr:uid="{00000000-0005-0000-0000-00007C380000}"/>
    <cellStyle name="Normal 10 4 3 3 6" xfId="6726" xr:uid="{00000000-0005-0000-0000-00007D380000}"/>
    <cellStyle name="Normal 10 4 3 3 6 2" xfId="19175" xr:uid="{00000000-0005-0000-0000-00007E380000}"/>
    <cellStyle name="Normal 10 4 3 3 6 2 2" xfId="44049" xr:uid="{00000000-0005-0000-0000-00007F380000}"/>
    <cellStyle name="Normal 10 4 3 3 6 3" xfId="31616" xr:uid="{00000000-0005-0000-0000-000080380000}"/>
    <cellStyle name="Normal 10 4 3 3 7" xfId="3180" xr:uid="{00000000-0005-0000-0000-000081380000}"/>
    <cellStyle name="Normal 10 4 3 3 7 2" xfId="15686" xr:uid="{00000000-0005-0000-0000-000082380000}"/>
    <cellStyle name="Normal 10 4 3 3 7 2 2" xfId="40560" xr:uid="{00000000-0005-0000-0000-000083380000}"/>
    <cellStyle name="Normal 10 4 3 3 7 3" xfId="28119" xr:uid="{00000000-0005-0000-0000-000084380000}"/>
    <cellStyle name="Normal 10 4 3 3 8" xfId="13443" xr:uid="{00000000-0005-0000-0000-000085380000}"/>
    <cellStyle name="Normal 10 4 3 3 8 2" xfId="38317" xr:uid="{00000000-0005-0000-0000-000086380000}"/>
    <cellStyle name="Normal 10 4 3 3 9" xfId="25876" xr:uid="{00000000-0005-0000-0000-000087380000}"/>
    <cellStyle name="Normal 10 4 3 4" xfId="1726" xr:uid="{00000000-0005-0000-0000-000088380000}"/>
    <cellStyle name="Normal 10 4 3 4 2" xfId="4464" xr:uid="{00000000-0005-0000-0000-000089380000}"/>
    <cellStyle name="Normal 10 4 3 4 2 2" xfId="9482" xr:uid="{00000000-0005-0000-0000-00008A380000}"/>
    <cellStyle name="Normal 10 4 3 4 2 2 2" xfId="21925" xr:uid="{00000000-0005-0000-0000-00008B380000}"/>
    <cellStyle name="Normal 10 4 3 4 2 2 2 2" xfId="46799" xr:uid="{00000000-0005-0000-0000-00008C380000}"/>
    <cellStyle name="Normal 10 4 3 4 2 2 3" xfId="34366" xr:uid="{00000000-0005-0000-0000-00008D380000}"/>
    <cellStyle name="Normal 10 4 3 4 2 3" xfId="16918" xr:uid="{00000000-0005-0000-0000-00008E380000}"/>
    <cellStyle name="Normal 10 4 3 4 2 3 2" xfId="41792" xr:uid="{00000000-0005-0000-0000-00008F380000}"/>
    <cellStyle name="Normal 10 4 3 4 2 4" xfId="29359" xr:uid="{00000000-0005-0000-0000-000090380000}"/>
    <cellStyle name="Normal 10 4 3 4 3" xfId="5872" xr:uid="{00000000-0005-0000-0000-000091380000}"/>
    <cellStyle name="Normal 10 4 3 4 3 2" xfId="10887" xr:uid="{00000000-0005-0000-0000-000092380000}"/>
    <cellStyle name="Normal 10 4 3 4 3 2 2" xfId="23330" xr:uid="{00000000-0005-0000-0000-000093380000}"/>
    <cellStyle name="Normal 10 4 3 4 3 2 2 2" xfId="48204" xr:uid="{00000000-0005-0000-0000-000094380000}"/>
    <cellStyle name="Normal 10 4 3 4 3 2 3" xfId="35771" xr:uid="{00000000-0005-0000-0000-000095380000}"/>
    <cellStyle name="Normal 10 4 3 4 3 3" xfId="18323" xr:uid="{00000000-0005-0000-0000-000096380000}"/>
    <cellStyle name="Normal 10 4 3 4 3 3 2" xfId="43197" xr:uid="{00000000-0005-0000-0000-000097380000}"/>
    <cellStyle name="Normal 10 4 3 4 3 4" xfId="30764" xr:uid="{00000000-0005-0000-0000-000098380000}"/>
    <cellStyle name="Normal 10 4 3 4 4" xfId="8598" xr:uid="{00000000-0005-0000-0000-000099380000}"/>
    <cellStyle name="Normal 10 4 3 4 4 2" xfId="21042" xr:uid="{00000000-0005-0000-0000-00009A380000}"/>
    <cellStyle name="Normal 10 4 3 4 4 2 2" xfId="45916" xr:uid="{00000000-0005-0000-0000-00009B380000}"/>
    <cellStyle name="Normal 10 4 3 4 4 3" xfId="33483" xr:uid="{00000000-0005-0000-0000-00009C380000}"/>
    <cellStyle name="Normal 10 4 3 4 5" xfId="12341" xr:uid="{00000000-0005-0000-0000-00009D380000}"/>
    <cellStyle name="Normal 10 4 3 4 5 2" xfId="24775" xr:uid="{00000000-0005-0000-0000-00009E380000}"/>
    <cellStyle name="Normal 10 4 3 4 5 2 2" xfId="49649" xr:uid="{00000000-0005-0000-0000-00009F380000}"/>
    <cellStyle name="Normal 10 4 3 4 5 3" xfId="37216" xr:uid="{00000000-0005-0000-0000-0000A0380000}"/>
    <cellStyle name="Normal 10 4 3 4 6" xfId="7075" xr:uid="{00000000-0005-0000-0000-0000A1380000}"/>
    <cellStyle name="Normal 10 4 3 4 6 2" xfId="19524" xr:uid="{00000000-0005-0000-0000-0000A2380000}"/>
    <cellStyle name="Normal 10 4 3 4 6 2 2" xfId="44398" xr:uid="{00000000-0005-0000-0000-0000A3380000}"/>
    <cellStyle name="Normal 10 4 3 4 6 3" xfId="31965" xr:uid="{00000000-0005-0000-0000-0000A4380000}"/>
    <cellStyle name="Normal 10 4 3 4 7" xfId="3529" xr:uid="{00000000-0005-0000-0000-0000A5380000}"/>
    <cellStyle name="Normal 10 4 3 4 7 2" xfId="16035" xr:uid="{00000000-0005-0000-0000-0000A6380000}"/>
    <cellStyle name="Normal 10 4 3 4 7 2 2" xfId="40909" xr:uid="{00000000-0005-0000-0000-0000A7380000}"/>
    <cellStyle name="Normal 10 4 3 4 7 3" xfId="28468" xr:uid="{00000000-0005-0000-0000-0000A8380000}"/>
    <cellStyle name="Normal 10 4 3 4 8" xfId="14526" xr:uid="{00000000-0005-0000-0000-0000A9380000}"/>
    <cellStyle name="Normal 10 4 3 4 8 2" xfId="39400" xr:uid="{00000000-0005-0000-0000-0000AA380000}"/>
    <cellStyle name="Normal 10 4 3 4 9" xfId="26959" xr:uid="{00000000-0005-0000-0000-0000AB380000}"/>
    <cellStyle name="Normal 10 4 3 5" xfId="2195" xr:uid="{00000000-0005-0000-0000-0000AC380000}"/>
    <cellStyle name="Normal 10 4 3 5 2" xfId="4825" xr:uid="{00000000-0005-0000-0000-0000AD380000}"/>
    <cellStyle name="Normal 10 4 3 5 2 2" xfId="9842" xr:uid="{00000000-0005-0000-0000-0000AE380000}"/>
    <cellStyle name="Normal 10 4 3 5 2 2 2" xfId="22285" xr:uid="{00000000-0005-0000-0000-0000AF380000}"/>
    <cellStyle name="Normal 10 4 3 5 2 2 2 2" xfId="47159" xr:uid="{00000000-0005-0000-0000-0000B0380000}"/>
    <cellStyle name="Normal 10 4 3 5 2 2 3" xfId="34726" xr:uid="{00000000-0005-0000-0000-0000B1380000}"/>
    <cellStyle name="Normal 10 4 3 5 2 3" xfId="17278" xr:uid="{00000000-0005-0000-0000-0000B2380000}"/>
    <cellStyle name="Normal 10 4 3 5 2 3 2" xfId="42152" xr:uid="{00000000-0005-0000-0000-0000B3380000}"/>
    <cellStyle name="Normal 10 4 3 5 2 4" xfId="29719" xr:uid="{00000000-0005-0000-0000-0000B4380000}"/>
    <cellStyle name="Normal 10 4 3 5 3" xfId="6223" xr:uid="{00000000-0005-0000-0000-0000B5380000}"/>
    <cellStyle name="Normal 10 4 3 5 3 2" xfId="11238" xr:uid="{00000000-0005-0000-0000-0000B6380000}"/>
    <cellStyle name="Normal 10 4 3 5 3 2 2" xfId="23681" xr:uid="{00000000-0005-0000-0000-0000B7380000}"/>
    <cellStyle name="Normal 10 4 3 5 3 2 2 2" xfId="48555" xr:uid="{00000000-0005-0000-0000-0000B8380000}"/>
    <cellStyle name="Normal 10 4 3 5 3 2 3" xfId="36122" xr:uid="{00000000-0005-0000-0000-0000B9380000}"/>
    <cellStyle name="Normal 10 4 3 5 3 3" xfId="18674" xr:uid="{00000000-0005-0000-0000-0000BA380000}"/>
    <cellStyle name="Normal 10 4 3 5 3 3 2" xfId="43548" xr:uid="{00000000-0005-0000-0000-0000BB380000}"/>
    <cellStyle name="Normal 10 4 3 5 3 4" xfId="31115" xr:uid="{00000000-0005-0000-0000-0000BC380000}"/>
    <cellStyle name="Normal 10 4 3 5 4" xfId="8135" xr:uid="{00000000-0005-0000-0000-0000BD380000}"/>
    <cellStyle name="Normal 10 4 3 5 4 2" xfId="20581" xr:uid="{00000000-0005-0000-0000-0000BE380000}"/>
    <cellStyle name="Normal 10 4 3 5 4 2 2" xfId="45455" xr:uid="{00000000-0005-0000-0000-0000BF380000}"/>
    <cellStyle name="Normal 10 4 3 5 4 3" xfId="33022" xr:uid="{00000000-0005-0000-0000-0000C0380000}"/>
    <cellStyle name="Normal 10 4 3 5 5" xfId="12692" xr:uid="{00000000-0005-0000-0000-0000C1380000}"/>
    <cellStyle name="Normal 10 4 3 5 5 2" xfId="25126" xr:uid="{00000000-0005-0000-0000-0000C2380000}"/>
    <cellStyle name="Normal 10 4 3 5 5 2 2" xfId="50000" xr:uid="{00000000-0005-0000-0000-0000C3380000}"/>
    <cellStyle name="Normal 10 4 3 5 5 3" xfId="37567" xr:uid="{00000000-0005-0000-0000-0000C4380000}"/>
    <cellStyle name="Normal 10 4 3 5 6" xfId="7436" xr:uid="{00000000-0005-0000-0000-0000C5380000}"/>
    <cellStyle name="Normal 10 4 3 5 6 2" xfId="19884" xr:uid="{00000000-0005-0000-0000-0000C6380000}"/>
    <cellStyle name="Normal 10 4 3 5 6 2 2" xfId="44758" xr:uid="{00000000-0005-0000-0000-0000C7380000}"/>
    <cellStyle name="Normal 10 4 3 5 6 3" xfId="32325" xr:uid="{00000000-0005-0000-0000-0000C8380000}"/>
    <cellStyle name="Normal 10 4 3 5 7" xfId="3065" xr:uid="{00000000-0005-0000-0000-0000C9380000}"/>
    <cellStyle name="Normal 10 4 3 5 7 2" xfId="15574" xr:uid="{00000000-0005-0000-0000-0000CA380000}"/>
    <cellStyle name="Normal 10 4 3 5 7 2 2" xfId="40448" xr:uid="{00000000-0005-0000-0000-0000CB380000}"/>
    <cellStyle name="Normal 10 4 3 5 7 3" xfId="28007" xr:uid="{00000000-0005-0000-0000-0000CC380000}"/>
    <cellStyle name="Normal 10 4 3 5 8" xfId="14877" xr:uid="{00000000-0005-0000-0000-0000CD380000}"/>
    <cellStyle name="Normal 10 4 3 5 8 2" xfId="39751" xr:uid="{00000000-0005-0000-0000-0000CE380000}"/>
    <cellStyle name="Normal 10 4 3 5 9" xfId="27310" xr:uid="{00000000-0005-0000-0000-0000CF380000}"/>
    <cellStyle name="Normal 10 4 3 6" xfId="1034" xr:uid="{00000000-0005-0000-0000-0000D0380000}"/>
    <cellStyle name="Normal 10 4 3 6 2" xfId="9021" xr:uid="{00000000-0005-0000-0000-0000D1380000}"/>
    <cellStyle name="Normal 10 4 3 6 2 2" xfId="21464" xr:uid="{00000000-0005-0000-0000-0000D2380000}"/>
    <cellStyle name="Normal 10 4 3 6 2 2 2" xfId="46338" xr:uid="{00000000-0005-0000-0000-0000D3380000}"/>
    <cellStyle name="Normal 10 4 3 6 2 3" xfId="33905" xr:uid="{00000000-0005-0000-0000-0000D4380000}"/>
    <cellStyle name="Normal 10 4 3 6 3" xfId="4003" xr:uid="{00000000-0005-0000-0000-0000D5380000}"/>
    <cellStyle name="Normal 10 4 3 6 3 2" xfId="16457" xr:uid="{00000000-0005-0000-0000-0000D6380000}"/>
    <cellStyle name="Normal 10 4 3 6 3 2 2" xfId="41331" xr:uid="{00000000-0005-0000-0000-0000D7380000}"/>
    <cellStyle name="Normal 10 4 3 6 3 3" xfId="28898" xr:uid="{00000000-0005-0000-0000-0000D8380000}"/>
    <cellStyle name="Normal 10 4 3 6 4" xfId="13834" xr:uid="{00000000-0005-0000-0000-0000D9380000}"/>
    <cellStyle name="Normal 10 4 3 6 4 2" xfId="38708" xr:uid="{00000000-0005-0000-0000-0000DA380000}"/>
    <cellStyle name="Normal 10 4 3 6 5" xfId="26267" xr:uid="{00000000-0005-0000-0000-0000DB380000}"/>
    <cellStyle name="Normal 10 4 3 7" xfId="5179" xr:uid="{00000000-0005-0000-0000-0000DC380000}"/>
    <cellStyle name="Normal 10 4 3 7 2" xfId="10195" xr:uid="{00000000-0005-0000-0000-0000DD380000}"/>
    <cellStyle name="Normal 10 4 3 7 2 2" xfId="22638" xr:uid="{00000000-0005-0000-0000-0000DE380000}"/>
    <cellStyle name="Normal 10 4 3 7 2 2 2" xfId="47512" xr:uid="{00000000-0005-0000-0000-0000DF380000}"/>
    <cellStyle name="Normal 10 4 3 7 2 3" xfId="35079" xr:uid="{00000000-0005-0000-0000-0000E0380000}"/>
    <cellStyle name="Normal 10 4 3 7 3" xfId="17631" xr:uid="{00000000-0005-0000-0000-0000E1380000}"/>
    <cellStyle name="Normal 10 4 3 7 3 2" xfId="42505" xr:uid="{00000000-0005-0000-0000-0000E2380000}"/>
    <cellStyle name="Normal 10 4 3 7 4" xfId="30072" xr:uid="{00000000-0005-0000-0000-0000E3380000}"/>
    <cellStyle name="Normal 10 4 3 8" xfId="7756" xr:uid="{00000000-0005-0000-0000-0000E4380000}"/>
    <cellStyle name="Normal 10 4 3 8 2" xfId="20202" xr:uid="{00000000-0005-0000-0000-0000E5380000}"/>
    <cellStyle name="Normal 10 4 3 8 2 2" xfId="45076" xr:uid="{00000000-0005-0000-0000-0000E6380000}"/>
    <cellStyle name="Normal 10 4 3 8 3" xfId="32643" xr:uid="{00000000-0005-0000-0000-0000E7380000}"/>
    <cellStyle name="Normal 10 4 3 9" xfId="11649" xr:uid="{00000000-0005-0000-0000-0000E8380000}"/>
    <cellStyle name="Normal 10 4 3 9 2" xfId="24083" xr:uid="{00000000-0005-0000-0000-0000E9380000}"/>
    <cellStyle name="Normal 10 4 3 9 2 2" xfId="48957" xr:uid="{00000000-0005-0000-0000-0000EA380000}"/>
    <cellStyle name="Normal 10 4 3 9 3" xfId="36524" xr:uid="{00000000-0005-0000-0000-0000EB380000}"/>
    <cellStyle name="Normal 10 4 3_Degree data" xfId="2081" xr:uid="{00000000-0005-0000-0000-0000EC380000}"/>
    <cellStyle name="Normal 10 4 4" xfId="380" xr:uid="{00000000-0005-0000-0000-0000ED380000}"/>
    <cellStyle name="Normal 10 4 4 10" xfId="13196" xr:uid="{00000000-0005-0000-0000-0000EE380000}"/>
    <cellStyle name="Normal 10 4 4 10 2" xfId="38070" xr:uid="{00000000-0005-0000-0000-0000EF380000}"/>
    <cellStyle name="Normal 10 4 4 11" xfId="25629" xr:uid="{00000000-0005-0000-0000-0000F0380000}"/>
    <cellStyle name="Normal 10 4 4 2" xfId="740" xr:uid="{00000000-0005-0000-0000-0000F1380000}"/>
    <cellStyle name="Normal 10 4 4 2 2" xfId="1380" xr:uid="{00000000-0005-0000-0000-0000F2380000}"/>
    <cellStyle name="Normal 10 4 4 2 2 2" xfId="9484" xr:uid="{00000000-0005-0000-0000-0000F3380000}"/>
    <cellStyle name="Normal 10 4 4 2 2 2 2" xfId="21927" xr:uid="{00000000-0005-0000-0000-0000F4380000}"/>
    <cellStyle name="Normal 10 4 4 2 2 2 2 2" xfId="46801" xr:uid="{00000000-0005-0000-0000-0000F5380000}"/>
    <cellStyle name="Normal 10 4 4 2 2 2 3" xfId="34368" xr:uid="{00000000-0005-0000-0000-0000F6380000}"/>
    <cellStyle name="Normal 10 4 4 2 2 3" xfId="4466" xr:uid="{00000000-0005-0000-0000-0000F7380000}"/>
    <cellStyle name="Normal 10 4 4 2 2 3 2" xfId="16920" xr:uid="{00000000-0005-0000-0000-0000F8380000}"/>
    <cellStyle name="Normal 10 4 4 2 2 3 2 2" xfId="41794" xr:uid="{00000000-0005-0000-0000-0000F9380000}"/>
    <cellStyle name="Normal 10 4 4 2 2 3 3" xfId="29361" xr:uid="{00000000-0005-0000-0000-0000FA380000}"/>
    <cellStyle name="Normal 10 4 4 2 2 4" xfId="14180" xr:uid="{00000000-0005-0000-0000-0000FB380000}"/>
    <cellStyle name="Normal 10 4 4 2 2 4 2" xfId="39054" xr:uid="{00000000-0005-0000-0000-0000FC380000}"/>
    <cellStyle name="Normal 10 4 4 2 2 5" xfId="26613" xr:uid="{00000000-0005-0000-0000-0000FD380000}"/>
    <cellStyle name="Normal 10 4 4 2 3" xfId="5525" xr:uid="{00000000-0005-0000-0000-0000FE380000}"/>
    <cellStyle name="Normal 10 4 4 2 3 2" xfId="10541" xr:uid="{00000000-0005-0000-0000-0000FF380000}"/>
    <cellStyle name="Normal 10 4 4 2 3 2 2" xfId="22984" xr:uid="{00000000-0005-0000-0000-000000390000}"/>
    <cellStyle name="Normal 10 4 4 2 3 2 2 2" xfId="47858" xr:uid="{00000000-0005-0000-0000-000001390000}"/>
    <cellStyle name="Normal 10 4 4 2 3 2 3" xfId="35425" xr:uid="{00000000-0005-0000-0000-000002390000}"/>
    <cellStyle name="Normal 10 4 4 2 3 3" xfId="17977" xr:uid="{00000000-0005-0000-0000-000003390000}"/>
    <cellStyle name="Normal 10 4 4 2 3 3 2" xfId="42851" xr:uid="{00000000-0005-0000-0000-000004390000}"/>
    <cellStyle name="Normal 10 4 4 2 3 4" xfId="30418" xr:uid="{00000000-0005-0000-0000-000005390000}"/>
    <cellStyle name="Normal 10 4 4 2 4" xfId="8600" xr:uid="{00000000-0005-0000-0000-000006390000}"/>
    <cellStyle name="Normal 10 4 4 2 4 2" xfId="21044" xr:uid="{00000000-0005-0000-0000-000007390000}"/>
    <cellStyle name="Normal 10 4 4 2 4 2 2" xfId="45918" xr:uid="{00000000-0005-0000-0000-000008390000}"/>
    <cellStyle name="Normal 10 4 4 2 4 3" xfId="33485" xr:uid="{00000000-0005-0000-0000-000009390000}"/>
    <cellStyle name="Normal 10 4 4 2 5" xfId="11995" xr:uid="{00000000-0005-0000-0000-00000A390000}"/>
    <cellStyle name="Normal 10 4 4 2 5 2" xfId="24429" xr:uid="{00000000-0005-0000-0000-00000B390000}"/>
    <cellStyle name="Normal 10 4 4 2 5 2 2" xfId="49303" xr:uid="{00000000-0005-0000-0000-00000C390000}"/>
    <cellStyle name="Normal 10 4 4 2 5 3" xfId="36870" xr:uid="{00000000-0005-0000-0000-00000D390000}"/>
    <cellStyle name="Normal 10 4 4 2 6" xfId="7077" xr:uid="{00000000-0005-0000-0000-00000E390000}"/>
    <cellStyle name="Normal 10 4 4 2 6 2" xfId="19526" xr:uid="{00000000-0005-0000-0000-00000F390000}"/>
    <cellStyle name="Normal 10 4 4 2 6 2 2" xfId="44400" xr:uid="{00000000-0005-0000-0000-000010390000}"/>
    <cellStyle name="Normal 10 4 4 2 6 3" xfId="31967" xr:uid="{00000000-0005-0000-0000-000011390000}"/>
    <cellStyle name="Normal 10 4 4 2 7" xfId="3531" xr:uid="{00000000-0005-0000-0000-000012390000}"/>
    <cellStyle name="Normal 10 4 4 2 7 2" xfId="16037" xr:uid="{00000000-0005-0000-0000-000013390000}"/>
    <cellStyle name="Normal 10 4 4 2 7 2 2" xfId="40911" xr:uid="{00000000-0005-0000-0000-000014390000}"/>
    <cellStyle name="Normal 10 4 4 2 7 3" xfId="28470" xr:uid="{00000000-0005-0000-0000-000015390000}"/>
    <cellStyle name="Normal 10 4 4 2 8" xfId="13543" xr:uid="{00000000-0005-0000-0000-000016390000}"/>
    <cellStyle name="Normal 10 4 4 2 8 2" xfId="38417" xr:uid="{00000000-0005-0000-0000-000017390000}"/>
    <cellStyle name="Normal 10 4 4 2 9" xfId="25976" xr:uid="{00000000-0005-0000-0000-000018390000}"/>
    <cellStyle name="Normal 10 4 4 3" xfId="1728" xr:uid="{00000000-0005-0000-0000-000019390000}"/>
    <cellStyle name="Normal 10 4 4 3 2" xfId="4925" xr:uid="{00000000-0005-0000-0000-00001A390000}"/>
    <cellStyle name="Normal 10 4 4 3 2 2" xfId="9942" xr:uid="{00000000-0005-0000-0000-00001B390000}"/>
    <cellStyle name="Normal 10 4 4 3 2 2 2" xfId="22385" xr:uid="{00000000-0005-0000-0000-00001C390000}"/>
    <cellStyle name="Normal 10 4 4 3 2 2 2 2" xfId="47259" xr:uid="{00000000-0005-0000-0000-00001D390000}"/>
    <cellStyle name="Normal 10 4 4 3 2 2 3" xfId="34826" xr:uid="{00000000-0005-0000-0000-00001E390000}"/>
    <cellStyle name="Normal 10 4 4 3 2 3" xfId="17378" xr:uid="{00000000-0005-0000-0000-00001F390000}"/>
    <cellStyle name="Normal 10 4 4 3 2 3 2" xfId="42252" xr:uid="{00000000-0005-0000-0000-000020390000}"/>
    <cellStyle name="Normal 10 4 4 3 2 4" xfId="29819" xr:uid="{00000000-0005-0000-0000-000021390000}"/>
    <cellStyle name="Normal 10 4 4 3 3" xfId="5874" xr:uid="{00000000-0005-0000-0000-000022390000}"/>
    <cellStyle name="Normal 10 4 4 3 3 2" xfId="10889" xr:uid="{00000000-0005-0000-0000-000023390000}"/>
    <cellStyle name="Normal 10 4 4 3 3 2 2" xfId="23332" xr:uid="{00000000-0005-0000-0000-000024390000}"/>
    <cellStyle name="Normal 10 4 4 3 3 2 2 2" xfId="48206" xr:uid="{00000000-0005-0000-0000-000025390000}"/>
    <cellStyle name="Normal 10 4 4 3 3 2 3" xfId="35773" xr:uid="{00000000-0005-0000-0000-000026390000}"/>
    <cellStyle name="Normal 10 4 4 3 3 3" xfId="18325" xr:uid="{00000000-0005-0000-0000-000027390000}"/>
    <cellStyle name="Normal 10 4 4 3 3 3 2" xfId="43199" xr:uid="{00000000-0005-0000-0000-000028390000}"/>
    <cellStyle name="Normal 10 4 4 3 3 4" xfId="30766" xr:uid="{00000000-0005-0000-0000-000029390000}"/>
    <cellStyle name="Normal 10 4 4 3 4" xfId="8349" xr:uid="{00000000-0005-0000-0000-00002A390000}"/>
    <cellStyle name="Normal 10 4 4 3 4 2" xfId="20793" xr:uid="{00000000-0005-0000-0000-00002B390000}"/>
    <cellStyle name="Normal 10 4 4 3 4 2 2" xfId="45667" xr:uid="{00000000-0005-0000-0000-00002C390000}"/>
    <cellStyle name="Normal 10 4 4 3 4 3" xfId="33234" xr:uid="{00000000-0005-0000-0000-00002D390000}"/>
    <cellStyle name="Normal 10 4 4 3 5" xfId="12343" xr:uid="{00000000-0005-0000-0000-00002E390000}"/>
    <cellStyle name="Normal 10 4 4 3 5 2" xfId="24777" xr:uid="{00000000-0005-0000-0000-00002F390000}"/>
    <cellStyle name="Normal 10 4 4 3 5 2 2" xfId="49651" xr:uid="{00000000-0005-0000-0000-000030390000}"/>
    <cellStyle name="Normal 10 4 4 3 5 3" xfId="37218" xr:uid="{00000000-0005-0000-0000-000031390000}"/>
    <cellStyle name="Normal 10 4 4 3 6" xfId="7536" xr:uid="{00000000-0005-0000-0000-000032390000}"/>
    <cellStyle name="Normal 10 4 4 3 6 2" xfId="19984" xr:uid="{00000000-0005-0000-0000-000033390000}"/>
    <cellStyle name="Normal 10 4 4 3 6 2 2" xfId="44858" xr:uid="{00000000-0005-0000-0000-000034390000}"/>
    <cellStyle name="Normal 10 4 4 3 6 3" xfId="32425" xr:uid="{00000000-0005-0000-0000-000035390000}"/>
    <cellStyle name="Normal 10 4 4 3 7" xfId="3280" xr:uid="{00000000-0005-0000-0000-000036390000}"/>
    <cellStyle name="Normal 10 4 4 3 7 2" xfId="15786" xr:uid="{00000000-0005-0000-0000-000037390000}"/>
    <cellStyle name="Normal 10 4 4 3 7 2 2" xfId="40660" xr:uid="{00000000-0005-0000-0000-000038390000}"/>
    <cellStyle name="Normal 10 4 4 3 7 3" xfId="28219" xr:uid="{00000000-0005-0000-0000-000039390000}"/>
    <cellStyle name="Normal 10 4 4 3 8" xfId="14528" xr:uid="{00000000-0005-0000-0000-00003A390000}"/>
    <cellStyle name="Normal 10 4 4 3 8 2" xfId="39402" xr:uid="{00000000-0005-0000-0000-00003B390000}"/>
    <cellStyle name="Normal 10 4 4 3 9" xfId="26961" xr:uid="{00000000-0005-0000-0000-00003C390000}"/>
    <cellStyle name="Normal 10 4 4 4" xfId="2298" xr:uid="{00000000-0005-0000-0000-00003D390000}"/>
    <cellStyle name="Normal 10 4 4 4 2" xfId="6323" xr:uid="{00000000-0005-0000-0000-00003E390000}"/>
    <cellStyle name="Normal 10 4 4 4 2 2" xfId="11338" xr:uid="{00000000-0005-0000-0000-00003F390000}"/>
    <cellStyle name="Normal 10 4 4 4 2 2 2" xfId="23781" xr:uid="{00000000-0005-0000-0000-000040390000}"/>
    <cellStyle name="Normal 10 4 4 4 2 2 2 2" xfId="48655" xr:uid="{00000000-0005-0000-0000-000041390000}"/>
    <cellStyle name="Normal 10 4 4 4 2 2 3" xfId="36222" xr:uid="{00000000-0005-0000-0000-000042390000}"/>
    <cellStyle name="Normal 10 4 4 4 2 3" xfId="18774" xr:uid="{00000000-0005-0000-0000-000043390000}"/>
    <cellStyle name="Normal 10 4 4 4 2 3 2" xfId="43648" xr:uid="{00000000-0005-0000-0000-000044390000}"/>
    <cellStyle name="Normal 10 4 4 4 2 4" xfId="31215" xr:uid="{00000000-0005-0000-0000-000045390000}"/>
    <cellStyle name="Normal 10 4 4 4 3" xfId="12792" xr:uid="{00000000-0005-0000-0000-000046390000}"/>
    <cellStyle name="Normal 10 4 4 4 3 2" xfId="25226" xr:uid="{00000000-0005-0000-0000-000047390000}"/>
    <cellStyle name="Normal 10 4 4 4 3 2 2" xfId="50100" xr:uid="{00000000-0005-0000-0000-000048390000}"/>
    <cellStyle name="Normal 10 4 4 4 3 3" xfId="37667" xr:uid="{00000000-0005-0000-0000-000049390000}"/>
    <cellStyle name="Normal 10 4 4 4 4" xfId="9233" xr:uid="{00000000-0005-0000-0000-00004A390000}"/>
    <cellStyle name="Normal 10 4 4 4 4 2" xfId="21676" xr:uid="{00000000-0005-0000-0000-00004B390000}"/>
    <cellStyle name="Normal 10 4 4 4 4 2 2" xfId="46550" xr:uid="{00000000-0005-0000-0000-00004C390000}"/>
    <cellStyle name="Normal 10 4 4 4 4 3" xfId="34117" xr:uid="{00000000-0005-0000-0000-00004D390000}"/>
    <cellStyle name="Normal 10 4 4 4 5" xfId="4215" xr:uid="{00000000-0005-0000-0000-00004E390000}"/>
    <cellStyle name="Normal 10 4 4 4 5 2" xfId="16669" xr:uid="{00000000-0005-0000-0000-00004F390000}"/>
    <cellStyle name="Normal 10 4 4 4 5 2 2" xfId="41543" xr:uid="{00000000-0005-0000-0000-000050390000}"/>
    <cellStyle name="Normal 10 4 4 4 5 3" xfId="29110" xr:uid="{00000000-0005-0000-0000-000051390000}"/>
    <cellStyle name="Normal 10 4 4 4 6" xfId="14977" xr:uid="{00000000-0005-0000-0000-000052390000}"/>
    <cellStyle name="Normal 10 4 4 4 6 2" xfId="39851" xr:uid="{00000000-0005-0000-0000-000053390000}"/>
    <cellStyle name="Normal 10 4 4 4 7" xfId="27410" xr:uid="{00000000-0005-0000-0000-000054390000}"/>
    <cellStyle name="Normal 10 4 4 5" xfId="1134" xr:uid="{00000000-0005-0000-0000-000055390000}"/>
    <cellStyle name="Normal 10 4 4 5 2" xfId="10295" xr:uid="{00000000-0005-0000-0000-000056390000}"/>
    <cellStyle name="Normal 10 4 4 5 2 2" xfId="22738" xr:uid="{00000000-0005-0000-0000-000057390000}"/>
    <cellStyle name="Normal 10 4 4 5 2 2 2" xfId="47612" xr:uid="{00000000-0005-0000-0000-000058390000}"/>
    <cellStyle name="Normal 10 4 4 5 2 3" xfId="35179" xr:uid="{00000000-0005-0000-0000-000059390000}"/>
    <cellStyle name="Normal 10 4 4 5 3" xfId="5279" xr:uid="{00000000-0005-0000-0000-00005A390000}"/>
    <cellStyle name="Normal 10 4 4 5 3 2" xfId="17731" xr:uid="{00000000-0005-0000-0000-00005B390000}"/>
    <cellStyle name="Normal 10 4 4 5 3 2 2" xfId="42605" xr:uid="{00000000-0005-0000-0000-00005C390000}"/>
    <cellStyle name="Normal 10 4 4 5 3 3" xfId="30172" xr:uid="{00000000-0005-0000-0000-00005D390000}"/>
    <cellStyle name="Normal 10 4 4 5 4" xfId="13934" xr:uid="{00000000-0005-0000-0000-00005E390000}"/>
    <cellStyle name="Normal 10 4 4 5 4 2" xfId="38808" xr:uid="{00000000-0005-0000-0000-00005F390000}"/>
    <cellStyle name="Normal 10 4 4 5 5" xfId="26367" xr:uid="{00000000-0005-0000-0000-000060390000}"/>
    <cellStyle name="Normal 10 4 4 6" xfId="7856" xr:uid="{00000000-0005-0000-0000-000061390000}"/>
    <cellStyle name="Normal 10 4 4 6 2" xfId="20302" xr:uid="{00000000-0005-0000-0000-000062390000}"/>
    <cellStyle name="Normal 10 4 4 6 2 2" xfId="45176" xr:uid="{00000000-0005-0000-0000-000063390000}"/>
    <cellStyle name="Normal 10 4 4 6 3" xfId="32743" xr:uid="{00000000-0005-0000-0000-000064390000}"/>
    <cellStyle name="Normal 10 4 4 7" xfId="11749" xr:uid="{00000000-0005-0000-0000-000065390000}"/>
    <cellStyle name="Normal 10 4 4 7 2" xfId="24183" xr:uid="{00000000-0005-0000-0000-000066390000}"/>
    <cellStyle name="Normal 10 4 4 7 2 2" xfId="49057" xr:uid="{00000000-0005-0000-0000-000067390000}"/>
    <cellStyle name="Normal 10 4 4 7 3" xfId="36624" xr:uid="{00000000-0005-0000-0000-000068390000}"/>
    <cellStyle name="Normal 10 4 4 8" xfId="6826" xr:uid="{00000000-0005-0000-0000-000069390000}"/>
    <cellStyle name="Normal 10 4 4 8 2" xfId="19275" xr:uid="{00000000-0005-0000-0000-00006A390000}"/>
    <cellStyle name="Normal 10 4 4 8 2 2" xfId="44149" xr:uid="{00000000-0005-0000-0000-00006B390000}"/>
    <cellStyle name="Normal 10 4 4 8 3" xfId="31716" xr:uid="{00000000-0005-0000-0000-00006C390000}"/>
    <cellStyle name="Normal 10 4 4 9" xfId="2777" xr:uid="{00000000-0005-0000-0000-00006D390000}"/>
    <cellStyle name="Normal 10 4 4 9 2" xfId="15295" xr:uid="{00000000-0005-0000-0000-00006E390000}"/>
    <cellStyle name="Normal 10 4 4 9 2 2" xfId="40169" xr:uid="{00000000-0005-0000-0000-00006F390000}"/>
    <cellStyle name="Normal 10 4 4 9 3" xfId="27728" xr:uid="{00000000-0005-0000-0000-000070390000}"/>
    <cellStyle name="Normal 10 4 4_Degree data" xfId="2035" xr:uid="{00000000-0005-0000-0000-000071390000}"/>
    <cellStyle name="Normal 10 4 5" xfId="209" xr:uid="{00000000-0005-0000-0000-000072390000}"/>
    <cellStyle name="Normal 10 4 5 2" xfId="1375" xr:uid="{00000000-0005-0000-0000-000073390000}"/>
    <cellStyle name="Normal 10 4 5 2 2" xfId="9074" xr:uid="{00000000-0005-0000-0000-000074390000}"/>
    <cellStyle name="Normal 10 4 5 2 2 2" xfId="21517" xr:uid="{00000000-0005-0000-0000-000075390000}"/>
    <cellStyle name="Normal 10 4 5 2 2 2 2" xfId="46391" xr:uid="{00000000-0005-0000-0000-000076390000}"/>
    <cellStyle name="Normal 10 4 5 2 2 3" xfId="33958" xr:uid="{00000000-0005-0000-0000-000077390000}"/>
    <cellStyle name="Normal 10 4 5 2 3" xfId="4056" xr:uid="{00000000-0005-0000-0000-000078390000}"/>
    <cellStyle name="Normal 10 4 5 2 3 2" xfId="16510" xr:uid="{00000000-0005-0000-0000-000079390000}"/>
    <cellStyle name="Normal 10 4 5 2 3 2 2" xfId="41384" xr:uid="{00000000-0005-0000-0000-00007A390000}"/>
    <cellStyle name="Normal 10 4 5 2 3 3" xfId="28951" xr:uid="{00000000-0005-0000-0000-00007B390000}"/>
    <cellStyle name="Normal 10 4 5 2 4" xfId="14175" xr:uid="{00000000-0005-0000-0000-00007C390000}"/>
    <cellStyle name="Normal 10 4 5 2 4 2" xfId="39049" xr:uid="{00000000-0005-0000-0000-00007D390000}"/>
    <cellStyle name="Normal 10 4 5 2 5" xfId="26608" xr:uid="{00000000-0005-0000-0000-00007E390000}"/>
    <cellStyle name="Normal 10 4 5 3" xfId="5520" xr:uid="{00000000-0005-0000-0000-00007F390000}"/>
    <cellStyle name="Normal 10 4 5 3 2" xfId="10536" xr:uid="{00000000-0005-0000-0000-000080390000}"/>
    <cellStyle name="Normal 10 4 5 3 2 2" xfId="22979" xr:uid="{00000000-0005-0000-0000-000081390000}"/>
    <cellStyle name="Normal 10 4 5 3 2 2 2" xfId="47853" xr:uid="{00000000-0005-0000-0000-000082390000}"/>
    <cellStyle name="Normal 10 4 5 3 2 3" xfId="35420" xr:uid="{00000000-0005-0000-0000-000083390000}"/>
    <cellStyle name="Normal 10 4 5 3 3" xfId="17972" xr:uid="{00000000-0005-0000-0000-000084390000}"/>
    <cellStyle name="Normal 10 4 5 3 3 2" xfId="42846" xr:uid="{00000000-0005-0000-0000-000085390000}"/>
    <cellStyle name="Normal 10 4 5 3 4" xfId="30413" xr:uid="{00000000-0005-0000-0000-000086390000}"/>
    <cellStyle name="Normal 10 4 5 4" xfId="8190" xr:uid="{00000000-0005-0000-0000-000087390000}"/>
    <cellStyle name="Normal 10 4 5 4 2" xfId="20634" xr:uid="{00000000-0005-0000-0000-000088390000}"/>
    <cellStyle name="Normal 10 4 5 4 2 2" xfId="45508" xr:uid="{00000000-0005-0000-0000-000089390000}"/>
    <cellStyle name="Normal 10 4 5 4 3" xfId="33075" xr:uid="{00000000-0005-0000-0000-00008A390000}"/>
    <cellStyle name="Normal 10 4 5 5" xfId="11990" xr:uid="{00000000-0005-0000-0000-00008B390000}"/>
    <cellStyle name="Normal 10 4 5 5 2" xfId="24424" xr:uid="{00000000-0005-0000-0000-00008C390000}"/>
    <cellStyle name="Normal 10 4 5 5 2 2" xfId="49298" xr:uid="{00000000-0005-0000-0000-00008D390000}"/>
    <cellStyle name="Normal 10 4 5 5 3" xfId="36865" xr:uid="{00000000-0005-0000-0000-00008E390000}"/>
    <cellStyle name="Normal 10 4 5 6" xfId="6667" xr:uid="{00000000-0005-0000-0000-00008F390000}"/>
    <cellStyle name="Normal 10 4 5 6 2" xfId="19116" xr:uid="{00000000-0005-0000-0000-000090390000}"/>
    <cellStyle name="Normal 10 4 5 6 2 2" xfId="43990" xr:uid="{00000000-0005-0000-0000-000091390000}"/>
    <cellStyle name="Normal 10 4 5 6 3" xfId="31557" xr:uid="{00000000-0005-0000-0000-000092390000}"/>
    <cellStyle name="Normal 10 4 5 7" xfId="3121" xr:uid="{00000000-0005-0000-0000-000093390000}"/>
    <cellStyle name="Normal 10 4 5 7 2" xfId="15627" xr:uid="{00000000-0005-0000-0000-000094390000}"/>
    <cellStyle name="Normal 10 4 5 7 2 2" xfId="40501" xr:uid="{00000000-0005-0000-0000-000095390000}"/>
    <cellStyle name="Normal 10 4 5 7 3" xfId="28060" xr:uid="{00000000-0005-0000-0000-000096390000}"/>
    <cellStyle name="Normal 10 4 5 8" xfId="13037" xr:uid="{00000000-0005-0000-0000-000097390000}"/>
    <cellStyle name="Normal 10 4 5 8 2" xfId="37911" xr:uid="{00000000-0005-0000-0000-000098390000}"/>
    <cellStyle name="Normal 10 4 5 9" xfId="25470" xr:uid="{00000000-0005-0000-0000-000099390000}"/>
    <cellStyle name="Normal 10 4 6" xfId="575" xr:uid="{00000000-0005-0000-0000-00009A390000}"/>
    <cellStyle name="Normal 10 4 6 2" xfId="1723" xr:uid="{00000000-0005-0000-0000-00009B390000}"/>
    <cellStyle name="Normal 10 4 6 2 2" xfId="9479" xr:uid="{00000000-0005-0000-0000-00009C390000}"/>
    <cellStyle name="Normal 10 4 6 2 2 2" xfId="21922" xr:uid="{00000000-0005-0000-0000-00009D390000}"/>
    <cellStyle name="Normal 10 4 6 2 2 2 2" xfId="46796" xr:uid="{00000000-0005-0000-0000-00009E390000}"/>
    <cellStyle name="Normal 10 4 6 2 2 3" xfId="34363" xr:uid="{00000000-0005-0000-0000-00009F390000}"/>
    <cellStyle name="Normal 10 4 6 2 3" xfId="4461" xr:uid="{00000000-0005-0000-0000-0000A0390000}"/>
    <cellStyle name="Normal 10 4 6 2 3 2" xfId="16915" xr:uid="{00000000-0005-0000-0000-0000A1390000}"/>
    <cellStyle name="Normal 10 4 6 2 3 2 2" xfId="41789" xr:uid="{00000000-0005-0000-0000-0000A2390000}"/>
    <cellStyle name="Normal 10 4 6 2 3 3" xfId="29356" xr:uid="{00000000-0005-0000-0000-0000A3390000}"/>
    <cellStyle name="Normal 10 4 6 2 4" xfId="14523" xr:uid="{00000000-0005-0000-0000-0000A4390000}"/>
    <cellStyle name="Normal 10 4 6 2 4 2" xfId="39397" xr:uid="{00000000-0005-0000-0000-0000A5390000}"/>
    <cellStyle name="Normal 10 4 6 2 5" xfId="26956" xr:uid="{00000000-0005-0000-0000-0000A6390000}"/>
    <cellStyle name="Normal 10 4 6 3" xfId="5869" xr:uid="{00000000-0005-0000-0000-0000A7390000}"/>
    <cellStyle name="Normal 10 4 6 3 2" xfId="10884" xr:uid="{00000000-0005-0000-0000-0000A8390000}"/>
    <cellStyle name="Normal 10 4 6 3 2 2" xfId="23327" xr:uid="{00000000-0005-0000-0000-0000A9390000}"/>
    <cellStyle name="Normal 10 4 6 3 2 2 2" xfId="48201" xr:uid="{00000000-0005-0000-0000-0000AA390000}"/>
    <cellStyle name="Normal 10 4 6 3 2 3" xfId="35768" xr:uid="{00000000-0005-0000-0000-0000AB390000}"/>
    <cellStyle name="Normal 10 4 6 3 3" xfId="18320" xr:uid="{00000000-0005-0000-0000-0000AC390000}"/>
    <cellStyle name="Normal 10 4 6 3 3 2" xfId="43194" xr:uid="{00000000-0005-0000-0000-0000AD390000}"/>
    <cellStyle name="Normal 10 4 6 3 4" xfId="30761" xr:uid="{00000000-0005-0000-0000-0000AE390000}"/>
    <cellStyle name="Normal 10 4 6 4" xfId="8595" xr:uid="{00000000-0005-0000-0000-0000AF390000}"/>
    <cellStyle name="Normal 10 4 6 4 2" xfId="21039" xr:uid="{00000000-0005-0000-0000-0000B0390000}"/>
    <cellStyle name="Normal 10 4 6 4 2 2" xfId="45913" xr:uid="{00000000-0005-0000-0000-0000B1390000}"/>
    <cellStyle name="Normal 10 4 6 4 3" xfId="33480" xr:uid="{00000000-0005-0000-0000-0000B2390000}"/>
    <cellStyle name="Normal 10 4 6 5" xfId="12338" xr:uid="{00000000-0005-0000-0000-0000B3390000}"/>
    <cellStyle name="Normal 10 4 6 5 2" xfId="24772" xr:uid="{00000000-0005-0000-0000-0000B4390000}"/>
    <cellStyle name="Normal 10 4 6 5 2 2" xfId="49646" xr:uid="{00000000-0005-0000-0000-0000B5390000}"/>
    <cellStyle name="Normal 10 4 6 5 3" xfId="37213" xr:uid="{00000000-0005-0000-0000-0000B6390000}"/>
    <cellStyle name="Normal 10 4 6 6" xfId="7072" xr:uid="{00000000-0005-0000-0000-0000B7390000}"/>
    <cellStyle name="Normal 10 4 6 6 2" xfId="19521" xr:uid="{00000000-0005-0000-0000-0000B8390000}"/>
    <cellStyle name="Normal 10 4 6 6 2 2" xfId="44395" xr:uid="{00000000-0005-0000-0000-0000B9390000}"/>
    <cellStyle name="Normal 10 4 6 6 3" xfId="31962" xr:uid="{00000000-0005-0000-0000-0000BA390000}"/>
    <cellStyle name="Normal 10 4 6 7" xfId="3526" xr:uid="{00000000-0005-0000-0000-0000BB390000}"/>
    <cellStyle name="Normal 10 4 6 7 2" xfId="16032" xr:uid="{00000000-0005-0000-0000-0000BC390000}"/>
    <cellStyle name="Normal 10 4 6 7 2 2" xfId="40906" xr:uid="{00000000-0005-0000-0000-0000BD390000}"/>
    <cellStyle name="Normal 10 4 6 7 3" xfId="28465" xr:uid="{00000000-0005-0000-0000-0000BE390000}"/>
    <cellStyle name="Normal 10 4 6 8" xfId="13384" xr:uid="{00000000-0005-0000-0000-0000BF390000}"/>
    <cellStyle name="Normal 10 4 6 8 2" xfId="38258" xr:uid="{00000000-0005-0000-0000-0000C0390000}"/>
    <cellStyle name="Normal 10 4 6 9" xfId="25817" xr:uid="{00000000-0005-0000-0000-0000C1390000}"/>
    <cellStyle name="Normal 10 4 7" xfId="2127" xr:uid="{00000000-0005-0000-0000-0000C2390000}"/>
    <cellStyle name="Normal 10 4 7 2" xfId="4766" xr:uid="{00000000-0005-0000-0000-0000C3390000}"/>
    <cellStyle name="Normal 10 4 7 2 2" xfId="9783" xr:uid="{00000000-0005-0000-0000-0000C4390000}"/>
    <cellStyle name="Normal 10 4 7 2 2 2" xfId="22226" xr:uid="{00000000-0005-0000-0000-0000C5390000}"/>
    <cellStyle name="Normal 10 4 7 2 2 2 2" xfId="47100" xr:uid="{00000000-0005-0000-0000-0000C6390000}"/>
    <cellStyle name="Normal 10 4 7 2 2 3" xfId="34667" xr:uid="{00000000-0005-0000-0000-0000C7390000}"/>
    <cellStyle name="Normal 10 4 7 2 3" xfId="17219" xr:uid="{00000000-0005-0000-0000-0000C8390000}"/>
    <cellStyle name="Normal 10 4 7 2 3 2" xfId="42093" xr:uid="{00000000-0005-0000-0000-0000C9390000}"/>
    <cellStyle name="Normal 10 4 7 2 4" xfId="29660" xr:uid="{00000000-0005-0000-0000-0000CA390000}"/>
    <cellStyle name="Normal 10 4 7 3" xfId="6164" xr:uid="{00000000-0005-0000-0000-0000CB390000}"/>
    <cellStyle name="Normal 10 4 7 3 2" xfId="11179" xr:uid="{00000000-0005-0000-0000-0000CC390000}"/>
    <cellStyle name="Normal 10 4 7 3 2 2" xfId="23622" xr:uid="{00000000-0005-0000-0000-0000CD390000}"/>
    <cellStyle name="Normal 10 4 7 3 2 2 2" xfId="48496" xr:uid="{00000000-0005-0000-0000-0000CE390000}"/>
    <cellStyle name="Normal 10 4 7 3 2 3" xfId="36063" xr:uid="{00000000-0005-0000-0000-0000CF390000}"/>
    <cellStyle name="Normal 10 4 7 3 3" xfId="18615" xr:uid="{00000000-0005-0000-0000-0000D0390000}"/>
    <cellStyle name="Normal 10 4 7 3 3 2" xfId="43489" xr:uid="{00000000-0005-0000-0000-0000D1390000}"/>
    <cellStyle name="Normal 10 4 7 3 4" xfId="31056" xr:uid="{00000000-0005-0000-0000-0000D2390000}"/>
    <cellStyle name="Normal 10 4 7 4" xfId="8029" xr:uid="{00000000-0005-0000-0000-0000D3390000}"/>
    <cellStyle name="Normal 10 4 7 4 2" xfId="20475" xr:uid="{00000000-0005-0000-0000-0000D4390000}"/>
    <cellStyle name="Normal 10 4 7 4 2 2" xfId="45349" xr:uid="{00000000-0005-0000-0000-0000D5390000}"/>
    <cellStyle name="Normal 10 4 7 4 3" xfId="32916" xr:uid="{00000000-0005-0000-0000-0000D6390000}"/>
    <cellStyle name="Normal 10 4 7 5" xfId="12633" xr:uid="{00000000-0005-0000-0000-0000D7390000}"/>
    <cellStyle name="Normal 10 4 7 5 2" xfId="25067" xr:uid="{00000000-0005-0000-0000-0000D8390000}"/>
    <cellStyle name="Normal 10 4 7 5 2 2" xfId="49941" xr:uid="{00000000-0005-0000-0000-0000D9390000}"/>
    <cellStyle name="Normal 10 4 7 5 3" xfId="37508" xr:uid="{00000000-0005-0000-0000-0000DA390000}"/>
    <cellStyle name="Normal 10 4 7 6" xfId="7377" xr:uid="{00000000-0005-0000-0000-0000DB390000}"/>
    <cellStyle name="Normal 10 4 7 6 2" xfId="19825" xr:uid="{00000000-0005-0000-0000-0000DC390000}"/>
    <cellStyle name="Normal 10 4 7 6 2 2" xfId="44699" xr:uid="{00000000-0005-0000-0000-0000DD390000}"/>
    <cellStyle name="Normal 10 4 7 6 3" xfId="32266" xr:uid="{00000000-0005-0000-0000-0000DE390000}"/>
    <cellStyle name="Normal 10 4 7 7" xfId="2956" xr:uid="{00000000-0005-0000-0000-0000DF390000}"/>
    <cellStyle name="Normal 10 4 7 7 2" xfId="15468" xr:uid="{00000000-0005-0000-0000-0000E0390000}"/>
    <cellStyle name="Normal 10 4 7 7 2 2" xfId="40342" xr:uid="{00000000-0005-0000-0000-0000E1390000}"/>
    <cellStyle name="Normal 10 4 7 7 3" xfId="27901" xr:uid="{00000000-0005-0000-0000-0000E2390000}"/>
    <cellStyle name="Normal 10 4 7 8" xfId="14818" xr:uid="{00000000-0005-0000-0000-0000E3390000}"/>
    <cellStyle name="Normal 10 4 7 8 2" xfId="39692" xr:uid="{00000000-0005-0000-0000-0000E4390000}"/>
    <cellStyle name="Normal 10 4 7 9" xfId="27251" xr:uid="{00000000-0005-0000-0000-0000E5390000}"/>
    <cellStyle name="Normal 10 4 8" xfId="975" xr:uid="{00000000-0005-0000-0000-0000E6390000}"/>
    <cellStyle name="Normal 10 4 8 2" xfId="11590" xr:uid="{00000000-0005-0000-0000-0000E7390000}"/>
    <cellStyle name="Normal 10 4 8 2 2" xfId="24024" xr:uid="{00000000-0005-0000-0000-0000E8390000}"/>
    <cellStyle name="Normal 10 4 8 2 2 2" xfId="48898" xr:uid="{00000000-0005-0000-0000-0000E9390000}"/>
    <cellStyle name="Normal 10 4 8 2 3" xfId="36465" xr:uid="{00000000-0005-0000-0000-0000EA390000}"/>
    <cellStyle name="Normal 10 4 8 3" xfId="8916" xr:uid="{00000000-0005-0000-0000-0000EB390000}"/>
    <cellStyle name="Normal 10 4 8 3 2" xfId="21359" xr:uid="{00000000-0005-0000-0000-0000EC390000}"/>
    <cellStyle name="Normal 10 4 8 3 2 2" xfId="46233" xr:uid="{00000000-0005-0000-0000-0000ED390000}"/>
    <cellStyle name="Normal 10 4 8 3 3" xfId="33800" xr:uid="{00000000-0005-0000-0000-0000EE390000}"/>
    <cellStyle name="Normal 10 4 8 4" xfId="3898" xr:uid="{00000000-0005-0000-0000-0000EF390000}"/>
    <cellStyle name="Normal 10 4 8 4 2" xfId="16352" xr:uid="{00000000-0005-0000-0000-0000F0390000}"/>
    <cellStyle name="Normal 10 4 8 4 2 2" xfId="41226" xr:uid="{00000000-0005-0000-0000-0000F1390000}"/>
    <cellStyle name="Normal 10 4 8 4 3" xfId="28793" xr:uid="{00000000-0005-0000-0000-0000F2390000}"/>
    <cellStyle name="Normal 10 4 8 5" xfId="13775" xr:uid="{00000000-0005-0000-0000-0000F3390000}"/>
    <cellStyle name="Normal 10 4 8 5 2" xfId="38649" xr:uid="{00000000-0005-0000-0000-0000F4390000}"/>
    <cellStyle name="Normal 10 4 8 6" xfId="26208" xr:uid="{00000000-0005-0000-0000-0000F5390000}"/>
    <cellStyle name="Normal 10 4 9" xfId="902" xr:uid="{00000000-0005-0000-0000-0000F6390000}"/>
    <cellStyle name="Normal 10 4 9 2" xfId="10134" xr:uid="{00000000-0005-0000-0000-0000F7390000}"/>
    <cellStyle name="Normal 10 4 9 2 2" xfId="22577" xr:uid="{00000000-0005-0000-0000-0000F8390000}"/>
    <cellStyle name="Normal 10 4 9 2 2 2" xfId="47451" xr:uid="{00000000-0005-0000-0000-0000F9390000}"/>
    <cellStyle name="Normal 10 4 9 2 3" xfId="35018" xr:uid="{00000000-0005-0000-0000-0000FA390000}"/>
    <cellStyle name="Normal 10 4 9 3" xfId="5118" xr:uid="{00000000-0005-0000-0000-0000FB390000}"/>
    <cellStyle name="Normal 10 4 9 3 2" xfId="17570" xr:uid="{00000000-0005-0000-0000-0000FC390000}"/>
    <cellStyle name="Normal 10 4 9 3 2 2" xfId="42444" xr:uid="{00000000-0005-0000-0000-0000FD390000}"/>
    <cellStyle name="Normal 10 4 9 3 3" xfId="30011" xr:uid="{00000000-0005-0000-0000-0000FE390000}"/>
    <cellStyle name="Normal 10 4 9 4" xfId="13702" xr:uid="{00000000-0005-0000-0000-0000FF390000}"/>
    <cellStyle name="Normal 10 4 9 4 2" xfId="38576" xr:uid="{00000000-0005-0000-0000-0000003A0000}"/>
    <cellStyle name="Normal 10 4 9 5" xfId="26135" xr:uid="{00000000-0005-0000-0000-0000013A0000}"/>
    <cellStyle name="Normal 10 4_Degree data" xfId="2059" xr:uid="{00000000-0005-0000-0000-0000023A0000}"/>
    <cellStyle name="Normal 10 5" xfId="164" xr:uid="{00000000-0005-0000-0000-0000033A0000}"/>
    <cellStyle name="Normal 10 5 10" xfId="6543" xr:uid="{00000000-0005-0000-0000-0000043A0000}"/>
    <cellStyle name="Normal 10 5 10 2" xfId="18992" xr:uid="{00000000-0005-0000-0000-0000053A0000}"/>
    <cellStyle name="Normal 10 5 10 2 2" xfId="43866" xr:uid="{00000000-0005-0000-0000-0000063A0000}"/>
    <cellStyle name="Normal 10 5 10 3" xfId="31433" xr:uid="{00000000-0005-0000-0000-0000073A0000}"/>
    <cellStyle name="Normal 10 5 11" xfId="2711" xr:uid="{00000000-0005-0000-0000-0000083A0000}"/>
    <cellStyle name="Normal 10 5 11 2" xfId="15229" xr:uid="{00000000-0005-0000-0000-0000093A0000}"/>
    <cellStyle name="Normal 10 5 11 2 2" xfId="40103" xr:uid="{00000000-0005-0000-0000-00000A3A0000}"/>
    <cellStyle name="Normal 10 5 11 3" xfId="27662" xr:uid="{00000000-0005-0000-0000-00000B3A0000}"/>
    <cellStyle name="Normal 10 5 12" xfId="12994" xr:uid="{00000000-0005-0000-0000-00000C3A0000}"/>
    <cellStyle name="Normal 10 5 12 2" xfId="37868" xr:uid="{00000000-0005-0000-0000-00000D3A0000}"/>
    <cellStyle name="Normal 10 5 13" xfId="25427" xr:uid="{00000000-0005-0000-0000-00000E3A0000}"/>
    <cellStyle name="Normal 10 5 2" xfId="415" xr:uid="{00000000-0005-0000-0000-00000F3A0000}"/>
    <cellStyle name="Normal 10 5 2 10" xfId="13230" xr:uid="{00000000-0005-0000-0000-0000103A0000}"/>
    <cellStyle name="Normal 10 5 2 10 2" xfId="38104" xr:uid="{00000000-0005-0000-0000-0000113A0000}"/>
    <cellStyle name="Normal 10 5 2 11" xfId="25663" xr:uid="{00000000-0005-0000-0000-0000123A0000}"/>
    <cellStyle name="Normal 10 5 2 2" xfId="775" xr:uid="{00000000-0005-0000-0000-0000133A0000}"/>
    <cellStyle name="Normal 10 5 2 2 2" xfId="1382" xr:uid="{00000000-0005-0000-0000-0000143A0000}"/>
    <cellStyle name="Normal 10 5 2 2 2 2" xfId="9486" xr:uid="{00000000-0005-0000-0000-0000153A0000}"/>
    <cellStyle name="Normal 10 5 2 2 2 2 2" xfId="21929" xr:uid="{00000000-0005-0000-0000-0000163A0000}"/>
    <cellStyle name="Normal 10 5 2 2 2 2 2 2" xfId="46803" xr:uid="{00000000-0005-0000-0000-0000173A0000}"/>
    <cellStyle name="Normal 10 5 2 2 2 2 3" xfId="34370" xr:uid="{00000000-0005-0000-0000-0000183A0000}"/>
    <cellStyle name="Normal 10 5 2 2 2 3" xfId="4468" xr:uid="{00000000-0005-0000-0000-0000193A0000}"/>
    <cellStyle name="Normal 10 5 2 2 2 3 2" xfId="16922" xr:uid="{00000000-0005-0000-0000-00001A3A0000}"/>
    <cellStyle name="Normal 10 5 2 2 2 3 2 2" xfId="41796" xr:uid="{00000000-0005-0000-0000-00001B3A0000}"/>
    <cellStyle name="Normal 10 5 2 2 2 3 3" xfId="29363" xr:uid="{00000000-0005-0000-0000-00001C3A0000}"/>
    <cellStyle name="Normal 10 5 2 2 2 4" xfId="14182" xr:uid="{00000000-0005-0000-0000-00001D3A0000}"/>
    <cellStyle name="Normal 10 5 2 2 2 4 2" xfId="39056" xr:uid="{00000000-0005-0000-0000-00001E3A0000}"/>
    <cellStyle name="Normal 10 5 2 2 2 5" xfId="26615" xr:uid="{00000000-0005-0000-0000-00001F3A0000}"/>
    <cellStyle name="Normal 10 5 2 2 3" xfId="5527" xr:uid="{00000000-0005-0000-0000-0000203A0000}"/>
    <cellStyle name="Normal 10 5 2 2 3 2" xfId="10543" xr:uid="{00000000-0005-0000-0000-0000213A0000}"/>
    <cellStyle name="Normal 10 5 2 2 3 2 2" xfId="22986" xr:uid="{00000000-0005-0000-0000-0000223A0000}"/>
    <cellStyle name="Normal 10 5 2 2 3 2 2 2" xfId="47860" xr:uid="{00000000-0005-0000-0000-0000233A0000}"/>
    <cellStyle name="Normal 10 5 2 2 3 2 3" xfId="35427" xr:uid="{00000000-0005-0000-0000-0000243A0000}"/>
    <cellStyle name="Normal 10 5 2 2 3 3" xfId="17979" xr:uid="{00000000-0005-0000-0000-0000253A0000}"/>
    <cellStyle name="Normal 10 5 2 2 3 3 2" xfId="42853" xr:uid="{00000000-0005-0000-0000-0000263A0000}"/>
    <cellStyle name="Normal 10 5 2 2 3 4" xfId="30420" xr:uid="{00000000-0005-0000-0000-0000273A0000}"/>
    <cellStyle name="Normal 10 5 2 2 4" xfId="8602" xr:uid="{00000000-0005-0000-0000-0000283A0000}"/>
    <cellStyle name="Normal 10 5 2 2 4 2" xfId="21046" xr:uid="{00000000-0005-0000-0000-0000293A0000}"/>
    <cellStyle name="Normal 10 5 2 2 4 2 2" xfId="45920" xr:uid="{00000000-0005-0000-0000-00002A3A0000}"/>
    <cellStyle name="Normal 10 5 2 2 4 3" xfId="33487" xr:uid="{00000000-0005-0000-0000-00002B3A0000}"/>
    <cellStyle name="Normal 10 5 2 2 5" xfId="11997" xr:uid="{00000000-0005-0000-0000-00002C3A0000}"/>
    <cellStyle name="Normal 10 5 2 2 5 2" xfId="24431" xr:uid="{00000000-0005-0000-0000-00002D3A0000}"/>
    <cellStyle name="Normal 10 5 2 2 5 2 2" xfId="49305" xr:uid="{00000000-0005-0000-0000-00002E3A0000}"/>
    <cellStyle name="Normal 10 5 2 2 5 3" xfId="36872" xr:uid="{00000000-0005-0000-0000-00002F3A0000}"/>
    <cellStyle name="Normal 10 5 2 2 6" xfId="7079" xr:uid="{00000000-0005-0000-0000-0000303A0000}"/>
    <cellStyle name="Normal 10 5 2 2 6 2" xfId="19528" xr:uid="{00000000-0005-0000-0000-0000313A0000}"/>
    <cellStyle name="Normal 10 5 2 2 6 2 2" xfId="44402" xr:uid="{00000000-0005-0000-0000-0000323A0000}"/>
    <cellStyle name="Normal 10 5 2 2 6 3" xfId="31969" xr:uid="{00000000-0005-0000-0000-0000333A0000}"/>
    <cellStyle name="Normal 10 5 2 2 7" xfId="3533" xr:uid="{00000000-0005-0000-0000-0000343A0000}"/>
    <cellStyle name="Normal 10 5 2 2 7 2" xfId="16039" xr:uid="{00000000-0005-0000-0000-0000353A0000}"/>
    <cellStyle name="Normal 10 5 2 2 7 2 2" xfId="40913" xr:uid="{00000000-0005-0000-0000-0000363A0000}"/>
    <cellStyle name="Normal 10 5 2 2 7 3" xfId="28472" xr:uid="{00000000-0005-0000-0000-0000373A0000}"/>
    <cellStyle name="Normal 10 5 2 2 8" xfId="13577" xr:uid="{00000000-0005-0000-0000-0000383A0000}"/>
    <cellStyle name="Normal 10 5 2 2 8 2" xfId="38451" xr:uid="{00000000-0005-0000-0000-0000393A0000}"/>
    <cellStyle name="Normal 10 5 2 2 9" xfId="26010" xr:uid="{00000000-0005-0000-0000-00003A3A0000}"/>
    <cellStyle name="Normal 10 5 2 3" xfId="1730" xr:uid="{00000000-0005-0000-0000-00003B3A0000}"/>
    <cellStyle name="Normal 10 5 2 3 2" xfId="4959" xr:uid="{00000000-0005-0000-0000-00003C3A0000}"/>
    <cellStyle name="Normal 10 5 2 3 2 2" xfId="9976" xr:uid="{00000000-0005-0000-0000-00003D3A0000}"/>
    <cellStyle name="Normal 10 5 2 3 2 2 2" xfId="22419" xr:uid="{00000000-0005-0000-0000-00003E3A0000}"/>
    <cellStyle name="Normal 10 5 2 3 2 2 2 2" xfId="47293" xr:uid="{00000000-0005-0000-0000-00003F3A0000}"/>
    <cellStyle name="Normal 10 5 2 3 2 2 3" xfId="34860" xr:uid="{00000000-0005-0000-0000-0000403A0000}"/>
    <cellStyle name="Normal 10 5 2 3 2 3" xfId="17412" xr:uid="{00000000-0005-0000-0000-0000413A0000}"/>
    <cellStyle name="Normal 10 5 2 3 2 3 2" xfId="42286" xr:uid="{00000000-0005-0000-0000-0000423A0000}"/>
    <cellStyle name="Normal 10 5 2 3 2 4" xfId="29853" xr:uid="{00000000-0005-0000-0000-0000433A0000}"/>
    <cellStyle name="Normal 10 5 2 3 3" xfId="5876" xr:uid="{00000000-0005-0000-0000-0000443A0000}"/>
    <cellStyle name="Normal 10 5 2 3 3 2" xfId="10891" xr:uid="{00000000-0005-0000-0000-0000453A0000}"/>
    <cellStyle name="Normal 10 5 2 3 3 2 2" xfId="23334" xr:uid="{00000000-0005-0000-0000-0000463A0000}"/>
    <cellStyle name="Normal 10 5 2 3 3 2 2 2" xfId="48208" xr:uid="{00000000-0005-0000-0000-0000473A0000}"/>
    <cellStyle name="Normal 10 5 2 3 3 2 3" xfId="35775" xr:uid="{00000000-0005-0000-0000-0000483A0000}"/>
    <cellStyle name="Normal 10 5 2 3 3 3" xfId="18327" xr:uid="{00000000-0005-0000-0000-0000493A0000}"/>
    <cellStyle name="Normal 10 5 2 3 3 3 2" xfId="43201" xr:uid="{00000000-0005-0000-0000-00004A3A0000}"/>
    <cellStyle name="Normal 10 5 2 3 3 4" xfId="30768" xr:uid="{00000000-0005-0000-0000-00004B3A0000}"/>
    <cellStyle name="Normal 10 5 2 3 4" xfId="8383" xr:uid="{00000000-0005-0000-0000-00004C3A0000}"/>
    <cellStyle name="Normal 10 5 2 3 4 2" xfId="20827" xr:uid="{00000000-0005-0000-0000-00004D3A0000}"/>
    <cellStyle name="Normal 10 5 2 3 4 2 2" xfId="45701" xr:uid="{00000000-0005-0000-0000-00004E3A0000}"/>
    <cellStyle name="Normal 10 5 2 3 4 3" xfId="33268" xr:uid="{00000000-0005-0000-0000-00004F3A0000}"/>
    <cellStyle name="Normal 10 5 2 3 5" xfId="12345" xr:uid="{00000000-0005-0000-0000-0000503A0000}"/>
    <cellStyle name="Normal 10 5 2 3 5 2" xfId="24779" xr:uid="{00000000-0005-0000-0000-0000513A0000}"/>
    <cellStyle name="Normal 10 5 2 3 5 2 2" xfId="49653" xr:uid="{00000000-0005-0000-0000-0000523A0000}"/>
    <cellStyle name="Normal 10 5 2 3 5 3" xfId="37220" xr:uid="{00000000-0005-0000-0000-0000533A0000}"/>
    <cellStyle name="Normal 10 5 2 3 6" xfId="7570" xr:uid="{00000000-0005-0000-0000-0000543A0000}"/>
    <cellStyle name="Normal 10 5 2 3 6 2" xfId="20018" xr:uid="{00000000-0005-0000-0000-0000553A0000}"/>
    <cellStyle name="Normal 10 5 2 3 6 2 2" xfId="44892" xr:uid="{00000000-0005-0000-0000-0000563A0000}"/>
    <cellStyle name="Normal 10 5 2 3 6 3" xfId="32459" xr:uid="{00000000-0005-0000-0000-0000573A0000}"/>
    <cellStyle name="Normal 10 5 2 3 7" xfId="3314" xr:uid="{00000000-0005-0000-0000-0000583A0000}"/>
    <cellStyle name="Normal 10 5 2 3 7 2" xfId="15820" xr:uid="{00000000-0005-0000-0000-0000593A0000}"/>
    <cellStyle name="Normal 10 5 2 3 7 2 2" xfId="40694" xr:uid="{00000000-0005-0000-0000-00005A3A0000}"/>
    <cellStyle name="Normal 10 5 2 3 7 3" xfId="28253" xr:uid="{00000000-0005-0000-0000-00005B3A0000}"/>
    <cellStyle name="Normal 10 5 2 3 8" xfId="14530" xr:uid="{00000000-0005-0000-0000-00005C3A0000}"/>
    <cellStyle name="Normal 10 5 2 3 8 2" xfId="39404" xr:uid="{00000000-0005-0000-0000-00005D3A0000}"/>
    <cellStyle name="Normal 10 5 2 3 9" xfId="26963" xr:uid="{00000000-0005-0000-0000-00005E3A0000}"/>
    <cellStyle name="Normal 10 5 2 4" xfId="2333" xr:uid="{00000000-0005-0000-0000-00005F3A0000}"/>
    <cellStyle name="Normal 10 5 2 4 2" xfId="6357" xr:uid="{00000000-0005-0000-0000-0000603A0000}"/>
    <cellStyle name="Normal 10 5 2 4 2 2" xfId="11372" xr:uid="{00000000-0005-0000-0000-0000613A0000}"/>
    <cellStyle name="Normal 10 5 2 4 2 2 2" xfId="23815" xr:uid="{00000000-0005-0000-0000-0000623A0000}"/>
    <cellStyle name="Normal 10 5 2 4 2 2 2 2" xfId="48689" xr:uid="{00000000-0005-0000-0000-0000633A0000}"/>
    <cellStyle name="Normal 10 5 2 4 2 2 3" xfId="36256" xr:uid="{00000000-0005-0000-0000-0000643A0000}"/>
    <cellStyle name="Normal 10 5 2 4 2 3" xfId="18808" xr:uid="{00000000-0005-0000-0000-0000653A0000}"/>
    <cellStyle name="Normal 10 5 2 4 2 3 2" xfId="43682" xr:uid="{00000000-0005-0000-0000-0000663A0000}"/>
    <cellStyle name="Normal 10 5 2 4 2 4" xfId="31249" xr:uid="{00000000-0005-0000-0000-0000673A0000}"/>
    <cellStyle name="Normal 10 5 2 4 3" xfId="12826" xr:uid="{00000000-0005-0000-0000-0000683A0000}"/>
    <cellStyle name="Normal 10 5 2 4 3 2" xfId="25260" xr:uid="{00000000-0005-0000-0000-0000693A0000}"/>
    <cellStyle name="Normal 10 5 2 4 3 2 2" xfId="50134" xr:uid="{00000000-0005-0000-0000-00006A3A0000}"/>
    <cellStyle name="Normal 10 5 2 4 3 3" xfId="37701" xr:uid="{00000000-0005-0000-0000-00006B3A0000}"/>
    <cellStyle name="Normal 10 5 2 4 4" xfId="9267" xr:uid="{00000000-0005-0000-0000-00006C3A0000}"/>
    <cellStyle name="Normal 10 5 2 4 4 2" xfId="21710" xr:uid="{00000000-0005-0000-0000-00006D3A0000}"/>
    <cellStyle name="Normal 10 5 2 4 4 2 2" xfId="46584" xr:uid="{00000000-0005-0000-0000-00006E3A0000}"/>
    <cellStyle name="Normal 10 5 2 4 4 3" xfId="34151" xr:uid="{00000000-0005-0000-0000-00006F3A0000}"/>
    <cellStyle name="Normal 10 5 2 4 5" xfId="4249" xr:uid="{00000000-0005-0000-0000-0000703A0000}"/>
    <cellStyle name="Normal 10 5 2 4 5 2" xfId="16703" xr:uid="{00000000-0005-0000-0000-0000713A0000}"/>
    <cellStyle name="Normal 10 5 2 4 5 2 2" xfId="41577" xr:uid="{00000000-0005-0000-0000-0000723A0000}"/>
    <cellStyle name="Normal 10 5 2 4 5 3" xfId="29144" xr:uid="{00000000-0005-0000-0000-0000733A0000}"/>
    <cellStyle name="Normal 10 5 2 4 6" xfId="15011" xr:uid="{00000000-0005-0000-0000-0000743A0000}"/>
    <cellStyle name="Normal 10 5 2 4 6 2" xfId="39885" xr:uid="{00000000-0005-0000-0000-0000753A0000}"/>
    <cellStyle name="Normal 10 5 2 4 7" xfId="27444" xr:uid="{00000000-0005-0000-0000-0000763A0000}"/>
    <cellStyle name="Normal 10 5 2 5" xfId="1168" xr:uid="{00000000-0005-0000-0000-0000773A0000}"/>
    <cellStyle name="Normal 10 5 2 5 2" xfId="10329" xr:uid="{00000000-0005-0000-0000-0000783A0000}"/>
    <cellStyle name="Normal 10 5 2 5 2 2" xfId="22772" xr:uid="{00000000-0005-0000-0000-0000793A0000}"/>
    <cellStyle name="Normal 10 5 2 5 2 2 2" xfId="47646" xr:uid="{00000000-0005-0000-0000-00007A3A0000}"/>
    <cellStyle name="Normal 10 5 2 5 2 3" xfId="35213" xr:uid="{00000000-0005-0000-0000-00007B3A0000}"/>
    <cellStyle name="Normal 10 5 2 5 3" xfId="5313" xr:uid="{00000000-0005-0000-0000-00007C3A0000}"/>
    <cellStyle name="Normal 10 5 2 5 3 2" xfId="17765" xr:uid="{00000000-0005-0000-0000-00007D3A0000}"/>
    <cellStyle name="Normal 10 5 2 5 3 2 2" xfId="42639" xr:uid="{00000000-0005-0000-0000-00007E3A0000}"/>
    <cellStyle name="Normal 10 5 2 5 3 3" xfId="30206" xr:uid="{00000000-0005-0000-0000-00007F3A0000}"/>
    <cellStyle name="Normal 10 5 2 5 4" xfId="13968" xr:uid="{00000000-0005-0000-0000-0000803A0000}"/>
    <cellStyle name="Normal 10 5 2 5 4 2" xfId="38842" xr:uid="{00000000-0005-0000-0000-0000813A0000}"/>
    <cellStyle name="Normal 10 5 2 5 5" xfId="26401" xr:uid="{00000000-0005-0000-0000-0000823A0000}"/>
    <cellStyle name="Normal 10 5 2 6" xfId="7890" xr:uid="{00000000-0005-0000-0000-0000833A0000}"/>
    <cellStyle name="Normal 10 5 2 6 2" xfId="20336" xr:uid="{00000000-0005-0000-0000-0000843A0000}"/>
    <cellStyle name="Normal 10 5 2 6 2 2" xfId="45210" xr:uid="{00000000-0005-0000-0000-0000853A0000}"/>
    <cellStyle name="Normal 10 5 2 6 3" xfId="32777" xr:uid="{00000000-0005-0000-0000-0000863A0000}"/>
    <cellStyle name="Normal 10 5 2 7" xfId="11783" xr:uid="{00000000-0005-0000-0000-0000873A0000}"/>
    <cellStyle name="Normal 10 5 2 7 2" xfId="24217" xr:uid="{00000000-0005-0000-0000-0000883A0000}"/>
    <cellStyle name="Normal 10 5 2 7 2 2" xfId="49091" xr:uid="{00000000-0005-0000-0000-0000893A0000}"/>
    <cellStyle name="Normal 10 5 2 7 3" xfId="36658" xr:uid="{00000000-0005-0000-0000-00008A3A0000}"/>
    <cellStyle name="Normal 10 5 2 8" xfId="6860" xr:uid="{00000000-0005-0000-0000-00008B3A0000}"/>
    <cellStyle name="Normal 10 5 2 8 2" xfId="19309" xr:uid="{00000000-0005-0000-0000-00008C3A0000}"/>
    <cellStyle name="Normal 10 5 2 8 2 2" xfId="44183" xr:uid="{00000000-0005-0000-0000-00008D3A0000}"/>
    <cellStyle name="Normal 10 5 2 8 3" xfId="31750" xr:uid="{00000000-0005-0000-0000-00008E3A0000}"/>
    <cellStyle name="Normal 10 5 2 9" xfId="2811" xr:uid="{00000000-0005-0000-0000-00008F3A0000}"/>
    <cellStyle name="Normal 10 5 2 9 2" xfId="15329" xr:uid="{00000000-0005-0000-0000-0000903A0000}"/>
    <cellStyle name="Normal 10 5 2 9 2 2" xfId="40203" xr:uid="{00000000-0005-0000-0000-0000913A0000}"/>
    <cellStyle name="Normal 10 5 2 9 3" xfId="27762" xr:uid="{00000000-0005-0000-0000-0000923A0000}"/>
    <cellStyle name="Normal 10 5 2_Degree data" xfId="2055" xr:uid="{00000000-0005-0000-0000-0000933A0000}"/>
    <cellStyle name="Normal 10 5 3" xfId="313" xr:uid="{00000000-0005-0000-0000-0000943A0000}"/>
    <cellStyle name="Normal 10 5 3 2" xfId="1381" xr:uid="{00000000-0005-0000-0000-0000953A0000}"/>
    <cellStyle name="Normal 10 5 3 2 2" xfId="9167" xr:uid="{00000000-0005-0000-0000-0000963A0000}"/>
    <cellStyle name="Normal 10 5 3 2 2 2" xfId="21610" xr:uid="{00000000-0005-0000-0000-0000973A0000}"/>
    <cellStyle name="Normal 10 5 3 2 2 2 2" xfId="46484" xr:uid="{00000000-0005-0000-0000-0000983A0000}"/>
    <cellStyle name="Normal 10 5 3 2 2 3" xfId="34051" xr:uid="{00000000-0005-0000-0000-0000993A0000}"/>
    <cellStyle name="Normal 10 5 3 2 3" xfId="4149" xr:uid="{00000000-0005-0000-0000-00009A3A0000}"/>
    <cellStyle name="Normal 10 5 3 2 3 2" xfId="16603" xr:uid="{00000000-0005-0000-0000-00009B3A0000}"/>
    <cellStyle name="Normal 10 5 3 2 3 2 2" xfId="41477" xr:uid="{00000000-0005-0000-0000-00009C3A0000}"/>
    <cellStyle name="Normal 10 5 3 2 3 3" xfId="29044" xr:uid="{00000000-0005-0000-0000-00009D3A0000}"/>
    <cellStyle name="Normal 10 5 3 2 4" xfId="14181" xr:uid="{00000000-0005-0000-0000-00009E3A0000}"/>
    <cellStyle name="Normal 10 5 3 2 4 2" xfId="39055" xr:uid="{00000000-0005-0000-0000-00009F3A0000}"/>
    <cellStyle name="Normal 10 5 3 2 5" xfId="26614" xr:uid="{00000000-0005-0000-0000-0000A03A0000}"/>
    <cellStyle name="Normal 10 5 3 3" xfId="5526" xr:uid="{00000000-0005-0000-0000-0000A13A0000}"/>
    <cellStyle name="Normal 10 5 3 3 2" xfId="10542" xr:uid="{00000000-0005-0000-0000-0000A23A0000}"/>
    <cellStyle name="Normal 10 5 3 3 2 2" xfId="22985" xr:uid="{00000000-0005-0000-0000-0000A33A0000}"/>
    <cellStyle name="Normal 10 5 3 3 2 2 2" xfId="47859" xr:uid="{00000000-0005-0000-0000-0000A43A0000}"/>
    <cellStyle name="Normal 10 5 3 3 2 3" xfId="35426" xr:uid="{00000000-0005-0000-0000-0000A53A0000}"/>
    <cellStyle name="Normal 10 5 3 3 3" xfId="17978" xr:uid="{00000000-0005-0000-0000-0000A63A0000}"/>
    <cellStyle name="Normal 10 5 3 3 3 2" xfId="42852" xr:uid="{00000000-0005-0000-0000-0000A73A0000}"/>
    <cellStyle name="Normal 10 5 3 3 4" xfId="30419" xr:uid="{00000000-0005-0000-0000-0000A83A0000}"/>
    <cellStyle name="Normal 10 5 3 4" xfId="8283" xr:uid="{00000000-0005-0000-0000-0000A93A0000}"/>
    <cellStyle name="Normal 10 5 3 4 2" xfId="20727" xr:uid="{00000000-0005-0000-0000-0000AA3A0000}"/>
    <cellStyle name="Normal 10 5 3 4 2 2" xfId="45601" xr:uid="{00000000-0005-0000-0000-0000AB3A0000}"/>
    <cellStyle name="Normal 10 5 3 4 3" xfId="33168" xr:uid="{00000000-0005-0000-0000-0000AC3A0000}"/>
    <cellStyle name="Normal 10 5 3 5" xfId="11996" xr:uid="{00000000-0005-0000-0000-0000AD3A0000}"/>
    <cellStyle name="Normal 10 5 3 5 2" xfId="24430" xr:uid="{00000000-0005-0000-0000-0000AE3A0000}"/>
    <cellStyle name="Normal 10 5 3 5 2 2" xfId="49304" xr:uid="{00000000-0005-0000-0000-0000AF3A0000}"/>
    <cellStyle name="Normal 10 5 3 5 3" xfId="36871" xr:uid="{00000000-0005-0000-0000-0000B03A0000}"/>
    <cellStyle name="Normal 10 5 3 6" xfId="6760" xr:uid="{00000000-0005-0000-0000-0000B13A0000}"/>
    <cellStyle name="Normal 10 5 3 6 2" xfId="19209" xr:uid="{00000000-0005-0000-0000-0000B23A0000}"/>
    <cellStyle name="Normal 10 5 3 6 2 2" xfId="44083" xr:uid="{00000000-0005-0000-0000-0000B33A0000}"/>
    <cellStyle name="Normal 10 5 3 6 3" xfId="31650" xr:uid="{00000000-0005-0000-0000-0000B43A0000}"/>
    <cellStyle name="Normal 10 5 3 7" xfId="3214" xr:uid="{00000000-0005-0000-0000-0000B53A0000}"/>
    <cellStyle name="Normal 10 5 3 7 2" xfId="15720" xr:uid="{00000000-0005-0000-0000-0000B63A0000}"/>
    <cellStyle name="Normal 10 5 3 7 2 2" xfId="40594" xr:uid="{00000000-0005-0000-0000-0000B73A0000}"/>
    <cellStyle name="Normal 10 5 3 7 3" xfId="28153" xr:uid="{00000000-0005-0000-0000-0000B83A0000}"/>
    <cellStyle name="Normal 10 5 3 8" xfId="13130" xr:uid="{00000000-0005-0000-0000-0000B93A0000}"/>
    <cellStyle name="Normal 10 5 3 8 2" xfId="38004" xr:uid="{00000000-0005-0000-0000-0000BA3A0000}"/>
    <cellStyle name="Normal 10 5 3 9" xfId="25563" xr:uid="{00000000-0005-0000-0000-0000BB3A0000}"/>
    <cellStyle name="Normal 10 5 4" xfId="674" xr:uid="{00000000-0005-0000-0000-0000BC3A0000}"/>
    <cellStyle name="Normal 10 5 4 2" xfId="1729" xr:uid="{00000000-0005-0000-0000-0000BD3A0000}"/>
    <cellStyle name="Normal 10 5 4 2 2" xfId="9485" xr:uid="{00000000-0005-0000-0000-0000BE3A0000}"/>
    <cellStyle name="Normal 10 5 4 2 2 2" xfId="21928" xr:uid="{00000000-0005-0000-0000-0000BF3A0000}"/>
    <cellStyle name="Normal 10 5 4 2 2 2 2" xfId="46802" xr:uid="{00000000-0005-0000-0000-0000C03A0000}"/>
    <cellStyle name="Normal 10 5 4 2 2 3" xfId="34369" xr:uid="{00000000-0005-0000-0000-0000C13A0000}"/>
    <cellStyle name="Normal 10 5 4 2 3" xfId="4467" xr:uid="{00000000-0005-0000-0000-0000C23A0000}"/>
    <cellStyle name="Normal 10 5 4 2 3 2" xfId="16921" xr:uid="{00000000-0005-0000-0000-0000C33A0000}"/>
    <cellStyle name="Normal 10 5 4 2 3 2 2" xfId="41795" xr:uid="{00000000-0005-0000-0000-0000C43A0000}"/>
    <cellStyle name="Normal 10 5 4 2 3 3" xfId="29362" xr:uid="{00000000-0005-0000-0000-0000C53A0000}"/>
    <cellStyle name="Normal 10 5 4 2 4" xfId="14529" xr:uid="{00000000-0005-0000-0000-0000C63A0000}"/>
    <cellStyle name="Normal 10 5 4 2 4 2" xfId="39403" xr:uid="{00000000-0005-0000-0000-0000C73A0000}"/>
    <cellStyle name="Normal 10 5 4 2 5" xfId="26962" xr:uid="{00000000-0005-0000-0000-0000C83A0000}"/>
    <cellStyle name="Normal 10 5 4 3" xfId="5875" xr:uid="{00000000-0005-0000-0000-0000C93A0000}"/>
    <cellStyle name="Normal 10 5 4 3 2" xfId="10890" xr:uid="{00000000-0005-0000-0000-0000CA3A0000}"/>
    <cellStyle name="Normal 10 5 4 3 2 2" xfId="23333" xr:uid="{00000000-0005-0000-0000-0000CB3A0000}"/>
    <cellStyle name="Normal 10 5 4 3 2 2 2" xfId="48207" xr:uid="{00000000-0005-0000-0000-0000CC3A0000}"/>
    <cellStyle name="Normal 10 5 4 3 2 3" xfId="35774" xr:uid="{00000000-0005-0000-0000-0000CD3A0000}"/>
    <cellStyle name="Normal 10 5 4 3 3" xfId="18326" xr:uid="{00000000-0005-0000-0000-0000CE3A0000}"/>
    <cellStyle name="Normal 10 5 4 3 3 2" xfId="43200" xr:uid="{00000000-0005-0000-0000-0000CF3A0000}"/>
    <cellStyle name="Normal 10 5 4 3 4" xfId="30767" xr:uid="{00000000-0005-0000-0000-0000D03A0000}"/>
    <cellStyle name="Normal 10 5 4 4" xfId="8601" xr:uid="{00000000-0005-0000-0000-0000D13A0000}"/>
    <cellStyle name="Normal 10 5 4 4 2" xfId="21045" xr:uid="{00000000-0005-0000-0000-0000D23A0000}"/>
    <cellStyle name="Normal 10 5 4 4 2 2" xfId="45919" xr:uid="{00000000-0005-0000-0000-0000D33A0000}"/>
    <cellStyle name="Normal 10 5 4 4 3" xfId="33486" xr:uid="{00000000-0005-0000-0000-0000D43A0000}"/>
    <cellStyle name="Normal 10 5 4 5" xfId="12344" xr:uid="{00000000-0005-0000-0000-0000D53A0000}"/>
    <cellStyle name="Normal 10 5 4 5 2" xfId="24778" xr:uid="{00000000-0005-0000-0000-0000D63A0000}"/>
    <cellStyle name="Normal 10 5 4 5 2 2" xfId="49652" xr:uid="{00000000-0005-0000-0000-0000D73A0000}"/>
    <cellStyle name="Normal 10 5 4 5 3" xfId="37219" xr:uid="{00000000-0005-0000-0000-0000D83A0000}"/>
    <cellStyle name="Normal 10 5 4 6" xfId="7078" xr:uid="{00000000-0005-0000-0000-0000D93A0000}"/>
    <cellStyle name="Normal 10 5 4 6 2" xfId="19527" xr:uid="{00000000-0005-0000-0000-0000DA3A0000}"/>
    <cellStyle name="Normal 10 5 4 6 2 2" xfId="44401" xr:uid="{00000000-0005-0000-0000-0000DB3A0000}"/>
    <cellStyle name="Normal 10 5 4 6 3" xfId="31968" xr:uid="{00000000-0005-0000-0000-0000DC3A0000}"/>
    <cellStyle name="Normal 10 5 4 7" xfId="3532" xr:uid="{00000000-0005-0000-0000-0000DD3A0000}"/>
    <cellStyle name="Normal 10 5 4 7 2" xfId="16038" xr:uid="{00000000-0005-0000-0000-0000DE3A0000}"/>
    <cellStyle name="Normal 10 5 4 7 2 2" xfId="40912" xr:uid="{00000000-0005-0000-0000-0000DF3A0000}"/>
    <cellStyle name="Normal 10 5 4 7 3" xfId="28471" xr:uid="{00000000-0005-0000-0000-0000E03A0000}"/>
    <cellStyle name="Normal 10 5 4 8" xfId="13477" xr:uid="{00000000-0005-0000-0000-0000E13A0000}"/>
    <cellStyle name="Normal 10 5 4 8 2" xfId="38351" xr:uid="{00000000-0005-0000-0000-0000E23A0000}"/>
    <cellStyle name="Normal 10 5 4 9" xfId="25910" xr:uid="{00000000-0005-0000-0000-0000E33A0000}"/>
    <cellStyle name="Normal 10 5 5" xfId="2231" xr:uid="{00000000-0005-0000-0000-0000E43A0000}"/>
    <cellStyle name="Normal 10 5 5 2" xfId="4859" xr:uid="{00000000-0005-0000-0000-0000E53A0000}"/>
    <cellStyle name="Normal 10 5 5 2 2" xfId="9876" xr:uid="{00000000-0005-0000-0000-0000E63A0000}"/>
    <cellStyle name="Normal 10 5 5 2 2 2" xfId="22319" xr:uid="{00000000-0005-0000-0000-0000E73A0000}"/>
    <cellStyle name="Normal 10 5 5 2 2 2 2" xfId="47193" xr:uid="{00000000-0005-0000-0000-0000E83A0000}"/>
    <cellStyle name="Normal 10 5 5 2 2 3" xfId="34760" xr:uid="{00000000-0005-0000-0000-0000E93A0000}"/>
    <cellStyle name="Normal 10 5 5 2 3" xfId="17312" xr:uid="{00000000-0005-0000-0000-0000EA3A0000}"/>
    <cellStyle name="Normal 10 5 5 2 3 2" xfId="42186" xr:uid="{00000000-0005-0000-0000-0000EB3A0000}"/>
    <cellStyle name="Normal 10 5 5 2 4" xfId="29753" xr:uid="{00000000-0005-0000-0000-0000EC3A0000}"/>
    <cellStyle name="Normal 10 5 5 3" xfId="6257" xr:uid="{00000000-0005-0000-0000-0000ED3A0000}"/>
    <cellStyle name="Normal 10 5 5 3 2" xfId="11272" xr:uid="{00000000-0005-0000-0000-0000EE3A0000}"/>
    <cellStyle name="Normal 10 5 5 3 2 2" xfId="23715" xr:uid="{00000000-0005-0000-0000-0000EF3A0000}"/>
    <cellStyle name="Normal 10 5 5 3 2 2 2" xfId="48589" xr:uid="{00000000-0005-0000-0000-0000F03A0000}"/>
    <cellStyle name="Normal 10 5 5 3 2 3" xfId="36156" xr:uid="{00000000-0005-0000-0000-0000F13A0000}"/>
    <cellStyle name="Normal 10 5 5 3 3" xfId="18708" xr:uid="{00000000-0005-0000-0000-0000F23A0000}"/>
    <cellStyle name="Normal 10 5 5 3 3 2" xfId="43582" xr:uid="{00000000-0005-0000-0000-0000F33A0000}"/>
    <cellStyle name="Normal 10 5 5 3 4" xfId="31149" xr:uid="{00000000-0005-0000-0000-0000F43A0000}"/>
    <cellStyle name="Normal 10 5 5 4" xfId="8064" xr:uid="{00000000-0005-0000-0000-0000F53A0000}"/>
    <cellStyle name="Normal 10 5 5 4 2" xfId="20510" xr:uid="{00000000-0005-0000-0000-0000F63A0000}"/>
    <cellStyle name="Normal 10 5 5 4 2 2" xfId="45384" xr:uid="{00000000-0005-0000-0000-0000F73A0000}"/>
    <cellStyle name="Normal 10 5 5 4 3" xfId="32951" xr:uid="{00000000-0005-0000-0000-0000F83A0000}"/>
    <cellStyle name="Normal 10 5 5 5" xfId="12726" xr:uid="{00000000-0005-0000-0000-0000F93A0000}"/>
    <cellStyle name="Normal 10 5 5 5 2" xfId="25160" xr:uid="{00000000-0005-0000-0000-0000FA3A0000}"/>
    <cellStyle name="Normal 10 5 5 5 2 2" xfId="50034" xr:uid="{00000000-0005-0000-0000-0000FB3A0000}"/>
    <cellStyle name="Normal 10 5 5 5 3" xfId="37601" xr:uid="{00000000-0005-0000-0000-0000FC3A0000}"/>
    <cellStyle name="Normal 10 5 5 6" xfId="7470" xr:uid="{00000000-0005-0000-0000-0000FD3A0000}"/>
    <cellStyle name="Normal 10 5 5 6 2" xfId="19918" xr:uid="{00000000-0005-0000-0000-0000FE3A0000}"/>
    <cellStyle name="Normal 10 5 5 6 2 2" xfId="44792" xr:uid="{00000000-0005-0000-0000-0000FF3A0000}"/>
    <cellStyle name="Normal 10 5 5 6 3" xfId="32359" xr:uid="{00000000-0005-0000-0000-0000003B0000}"/>
    <cellStyle name="Normal 10 5 5 7" xfId="2993" xr:uid="{00000000-0005-0000-0000-0000013B0000}"/>
    <cellStyle name="Normal 10 5 5 7 2" xfId="15503" xr:uid="{00000000-0005-0000-0000-0000023B0000}"/>
    <cellStyle name="Normal 10 5 5 7 2 2" xfId="40377" xr:uid="{00000000-0005-0000-0000-0000033B0000}"/>
    <cellStyle name="Normal 10 5 5 7 3" xfId="27936" xr:uid="{00000000-0005-0000-0000-0000043B0000}"/>
    <cellStyle name="Normal 10 5 5 8" xfId="14911" xr:uid="{00000000-0005-0000-0000-0000053B0000}"/>
    <cellStyle name="Normal 10 5 5 8 2" xfId="39785" xr:uid="{00000000-0005-0000-0000-0000063B0000}"/>
    <cellStyle name="Normal 10 5 5 9" xfId="27344" xr:uid="{00000000-0005-0000-0000-0000073B0000}"/>
    <cellStyle name="Normal 10 5 6" xfId="1068" xr:uid="{00000000-0005-0000-0000-0000083B0000}"/>
    <cellStyle name="Normal 10 5 6 2" xfId="8950" xr:uid="{00000000-0005-0000-0000-0000093B0000}"/>
    <cellStyle name="Normal 10 5 6 2 2" xfId="21393" xr:uid="{00000000-0005-0000-0000-00000A3B0000}"/>
    <cellStyle name="Normal 10 5 6 2 2 2" xfId="46267" xr:uid="{00000000-0005-0000-0000-00000B3B0000}"/>
    <cellStyle name="Normal 10 5 6 2 3" xfId="33834" xr:uid="{00000000-0005-0000-0000-00000C3B0000}"/>
    <cellStyle name="Normal 10 5 6 3" xfId="3932" xr:uid="{00000000-0005-0000-0000-00000D3B0000}"/>
    <cellStyle name="Normal 10 5 6 3 2" xfId="16386" xr:uid="{00000000-0005-0000-0000-00000E3B0000}"/>
    <cellStyle name="Normal 10 5 6 3 2 2" xfId="41260" xr:uid="{00000000-0005-0000-0000-00000F3B0000}"/>
    <cellStyle name="Normal 10 5 6 3 3" xfId="28827" xr:uid="{00000000-0005-0000-0000-0000103B0000}"/>
    <cellStyle name="Normal 10 5 6 4" xfId="13868" xr:uid="{00000000-0005-0000-0000-0000113B0000}"/>
    <cellStyle name="Normal 10 5 6 4 2" xfId="38742" xr:uid="{00000000-0005-0000-0000-0000123B0000}"/>
    <cellStyle name="Normal 10 5 6 5" xfId="26301" xr:uid="{00000000-0005-0000-0000-0000133B0000}"/>
    <cellStyle name="Normal 10 5 7" xfId="5213" xr:uid="{00000000-0005-0000-0000-0000143B0000}"/>
    <cellStyle name="Normal 10 5 7 2" xfId="10229" xr:uid="{00000000-0005-0000-0000-0000153B0000}"/>
    <cellStyle name="Normal 10 5 7 2 2" xfId="22672" xr:uid="{00000000-0005-0000-0000-0000163B0000}"/>
    <cellStyle name="Normal 10 5 7 2 2 2" xfId="47546" xr:uid="{00000000-0005-0000-0000-0000173B0000}"/>
    <cellStyle name="Normal 10 5 7 2 3" xfId="35113" xr:uid="{00000000-0005-0000-0000-0000183B0000}"/>
    <cellStyle name="Normal 10 5 7 3" xfId="17665" xr:uid="{00000000-0005-0000-0000-0000193B0000}"/>
    <cellStyle name="Normal 10 5 7 3 2" xfId="42539" xr:uid="{00000000-0005-0000-0000-00001A3B0000}"/>
    <cellStyle name="Normal 10 5 7 4" xfId="30106" xr:uid="{00000000-0005-0000-0000-00001B3B0000}"/>
    <cellStyle name="Normal 10 5 8" xfId="7790" xr:uid="{00000000-0005-0000-0000-00001C3B0000}"/>
    <cellStyle name="Normal 10 5 8 2" xfId="20236" xr:uid="{00000000-0005-0000-0000-00001D3B0000}"/>
    <cellStyle name="Normal 10 5 8 2 2" xfId="45110" xr:uid="{00000000-0005-0000-0000-00001E3B0000}"/>
    <cellStyle name="Normal 10 5 8 3" xfId="32677" xr:uid="{00000000-0005-0000-0000-00001F3B0000}"/>
    <cellStyle name="Normal 10 5 9" xfId="11683" xr:uid="{00000000-0005-0000-0000-0000203B0000}"/>
    <cellStyle name="Normal 10 5 9 2" xfId="24117" xr:uid="{00000000-0005-0000-0000-0000213B0000}"/>
    <cellStyle name="Normal 10 5 9 2 2" xfId="48991" xr:uid="{00000000-0005-0000-0000-0000223B0000}"/>
    <cellStyle name="Normal 10 5 9 3" xfId="36558" xr:uid="{00000000-0005-0000-0000-0000233B0000}"/>
    <cellStyle name="Normal 10 5_Degree data" xfId="2056" xr:uid="{00000000-0005-0000-0000-0000243B0000}"/>
    <cellStyle name="Normal 10 6" xfId="531" xr:uid="{00000000-0005-0000-0000-0000253B0000}"/>
    <cellStyle name="Normal 10 6 2" xfId="1356" xr:uid="{00000000-0005-0000-0000-0000263B0000}"/>
    <cellStyle name="Normal 10 6 2 2" xfId="9460" xr:uid="{00000000-0005-0000-0000-0000273B0000}"/>
    <cellStyle name="Normal 10 6 2 2 2" xfId="21903" xr:uid="{00000000-0005-0000-0000-0000283B0000}"/>
    <cellStyle name="Normal 10 6 2 2 2 2" xfId="46777" xr:uid="{00000000-0005-0000-0000-0000293B0000}"/>
    <cellStyle name="Normal 10 6 2 2 3" xfId="34344" xr:uid="{00000000-0005-0000-0000-00002A3B0000}"/>
    <cellStyle name="Normal 10 6 2 3" xfId="4442" xr:uid="{00000000-0005-0000-0000-00002B3B0000}"/>
    <cellStyle name="Normal 10 6 2 3 2" xfId="16896" xr:uid="{00000000-0005-0000-0000-00002C3B0000}"/>
    <cellStyle name="Normal 10 6 2 3 2 2" xfId="41770" xr:uid="{00000000-0005-0000-0000-00002D3B0000}"/>
    <cellStyle name="Normal 10 6 2 3 3" xfId="29337" xr:uid="{00000000-0005-0000-0000-00002E3B0000}"/>
    <cellStyle name="Normal 10 6 2 4" xfId="14156" xr:uid="{00000000-0005-0000-0000-00002F3B0000}"/>
    <cellStyle name="Normal 10 6 2 4 2" xfId="39030" xr:uid="{00000000-0005-0000-0000-0000303B0000}"/>
    <cellStyle name="Normal 10 6 2 5" xfId="26589" xr:uid="{00000000-0005-0000-0000-0000313B0000}"/>
    <cellStyle name="Normal 10 6 3" xfId="5501" xr:uid="{00000000-0005-0000-0000-0000323B0000}"/>
    <cellStyle name="Normal 10 6 3 2" xfId="10517" xr:uid="{00000000-0005-0000-0000-0000333B0000}"/>
    <cellStyle name="Normal 10 6 3 2 2" xfId="22960" xr:uid="{00000000-0005-0000-0000-0000343B0000}"/>
    <cellStyle name="Normal 10 6 3 2 2 2" xfId="47834" xr:uid="{00000000-0005-0000-0000-0000353B0000}"/>
    <cellStyle name="Normal 10 6 3 2 3" xfId="35401" xr:uid="{00000000-0005-0000-0000-0000363B0000}"/>
    <cellStyle name="Normal 10 6 3 3" xfId="17953" xr:uid="{00000000-0005-0000-0000-0000373B0000}"/>
    <cellStyle name="Normal 10 6 3 3 2" xfId="42827" xr:uid="{00000000-0005-0000-0000-0000383B0000}"/>
    <cellStyle name="Normal 10 6 3 4" xfId="30394" xr:uid="{00000000-0005-0000-0000-0000393B0000}"/>
    <cellStyle name="Normal 10 6 4" xfId="8576" xr:uid="{00000000-0005-0000-0000-00003A3B0000}"/>
    <cellStyle name="Normal 10 6 4 2" xfId="21020" xr:uid="{00000000-0005-0000-0000-00003B3B0000}"/>
    <cellStyle name="Normal 10 6 4 2 2" xfId="45894" xr:uid="{00000000-0005-0000-0000-00003C3B0000}"/>
    <cellStyle name="Normal 10 6 4 3" xfId="33461" xr:uid="{00000000-0005-0000-0000-00003D3B0000}"/>
    <cellStyle name="Normal 10 6 5" xfId="11971" xr:uid="{00000000-0005-0000-0000-00003E3B0000}"/>
    <cellStyle name="Normal 10 6 5 2" xfId="24405" xr:uid="{00000000-0005-0000-0000-00003F3B0000}"/>
    <cellStyle name="Normal 10 6 5 2 2" xfId="49279" xr:uid="{00000000-0005-0000-0000-0000403B0000}"/>
    <cellStyle name="Normal 10 6 5 3" xfId="36846" xr:uid="{00000000-0005-0000-0000-0000413B0000}"/>
    <cellStyle name="Normal 10 6 6" xfId="7053" xr:uid="{00000000-0005-0000-0000-0000423B0000}"/>
    <cellStyle name="Normal 10 6 6 2" xfId="19502" xr:uid="{00000000-0005-0000-0000-0000433B0000}"/>
    <cellStyle name="Normal 10 6 6 2 2" xfId="44376" xr:uid="{00000000-0005-0000-0000-0000443B0000}"/>
    <cellStyle name="Normal 10 6 6 3" xfId="31943" xr:uid="{00000000-0005-0000-0000-0000453B0000}"/>
    <cellStyle name="Normal 10 6 7" xfId="3507" xr:uid="{00000000-0005-0000-0000-0000463B0000}"/>
    <cellStyle name="Normal 10 6 7 2" xfId="16013" xr:uid="{00000000-0005-0000-0000-0000473B0000}"/>
    <cellStyle name="Normal 10 6 7 2 2" xfId="40887" xr:uid="{00000000-0005-0000-0000-0000483B0000}"/>
    <cellStyle name="Normal 10 6 7 3" xfId="28446" xr:uid="{00000000-0005-0000-0000-0000493B0000}"/>
    <cellStyle name="Normal 10 6 8" xfId="13341" xr:uid="{00000000-0005-0000-0000-00004A3B0000}"/>
    <cellStyle name="Normal 10 6 8 2" xfId="38215" xr:uid="{00000000-0005-0000-0000-00004B3B0000}"/>
    <cellStyle name="Normal 10 6 9" xfId="25774" xr:uid="{00000000-0005-0000-0000-00004C3B0000}"/>
    <cellStyle name="Normal 10 7" xfId="1704" xr:uid="{00000000-0005-0000-0000-00004D3B0000}"/>
    <cellStyle name="Normal 10 7 2" xfId="4723" xr:uid="{00000000-0005-0000-0000-00004E3B0000}"/>
    <cellStyle name="Normal 10 7 2 2" xfId="9740" xr:uid="{00000000-0005-0000-0000-00004F3B0000}"/>
    <cellStyle name="Normal 10 7 2 2 2" xfId="22183" xr:uid="{00000000-0005-0000-0000-0000503B0000}"/>
    <cellStyle name="Normal 10 7 2 2 2 2" xfId="47057" xr:uid="{00000000-0005-0000-0000-0000513B0000}"/>
    <cellStyle name="Normal 10 7 2 2 3" xfId="34624" xr:uid="{00000000-0005-0000-0000-0000523B0000}"/>
    <cellStyle name="Normal 10 7 2 3" xfId="17176" xr:uid="{00000000-0005-0000-0000-0000533B0000}"/>
    <cellStyle name="Normal 10 7 2 3 2" xfId="42050" xr:uid="{00000000-0005-0000-0000-0000543B0000}"/>
    <cellStyle name="Normal 10 7 2 4" xfId="29617" xr:uid="{00000000-0005-0000-0000-0000553B0000}"/>
    <cellStyle name="Normal 10 7 3" xfId="5850" xr:uid="{00000000-0005-0000-0000-0000563B0000}"/>
    <cellStyle name="Normal 10 7 3 2" xfId="10865" xr:uid="{00000000-0005-0000-0000-0000573B0000}"/>
    <cellStyle name="Normal 10 7 3 2 2" xfId="23308" xr:uid="{00000000-0005-0000-0000-0000583B0000}"/>
    <cellStyle name="Normal 10 7 3 2 2 2" xfId="48182" xr:uid="{00000000-0005-0000-0000-0000593B0000}"/>
    <cellStyle name="Normal 10 7 3 2 3" xfId="35749" xr:uid="{00000000-0005-0000-0000-00005A3B0000}"/>
    <cellStyle name="Normal 10 7 3 3" xfId="18301" xr:uid="{00000000-0005-0000-0000-00005B3B0000}"/>
    <cellStyle name="Normal 10 7 3 3 2" xfId="43175" xr:uid="{00000000-0005-0000-0000-00005C3B0000}"/>
    <cellStyle name="Normal 10 7 3 4" xfId="30742" xr:uid="{00000000-0005-0000-0000-00005D3B0000}"/>
    <cellStyle name="Normal 10 7 4" xfId="8866" xr:uid="{00000000-0005-0000-0000-00005E3B0000}"/>
    <cellStyle name="Normal 10 7 4 2" xfId="21309" xr:uid="{00000000-0005-0000-0000-00005F3B0000}"/>
    <cellStyle name="Normal 10 7 4 2 2" xfId="46183" xr:uid="{00000000-0005-0000-0000-0000603B0000}"/>
    <cellStyle name="Normal 10 7 4 3" xfId="33750" xr:uid="{00000000-0005-0000-0000-0000613B0000}"/>
    <cellStyle name="Normal 10 7 5" xfId="12319" xr:uid="{00000000-0005-0000-0000-0000623B0000}"/>
    <cellStyle name="Normal 10 7 5 2" xfId="24753" xr:uid="{00000000-0005-0000-0000-0000633B0000}"/>
    <cellStyle name="Normal 10 7 5 2 2" xfId="49627" xr:uid="{00000000-0005-0000-0000-0000643B0000}"/>
    <cellStyle name="Normal 10 7 5 3" xfId="37194" xr:uid="{00000000-0005-0000-0000-0000653B0000}"/>
    <cellStyle name="Normal 10 7 6" xfId="7334" xr:uid="{00000000-0005-0000-0000-0000663B0000}"/>
    <cellStyle name="Normal 10 7 6 2" xfId="19782" xr:uid="{00000000-0005-0000-0000-0000673B0000}"/>
    <cellStyle name="Normal 10 7 6 2 2" xfId="44656" xr:uid="{00000000-0005-0000-0000-0000683B0000}"/>
    <cellStyle name="Normal 10 7 6 3" xfId="32223" xr:uid="{00000000-0005-0000-0000-0000693B0000}"/>
    <cellStyle name="Normal 10 7 7" xfId="3848" xr:uid="{00000000-0005-0000-0000-00006A3B0000}"/>
    <cellStyle name="Normal 10 7 7 2" xfId="16302" xr:uid="{00000000-0005-0000-0000-00006B3B0000}"/>
    <cellStyle name="Normal 10 7 7 2 2" xfId="41176" xr:uid="{00000000-0005-0000-0000-00006C3B0000}"/>
    <cellStyle name="Normal 10 7 7 3" xfId="28743" xr:uid="{00000000-0005-0000-0000-00006D3B0000}"/>
    <cellStyle name="Normal 10 7 8" xfId="14504" xr:uid="{00000000-0005-0000-0000-00006E3B0000}"/>
    <cellStyle name="Normal 10 7 8 2" xfId="39378" xr:uid="{00000000-0005-0000-0000-00006F3B0000}"/>
    <cellStyle name="Normal 10 7 9" xfId="26937" xr:uid="{00000000-0005-0000-0000-0000703B0000}"/>
    <cellStyle name="Normal 10 8" xfId="2028" xr:uid="{00000000-0005-0000-0000-0000713B0000}"/>
    <cellStyle name="Normal 10 8 2" xfId="6121" xr:uid="{00000000-0005-0000-0000-0000723B0000}"/>
    <cellStyle name="Normal 10 8 2 2" xfId="11136" xr:uid="{00000000-0005-0000-0000-0000733B0000}"/>
    <cellStyle name="Normal 10 8 2 2 2" xfId="23579" xr:uid="{00000000-0005-0000-0000-0000743B0000}"/>
    <cellStyle name="Normal 10 8 2 2 2 2" xfId="48453" xr:uid="{00000000-0005-0000-0000-0000753B0000}"/>
    <cellStyle name="Normal 10 8 2 2 3" xfId="36020" xr:uid="{00000000-0005-0000-0000-0000763B0000}"/>
    <cellStyle name="Normal 10 8 2 3" xfId="18572" xr:uid="{00000000-0005-0000-0000-0000773B0000}"/>
    <cellStyle name="Normal 10 8 2 3 2" xfId="43446" xr:uid="{00000000-0005-0000-0000-0000783B0000}"/>
    <cellStyle name="Normal 10 8 2 4" xfId="31013" xr:uid="{00000000-0005-0000-0000-0000793B0000}"/>
    <cellStyle name="Normal 10 8 3" xfId="12590" xr:uid="{00000000-0005-0000-0000-00007A3B0000}"/>
    <cellStyle name="Normal 10 8 3 2" xfId="25024" xr:uid="{00000000-0005-0000-0000-00007B3B0000}"/>
    <cellStyle name="Normal 10 8 3 2 2" xfId="49898" xr:uid="{00000000-0005-0000-0000-00007C3B0000}"/>
    <cellStyle name="Normal 10 8 3 3" xfId="37465" xr:uid="{00000000-0005-0000-0000-00007D3B0000}"/>
    <cellStyle name="Normal 10 8 4" xfId="10086" xr:uid="{00000000-0005-0000-0000-00007E3B0000}"/>
    <cellStyle name="Normal 10 8 4 2" xfId="22529" xr:uid="{00000000-0005-0000-0000-00007F3B0000}"/>
    <cellStyle name="Normal 10 8 4 2 2" xfId="47403" xr:uid="{00000000-0005-0000-0000-0000803B0000}"/>
    <cellStyle name="Normal 10 8 4 3" xfId="34970" xr:uid="{00000000-0005-0000-0000-0000813B0000}"/>
    <cellStyle name="Normal 10 8 5" xfId="5069" xr:uid="{00000000-0005-0000-0000-0000823B0000}"/>
    <cellStyle name="Normal 10 8 5 2" xfId="17522" xr:uid="{00000000-0005-0000-0000-0000833B0000}"/>
    <cellStyle name="Normal 10 8 5 2 2" xfId="42396" xr:uid="{00000000-0005-0000-0000-0000843B0000}"/>
    <cellStyle name="Normal 10 8 5 3" xfId="29963" xr:uid="{00000000-0005-0000-0000-0000853B0000}"/>
    <cellStyle name="Normal 10 8 6" xfId="14775" xr:uid="{00000000-0005-0000-0000-0000863B0000}"/>
    <cellStyle name="Normal 10 8 6 2" xfId="39649" xr:uid="{00000000-0005-0000-0000-0000873B0000}"/>
    <cellStyle name="Normal 10 8 7" xfId="27208" xr:uid="{00000000-0005-0000-0000-0000883B0000}"/>
    <cellStyle name="Normal 10 9" xfId="932" xr:uid="{00000000-0005-0000-0000-0000893B0000}"/>
    <cellStyle name="Normal 10 9 2" xfId="11547" xr:uid="{00000000-0005-0000-0000-00008A3B0000}"/>
    <cellStyle name="Normal 10 9 2 2" xfId="23981" xr:uid="{00000000-0005-0000-0000-00008B3B0000}"/>
    <cellStyle name="Normal 10 9 2 2 2" xfId="48855" xr:uid="{00000000-0005-0000-0000-00008C3B0000}"/>
    <cellStyle name="Normal 10 9 2 3" xfId="36422" xr:uid="{00000000-0005-0000-0000-00008D3B0000}"/>
    <cellStyle name="Normal 10 9 3" xfId="10090" xr:uid="{00000000-0005-0000-0000-00008E3B0000}"/>
    <cellStyle name="Normal 10 9 3 2" xfId="22533" xr:uid="{00000000-0005-0000-0000-00008F3B0000}"/>
    <cellStyle name="Normal 10 9 3 2 2" xfId="47407" xr:uid="{00000000-0005-0000-0000-0000903B0000}"/>
    <cellStyle name="Normal 10 9 3 3" xfId="34974" xr:uid="{00000000-0005-0000-0000-0000913B0000}"/>
    <cellStyle name="Normal 10 9 4" xfId="5074" xr:uid="{00000000-0005-0000-0000-0000923B0000}"/>
    <cellStyle name="Normal 10 9 4 2" xfId="17526" xr:uid="{00000000-0005-0000-0000-0000933B0000}"/>
    <cellStyle name="Normal 10 9 4 2 2" xfId="42400" xr:uid="{00000000-0005-0000-0000-0000943B0000}"/>
    <cellStyle name="Normal 10 9 4 3" xfId="29967" xr:uid="{00000000-0005-0000-0000-0000953B0000}"/>
    <cellStyle name="Normal 10 9 5" xfId="13732" xr:uid="{00000000-0005-0000-0000-0000963B0000}"/>
    <cellStyle name="Normal 10 9 5 2" xfId="38606" xr:uid="{00000000-0005-0000-0000-0000973B0000}"/>
    <cellStyle name="Normal 10 9 6" xfId="26165" xr:uid="{00000000-0005-0000-0000-0000983B0000}"/>
    <cellStyle name="Normal 10_Degree data" xfId="1977" xr:uid="{00000000-0005-0000-0000-0000993B0000}"/>
    <cellStyle name="Normal 100" xfId="11499" xr:uid="{00000000-0005-0000-0000-00009A3B0000}"/>
    <cellStyle name="Normal 101" xfId="6478" xr:uid="{00000000-0005-0000-0000-00009B3B0000}"/>
    <cellStyle name="Normal 102" xfId="7330" xr:uid="{00000000-0005-0000-0000-00009C3B0000}"/>
    <cellStyle name="Normal 103" xfId="12935" xr:uid="{00000000-0005-0000-0000-00009D3B0000}"/>
    <cellStyle name="Normal 11" xfId="112" xr:uid="{00000000-0005-0000-0000-00009E3B0000}"/>
    <cellStyle name="Normal 12" xfId="67" xr:uid="{00000000-0005-0000-0000-00009F3B0000}"/>
    <cellStyle name="Normal 12 2" xfId="120" xr:uid="{00000000-0005-0000-0000-0000A03B0000}"/>
    <cellStyle name="Normal 12 3" xfId="103" xr:uid="{00000000-0005-0000-0000-0000A13B0000}"/>
    <cellStyle name="Normal 13" xfId="16" xr:uid="{00000000-0005-0000-0000-0000A23B0000}"/>
    <cellStyle name="Normal 13 2" xfId="68" xr:uid="{00000000-0005-0000-0000-0000A33B0000}"/>
    <cellStyle name="Normal 13 3" xfId="114" xr:uid="{00000000-0005-0000-0000-0000A43B0000}"/>
    <cellStyle name="Normal 13 3 2" xfId="205" xr:uid="{00000000-0005-0000-0000-0000A53B0000}"/>
    <cellStyle name="Normal 13 3 3" xfId="243" xr:uid="{00000000-0005-0000-0000-0000A63B0000}"/>
    <cellStyle name="Normal 14" xfId="66" xr:uid="{00000000-0005-0000-0000-0000A73B0000}"/>
    <cellStyle name="Normal 14 2" xfId="119" xr:uid="{00000000-0005-0000-0000-0000A83B0000}"/>
    <cellStyle name="Normal 14 3" xfId="101" xr:uid="{00000000-0005-0000-0000-0000A93B0000}"/>
    <cellStyle name="Normal 15" xfId="102" xr:uid="{00000000-0005-0000-0000-0000AA3B0000}"/>
    <cellStyle name="Normal 15 2" xfId="884" xr:uid="{00000000-0005-0000-0000-0000AB3B0000}"/>
    <cellStyle name="Normal 15 2 10" xfId="26118" xr:uid="{00000000-0005-0000-0000-0000AC3B0000}"/>
    <cellStyle name="Normal 15 2 2" xfId="1731" xr:uid="{00000000-0005-0000-0000-0000AD3B0000}"/>
    <cellStyle name="Normal 15 2 2 2" xfId="5067" xr:uid="{00000000-0005-0000-0000-0000AE3B0000}"/>
    <cellStyle name="Normal 15 2 2 2 2" xfId="10084" xr:uid="{00000000-0005-0000-0000-0000AF3B0000}"/>
    <cellStyle name="Normal 15 2 2 2 2 2" xfId="22527" xr:uid="{00000000-0005-0000-0000-0000B03B0000}"/>
    <cellStyle name="Normal 15 2 2 2 2 2 2" xfId="47401" xr:uid="{00000000-0005-0000-0000-0000B13B0000}"/>
    <cellStyle name="Normal 15 2 2 2 2 3" xfId="34968" xr:uid="{00000000-0005-0000-0000-0000B23B0000}"/>
    <cellStyle name="Normal 15 2 2 2 3" xfId="17520" xr:uid="{00000000-0005-0000-0000-0000B33B0000}"/>
    <cellStyle name="Normal 15 2 2 2 3 2" xfId="42394" xr:uid="{00000000-0005-0000-0000-0000B43B0000}"/>
    <cellStyle name="Normal 15 2 2 2 4" xfId="29961" xr:uid="{00000000-0005-0000-0000-0000B53B0000}"/>
    <cellStyle name="Normal 15 2 2 3" xfId="5877" xr:uid="{00000000-0005-0000-0000-0000B63B0000}"/>
    <cellStyle name="Normal 15 2 2 3 2" xfId="10892" xr:uid="{00000000-0005-0000-0000-0000B73B0000}"/>
    <cellStyle name="Normal 15 2 2 3 2 2" xfId="23335" xr:uid="{00000000-0005-0000-0000-0000B83B0000}"/>
    <cellStyle name="Normal 15 2 2 3 2 2 2" xfId="48209" xr:uid="{00000000-0005-0000-0000-0000B93B0000}"/>
    <cellStyle name="Normal 15 2 2 3 2 3" xfId="35776" xr:uid="{00000000-0005-0000-0000-0000BA3B0000}"/>
    <cellStyle name="Normal 15 2 2 3 3" xfId="18328" xr:uid="{00000000-0005-0000-0000-0000BB3B0000}"/>
    <cellStyle name="Normal 15 2 2 3 3 2" xfId="43202" xr:uid="{00000000-0005-0000-0000-0000BC3B0000}"/>
    <cellStyle name="Normal 15 2 2 3 4" xfId="30769" xr:uid="{00000000-0005-0000-0000-0000BD3B0000}"/>
    <cellStyle name="Normal 15 2 2 4" xfId="8863" xr:uid="{00000000-0005-0000-0000-0000BE3B0000}"/>
    <cellStyle name="Normal 15 2 2 4 2" xfId="21306" xr:uid="{00000000-0005-0000-0000-0000BF3B0000}"/>
    <cellStyle name="Normal 15 2 2 4 2 2" xfId="46180" xr:uid="{00000000-0005-0000-0000-0000C03B0000}"/>
    <cellStyle name="Normal 15 2 2 4 3" xfId="33747" xr:uid="{00000000-0005-0000-0000-0000C13B0000}"/>
    <cellStyle name="Normal 15 2 2 5" xfId="12346" xr:uid="{00000000-0005-0000-0000-0000C23B0000}"/>
    <cellStyle name="Normal 15 2 2 5 2" xfId="24780" xr:uid="{00000000-0005-0000-0000-0000C33B0000}"/>
    <cellStyle name="Normal 15 2 2 5 2 2" xfId="49654" xr:uid="{00000000-0005-0000-0000-0000C43B0000}"/>
    <cellStyle name="Normal 15 2 2 5 3" xfId="37221" xr:uid="{00000000-0005-0000-0000-0000C53B0000}"/>
    <cellStyle name="Normal 15 2 2 6" xfId="7678" xr:uid="{00000000-0005-0000-0000-0000C63B0000}"/>
    <cellStyle name="Normal 15 2 2 6 2" xfId="20126" xr:uid="{00000000-0005-0000-0000-0000C73B0000}"/>
    <cellStyle name="Normal 15 2 2 6 2 2" xfId="45000" xr:uid="{00000000-0005-0000-0000-0000C83B0000}"/>
    <cellStyle name="Normal 15 2 2 6 3" xfId="32567" xr:uid="{00000000-0005-0000-0000-0000C93B0000}"/>
    <cellStyle name="Normal 15 2 2 7" xfId="3845" xr:uid="{00000000-0005-0000-0000-0000CA3B0000}"/>
    <cellStyle name="Normal 15 2 2 7 2" xfId="16299" xr:uid="{00000000-0005-0000-0000-0000CB3B0000}"/>
    <cellStyle name="Normal 15 2 2 7 2 2" xfId="41173" xr:uid="{00000000-0005-0000-0000-0000CC3B0000}"/>
    <cellStyle name="Normal 15 2 2 7 3" xfId="28740" xr:uid="{00000000-0005-0000-0000-0000CD3B0000}"/>
    <cellStyle name="Normal 15 2 2 8" xfId="14531" xr:uid="{00000000-0005-0000-0000-0000CE3B0000}"/>
    <cellStyle name="Normal 15 2 2 8 2" xfId="39405" xr:uid="{00000000-0005-0000-0000-0000CF3B0000}"/>
    <cellStyle name="Normal 15 2 2 9" xfId="26964" xr:uid="{00000000-0005-0000-0000-0000D03B0000}"/>
    <cellStyle name="Normal 15 2 3" xfId="2446" xr:uid="{00000000-0005-0000-0000-0000D13B0000}"/>
    <cellStyle name="Normal 15 2 3 2" xfId="6465" xr:uid="{00000000-0005-0000-0000-0000D23B0000}"/>
    <cellStyle name="Normal 15 2 3 2 2" xfId="11480" xr:uid="{00000000-0005-0000-0000-0000D33B0000}"/>
    <cellStyle name="Normal 15 2 3 2 2 2" xfId="23923" xr:uid="{00000000-0005-0000-0000-0000D43B0000}"/>
    <cellStyle name="Normal 15 2 3 2 2 2 2" xfId="48797" xr:uid="{00000000-0005-0000-0000-0000D53B0000}"/>
    <cellStyle name="Normal 15 2 3 2 2 3" xfId="36364" xr:uid="{00000000-0005-0000-0000-0000D63B0000}"/>
    <cellStyle name="Normal 15 2 3 2 3" xfId="18916" xr:uid="{00000000-0005-0000-0000-0000D73B0000}"/>
    <cellStyle name="Normal 15 2 3 2 3 2" xfId="43790" xr:uid="{00000000-0005-0000-0000-0000D83B0000}"/>
    <cellStyle name="Normal 15 2 3 2 4" xfId="31357" xr:uid="{00000000-0005-0000-0000-0000D93B0000}"/>
    <cellStyle name="Normal 15 2 3 3" xfId="12934" xr:uid="{00000000-0005-0000-0000-0000DA3B0000}"/>
    <cellStyle name="Normal 15 2 3 3 2" xfId="25368" xr:uid="{00000000-0005-0000-0000-0000DB3B0000}"/>
    <cellStyle name="Normal 15 2 3 3 2 2" xfId="50242" xr:uid="{00000000-0005-0000-0000-0000DC3B0000}"/>
    <cellStyle name="Normal 15 2 3 3 3" xfId="37809" xr:uid="{00000000-0005-0000-0000-0000DD3B0000}"/>
    <cellStyle name="Normal 15 2 3 4" xfId="9487" xr:uid="{00000000-0005-0000-0000-0000DE3B0000}"/>
    <cellStyle name="Normal 15 2 3 4 2" xfId="21930" xr:uid="{00000000-0005-0000-0000-0000DF3B0000}"/>
    <cellStyle name="Normal 15 2 3 4 2 2" xfId="46804" xr:uid="{00000000-0005-0000-0000-0000E03B0000}"/>
    <cellStyle name="Normal 15 2 3 4 3" xfId="34371" xr:uid="{00000000-0005-0000-0000-0000E13B0000}"/>
    <cellStyle name="Normal 15 2 3 5" xfId="4469" xr:uid="{00000000-0005-0000-0000-0000E23B0000}"/>
    <cellStyle name="Normal 15 2 3 5 2" xfId="16923" xr:uid="{00000000-0005-0000-0000-0000E33B0000}"/>
    <cellStyle name="Normal 15 2 3 5 2 2" xfId="41797" xr:uid="{00000000-0005-0000-0000-0000E43B0000}"/>
    <cellStyle name="Normal 15 2 3 5 3" xfId="29364" xr:uid="{00000000-0005-0000-0000-0000E53B0000}"/>
    <cellStyle name="Normal 15 2 3 6" xfId="15119" xr:uid="{00000000-0005-0000-0000-0000E63B0000}"/>
    <cellStyle name="Normal 15 2 3 6 2" xfId="39993" xr:uid="{00000000-0005-0000-0000-0000E73B0000}"/>
    <cellStyle name="Normal 15 2 3 7" xfId="27552" xr:uid="{00000000-0005-0000-0000-0000E83B0000}"/>
    <cellStyle name="Normal 15 2 4" xfId="1383" xr:uid="{00000000-0005-0000-0000-0000E93B0000}"/>
    <cellStyle name="Normal 15 2 4 2" xfId="10544" xr:uid="{00000000-0005-0000-0000-0000EA3B0000}"/>
    <cellStyle name="Normal 15 2 4 2 2" xfId="22987" xr:uid="{00000000-0005-0000-0000-0000EB3B0000}"/>
    <cellStyle name="Normal 15 2 4 2 2 2" xfId="47861" xr:uid="{00000000-0005-0000-0000-0000EC3B0000}"/>
    <cellStyle name="Normal 15 2 4 2 3" xfId="35428" xr:uid="{00000000-0005-0000-0000-0000ED3B0000}"/>
    <cellStyle name="Normal 15 2 4 3" xfId="5528" xr:uid="{00000000-0005-0000-0000-0000EE3B0000}"/>
    <cellStyle name="Normal 15 2 4 3 2" xfId="17980" xr:uid="{00000000-0005-0000-0000-0000EF3B0000}"/>
    <cellStyle name="Normal 15 2 4 3 2 2" xfId="42854" xr:uid="{00000000-0005-0000-0000-0000F03B0000}"/>
    <cellStyle name="Normal 15 2 4 3 3" xfId="30421" xr:uid="{00000000-0005-0000-0000-0000F13B0000}"/>
    <cellStyle name="Normal 15 2 4 4" xfId="14183" xr:uid="{00000000-0005-0000-0000-0000F23B0000}"/>
    <cellStyle name="Normal 15 2 4 4 2" xfId="39057" xr:uid="{00000000-0005-0000-0000-0000F33B0000}"/>
    <cellStyle name="Normal 15 2 4 5" xfId="26616" xr:uid="{00000000-0005-0000-0000-0000F43B0000}"/>
    <cellStyle name="Normal 15 2 5" xfId="8603" xr:uid="{00000000-0005-0000-0000-0000F53B0000}"/>
    <cellStyle name="Normal 15 2 5 2" xfId="21047" xr:uid="{00000000-0005-0000-0000-0000F63B0000}"/>
    <cellStyle name="Normal 15 2 5 2 2" xfId="45921" xr:uid="{00000000-0005-0000-0000-0000F73B0000}"/>
    <cellStyle name="Normal 15 2 5 3" xfId="33488" xr:uid="{00000000-0005-0000-0000-0000F83B0000}"/>
    <cellStyle name="Normal 15 2 6" xfId="11998" xr:uid="{00000000-0005-0000-0000-0000F93B0000}"/>
    <cellStyle name="Normal 15 2 6 2" xfId="24432" xr:uid="{00000000-0005-0000-0000-0000FA3B0000}"/>
    <cellStyle name="Normal 15 2 6 2 2" xfId="49306" xr:uid="{00000000-0005-0000-0000-0000FB3B0000}"/>
    <cellStyle name="Normal 15 2 6 3" xfId="36873" xr:uid="{00000000-0005-0000-0000-0000FC3B0000}"/>
    <cellStyle name="Normal 15 2 7" xfId="7080" xr:uid="{00000000-0005-0000-0000-0000FD3B0000}"/>
    <cellStyle name="Normal 15 2 7 2" xfId="19529" xr:uid="{00000000-0005-0000-0000-0000FE3B0000}"/>
    <cellStyle name="Normal 15 2 7 2 2" xfId="44403" xr:uid="{00000000-0005-0000-0000-0000FF3B0000}"/>
    <cellStyle name="Normal 15 2 7 3" xfId="31970" xr:uid="{00000000-0005-0000-0000-0000003C0000}"/>
    <cellStyle name="Normal 15 2 8" xfId="3534" xr:uid="{00000000-0005-0000-0000-0000013C0000}"/>
    <cellStyle name="Normal 15 2 8 2" xfId="16040" xr:uid="{00000000-0005-0000-0000-0000023C0000}"/>
    <cellStyle name="Normal 15 2 8 2 2" xfId="40914" xr:uid="{00000000-0005-0000-0000-0000033C0000}"/>
    <cellStyle name="Normal 15 2 8 3" xfId="28473" xr:uid="{00000000-0005-0000-0000-0000043C0000}"/>
    <cellStyle name="Normal 15 2 9" xfId="13685" xr:uid="{00000000-0005-0000-0000-0000053C0000}"/>
    <cellStyle name="Normal 15 2 9 2" xfId="38559" xr:uid="{00000000-0005-0000-0000-0000063C0000}"/>
    <cellStyle name="Normal 15 2_Degree data" xfId="2354" xr:uid="{00000000-0005-0000-0000-0000073C0000}"/>
    <cellStyle name="Normal 16" xfId="17" xr:uid="{00000000-0005-0000-0000-0000083C0000}"/>
    <cellStyle name="Normal 17" xfId="18" xr:uid="{00000000-0005-0000-0000-0000093C0000}"/>
    <cellStyle name="Normal 18" xfId="19" xr:uid="{00000000-0005-0000-0000-00000A3C0000}"/>
    <cellStyle name="Normal 19" xfId="42" xr:uid="{00000000-0005-0000-0000-00000B3C0000}"/>
    <cellStyle name="Normal 19 2" xfId="128" xr:uid="{00000000-0005-0000-0000-00000C3C0000}"/>
    <cellStyle name="Normal 19 3" xfId="96" xr:uid="{00000000-0005-0000-0000-00000D3C0000}"/>
    <cellStyle name="Normal 2" xfId="2" xr:uid="{00000000-0005-0000-0000-00000E3C0000}"/>
    <cellStyle name="Normal 2 2" xfId="7" xr:uid="{00000000-0005-0000-0000-00000F3C0000}"/>
    <cellStyle name="Normal 2 2 2" xfId="10" xr:uid="{00000000-0005-0000-0000-0000103C0000}"/>
    <cellStyle name="Normal 2 2 3" xfId="55" xr:uid="{00000000-0005-0000-0000-0000113C0000}"/>
    <cellStyle name="Normal 2 3" xfId="8" xr:uid="{00000000-0005-0000-0000-0000123C0000}"/>
    <cellStyle name="Normal 2 3 2" xfId="11" xr:uid="{00000000-0005-0000-0000-0000133C0000}"/>
    <cellStyle name="Normal 2 4" xfId="89" xr:uid="{00000000-0005-0000-0000-0000143C0000}"/>
    <cellStyle name="Normal 2 4 2" xfId="521" xr:uid="{00000000-0005-0000-0000-0000153C0000}"/>
    <cellStyle name="Normal 2 4 2 2" xfId="885" xr:uid="{00000000-0005-0000-0000-0000163C0000}"/>
    <cellStyle name="Normal 2 5" xfId="12" xr:uid="{00000000-0005-0000-0000-0000173C0000}"/>
    <cellStyle name="Normal 2 5 10" xfId="194" xr:uid="{00000000-0005-0000-0000-0000183C0000}"/>
    <cellStyle name="Normal 2 5 10 10" xfId="13024" xr:uid="{00000000-0005-0000-0000-0000193C0000}"/>
    <cellStyle name="Normal 2 5 10 10 2" xfId="37898" xr:uid="{00000000-0005-0000-0000-00001A3C0000}"/>
    <cellStyle name="Normal 2 5 10 11" xfId="25457" xr:uid="{00000000-0005-0000-0000-00001B3C0000}"/>
    <cellStyle name="Normal 2 5 10 2" xfId="561" xr:uid="{00000000-0005-0000-0000-00001C3C0000}"/>
    <cellStyle name="Normal 2 5 10 2 2" xfId="1385" xr:uid="{00000000-0005-0000-0000-00001D3C0000}"/>
    <cellStyle name="Normal 2 5 10 2 2 2" xfId="9489" xr:uid="{00000000-0005-0000-0000-00001E3C0000}"/>
    <cellStyle name="Normal 2 5 10 2 2 2 2" xfId="21932" xr:uid="{00000000-0005-0000-0000-00001F3C0000}"/>
    <cellStyle name="Normal 2 5 10 2 2 2 2 2" xfId="46806" xr:uid="{00000000-0005-0000-0000-0000203C0000}"/>
    <cellStyle name="Normal 2 5 10 2 2 2 3" xfId="34373" xr:uid="{00000000-0005-0000-0000-0000213C0000}"/>
    <cellStyle name="Normal 2 5 10 2 2 3" xfId="4471" xr:uid="{00000000-0005-0000-0000-0000223C0000}"/>
    <cellStyle name="Normal 2 5 10 2 2 3 2" xfId="16925" xr:uid="{00000000-0005-0000-0000-0000233C0000}"/>
    <cellStyle name="Normal 2 5 10 2 2 3 2 2" xfId="41799" xr:uid="{00000000-0005-0000-0000-0000243C0000}"/>
    <cellStyle name="Normal 2 5 10 2 2 3 3" xfId="29366" xr:uid="{00000000-0005-0000-0000-0000253C0000}"/>
    <cellStyle name="Normal 2 5 10 2 2 4" xfId="14185" xr:uid="{00000000-0005-0000-0000-0000263C0000}"/>
    <cellStyle name="Normal 2 5 10 2 2 4 2" xfId="39059" xr:uid="{00000000-0005-0000-0000-0000273C0000}"/>
    <cellStyle name="Normal 2 5 10 2 2 5" xfId="26618" xr:uid="{00000000-0005-0000-0000-0000283C0000}"/>
    <cellStyle name="Normal 2 5 10 2 3" xfId="5530" xr:uid="{00000000-0005-0000-0000-0000293C0000}"/>
    <cellStyle name="Normal 2 5 10 2 3 2" xfId="10546" xr:uid="{00000000-0005-0000-0000-00002A3C0000}"/>
    <cellStyle name="Normal 2 5 10 2 3 2 2" xfId="22989" xr:uid="{00000000-0005-0000-0000-00002B3C0000}"/>
    <cellStyle name="Normal 2 5 10 2 3 2 2 2" xfId="47863" xr:uid="{00000000-0005-0000-0000-00002C3C0000}"/>
    <cellStyle name="Normal 2 5 10 2 3 2 3" xfId="35430" xr:uid="{00000000-0005-0000-0000-00002D3C0000}"/>
    <cellStyle name="Normal 2 5 10 2 3 3" xfId="17982" xr:uid="{00000000-0005-0000-0000-00002E3C0000}"/>
    <cellStyle name="Normal 2 5 10 2 3 3 2" xfId="42856" xr:uid="{00000000-0005-0000-0000-00002F3C0000}"/>
    <cellStyle name="Normal 2 5 10 2 3 4" xfId="30423" xr:uid="{00000000-0005-0000-0000-0000303C0000}"/>
    <cellStyle name="Normal 2 5 10 2 4" xfId="8605" xr:uid="{00000000-0005-0000-0000-0000313C0000}"/>
    <cellStyle name="Normal 2 5 10 2 4 2" xfId="21049" xr:uid="{00000000-0005-0000-0000-0000323C0000}"/>
    <cellStyle name="Normal 2 5 10 2 4 2 2" xfId="45923" xr:uid="{00000000-0005-0000-0000-0000333C0000}"/>
    <cellStyle name="Normal 2 5 10 2 4 3" xfId="33490" xr:uid="{00000000-0005-0000-0000-0000343C0000}"/>
    <cellStyle name="Normal 2 5 10 2 5" xfId="12000" xr:uid="{00000000-0005-0000-0000-0000353C0000}"/>
    <cellStyle name="Normal 2 5 10 2 5 2" xfId="24434" xr:uid="{00000000-0005-0000-0000-0000363C0000}"/>
    <cellStyle name="Normal 2 5 10 2 5 2 2" xfId="49308" xr:uid="{00000000-0005-0000-0000-0000373C0000}"/>
    <cellStyle name="Normal 2 5 10 2 5 3" xfId="36875" xr:uid="{00000000-0005-0000-0000-0000383C0000}"/>
    <cellStyle name="Normal 2 5 10 2 6" xfId="7082" xr:uid="{00000000-0005-0000-0000-0000393C0000}"/>
    <cellStyle name="Normal 2 5 10 2 6 2" xfId="19531" xr:uid="{00000000-0005-0000-0000-00003A3C0000}"/>
    <cellStyle name="Normal 2 5 10 2 6 2 2" xfId="44405" xr:uid="{00000000-0005-0000-0000-00003B3C0000}"/>
    <cellStyle name="Normal 2 5 10 2 6 3" xfId="31972" xr:uid="{00000000-0005-0000-0000-00003C3C0000}"/>
    <cellStyle name="Normal 2 5 10 2 7" xfId="3536" xr:uid="{00000000-0005-0000-0000-00003D3C0000}"/>
    <cellStyle name="Normal 2 5 10 2 7 2" xfId="16042" xr:uid="{00000000-0005-0000-0000-00003E3C0000}"/>
    <cellStyle name="Normal 2 5 10 2 7 2 2" xfId="40916" xr:uid="{00000000-0005-0000-0000-00003F3C0000}"/>
    <cellStyle name="Normal 2 5 10 2 7 3" xfId="28475" xr:uid="{00000000-0005-0000-0000-0000403C0000}"/>
    <cellStyle name="Normal 2 5 10 2 8" xfId="13371" xr:uid="{00000000-0005-0000-0000-0000413C0000}"/>
    <cellStyle name="Normal 2 5 10 2 8 2" xfId="38245" xr:uid="{00000000-0005-0000-0000-0000423C0000}"/>
    <cellStyle name="Normal 2 5 10 2 9" xfId="25804" xr:uid="{00000000-0005-0000-0000-0000433C0000}"/>
    <cellStyle name="Normal 2 5 10 3" xfId="1733" xr:uid="{00000000-0005-0000-0000-0000443C0000}"/>
    <cellStyle name="Normal 2 5 10 3 2" xfId="4753" xr:uid="{00000000-0005-0000-0000-0000453C0000}"/>
    <cellStyle name="Normal 2 5 10 3 2 2" xfId="9770" xr:uid="{00000000-0005-0000-0000-0000463C0000}"/>
    <cellStyle name="Normal 2 5 10 3 2 2 2" xfId="22213" xr:uid="{00000000-0005-0000-0000-0000473C0000}"/>
    <cellStyle name="Normal 2 5 10 3 2 2 2 2" xfId="47087" xr:uid="{00000000-0005-0000-0000-0000483C0000}"/>
    <cellStyle name="Normal 2 5 10 3 2 2 3" xfId="34654" xr:uid="{00000000-0005-0000-0000-0000493C0000}"/>
    <cellStyle name="Normal 2 5 10 3 2 3" xfId="17206" xr:uid="{00000000-0005-0000-0000-00004A3C0000}"/>
    <cellStyle name="Normal 2 5 10 3 2 3 2" xfId="42080" xr:uid="{00000000-0005-0000-0000-00004B3C0000}"/>
    <cellStyle name="Normal 2 5 10 3 2 4" xfId="29647" xr:uid="{00000000-0005-0000-0000-00004C3C0000}"/>
    <cellStyle name="Normal 2 5 10 3 3" xfId="5879" xr:uid="{00000000-0005-0000-0000-00004D3C0000}"/>
    <cellStyle name="Normal 2 5 10 3 3 2" xfId="10894" xr:uid="{00000000-0005-0000-0000-00004E3C0000}"/>
    <cellStyle name="Normal 2 5 10 3 3 2 2" xfId="23337" xr:uid="{00000000-0005-0000-0000-00004F3C0000}"/>
    <cellStyle name="Normal 2 5 10 3 3 2 2 2" xfId="48211" xr:uid="{00000000-0005-0000-0000-0000503C0000}"/>
    <cellStyle name="Normal 2 5 10 3 3 2 3" xfId="35778" xr:uid="{00000000-0005-0000-0000-0000513C0000}"/>
    <cellStyle name="Normal 2 5 10 3 3 3" xfId="18330" xr:uid="{00000000-0005-0000-0000-0000523C0000}"/>
    <cellStyle name="Normal 2 5 10 3 3 3 2" xfId="43204" xr:uid="{00000000-0005-0000-0000-0000533C0000}"/>
    <cellStyle name="Normal 2 5 10 3 3 4" xfId="30771" xr:uid="{00000000-0005-0000-0000-0000543C0000}"/>
    <cellStyle name="Normal 2 5 10 3 4" xfId="8857" xr:uid="{00000000-0005-0000-0000-0000553C0000}"/>
    <cellStyle name="Normal 2 5 10 3 4 2" xfId="21300" xr:uid="{00000000-0005-0000-0000-0000563C0000}"/>
    <cellStyle name="Normal 2 5 10 3 4 2 2" xfId="46174" xr:uid="{00000000-0005-0000-0000-0000573C0000}"/>
    <cellStyle name="Normal 2 5 10 3 4 3" xfId="33741" xr:uid="{00000000-0005-0000-0000-0000583C0000}"/>
    <cellStyle name="Normal 2 5 10 3 5" xfId="12348" xr:uid="{00000000-0005-0000-0000-0000593C0000}"/>
    <cellStyle name="Normal 2 5 10 3 5 2" xfId="24782" xr:uid="{00000000-0005-0000-0000-00005A3C0000}"/>
    <cellStyle name="Normal 2 5 10 3 5 2 2" xfId="49656" xr:uid="{00000000-0005-0000-0000-00005B3C0000}"/>
    <cellStyle name="Normal 2 5 10 3 5 3" xfId="37223" xr:uid="{00000000-0005-0000-0000-00005C3C0000}"/>
    <cellStyle name="Normal 2 5 10 3 6" xfId="7364" xr:uid="{00000000-0005-0000-0000-00005D3C0000}"/>
    <cellStyle name="Normal 2 5 10 3 6 2" xfId="19812" xr:uid="{00000000-0005-0000-0000-00005E3C0000}"/>
    <cellStyle name="Normal 2 5 10 3 6 2 2" xfId="44686" xr:uid="{00000000-0005-0000-0000-00005F3C0000}"/>
    <cellStyle name="Normal 2 5 10 3 6 3" xfId="32253" xr:uid="{00000000-0005-0000-0000-0000603C0000}"/>
    <cellStyle name="Normal 2 5 10 3 7" xfId="3839" xr:uid="{00000000-0005-0000-0000-0000613C0000}"/>
    <cellStyle name="Normal 2 5 10 3 7 2" xfId="16293" xr:uid="{00000000-0005-0000-0000-0000623C0000}"/>
    <cellStyle name="Normal 2 5 10 3 7 2 2" xfId="41167" xr:uid="{00000000-0005-0000-0000-0000633C0000}"/>
    <cellStyle name="Normal 2 5 10 3 7 3" xfId="28734" xr:uid="{00000000-0005-0000-0000-0000643C0000}"/>
    <cellStyle name="Normal 2 5 10 3 8" xfId="14533" xr:uid="{00000000-0005-0000-0000-0000653C0000}"/>
    <cellStyle name="Normal 2 5 10 3 8 2" xfId="39407" xr:uid="{00000000-0005-0000-0000-0000663C0000}"/>
    <cellStyle name="Normal 2 5 10 3 9" xfId="26966" xr:uid="{00000000-0005-0000-0000-0000673C0000}"/>
    <cellStyle name="Normal 2 5 10 4" xfId="2112" xr:uid="{00000000-0005-0000-0000-0000683C0000}"/>
    <cellStyle name="Normal 2 5 10 4 2" xfId="6151" xr:uid="{00000000-0005-0000-0000-0000693C0000}"/>
    <cellStyle name="Normal 2 5 10 4 2 2" xfId="11166" xr:uid="{00000000-0005-0000-0000-00006A3C0000}"/>
    <cellStyle name="Normal 2 5 10 4 2 2 2" xfId="23609" xr:uid="{00000000-0005-0000-0000-00006B3C0000}"/>
    <cellStyle name="Normal 2 5 10 4 2 2 2 2" xfId="48483" xr:uid="{00000000-0005-0000-0000-00006C3C0000}"/>
    <cellStyle name="Normal 2 5 10 4 2 2 3" xfId="36050" xr:uid="{00000000-0005-0000-0000-00006D3C0000}"/>
    <cellStyle name="Normal 2 5 10 4 2 3" xfId="18602" xr:uid="{00000000-0005-0000-0000-00006E3C0000}"/>
    <cellStyle name="Normal 2 5 10 4 2 3 2" xfId="43476" xr:uid="{00000000-0005-0000-0000-00006F3C0000}"/>
    <cellStyle name="Normal 2 5 10 4 2 4" xfId="31043" xr:uid="{00000000-0005-0000-0000-0000703C0000}"/>
    <cellStyle name="Normal 2 5 10 4 3" xfId="12620" xr:uid="{00000000-0005-0000-0000-0000713C0000}"/>
    <cellStyle name="Normal 2 5 10 4 3 2" xfId="25054" xr:uid="{00000000-0005-0000-0000-0000723C0000}"/>
    <cellStyle name="Normal 2 5 10 4 3 2 2" xfId="49928" xr:uid="{00000000-0005-0000-0000-0000733C0000}"/>
    <cellStyle name="Normal 2 5 10 4 3 3" xfId="37495" xr:uid="{00000000-0005-0000-0000-0000743C0000}"/>
    <cellStyle name="Normal 2 5 10 4 4" xfId="9061" xr:uid="{00000000-0005-0000-0000-0000753C0000}"/>
    <cellStyle name="Normal 2 5 10 4 4 2" xfId="21504" xr:uid="{00000000-0005-0000-0000-0000763C0000}"/>
    <cellStyle name="Normal 2 5 10 4 4 2 2" xfId="46378" xr:uid="{00000000-0005-0000-0000-0000773C0000}"/>
    <cellStyle name="Normal 2 5 10 4 4 3" xfId="33945" xr:uid="{00000000-0005-0000-0000-0000783C0000}"/>
    <cellStyle name="Normal 2 5 10 4 5" xfId="4043" xr:uid="{00000000-0005-0000-0000-0000793C0000}"/>
    <cellStyle name="Normal 2 5 10 4 5 2" xfId="16497" xr:uid="{00000000-0005-0000-0000-00007A3C0000}"/>
    <cellStyle name="Normal 2 5 10 4 5 2 2" xfId="41371" xr:uid="{00000000-0005-0000-0000-00007B3C0000}"/>
    <cellStyle name="Normal 2 5 10 4 5 3" xfId="28938" xr:uid="{00000000-0005-0000-0000-00007C3C0000}"/>
    <cellStyle name="Normal 2 5 10 4 6" xfId="14805" xr:uid="{00000000-0005-0000-0000-00007D3C0000}"/>
    <cellStyle name="Normal 2 5 10 4 6 2" xfId="39679" xr:uid="{00000000-0005-0000-0000-00007E3C0000}"/>
    <cellStyle name="Normal 2 5 10 4 7" xfId="27238" xr:uid="{00000000-0005-0000-0000-00007F3C0000}"/>
    <cellStyle name="Normal 2 5 10 5" xfId="962" xr:uid="{00000000-0005-0000-0000-0000803C0000}"/>
    <cellStyle name="Normal 2 5 10 5 2" xfId="10121" xr:uid="{00000000-0005-0000-0000-0000813C0000}"/>
    <cellStyle name="Normal 2 5 10 5 2 2" xfId="22564" xr:uid="{00000000-0005-0000-0000-0000823C0000}"/>
    <cellStyle name="Normal 2 5 10 5 2 2 2" xfId="47438" xr:uid="{00000000-0005-0000-0000-0000833C0000}"/>
    <cellStyle name="Normal 2 5 10 5 2 3" xfId="35005" xr:uid="{00000000-0005-0000-0000-0000843C0000}"/>
    <cellStyle name="Normal 2 5 10 5 3" xfId="5105" xr:uid="{00000000-0005-0000-0000-0000853C0000}"/>
    <cellStyle name="Normal 2 5 10 5 3 2" xfId="17557" xr:uid="{00000000-0005-0000-0000-0000863C0000}"/>
    <cellStyle name="Normal 2 5 10 5 3 2 2" xfId="42431" xr:uid="{00000000-0005-0000-0000-0000873C0000}"/>
    <cellStyle name="Normal 2 5 10 5 3 3" xfId="29998" xr:uid="{00000000-0005-0000-0000-0000883C0000}"/>
    <cellStyle name="Normal 2 5 10 5 4" xfId="13762" xr:uid="{00000000-0005-0000-0000-0000893C0000}"/>
    <cellStyle name="Normal 2 5 10 5 4 2" xfId="38636" xr:uid="{00000000-0005-0000-0000-00008A3C0000}"/>
    <cellStyle name="Normal 2 5 10 5 5" xfId="26195" xr:uid="{00000000-0005-0000-0000-00008B3C0000}"/>
    <cellStyle name="Normal 2 5 10 6" xfId="8177" xr:uid="{00000000-0005-0000-0000-00008C3C0000}"/>
    <cellStyle name="Normal 2 5 10 6 2" xfId="20621" xr:uid="{00000000-0005-0000-0000-00008D3C0000}"/>
    <cellStyle name="Normal 2 5 10 6 2 2" xfId="45495" xr:uid="{00000000-0005-0000-0000-00008E3C0000}"/>
    <cellStyle name="Normal 2 5 10 6 3" xfId="33062" xr:uid="{00000000-0005-0000-0000-00008F3C0000}"/>
    <cellStyle name="Normal 2 5 10 7" xfId="11577" xr:uid="{00000000-0005-0000-0000-0000903C0000}"/>
    <cellStyle name="Normal 2 5 10 7 2" xfId="24011" xr:uid="{00000000-0005-0000-0000-0000913C0000}"/>
    <cellStyle name="Normal 2 5 10 7 2 2" xfId="48885" xr:uid="{00000000-0005-0000-0000-0000923C0000}"/>
    <cellStyle name="Normal 2 5 10 7 3" xfId="36452" xr:uid="{00000000-0005-0000-0000-0000933C0000}"/>
    <cellStyle name="Normal 2 5 10 8" xfId="6654" xr:uid="{00000000-0005-0000-0000-0000943C0000}"/>
    <cellStyle name="Normal 2 5 10 8 2" xfId="19103" xr:uid="{00000000-0005-0000-0000-0000953C0000}"/>
    <cellStyle name="Normal 2 5 10 8 2 2" xfId="43977" xr:uid="{00000000-0005-0000-0000-0000963C0000}"/>
    <cellStyle name="Normal 2 5 10 8 3" xfId="31544" xr:uid="{00000000-0005-0000-0000-0000973C0000}"/>
    <cellStyle name="Normal 2 5 10 9" xfId="3108" xr:uid="{00000000-0005-0000-0000-0000983C0000}"/>
    <cellStyle name="Normal 2 5 10 9 2" xfId="15614" xr:uid="{00000000-0005-0000-0000-0000993C0000}"/>
    <cellStyle name="Normal 2 5 10 9 2 2" xfId="40488" xr:uid="{00000000-0005-0000-0000-00009A3C0000}"/>
    <cellStyle name="Normal 2 5 10 9 3" xfId="28047" xr:uid="{00000000-0005-0000-0000-00009B3C0000}"/>
    <cellStyle name="Normal 2 5 10_Degree data" xfId="2223" xr:uid="{00000000-0005-0000-0000-00009C3C0000}"/>
    <cellStyle name="Normal 2 5 11" xfId="529" xr:uid="{00000000-0005-0000-0000-00009D3C0000}"/>
    <cellStyle name="Normal 2 5 11 2" xfId="1384" xr:uid="{00000000-0005-0000-0000-00009E3C0000}"/>
    <cellStyle name="Normal 2 5 11 2 2" xfId="9488" xr:uid="{00000000-0005-0000-0000-00009F3C0000}"/>
    <cellStyle name="Normal 2 5 11 2 2 2" xfId="21931" xr:uid="{00000000-0005-0000-0000-0000A03C0000}"/>
    <cellStyle name="Normal 2 5 11 2 2 2 2" xfId="46805" xr:uid="{00000000-0005-0000-0000-0000A13C0000}"/>
    <cellStyle name="Normal 2 5 11 2 2 3" xfId="34372" xr:uid="{00000000-0005-0000-0000-0000A23C0000}"/>
    <cellStyle name="Normal 2 5 11 2 3" xfId="4470" xr:uid="{00000000-0005-0000-0000-0000A33C0000}"/>
    <cellStyle name="Normal 2 5 11 2 3 2" xfId="16924" xr:uid="{00000000-0005-0000-0000-0000A43C0000}"/>
    <cellStyle name="Normal 2 5 11 2 3 2 2" xfId="41798" xr:uid="{00000000-0005-0000-0000-0000A53C0000}"/>
    <cellStyle name="Normal 2 5 11 2 3 3" xfId="29365" xr:uid="{00000000-0005-0000-0000-0000A63C0000}"/>
    <cellStyle name="Normal 2 5 11 2 4" xfId="14184" xr:uid="{00000000-0005-0000-0000-0000A73C0000}"/>
    <cellStyle name="Normal 2 5 11 2 4 2" xfId="39058" xr:uid="{00000000-0005-0000-0000-0000A83C0000}"/>
    <cellStyle name="Normal 2 5 11 2 5" xfId="26617" xr:uid="{00000000-0005-0000-0000-0000A93C0000}"/>
    <cellStyle name="Normal 2 5 11 3" xfId="5529" xr:uid="{00000000-0005-0000-0000-0000AA3C0000}"/>
    <cellStyle name="Normal 2 5 11 3 2" xfId="10545" xr:uid="{00000000-0005-0000-0000-0000AB3C0000}"/>
    <cellStyle name="Normal 2 5 11 3 2 2" xfId="22988" xr:uid="{00000000-0005-0000-0000-0000AC3C0000}"/>
    <cellStyle name="Normal 2 5 11 3 2 2 2" xfId="47862" xr:uid="{00000000-0005-0000-0000-0000AD3C0000}"/>
    <cellStyle name="Normal 2 5 11 3 2 3" xfId="35429" xr:uid="{00000000-0005-0000-0000-0000AE3C0000}"/>
    <cellStyle name="Normal 2 5 11 3 3" xfId="17981" xr:uid="{00000000-0005-0000-0000-0000AF3C0000}"/>
    <cellStyle name="Normal 2 5 11 3 3 2" xfId="42855" xr:uid="{00000000-0005-0000-0000-0000B03C0000}"/>
    <cellStyle name="Normal 2 5 11 3 4" xfId="30422" xr:uid="{00000000-0005-0000-0000-0000B13C0000}"/>
    <cellStyle name="Normal 2 5 11 4" xfId="8604" xr:uid="{00000000-0005-0000-0000-0000B23C0000}"/>
    <cellStyle name="Normal 2 5 11 4 2" xfId="21048" xr:uid="{00000000-0005-0000-0000-0000B33C0000}"/>
    <cellStyle name="Normal 2 5 11 4 2 2" xfId="45922" xr:uid="{00000000-0005-0000-0000-0000B43C0000}"/>
    <cellStyle name="Normal 2 5 11 4 3" xfId="33489" xr:uid="{00000000-0005-0000-0000-0000B53C0000}"/>
    <cellStyle name="Normal 2 5 11 5" xfId="11999" xr:uid="{00000000-0005-0000-0000-0000B63C0000}"/>
    <cellStyle name="Normal 2 5 11 5 2" xfId="24433" xr:uid="{00000000-0005-0000-0000-0000B73C0000}"/>
    <cellStyle name="Normal 2 5 11 5 2 2" xfId="49307" xr:uid="{00000000-0005-0000-0000-0000B83C0000}"/>
    <cellStyle name="Normal 2 5 11 5 3" xfId="36874" xr:uid="{00000000-0005-0000-0000-0000B93C0000}"/>
    <cellStyle name="Normal 2 5 11 6" xfId="7081" xr:uid="{00000000-0005-0000-0000-0000BA3C0000}"/>
    <cellStyle name="Normal 2 5 11 6 2" xfId="19530" xr:uid="{00000000-0005-0000-0000-0000BB3C0000}"/>
    <cellStyle name="Normal 2 5 11 6 2 2" xfId="44404" xr:uid="{00000000-0005-0000-0000-0000BC3C0000}"/>
    <cellStyle name="Normal 2 5 11 6 3" xfId="31971" xr:uid="{00000000-0005-0000-0000-0000BD3C0000}"/>
    <cellStyle name="Normal 2 5 11 7" xfId="3535" xr:uid="{00000000-0005-0000-0000-0000BE3C0000}"/>
    <cellStyle name="Normal 2 5 11 7 2" xfId="16041" xr:uid="{00000000-0005-0000-0000-0000BF3C0000}"/>
    <cellStyle name="Normal 2 5 11 7 2 2" xfId="40915" xr:uid="{00000000-0005-0000-0000-0000C03C0000}"/>
    <cellStyle name="Normal 2 5 11 7 3" xfId="28474" xr:uid="{00000000-0005-0000-0000-0000C13C0000}"/>
    <cellStyle name="Normal 2 5 11 8" xfId="13339" xr:uid="{00000000-0005-0000-0000-0000C23C0000}"/>
    <cellStyle name="Normal 2 5 11 8 2" xfId="38213" xr:uid="{00000000-0005-0000-0000-0000C33C0000}"/>
    <cellStyle name="Normal 2 5 11 9" xfId="25772" xr:uid="{00000000-0005-0000-0000-0000C43C0000}"/>
    <cellStyle name="Normal 2 5 12" xfId="1732" xr:uid="{00000000-0005-0000-0000-0000C53C0000}"/>
    <cellStyle name="Normal 2 5 12 2" xfId="4721" xr:uid="{00000000-0005-0000-0000-0000C63C0000}"/>
    <cellStyle name="Normal 2 5 12 2 2" xfId="9738" xr:uid="{00000000-0005-0000-0000-0000C73C0000}"/>
    <cellStyle name="Normal 2 5 12 2 2 2" xfId="22181" xr:uid="{00000000-0005-0000-0000-0000C83C0000}"/>
    <cellStyle name="Normal 2 5 12 2 2 2 2" xfId="47055" xr:uid="{00000000-0005-0000-0000-0000C93C0000}"/>
    <cellStyle name="Normal 2 5 12 2 2 3" xfId="34622" xr:uid="{00000000-0005-0000-0000-0000CA3C0000}"/>
    <cellStyle name="Normal 2 5 12 2 3" xfId="17174" xr:uid="{00000000-0005-0000-0000-0000CB3C0000}"/>
    <cellStyle name="Normal 2 5 12 2 3 2" xfId="42048" xr:uid="{00000000-0005-0000-0000-0000CC3C0000}"/>
    <cellStyle name="Normal 2 5 12 2 4" xfId="29615" xr:uid="{00000000-0005-0000-0000-0000CD3C0000}"/>
    <cellStyle name="Normal 2 5 12 3" xfId="5878" xr:uid="{00000000-0005-0000-0000-0000CE3C0000}"/>
    <cellStyle name="Normal 2 5 12 3 2" xfId="10893" xr:uid="{00000000-0005-0000-0000-0000CF3C0000}"/>
    <cellStyle name="Normal 2 5 12 3 2 2" xfId="23336" xr:uid="{00000000-0005-0000-0000-0000D03C0000}"/>
    <cellStyle name="Normal 2 5 12 3 2 2 2" xfId="48210" xr:uid="{00000000-0005-0000-0000-0000D13C0000}"/>
    <cellStyle name="Normal 2 5 12 3 2 3" xfId="35777" xr:uid="{00000000-0005-0000-0000-0000D23C0000}"/>
    <cellStyle name="Normal 2 5 12 3 3" xfId="18329" xr:uid="{00000000-0005-0000-0000-0000D33C0000}"/>
    <cellStyle name="Normal 2 5 12 3 3 2" xfId="43203" xr:uid="{00000000-0005-0000-0000-0000D43C0000}"/>
    <cellStyle name="Normal 2 5 12 3 4" xfId="30770" xr:uid="{00000000-0005-0000-0000-0000D53C0000}"/>
    <cellStyle name="Normal 2 5 12 4" xfId="8004" xr:uid="{00000000-0005-0000-0000-0000D63C0000}"/>
    <cellStyle name="Normal 2 5 12 4 2" xfId="20450" xr:uid="{00000000-0005-0000-0000-0000D73C0000}"/>
    <cellStyle name="Normal 2 5 12 4 2 2" xfId="45324" xr:uid="{00000000-0005-0000-0000-0000D83C0000}"/>
    <cellStyle name="Normal 2 5 12 4 3" xfId="32891" xr:uid="{00000000-0005-0000-0000-0000D93C0000}"/>
    <cellStyle name="Normal 2 5 12 5" xfId="12347" xr:uid="{00000000-0005-0000-0000-0000DA3C0000}"/>
    <cellStyle name="Normal 2 5 12 5 2" xfId="24781" xr:uid="{00000000-0005-0000-0000-0000DB3C0000}"/>
    <cellStyle name="Normal 2 5 12 5 2 2" xfId="49655" xr:uid="{00000000-0005-0000-0000-0000DC3C0000}"/>
    <cellStyle name="Normal 2 5 12 5 3" xfId="37222" xr:uid="{00000000-0005-0000-0000-0000DD3C0000}"/>
    <cellStyle name="Normal 2 5 12 6" xfId="7332" xr:uid="{00000000-0005-0000-0000-0000DE3C0000}"/>
    <cellStyle name="Normal 2 5 12 6 2" xfId="19780" xr:uid="{00000000-0005-0000-0000-0000DF3C0000}"/>
    <cellStyle name="Normal 2 5 12 6 2 2" xfId="44654" xr:uid="{00000000-0005-0000-0000-0000E03C0000}"/>
    <cellStyle name="Normal 2 5 12 6 3" xfId="32221" xr:uid="{00000000-0005-0000-0000-0000E13C0000}"/>
    <cellStyle name="Normal 2 5 12 7" xfId="2925" xr:uid="{00000000-0005-0000-0000-0000E23C0000}"/>
    <cellStyle name="Normal 2 5 12 7 2" xfId="15443" xr:uid="{00000000-0005-0000-0000-0000E33C0000}"/>
    <cellStyle name="Normal 2 5 12 7 2 2" xfId="40317" xr:uid="{00000000-0005-0000-0000-0000E43C0000}"/>
    <cellStyle name="Normal 2 5 12 7 3" xfId="27876" xr:uid="{00000000-0005-0000-0000-0000E53C0000}"/>
    <cellStyle name="Normal 2 5 12 8" xfId="14532" xr:uid="{00000000-0005-0000-0000-0000E63C0000}"/>
    <cellStyle name="Normal 2 5 12 8 2" xfId="39406" xr:uid="{00000000-0005-0000-0000-0000E73C0000}"/>
    <cellStyle name="Normal 2 5 12 9" xfId="26965" xr:uid="{00000000-0005-0000-0000-0000E83C0000}"/>
    <cellStyle name="Normal 2 5 13" xfId="2025" xr:uid="{00000000-0005-0000-0000-0000E93C0000}"/>
    <cellStyle name="Normal 2 5 13 2" xfId="6119" xr:uid="{00000000-0005-0000-0000-0000EA3C0000}"/>
    <cellStyle name="Normal 2 5 13 2 2" xfId="11134" xr:uid="{00000000-0005-0000-0000-0000EB3C0000}"/>
    <cellStyle name="Normal 2 5 13 2 2 2" xfId="23577" xr:uid="{00000000-0005-0000-0000-0000EC3C0000}"/>
    <cellStyle name="Normal 2 5 13 2 2 2 2" xfId="48451" xr:uid="{00000000-0005-0000-0000-0000ED3C0000}"/>
    <cellStyle name="Normal 2 5 13 2 2 3" xfId="36018" xr:uid="{00000000-0005-0000-0000-0000EE3C0000}"/>
    <cellStyle name="Normal 2 5 13 2 3" xfId="18570" xr:uid="{00000000-0005-0000-0000-0000EF3C0000}"/>
    <cellStyle name="Normal 2 5 13 2 3 2" xfId="43444" xr:uid="{00000000-0005-0000-0000-0000F03C0000}"/>
    <cellStyle name="Normal 2 5 13 2 4" xfId="31011" xr:uid="{00000000-0005-0000-0000-0000F13C0000}"/>
    <cellStyle name="Normal 2 5 13 3" xfId="12588" xr:uid="{00000000-0005-0000-0000-0000F23C0000}"/>
    <cellStyle name="Normal 2 5 13 3 2" xfId="25022" xr:uid="{00000000-0005-0000-0000-0000F33C0000}"/>
    <cellStyle name="Normal 2 5 13 3 2 2" xfId="49896" xr:uid="{00000000-0005-0000-0000-0000F43C0000}"/>
    <cellStyle name="Normal 2 5 13 3 3" xfId="37463" xr:uid="{00000000-0005-0000-0000-0000F53C0000}"/>
    <cellStyle name="Normal 2 5 13 4" xfId="8890" xr:uid="{00000000-0005-0000-0000-0000F63C0000}"/>
    <cellStyle name="Normal 2 5 13 4 2" xfId="21333" xr:uid="{00000000-0005-0000-0000-0000F73C0000}"/>
    <cellStyle name="Normal 2 5 13 4 2 2" xfId="46207" xr:uid="{00000000-0005-0000-0000-0000F83C0000}"/>
    <cellStyle name="Normal 2 5 13 4 3" xfId="33774" xr:uid="{00000000-0005-0000-0000-0000F93C0000}"/>
    <cellStyle name="Normal 2 5 13 5" xfId="3872" xr:uid="{00000000-0005-0000-0000-0000FA3C0000}"/>
    <cellStyle name="Normal 2 5 13 5 2" xfId="16326" xr:uid="{00000000-0005-0000-0000-0000FB3C0000}"/>
    <cellStyle name="Normal 2 5 13 5 2 2" xfId="41200" xr:uid="{00000000-0005-0000-0000-0000FC3C0000}"/>
    <cellStyle name="Normal 2 5 13 5 3" xfId="28767" xr:uid="{00000000-0005-0000-0000-0000FD3C0000}"/>
    <cellStyle name="Normal 2 5 13 6" xfId="14773" xr:uid="{00000000-0005-0000-0000-0000FE3C0000}"/>
    <cellStyle name="Normal 2 5 13 6 2" xfId="39647" xr:uid="{00000000-0005-0000-0000-0000FF3C0000}"/>
    <cellStyle name="Normal 2 5 13 7" xfId="27206" xr:uid="{00000000-0005-0000-0000-0000003D0000}"/>
    <cellStyle name="Normal 2 5 14" xfId="930" xr:uid="{00000000-0005-0000-0000-0000013D0000}"/>
    <cellStyle name="Normal 2 5 14 2" xfId="11545" xr:uid="{00000000-0005-0000-0000-0000023D0000}"/>
    <cellStyle name="Normal 2 5 14 2 2" xfId="23979" xr:uid="{00000000-0005-0000-0000-0000033D0000}"/>
    <cellStyle name="Normal 2 5 14 2 2 2" xfId="48853" xr:uid="{00000000-0005-0000-0000-0000043D0000}"/>
    <cellStyle name="Normal 2 5 14 2 3" xfId="36420" xr:uid="{00000000-0005-0000-0000-0000053D0000}"/>
    <cellStyle name="Normal 2 5 14 3" xfId="10088" xr:uid="{00000000-0005-0000-0000-0000063D0000}"/>
    <cellStyle name="Normal 2 5 14 3 2" xfId="22531" xr:uid="{00000000-0005-0000-0000-0000073D0000}"/>
    <cellStyle name="Normal 2 5 14 3 2 2" xfId="47405" xr:uid="{00000000-0005-0000-0000-0000083D0000}"/>
    <cellStyle name="Normal 2 5 14 3 3" xfId="34972" xr:uid="{00000000-0005-0000-0000-0000093D0000}"/>
    <cellStyle name="Normal 2 5 14 4" xfId="5072" xr:uid="{00000000-0005-0000-0000-00000A3D0000}"/>
    <cellStyle name="Normal 2 5 14 4 2" xfId="17524" xr:uid="{00000000-0005-0000-0000-00000B3D0000}"/>
    <cellStyle name="Normal 2 5 14 4 2 2" xfId="42398" xr:uid="{00000000-0005-0000-0000-00000C3D0000}"/>
    <cellStyle name="Normal 2 5 14 4 3" xfId="29965" xr:uid="{00000000-0005-0000-0000-00000D3D0000}"/>
    <cellStyle name="Normal 2 5 14 5" xfId="13730" xr:uid="{00000000-0005-0000-0000-00000E3D0000}"/>
    <cellStyle name="Normal 2 5 14 5 2" xfId="38604" xr:uid="{00000000-0005-0000-0000-00000F3D0000}"/>
    <cellStyle name="Normal 2 5 14 6" xfId="26163" xr:uid="{00000000-0005-0000-0000-0000103D0000}"/>
    <cellStyle name="Normal 2 5 15" xfId="890" xr:uid="{00000000-0005-0000-0000-0000113D0000}"/>
    <cellStyle name="Normal 2 5 15 2" xfId="7684" xr:uid="{00000000-0005-0000-0000-0000123D0000}"/>
    <cellStyle name="Normal 2 5 15 2 2" xfId="20130" xr:uid="{00000000-0005-0000-0000-0000133D0000}"/>
    <cellStyle name="Normal 2 5 15 2 2 2" xfId="45004" xr:uid="{00000000-0005-0000-0000-0000143D0000}"/>
    <cellStyle name="Normal 2 5 15 2 3" xfId="32571" xr:uid="{00000000-0005-0000-0000-0000153D0000}"/>
    <cellStyle name="Normal 2 5 15 3" xfId="13690" xr:uid="{00000000-0005-0000-0000-0000163D0000}"/>
    <cellStyle name="Normal 2 5 15 3 2" xfId="38564" xr:uid="{00000000-0005-0000-0000-0000173D0000}"/>
    <cellStyle name="Normal 2 5 15 4" xfId="26123" xr:uid="{00000000-0005-0000-0000-0000183D0000}"/>
    <cellStyle name="Normal 2 5 16" xfId="11505" xr:uid="{00000000-0005-0000-0000-0000193D0000}"/>
    <cellStyle name="Normal 2 5 16 2" xfId="23939" xr:uid="{00000000-0005-0000-0000-00001A3D0000}"/>
    <cellStyle name="Normal 2 5 16 2 2" xfId="48813" xr:uid="{00000000-0005-0000-0000-00001B3D0000}"/>
    <cellStyle name="Normal 2 5 16 3" xfId="36380" xr:uid="{00000000-0005-0000-0000-00001C3D0000}"/>
    <cellStyle name="Normal 2 5 17" xfId="6484" xr:uid="{00000000-0005-0000-0000-00001D3D0000}"/>
    <cellStyle name="Normal 2 5 17 2" xfId="18933" xr:uid="{00000000-0005-0000-0000-00001E3D0000}"/>
    <cellStyle name="Normal 2 5 17 2 2" xfId="43807" xr:uid="{00000000-0005-0000-0000-00001F3D0000}"/>
    <cellStyle name="Normal 2 5 17 3" xfId="31374" xr:uid="{00000000-0005-0000-0000-0000203D0000}"/>
    <cellStyle name="Normal 2 5 18" xfId="2601" xr:uid="{00000000-0005-0000-0000-0000213D0000}"/>
    <cellStyle name="Normal 2 5 18 2" xfId="15123" xr:uid="{00000000-0005-0000-0000-0000223D0000}"/>
    <cellStyle name="Normal 2 5 18 2 2" xfId="39997" xr:uid="{00000000-0005-0000-0000-0000233D0000}"/>
    <cellStyle name="Normal 2 5 18 3" xfId="27556" xr:uid="{00000000-0005-0000-0000-0000243D0000}"/>
    <cellStyle name="Normal 2 5 19" xfId="12936" xr:uid="{00000000-0005-0000-0000-0000253D0000}"/>
    <cellStyle name="Normal 2 5 19 2" xfId="37810" xr:uid="{00000000-0005-0000-0000-0000263D0000}"/>
    <cellStyle name="Normal 2 5 2" xfId="82" xr:uid="{00000000-0005-0000-0000-0000273D0000}"/>
    <cellStyle name="Normal 2 5 2 10" xfId="2054" xr:uid="{00000000-0005-0000-0000-0000283D0000}"/>
    <cellStyle name="Normal 2 5 2 10 2" xfId="6127" xr:uid="{00000000-0005-0000-0000-0000293D0000}"/>
    <cellStyle name="Normal 2 5 2 10 2 2" xfId="11142" xr:uid="{00000000-0005-0000-0000-00002A3D0000}"/>
    <cellStyle name="Normal 2 5 2 10 2 2 2" xfId="23585" xr:uid="{00000000-0005-0000-0000-00002B3D0000}"/>
    <cellStyle name="Normal 2 5 2 10 2 2 2 2" xfId="48459" xr:uid="{00000000-0005-0000-0000-00002C3D0000}"/>
    <cellStyle name="Normal 2 5 2 10 2 2 3" xfId="36026" xr:uid="{00000000-0005-0000-0000-00002D3D0000}"/>
    <cellStyle name="Normal 2 5 2 10 2 3" xfId="18578" xr:uid="{00000000-0005-0000-0000-00002E3D0000}"/>
    <cellStyle name="Normal 2 5 2 10 2 3 2" xfId="43452" xr:uid="{00000000-0005-0000-0000-00002F3D0000}"/>
    <cellStyle name="Normal 2 5 2 10 2 4" xfId="31019" xr:uid="{00000000-0005-0000-0000-0000303D0000}"/>
    <cellStyle name="Normal 2 5 2 10 3" xfId="12596" xr:uid="{00000000-0005-0000-0000-0000313D0000}"/>
    <cellStyle name="Normal 2 5 2 10 3 2" xfId="25030" xr:uid="{00000000-0005-0000-0000-0000323D0000}"/>
    <cellStyle name="Normal 2 5 2 10 3 2 2" xfId="49904" xr:uid="{00000000-0005-0000-0000-0000333D0000}"/>
    <cellStyle name="Normal 2 5 2 10 3 3" xfId="37471" xr:uid="{00000000-0005-0000-0000-0000343D0000}"/>
    <cellStyle name="Normal 2 5 2 10 4" xfId="8903" xr:uid="{00000000-0005-0000-0000-0000353D0000}"/>
    <cellStyle name="Normal 2 5 2 10 4 2" xfId="21346" xr:uid="{00000000-0005-0000-0000-0000363D0000}"/>
    <cellStyle name="Normal 2 5 2 10 4 2 2" xfId="46220" xr:uid="{00000000-0005-0000-0000-0000373D0000}"/>
    <cellStyle name="Normal 2 5 2 10 4 3" xfId="33787" xr:uid="{00000000-0005-0000-0000-0000383D0000}"/>
    <cellStyle name="Normal 2 5 2 10 5" xfId="3885" xr:uid="{00000000-0005-0000-0000-0000393D0000}"/>
    <cellStyle name="Normal 2 5 2 10 5 2" xfId="16339" xr:uid="{00000000-0005-0000-0000-00003A3D0000}"/>
    <cellStyle name="Normal 2 5 2 10 5 2 2" xfId="41213" xr:uid="{00000000-0005-0000-0000-00003B3D0000}"/>
    <cellStyle name="Normal 2 5 2 10 5 3" xfId="28780" xr:uid="{00000000-0005-0000-0000-00003C3D0000}"/>
    <cellStyle name="Normal 2 5 2 10 6" xfId="14781" xr:uid="{00000000-0005-0000-0000-00003D3D0000}"/>
    <cellStyle name="Normal 2 5 2 10 6 2" xfId="39655" xr:uid="{00000000-0005-0000-0000-00003E3D0000}"/>
    <cellStyle name="Normal 2 5 2 10 7" xfId="27214" xr:uid="{00000000-0005-0000-0000-00003F3D0000}"/>
    <cellStyle name="Normal 2 5 2 11" xfId="938" xr:uid="{00000000-0005-0000-0000-0000403D0000}"/>
    <cellStyle name="Normal 2 5 2 11 2" xfId="11553" xr:uid="{00000000-0005-0000-0000-0000413D0000}"/>
    <cellStyle name="Normal 2 5 2 11 2 2" xfId="23987" xr:uid="{00000000-0005-0000-0000-0000423D0000}"/>
    <cellStyle name="Normal 2 5 2 11 2 2 2" xfId="48861" xr:uid="{00000000-0005-0000-0000-0000433D0000}"/>
    <cellStyle name="Normal 2 5 2 11 2 3" xfId="36428" xr:uid="{00000000-0005-0000-0000-0000443D0000}"/>
    <cellStyle name="Normal 2 5 2 11 3" xfId="10097" xr:uid="{00000000-0005-0000-0000-0000453D0000}"/>
    <cellStyle name="Normal 2 5 2 11 3 2" xfId="22540" xr:uid="{00000000-0005-0000-0000-0000463D0000}"/>
    <cellStyle name="Normal 2 5 2 11 3 2 2" xfId="47414" xr:uid="{00000000-0005-0000-0000-0000473D0000}"/>
    <cellStyle name="Normal 2 5 2 11 3 3" xfId="34981" xr:uid="{00000000-0005-0000-0000-0000483D0000}"/>
    <cellStyle name="Normal 2 5 2 11 4" xfId="5081" xr:uid="{00000000-0005-0000-0000-0000493D0000}"/>
    <cellStyle name="Normal 2 5 2 11 4 2" xfId="17533" xr:uid="{00000000-0005-0000-0000-00004A3D0000}"/>
    <cellStyle name="Normal 2 5 2 11 4 2 2" xfId="42407" xr:uid="{00000000-0005-0000-0000-00004B3D0000}"/>
    <cellStyle name="Normal 2 5 2 11 4 3" xfId="29974" xr:uid="{00000000-0005-0000-0000-00004C3D0000}"/>
    <cellStyle name="Normal 2 5 2 11 5" xfId="13738" xr:uid="{00000000-0005-0000-0000-00004D3D0000}"/>
    <cellStyle name="Normal 2 5 2 11 5 2" xfId="38612" xr:uid="{00000000-0005-0000-0000-00004E3D0000}"/>
    <cellStyle name="Normal 2 5 2 11 6" xfId="26171" xr:uid="{00000000-0005-0000-0000-00004F3D0000}"/>
    <cellStyle name="Normal 2 5 2 12" xfId="898" xr:uid="{00000000-0005-0000-0000-0000503D0000}"/>
    <cellStyle name="Normal 2 5 2 12 2" xfId="7692" xr:uid="{00000000-0005-0000-0000-0000513D0000}"/>
    <cellStyle name="Normal 2 5 2 12 2 2" xfId="20138" xr:uid="{00000000-0005-0000-0000-0000523D0000}"/>
    <cellStyle name="Normal 2 5 2 12 2 2 2" xfId="45012" xr:uid="{00000000-0005-0000-0000-0000533D0000}"/>
    <cellStyle name="Normal 2 5 2 12 2 3" xfId="32579" xr:uid="{00000000-0005-0000-0000-0000543D0000}"/>
    <cellStyle name="Normal 2 5 2 12 3" xfId="13698" xr:uid="{00000000-0005-0000-0000-0000553D0000}"/>
    <cellStyle name="Normal 2 5 2 12 3 2" xfId="38572" xr:uid="{00000000-0005-0000-0000-0000563D0000}"/>
    <cellStyle name="Normal 2 5 2 12 4" xfId="26131" xr:uid="{00000000-0005-0000-0000-0000573D0000}"/>
    <cellStyle name="Normal 2 5 2 13" xfId="11513" xr:uid="{00000000-0005-0000-0000-0000583D0000}"/>
    <cellStyle name="Normal 2 5 2 13 2" xfId="23947" xr:uid="{00000000-0005-0000-0000-0000593D0000}"/>
    <cellStyle name="Normal 2 5 2 13 2 2" xfId="48821" xr:uid="{00000000-0005-0000-0000-00005A3D0000}"/>
    <cellStyle name="Normal 2 5 2 13 3" xfId="36388" xr:uid="{00000000-0005-0000-0000-00005B3D0000}"/>
    <cellStyle name="Normal 2 5 2 14" xfId="6497" xr:uid="{00000000-0005-0000-0000-00005C3D0000}"/>
    <cellStyle name="Normal 2 5 2 14 2" xfId="18946" xr:uid="{00000000-0005-0000-0000-00005D3D0000}"/>
    <cellStyle name="Normal 2 5 2 14 2 2" xfId="43820" xr:uid="{00000000-0005-0000-0000-00005E3D0000}"/>
    <cellStyle name="Normal 2 5 2 14 3" xfId="31387" xr:uid="{00000000-0005-0000-0000-00005F3D0000}"/>
    <cellStyle name="Normal 2 5 2 15" xfId="2612" xr:uid="{00000000-0005-0000-0000-0000603D0000}"/>
    <cellStyle name="Normal 2 5 2 15 2" xfId="15131" xr:uid="{00000000-0005-0000-0000-0000613D0000}"/>
    <cellStyle name="Normal 2 5 2 15 2 2" xfId="40005" xr:uid="{00000000-0005-0000-0000-0000623D0000}"/>
    <cellStyle name="Normal 2 5 2 15 3" xfId="27564" xr:uid="{00000000-0005-0000-0000-0000633D0000}"/>
    <cellStyle name="Normal 2 5 2 16" xfId="12946" xr:uid="{00000000-0005-0000-0000-0000643D0000}"/>
    <cellStyle name="Normal 2 5 2 16 2" xfId="37820" xr:uid="{00000000-0005-0000-0000-0000653D0000}"/>
    <cellStyle name="Normal 2 5 2 17" xfId="25379" xr:uid="{00000000-0005-0000-0000-0000663D0000}"/>
    <cellStyle name="Normal 2 5 2 2" xfId="126" xr:uid="{00000000-0005-0000-0000-0000673D0000}"/>
    <cellStyle name="Normal 2 5 2 2 10" xfId="920" xr:uid="{00000000-0005-0000-0000-0000683D0000}"/>
    <cellStyle name="Normal 2 5 2 2 10 2" xfId="7717" xr:uid="{00000000-0005-0000-0000-0000693D0000}"/>
    <cellStyle name="Normal 2 5 2 2 10 2 2" xfId="20163" xr:uid="{00000000-0005-0000-0000-00006A3D0000}"/>
    <cellStyle name="Normal 2 5 2 2 10 2 2 2" xfId="45037" xr:uid="{00000000-0005-0000-0000-00006B3D0000}"/>
    <cellStyle name="Normal 2 5 2 2 10 2 3" xfId="32604" xr:uid="{00000000-0005-0000-0000-00006C3D0000}"/>
    <cellStyle name="Normal 2 5 2 2 10 3" xfId="13720" xr:uid="{00000000-0005-0000-0000-00006D3D0000}"/>
    <cellStyle name="Normal 2 5 2 2 10 3 2" xfId="38594" xr:uid="{00000000-0005-0000-0000-00006E3D0000}"/>
    <cellStyle name="Normal 2 5 2 2 10 4" xfId="26153" xr:uid="{00000000-0005-0000-0000-00006F3D0000}"/>
    <cellStyle name="Normal 2 5 2 2 11" xfId="11535" xr:uid="{00000000-0005-0000-0000-0000703D0000}"/>
    <cellStyle name="Normal 2 5 2 2 11 2" xfId="23969" xr:uid="{00000000-0005-0000-0000-0000713D0000}"/>
    <cellStyle name="Normal 2 5 2 2 11 2 2" xfId="48843" xr:uid="{00000000-0005-0000-0000-0000723D0000}"/>
    <cellStyle name="Normal 2 5 2 2 11 3" xfId="36410" xr:uid="{00000000-0005-0000-0000-0000733D0000}"/>
    <cellStyle name="Normal 2 5 2 2 12" xfId="6527" xr:uid="{00000000-0005-0000-0000-0000743D0000}"/>
    <cellStyle name="Normal 2 5 2 2 12 2" xfId="18976" xr:uid="{00000000-0005-0000-0000-0000753D0000}"/>
    <cellStyle name="Normal 2 5 2 2 12 2 2" xfId="43850" xr:uid="{00000000-0005-0000-0000-0000763D0000}"/>
    <cellStyle name="Normal 2 5 2 2 12 3" xfId="31417" xr:uid="{00000000-0005-0000-0000-0000773D0000}"/>
    <cellStyle name="Normal 2 5 2 2 13" xfId="2638" xr:uid="{00000000-0005-0000-0000-0000783D0000}"/>
    <cellStyle name="Normal 2 5 2 2 13 2" xfId="15156" xr:uid="{00000000-0005-0000-0000-0000793D0000}"/>
    <cellStyle name="Normal 2 5 2 2 13 2 2" xfId="40030" xr:uid="{00000000-0005-0000-0000-00007A3D0000}"/>
    <cellStyle name="Normal 2 5 2 2 13 3" xfId="27589" xr:uid="{00000000-0005-0000-0000-00007B3D0000}"/>
    <cellStyle name="Normal 2 5 2 2 14" xfId="12958" xr:uid="{00000000-0005-0000-0000-00007C3D0000}"/>
    <cellStyle name="Normal 2 5 2 2 14 2" xfId="37832" xr:uid="{00000000-0005-0000-0000-00007D3D0000}"/>
    <cellStyle name="Normal 2 5 2 2 15" xfId="25391" xr:uid="{00000000-0005-0000-0000-00007E3D0000}"/>
    <cellStyle name="Normal 2 5 2 2 2" xfId="152" xr:uid="{00000000-0005-0000-0000-00007F3D0000}"/>
    <cellStyle name="Normal 2 5 2 2 2 10" xfId="6570" xr:uid="{00000000-0005-0000-0000-0000803D0000}"/>
    <cellStyle name="Normal 2 5 2 2 2 10 2" xfId="19019" xr:uid="{00000000-0005-0000-0000-0000813D0000}"/>
    <cellStyle name="Normal 2 5 2 2 2 10 2 2" xfId="43893" xr:uid="{00000000-0005-0000-0000-0000823D0000}"/>
    <cellStyle name="Normal 2 5 2 2 2 10 3" xfId="31460" xr:uid="{00000000-0005-0000-0000-0000833D0000}"/>
    <cellStyle name="Normal 2 5 2 2 2 11" xfId="2738" xr:uid="{00000000-0005-0000-0000-0000843D0000}"/>
    <cellStyle name="Normal 2 5 2 2 2 11 2" xfId="15256" xr:uid="{00000000-0005-0000-0000-0000853D0000}"/>
    <cellStyle name="Normal 2 5 2 2 2 11 2 2" xfId="40130" xr:uid="{00000000-0005-0000-0000-0000863D0000}"/>
    <cellStyle name="Normal 2 5 2 2 2 11 3" xfId="27689" xr:uid="{00000000-0005-0000-0000-0000873D0000}"/>
    <cellStyle name="Normal 2 5 2 2 2 12" xfId="12982" xr:uid="{00000000-0005-0000-0000-0000883D0000}"/>
    <cellStyle name="Normal 2 5 2 2 2 12 2" xfId="37856" xr:uid="{00000000-0005-0000-0000-0000893D0000}"/>
    <cellStyle name="Normal 2 5 2 2 2 13" xfId="25415" xr:uid="{00000000-0005-0000-0000-00008A3D0000}"/>
    <cellStyle name="Normal 2 5 2 2 2 2" xfId="443" xr:uid="{00000000-0005-0000-0000-00008B3D0000}"/>
    <cellStyle name="Normal 2 5 2 2 2 2 10" xfId="13257" xr:uid="{00000000-0005-0000-0000-00008C3D0000}"/>
    <cellStyle name="Normal 2 5 2 2 2 2 10 2" xfId="38131" xr:uid="{00000000-0005-0000-0000-00008D3D0000}"/>
    <cellStyle name="Normal 2 5 2 2 2 2 11" xfId="25690" xr:uid="{00000000-0005-0000-0000-00008E3D0000}"/>
    <cellStyle name="Normal 2 5 2 2 2 2 2" xfId="803" xr:uid="{00000000-0005-0000-0000-00008F3D0000}"/>
    <cellStyle name="Normal 2 5 2 2 2 2 2 2" xfId="1389" xr:uid="{00000000-0005-0000-0000-0000903D0000}"/>
    <cellStyle name="Normal 2 5 2 2 2 2 2 2 2" xfId="9493" xr:uid="{00000000-0005-0000-0000-0000913D0000}"/>
    <cellStyle name="Normal 2 5 2 2 2 2 2 2 2 2" xfId="21936" xr:uid="{00000000-0005-0000-0000-0000923D0000}"/>
    <cellStyle name="Normal 2 5 2 2 2 2 2 2 2 2 2" xfId="46810" xr:uid="{00000000-0005-0000-0000-0000933D0000}"/>
    <cellStyle name="Normal 2 5 2 2 2 2 2 2 2 3" xfId="34377" xr:uid="{00000000-0005-0000-0000-0000943D0000}"/>
    <cellStyle name="Normal 2 5 2 2 2 2 2 2 3" xfId="4475" xr:uid="{00000000-0005-0000-0000-0000953D0000}"/>
    <cellStyle name="Normal 2 5 2 2 2 2 2 2 3 2" xfId="16929" xr:uid="{00000000-0005-0000-0000-0000963D0000}"/>
    <cellStyle name="Normal 2 5 2 2 2 2 2 2 3 2 2" xfId="41803" xr:uid="{00000000-0005-0000-0000-0000973D0000}"/>
    <cellStyle name="Normal 2 5 2 2 2 2 2 2 3 3" xfId="29370" xr:uid="{00000000-0005-0000-0000-0000983D0000}"/>
    <cellStyle name="Normal 2 5 2 2 2 2 2 2 4" xfId="14189" xr:uid="{00000000-0005-0000-0000-0000993D0000}"/>
    <cellStyle name="Normal 2 5 2 2 2 2 2 2 4 2" xfId="39063" xr:uid="{00000000-0005-0000-0000-00009A3D0000}"/>
    <cellStyle name="Normal 2 5 2 2 2 2 2 2 5" xfId="26622" xr:uid="{00000000-0005-0000-0000-00009B3D0000}"/>
    <cellStyle name="Normal 2 5 2 2 2 2 2 3" xfId="5534" xr:uid="{00000000-0005-0000-0000-00009C3D0000}"/>
    <cellStyle name="Normal 2 5 2 2 2 2 2 3 2" xfId="10550" xr:uid="{00000000-0005-0000-0000-00009D3D0000}"/>
    <cellStyle name="Normal 2 5 2 2 2 2 2 3 2 2" xfId="22993" xr:uid="{00000000-0005-0000-0000-00009E3D0000}"/>
    <cellStyle name="Normal 2 5 2 2 2 2 2 3 2 2 2" xfId="47867" xr:uid="{00000000-0005-0000-0000-00009F3D0000}"/>
    <cellStyle name="Normal 2 5 2 2 2 2 2 3 2 3" xfId="35434" xr:uid="{00000000-0005-0000-0000-0000A03D0000}"/>
    <cellStyle name="Normal 2 5 2 2 2 2 2 3 3" xfId="17986" xr:uid="{00000000-0005-0000-0000-0000A13D0000}"/>
    <cellStyle name="Normal 2 5 2 2 2 2 2 3 3 2" xfId="42860" xr:uid="{00000000-0005-0000-0000-0000A23D0000}"/>
    <cellStyle name="Normal 2 5 2 2 2 2 2 3 4" xfId="30427" xr:uid="{00000000-0005-0000-0000-0000A33D0000}"/>
    <cellStyle name="Normal 2 5 2 2 2 2 2 4" xfId="8609" xr:uid="{00000000-0005-0000-0000-0000A43D0000}"/>
    <cellStyle name="Normal 2 5 2 2 2 2 2 4 2" xfId="21053" xr:uid="{00000000-0005-0000-0000-0000A53D0000}"/>
    <cellStyle name="Normal 2 5 2 2 2 2 2 4 2 2" xfId="45927" xr:uid="{00000000-0005-0000-0000-0000A63D0000}"/>
    <cellStyle name="Normal 2 5 2 2 2 2 2 4 3" xfId="33494" xr:uid="{00000000-0005-0000-0000-0000A73D0000}"/>
    <cellStyle name="Normal 2 5 2 2 2 2 2 5" xfId="12004" xr:uid="{00000000-0005-0000-0000-0000A83D0000}"/>
    <cellStyle name="Normal 2 5 2 2 2 2 2 5 2" xfId="24438" xr:uid="{00000000-0005-0000-0000-0000A93D0000}"/>
    <cellStyle name="Normal 2 5 2 2 2 2 2 5 2 2" xfId="49312" xr:uid="{00000000-0005-0000-0000-0000AA3D0000}"/>
    <cellStyle name="Normal 2 5 2 2 2 2 2 5 3" xfId="36879" xr:uid="{00000000-0005-0000-0000-0000AB3D0000}"/>
    <cellStyle name="Normal 2 5 2 2 2 2 2 6" xfId="7086" xr:uid="{00000000-0005-0000-0000-0000AC3D0000}"/>
    <cellStyle name="Normal 2 5 2 2 2 2 2 6 2" xfId="19535" xr:uid="{00000000-0005-0000-0000-0000AD3D0000}"/>
    <cellStyle name="Normal 2 5 2 2 2 2 2 6 2 2" xfId="44409" xr:uid="{00000000-0005-0000-0000-0000AE3D0000}"/>
    <cellStyle name="Normal 2 5 2 2 2 2 2 6 3" xfId="31976" xr:uid="{00000000-0005-0000-0000-0000AF3D0000}"/>
    <cellStyle name="Normal 2 5 2 2 2 2 2 7" xfId="3540" xr:uid="{00000000-0005-0000-0000-0000B03D0000}"/>
    <cellStyle name="Normal 2 5 2 2 2 2 2 7 2" xfId="16046" xr:uid="{00000000-0005-0000-0000-0000B13D0000}"/>
    <cellStyle name="Normal 2 5 2 2 2 2 2 7 2 2" xfId="40920" xr:uid="{00000000-0005-0000-0000-0000B23D0000}"/>
    <cellStyle name="Normal 2 5 2 2 2 2 2 7 3" xfId="28479" xr:uid="{00000000-0005-0000-0000-0000B33D0000}"/>
    <cellStyle name="Normal 2 5 2 2 2 2 2 8" xfId="13604" xr:uid="{00000000-0005-0000-0000-0000B43D0000}"/>
    <cellStyle name="Normal 2 5 2 2 2 2 2 8 2" xfId="38478" xr:uid="{00000000-0005-0000-0000-0000B53D0000}"/>
    <cellStyle name="Normal 2 5 2 2 2 2 2 9" xfId="26037" xr:uid="{00000000-0005-0000-0000-0000B63D0000}"/>
    <cellStyle name="Normal 2 5 2 2 2 2 3" xfId="1737" xr:uid="{00000000-0005-0000-0000-0000B73D0000}"/>
    <cellStyle name="Normal 2 5 2 2 2 2 3 2" xfId="4986" xr:uid="{00000000-0005-0000-0000-0000B83D0000}"/>
    <cellStyle name="Normal 2 5 2 2 2 2 3 2 2" xfId="10003" xr:uid="{00000000-0005-0000-0000-0000B93D0000}"/>
    <cellStyle name="Normal 2 5 2 2 2 2 3 2 2 2" xfId="22446" xr:uid="{00000000-0005-0000-0000-0000BA3D0000}"/>
    <cellStyle name="Normal 2 5 2 2 2 2 3 2 2 2 2" xfId="47320" xr:uid="{00000000-0005-0000-0000-0000BB3D0000}"/>
    <cellStyle name="Normal 2 5 2 2 2 2 3 2 2 3" xfId="34887" xr:uid="{00000000-0005-0000-0000-0000BC3D0000}"/>
    <cellStyle name="Normal 2 5 2 2 2 2 3 2 3" xfId="17439" xr:uid="{00000000-0005-0000-0000-0000BD3D0000}"/>
    <cellStyle name="Normal 2 5 2 2 2 2 3 2 3 2" xfId="42313" xr:uid="{00000000-0005-0000-0000-0000BE3D0000}"/>
    <cellStyle name="Normal 2 5 2 2 2 2 3 2 4" xfId="29880" xr:uid="{00000000-0005-0000-0000-0000BF3D0000}"/>
    <cellStyle name="Normal 2 5 2 2 2 2 3 3" xfId="5883" xr:uid="{00000000-0005-0000-0000-0000C03D0000}"/>
    <cellStyle name="Normal 2 5 2 2 2 2 3 3 2" xfId="10898" xr:uid="{00000000-0005-0000-0000-0000C13D0000}"/>
    <cellStyle name="Normal 2 5 2 2 2 2 3 3 2 2" xfId="23341" xr:uid="{00000000-0005-0000-0000-0000C23D0000}"/>
    <cellStyle name="Normal 2 5 2 2 2 2 3 3 2 2 2" xfId="48215" xr:uid="{00000000-0005-0000-0000-0000C33D0000}"/>
    <cellStyle name="Normal 2 5 2 2 2 2 3 3 2 3" xfId="35782" xr:uid="{00000000-0005-0000-0000-0000C43D0000}"/>
    <cellStyle name="Normal 2 5 2 2 2 2 3 3 3" xfId="18334" xr:uid="{00000000-0005-0000-0000-0000C53D0000}"/>
    <cellStyle name="Normal 2 5 2 2 2 2 3 3 3 2" xfId="43208" xr:uid="{00000000-0005-0000-0000-0000C63D0000}"/>
    <cellStyle name="Normal 2 5 2 2 2 2 3 3 4" xfId="30775" xr:uid="{00000000-0005-0000-0000-0000C73D0000}"/>
    <cellStyle name="Normal 2 5 2 2 2 2 3 4" xfId="8410" xr:uid="{00000000-0005-0000-0000-0000C83D0000}"/>
    <cellStyle name="Normal 2 5 2 2 2 2 3 4 2" xfId="20854" xr:uid="{00000000-0005-0000-0000-0000C93D0000}"/>
    <cellStyle name="Normal 2 5 2 2 2 2 3 4 2 2" xfId="45728" xr:uid="{00000000-0005-0000-0000-0000CA3D0000}"/>
    <cellStyle name="Normal 2 5 2 2 2 2 3 4 3" xfId="33295" xr:uid="{00000000-0005-0000-0000-0000CB3D0000}"/>
    <cellStyle name="Normal 2 5 2 2 2 2 3 5" xfId="12352" xr:uid="{00000000-0005-0000-0000-0000CC3D0000}"/>
    <cellStyle name="Normal 2 5 2 2 2 2 3 5 2" xfId="24786" xr:uid="{00000000-0005-0000-0000-0000CD3D0000}"/>
    <cellStyle name="Normal 2 5 2 2 2 2 3 5 2 2" xfId="49660" xr:uid="{00000000-0005-0000-0000-0000CE3D0000}"/>
    <cellStyle name="Normal 2 5 2 2 2 2 3 5 3" xfId="37227" xr:uid="{00000000-0005-0000-0000-0000CF3D0000}"/>
    <cellStyle name="Normal 2 5 2 2 2 2 3 6" xfId="7597" xr:uid="{00000000-0005-0000-0000-0000D03D0000}"/>
    <cellStyle name="Normal 2 5 2 2 2 2 3 6 2" xfId="20045" xr:uid="{00000000-0005-0000-0000-0000D13D0000}"/>
    <cellStyle name="Normal 2 5 2 2 2 2 3 6 2 2" xfId="44919" xr:uid="{00000000-0005-0000-0000-0000D23D0000}"/>
    <cellStyle name="Normal 2 5 2 2 2 2 3 6 3" xfId="32486" xr:uid="{00000000-0005-0000-0000-0000D33D0000}"/>
    <cellStyle name="Normal 2 5 2 2 2 2 3 7" xfId="3341" xr:uid="{00000000-0005-0000-0000-0000D43D0000}"/>
    <cellStyle name="Normal 2 5 2 2 2 2 3 7 2" xfId="15847" xr:uid="{00000000-0005-0000-0000-0000D53D0000}"/>
    <cellStyle name="Normal 2 5 2 2 2 2 3 7 2 2" xfId="40721" xr:uid="{00000000-0005-0000-0000-0000D63D0000}"/>
    <cellStyle name="Normal 2 5 2 2 2 2 3 7 3" xfId="28280" xr:uid="{00000000-0005-0000-0000-0000D73D0000}"/>
    <cellStyle name="Normal 2 5 2 2 2 2 3 8" xfId="14537" xr:uid="{00000000-0005-0000-0000-0000D83D0000}"/>
    <cellStyle name="Normal 2 5 2 2 2 2 3 8 2" xfId="39411" xr:uid="{00000000-0005-0000-0000-0000D93D0000}"/>
    <cellStyle name="Normal 2 5 2 2 2 2 3 9" xfId="26970" xr:uid="{00000000-0005-0000-0000-0000DA3D0000}"/>
    <cellStyle name="Normal 2 5 2 2 2 2 4" xfId="2361" xr:uid="{00000000-0005-0000-0000-0000DB3D0000}"/>
    <cellStyle name="Normal 2 5 2 2 2 2 4 2" xfId="6384" xr:uid="{00000000-0005-0000-0000-0000DC3D0000}"/>
    <cellStyle name="Normal 2 5 2 2 2 2 4 2 2" xfId="11399" xr:uid="{00000000-0005-0000-0000-0000DD3D0000}"/>
    <cellStyle name="Normal 2 5 2 2 2 2 4 2 2 2" xfId="23842" xr:uid="{00000000-0005-0000-0000-0000DE3D0000}"/>
    <cellStyle name="Normal 2 5 2 2 2 2 4 2 2 2 2" xfId="48716" xr:uid="{00000000-0005-0000-0000-0000DF3D0000}"/>
    <cellStyle name="Normal 2 5 2 2 2 2 4 2 2 3" xfId="36283" xr:uid="{00000000-0005-0000-0000-0000E03D0000}"/>
    <cellStyle name="Normal 2 5 2 2 2 2 4 2 3" xfId="18835" xr:uid="{00000000-0005-0000-0000-0000E13D0000}"/>
    <cellStyle name="Normal 2 5 2 2 2 2 4 2 3 2" xfId="43709" xr:uid="{00000000-0005-0000-0000-0000E23D0000}"/>
    <cellStyle name="Normal 2 5 2 2 2 2 4 2 4" xfId="31276" xr:uid="{00000000-0005-0000-0000-0000E33D0000}"/>
    <cellStyle name="Normal 2 5 2 2 2 2 4 3" xfId="12853" xr:uid="{00000000-0005-0000-0000-0000E43D0000}"/>
    <cellStyle name="Normal 2 5 2 2 2 2 4 3 2" xfId="25287" xr:uid="{00000000-0005-0000-0000-0000E53D0000}"/>
    <cellStyle name="Normal 2 5 2 2 2 2 4 3 2 2" xfId="50161" xr:uid="{00000000-0005-0000-0000-0000E63D0000}"/>
    <cellStyle name="Normal 2 5 2 2 2 2 4 3 3" xfId="37728" xr:uid="{00000000-0005-0000-0000-0000E73D0000}"/>
    <cellStyle name="Normal 2 5 2 2 2 2 4 4" xfId="9294" xr:uid="{00000000-0005-0000-0000-0000E83D0000}"/>
    <cellStyle name="Normal 2 5 2 2 2 2 4 4 2" xfId="21737" xr:uid="{00000000-0005-0000-0000-0000E93D0000}"/>
    <cellStyle name="Normal 2 5 2 2 2 2 4 4 2 2" xfId="46611" xr:uid="{00000000-0005-0000-0000-0000EA3D0000}"/>
    <cellStyle name="Normal 2 5 2 2 2 2 4 4 3" xfId="34178" xr:uid="{00000000-0005-0000-0000-0000EB3D0000}"/>
    <cellStyle name="Normal 2 5 2 2 2 2 4 5" xfId="4276" xr:uid="{00000000-0005-0000-0000-0000EC3D0000}"/>
    <cellStyle name="Normal 2 5 2 2 2 2 4 5 2" xfId="16730" xr:uid="{00000000-0005-0000-0000-0000ED3D0000}"/>
    <cellStyle name="Normal 2 5 2 2 2 2 4 5 2 2" xfId="41604" xr:uid="{00000000-0005-0000-0000-0000EE3D0000}"/>
    <cellStyle name="Normal 2 5 2 2 2 2 4 5 3" xfId="29171" xr:uid="{00000000-0005-0000-0000-0000EF3D0000}"/>
    <cellStyle name="Normal 2 5 2 2 2 2 4 6" xfId="15038" xr:uid="{00000000-0005-0000-0000-0000F03D0000}"/>
    <cellStyle name="Normal 2 5 2 2 2 2 4 6 2" xfId="39912" xr:uid="{00000000-0005-0000-0000-0000F13D0000}"/>
    <cellStyle name="Normal 2 5 2 2 2 2 4 7" xfId="27471" xr:uid="{00000000-0005-0000-0000-0000F23D0000}"/>
    <cellStyle name="Normal 2 5 2 2 2 2 5" xfId="1195" xr:uid="{00000000-0005-0000-0000-0000F33D0000}"/>
    <cellStyle name="Normal 2 5 2 2 2 2 5 2" xfId="10356" xr:uid="{00000000-0005-0000-0000-0000F43D0000}"/>
    <cellStyle name="Normal 2 5 2 2 2 2 5 2 2" xfId="22799" xr:uid="{00000000-0005-0000-0000-0000F53D0000}"/>
    <cellStyle name="Normal 2 5 2 2 2 2 5 2 2 2" xfId="47673" xr:uid="{00000000-0005-0000-0000-0000F63D0000}"/>
    <cellStyle name="Normal 2 5 2 2 2 2 5 2 3" xfId="35240" xr:uid="{00000000-0005-0000-0000-0000F73D0000}"/>
    <cellStyle name="Normal 2 5 2 2 2 2 5 3" xfId="5340" xr:uid="{00000000-0005-0000-0000-0000F83D0000}"/>
    <cellStyle name="Normal 2 5 2 2 2 2 5 3 2" xfId="17792" xr:uid="{00000000-0005-0000-0000-0000F93D0000}"/>
    <cellStyle name="Normal 2 5 2 2 2 2 5 3 2 2" xfId="42666" xr:uid="{00000000-0005-0000-0000-0000FA3D0000}"/>
    <cellStyle name="Normal 2 5 2 2 2 2 5 3 3" xfId="30233" xr:uid="{00000000-0005-0000-0000-0000FB3D0000}"/>
    <cellStyle name="Normal 2 5 2 2 2 2 5 4" xfId="13995" xr:uid="{00000000-0005-0000-0000-0000FC3D0000}"/>
    <cellStyle name="Normal 2 5 2 2 2 2 5 4 2" xfId="38869" xr:uid="{00000000-0005-0000-0000-0000FD3D0000}"/>
    <cellStyle name="Normal 2 5 2 2 2 2 5 5" xfId="26428" xr:uid="{00000000-0005-0000-0000-0000FE3D0000}"/>
    <cellStyle name="Normal 2 5 2 2 2 2 6" xfId="7917" xr:uid="{00000000-0005-0000-0000-0000FF3D0000}"/>
    <cellStyle name="Normal 2 5 2 2 2 2 6 2" xfId="20363" xr:uid="{00000000-0005-0000-0000-0000003E0000}"/>
    <cellStyle name="Normal 2 5 2 2 2 2 6 2 2" xfId="45237" xr:uid="{00000000-0005-0000-0000-0000013E0000}"/>
    <cellStyle name="Normal 2 5 2 2 2 2 6 3" xfId="32804" xr:uid="{00000000-0005-0000-0000-0000023E0000}"/>
    <cellStyle name="Normal 2 5 2 2 2 2 7" xfId="11810" xr:uid="{00000000-0005-0000-0000-0000033E0000}"/>
    <cellStyle name="Normal 2 5 2 2 2 2 7 2" xfId="24244" xr:uid="{00000000-0005-0000-0000-0000043E0000}"/>
    <cellStyle name="Normal 2 5 2 2 2 2 7 2 2" xfId="49118" xr:uid="{00000000-0005-0000-0000-0000053E0000}"/>
    <cellStyle name="Normal 2 5 2 2 2 2 7 3" xfId="36685" xr:uid="{00000000-0005-0000-0000-0000063E0000}"/>
    <cellStyle name="Normal 2 5 2 2 2 2 8" xfId="6887" xr:uid="{00000000-0005-0000-0000-0000073E0000}"/>
    <cellStyle name="Normal 2 5 2 2 2 2 8 2" xfId="19336" xr:uid="{00000000-0005-0000-0000-0000083E0000}"/>
    <cellStyle name="Normal 2 5 2 2 2 2 8 2 2" xfId="44210" xr:uid="{00000000-0005-0000-0000-0000093E0000}"/>
    <cellStyle name="Normal 2 5 2 2 2 2 8 3" xfId="31777" xr:uid="{00000000-0005-0000-0000-00000A3E0000}"/>
    <cellStyle name="Normal 2 5 2 2 2 2 9" xfId="2838" xr:uid="{00000000-0005-0000-0000-00000B3E0000}"/>
    <cellStyle name="Normal 2 5 2 2 2 2 9 2" xfId="15356" xr:uid="{00000000-0005-0000-0000-00000C3E0000}"/>
    <cellStyle name="Normal 2 5 2 2 2 2 9 2 2" xfId="40230" xr:uid="{00000000-0005-0000-0000-00000D3E0000}"/>
    <cellStyle name="Normal 2 5 2 2 2 2 9 3" xfId="27789" xr:uid="{00000000-0005-0000-0000-00000E3E0000}"/>
    <cellStyle name="Normal 2 5 2 2 2 2_Degree data" xfId="2122" xr:uid="{00000000-0005-0000-0000-00000F3E0000}"/>
    <cellStyle name="Normal 2 5 2 2 2 3" xfId="341" xr:uid="{00000000-0005-0000-0000-0000103E0000}"/>
    <cellStyle name="Normal 2 5 2 2 2 3 2" xfId="1388" xr:uid="{00000000-0005-0000-0000-0000113E0000}"/>
    <cellStyle name="Normal 2 5 2 2 2 3 2 2" xfId="9194" xr:uid="{00000000-0005-0000-0000-0000123E0000}"/>
    <cellStyle name="Normal 2 5 2 2 2 3 2 2 2" xfId="21637" xr:uid="{00000000-0005-0000-0000-0000133E0000}"/>
    <cellStyle name="Normal 2 5 2 2 2 3 2 2 2 2" xfId="46511" xr:uid="{00000000-0005-0000-0000-0000143E0000}"/>
    <cellStyle name="Normal 2 5 2 2 2 3 2 2 3" xfId="34078" xr:uid="{00000000-0005-0000-0000-0000153E0000}"/>
    <cellStyle name="Normal 2 5 2 2 2 3 2 3" xfId="4176" xr:uid="{00000000-0005-0000-0000-0000163E0000}"/>
    <cellStyle name="Normal 2 5 2 2 2 3 2 3 2" xfId="16630" xr:uid="{00000000-0005-0000-0000-0000173E0000}"/>
    <cellStyle name="Normal 2 5 2 2 2 3 2 3 2 2" xfId="41504" xr:uid="{00000000-0005-0000-0000-0000183E0000}"/>
    <cellStyle name="Normal 2 5 2 2 2 3 2 3 3" xfId="29071" xr:uid="{00000000-0005-0000-0000-0000193E0000}"/>
    <cellStyle name="Normal 2 5 2 2 2 3 2 4" xfId="14188" xr:uid="{00000000-0005-0000-0000-00001A3E0000}"/>
    <cellStyle name="Normal 2 5 2 2 2 3 2 4 2" xfId="39062" xr:uid="{00000000-0005-0000-0000-00001B3E0000}"/>
    <cellStyle name="Normal 2 5 2 2 2 3 2 5" xfId="26621" xr:uid="{00000000-0005-0000-0000-00001C3E0000}"/>
    <cellStyle name="Normal 2 5 2 2 2 3 3" xfId="5533" xr:uid="{00000000-0005-0000-0000-00001D3E0000}"/>
    <cellStyle name="Normal 2 5 2 2 2 3 3 2" xfId="10549" xr:uid="{00000000-0005-0000-0000-00001E3E0000}"/>
    <cellStyle name="Normal 2 5 2 2 2 3 3 2 2" xfId="22992" xr:uid="{00000000-0005-0000-0000-00001F3E0000}"/>
    <cellStyle name="Normal 2 5 2 2 2 3 3 2 2 2" xfId="47866" xr:uid="{00000000-0005-0000-0000-0000203E0000}"/>
    <cellStyle name="Normal 2 5 2 2 2 3 3 2 3" xfId="35433" xr:uid="{00000000-0005-0000-0000-0000213E0000}"/>
    <cellStyle name="Normal 2 5 2 2 2 3 3 3" xfId="17985" xr:uid="{00000000-0005-0000-0000-0000223E0000}"/>
    <cellStyle name="Normal 2 5 2 2 2 3 3 3 2" xfId="42859" xr:uid="{00000000-0005-0000-0000-0000233E0000}"/>
    <cellStyle name="Normal 2 5 2 2 2 3 3 4" xfId="30426" xr:uid="{00000000-0005-0000-0000-0000243E0000}"/>
    <cellStyle name="Normal 2 5 2 2 2 3 4" xfId="8310" xr:uid="{00000000-0005-0000-0000-0000253E0000}"/>
    <cellStyle name="Normal 2 5 2 2 2 3 4 2" xfId="20754" xr:uid="{00000000-0005-0000-0000-0000263E0000}"/>
    <cellStyle name="Normal 2 5 2 2 2 3 4 2 2" xfId="45628" xr:uid="{00000000-0005-0000-0000-0000273E0000}"/>
    <cellStyle name="Normal 2 5 2 2 2 3 4 3" xfId="33195" xr:uid="{00000000-0005-0000-0000-0000283E0000}"/>
    <cellStyle name="Normal 2 5 2 2 2 3 5" xfId="12003" xr:uid="{00000000-0005-0000-0000-0000293E0000}"/>
    <cellStyle name="Normal 2 5 2 2 2 3 5 2" xfId="24437" xr:uid="{00000000-0005-0000-0000-00002A3E0000}"/>
    <cellStyle name="Normal 2 5 2 2 2 3 5 2 2" xfId="49311" xr:uid="{00000000-0005-0000-0000-00002B3E0000}"/>
    <cellStyle name="Normal 2 5 2 2 2 3 5 3" xfId="36878" xr:uid="{00000000-0005-0000-0000-00002C3E0000}"/>
    <cellStyle name="Normal 2 5 2 2 2 3 6" xfId="6787" xr:uid="{00000000-0005-0000-0000-00002D3E0000}"/>
    <cellStyle name="Normal 2 5 2 2 2 3 6 2" xfId="19236" xr:uid="{00000000-0005-0000-0000-00002E3E0000}"/>
    <cellStyle name="Normal 2 5 2 2 2 3 6 2 2" xfId="44110" xr:uid="{00000000-0005-0000-0000-00002F3E0000}"/>
    <cellStyle name="Normal 2 5 2 2 2 3 6 3" xfId="31677" xr:uid="{00000000-0005-0000-0000-0000303E0000}"/>
    <cellStyle name="Normal 2 5 2 2 2 3 7" xfId="3241" xr:uid="{00000000-0005-0000-0000-0000313E0000}"/>
    <cellStyle name="Normal 2 5 2 2 2 3 7 2" xfId="15747" xr:uid="{00000000-0005-0000-0000-0000323E0000}"/>
    <cellStyle name="Normal 2 5 2 2 2 3 7 2 2" xfId="40621" xr:uid="{00000000-0005-0000-0000-0000333E0000}"/>
    <cellStyle name="Normal 2 5 2 2 2 3 7 3" xfId="28180" xr:uid="{00000000-0005-0000-0000-0000343E0000}"/>
    <cellStyle name="Normal 2 5 2 2 2 3 8" xfId="13157" xr:uid="{00000000-0005-0000-0000-0000353E0000}"/>
    <cellStyle name="Normal 2 5 2 2 2 3 8 2" xfId="38031" xr:uid="{00000000-0005-0000-0000-0000363E0000}"/>
    <cellStyle name="Normal 2 5 2 2 2 3 9" xfId="25590" xr:uid="{00000000-0005-0000-0000-0000373E0000}"/>
    <cellStyle name="Normal 2 5 2 2 2 4" xfId="701" xr:uid="{00000000-0005-0000-0000-0000383E0000}"/>
    <cellStyle name="Normal 2 5 2 2 2 4 2" xfId="1736" xr:uid="{00000000-0005-0000-0000-0000393E0000}"/>
    <cellStyle name="Normal 2 5 2 2 2 4 2 2" xfId="9492" xr:uid="{00000000-0005-0000-0000-00003A3E0000}"/>
    <cellStyle name="Normal 2 5 2 2 2 4 2 2 2" xfId="21935" xr:uid="{00000000-0005-0000-0000-00003B3E0000}"/>
    <cellStyle name="Normal 2 5 2 2 2 4 2 2 2 2" xfId="46809" xr:uid="{00000000-0005-0000-0000-00003C3E0000}"/>
    <cellStyle name="Normal 2 5 2 2 2 4 2 2 3" xfId="34376" xr:uid="{00000000-0005-0000-0000-00003D3E0000}"/>
    <cellStyle name="Normal 2 5 2 2 2 4 2 3" xfId="4474" xr:uid="{00000000-0005-0000-0000-00003E3E0000}"/>
    <cellStyle name="Normal 2 5 2 2 2 4 2 3 2" xfId="16928" xr:uid="{00000000-0005-0000-0000-00003F3E0000}"/>
    <cellStyle name="Normal 2 5 2 2 2 4 2 3 2 2" xfId="41802" xr:uid="{00000000-0005-0000-0000-0000403E0000}"/>
    <cellStyle name="Normal 2 5 2 2 2 4 2 3 3" xfId="29369" xr:uid="{00000000-0005-0000-0000-0000413E0000}"/>
    <cellStyle name="Normal 2 5 2 2 2 4 2 4" xfId="14536" xr:uid="{00000000-0005-0000-0000-0000423E0000}"/>
    <cellStyle name="Normal 2 5 2 2 2 4 2 4 2" xfId="39410" xr:uid="{00000000-0005-0000-0000-0000433E0000}"/>
    <cellStyle name="Normal 2 5 2 2 2 4 2 5" xfId="26969" xr:uid="{00000000-0005-0000-0000-0000443E0000}"/>
    <cellStyle name="Normal 2 5 2 2 2 4 3" xfId="5882" xr:uid="{00000000-0005-0000-0000-0000453E0000}"/>
    <cellStyle name="Normal 2 5 2 2 2 4 3 2" xfId="10897" xr:uid="{00000000-0005-0000-0000-0000463E0000}"/>
    <cellStyle name="Normal 2 5 2 2 2 4 3 2 2" xfId="23340" xr:uid="{00000000-0005-0000-0000-0000473E0000}"/>
    <cellStyle name="Normal 2 5 2 2 2 4 3 2 2 2" xfId="48214" xr:uid="{00000000-0005-0000-0000-0000483E0000}"/>
    <cellStyle name="Normal 2 5 2 2 2 4 3 2 3" xfId="35781" xr:uid="{00000000-0005-0000-0000-0000493E0000}"/>
    <cellStyle name="Normal 2 5 2 2 2 4 3 3" xfId="18333" xr:uid="{00000000-0005-0000-0000-00004A3E0000}"/>
    <cellStyle name="Normal 2 5 2 2 2 4 3 3 2" xfId="43207" xr:uid="{00000000-0005-0000-0000-00004B3E0000}"/>
    <cellStyle name="Normal 2 5 2 2 2 4 3 4" xfId="30774" xr:uid="{00000000-0005-0000-0000-00004C3E0000}"/>
    <cellStyle name="Normal 2 5 2 2 2 4 4" xfId="8608" xr:uid="{00000000-0005-0000-0000-00004D3E0000}"/>
    <cellStyle name="Normal 2 5 2 2 2 4 4 2" xfId="21052" xr:uid="{00000000-0005-0000-0000-00004E3E0000}"/>
    <cellStyle name="Normal 2 5 2 2 2 4 4 2 2" xfId="45926" xr:uid="{00000000-0005-0000-0000-00004F3E0000}"/>
    <cellStyle name="Normal 2 5 2 2 2 4 4 3" xfId="33493" xr:uid="{00000000-0005-0000-0000-0000503E0000}"/>
    <cellStyle name="Normal 2 5 2 2 2 4 5" xfId="12351" xr:uid="{00000000-0005-0000-0000-0000513E0000}"/>
    <cellStyle name="Normal 2 5 2 2 2 4 5 2" xfId="24785" xr:uid="{00000000-0005-0000-0000-0000523E0000}"/>
    <cellStyle name="Normal 2 5 2 2 2 4 5 2 2" xfId="49659" xr:uid="{00000000-0005-0000-0000-0000533E0000}"/>
    <cellStyle name="Normal 2 5 2 2 2 4 5 3" xfId="37226" xr:uid="{00000000-0005-0000-0000-0000543E0000}"/>
    <cellStyle name="Normal 2 5 2 2 2 4 6" xfId="7085" xr:uid="{00000000-0005-0000-0000-0000553E0000}"/>
    <cellStyle name="Normal 2 5 2 2 2 4 6 2" xfId="19534" xr:uid="{00000000-0005-0000-0000-0000563E0000}"/>
    <cellStyle name="Normal 2 5 2 2 2 4 6 2 2" xfId="44408" xr:uid="{00000000-0005-0000-0000-0000573E0000}"/>
    <cellStyle name="Normal 2 5 2 2 2 4 6 3" xfId="31975" xr:uid="{00000000-0005-0000-0000-0000583E0000}"/>
    <cellStyle name="Normal 2 5 2 2 2 4 7" xfId="3539" xr:uid="{00000000-0005-0000-0000-0000593E0000}"/>
    <cellStyle name="Normal 2 5 2 2 2 4 7 2" xfId="16045" xr:uid="{00000000-0005-0000-0000-00005A3E0000}"/>
    <cellStyle name="Normal 2 5 2 2 2 4 7 2 2" xfId="40919" xr:uid="{00000000-0005-0000-0000-00005B3E0000}"/>
    <cellStyle name="Normal 2 5 2 2 2 4 7 3" xfId="28478" xr:uid="{00000000-0005-0000-0000-00005C3E0000}"/>
    <cellStyle name="Normal 2 5 2 2 2 4 8" xfId="13504" xr:uid="{00000000-0005-0000-0000-00005D3E0000}"/>
    <cellStyle name="Normal 2 5 2 2 2 4 8 2" xfId="38378" xr:uid="{00000000-0005-0000-0000-00005E3E0000}"/>
    <cellStyle name="Normal 2 5 2 2 2 4 9" xfId="25937" xr:uid="{00000000-0005-0000-0000-00005F3E0000}"/>
    <cellStyle name="Normal 2 5 2 2 2 5" xfId="2259" xr:uid="{00000000-0005-0000-0000-0000603E0000}"/>
    <cellStyle name="Normal 2 5 2 2 2 5 2" xfId="4886" xr:uid="{00000000-0005-0000-0000-0000613E0000}"/>
    <cellStyle name="Normal 2 5 2 2 2 5 2 2" xfId="9903" xr:uid="{00000000-0005-0000-0000-0000623E0000}"/>
    <cellStyle name="Normal 2 5 2 2 2 5 2 2 2" xfId="22346" xr:uid="{00000000-0005-0000-0000-0000633E0000}"/>
    <cellStyle name="Normal 2 5 2 2 2 5 2 2 2 2" xfId="47220" xr:uid="{00000000-0005-0000-0000-0000643E0000}"/>
    <cellStyle name="Normal 2 5 2 2 2 5 2 2 3" xfId="34787" xr:uid="{00000000-0005-0000-0000-0000653E0000}"/>
    <cellStyle name="Normal 2 5 2 2 2 5 2 3" xfId="17339" xr:uid="{00000000-0005-0000-0000-0000663E0000}"/>
    <cellStyle name="Normal 2 5 2 2 2 5 2 3 2" xfId="42213" xr:uid="{00000000-0005-0000-0000-0000673E0000}"/>
    <cellStyle name="Normal 2 5 2 2 2 5 2 4" xfId="29780" xr:uid="{00000000-0005-0000-0000-0000683E0000}"/>
    <cellStyle name="Normal 2 5 2 2 2 5 3" xfId="6284" xr:uid="{00000000-0005-0000-0000-0000693E0000}"/>
    <cellStyle name="Normal 2 5 2 2 2 5 3 2" xfId="11299" xr:uid="{00000000-0005-0000-0000-00006A3E0000}"/>
    <cellStyle name="Normal 2 5 2 2 2 5 3 2 2" xfId="23742" xr:uid="{00000000-0005-0000-0000-00006B3E0000}"/>
    <cellStyle name="Normal 2 5 2 2 2 5 3 2 2 2" xfId="48616" xr:uid="{00000000-0005-0000-0000-00006C3E0000}"/>
    <cellStyle name="Normal 2 5 2 2 2 5 3 2 3" xfId="36183" xr:uid="{00000000-0005-0000-0000-00006D3E0000}"/>
    <cellStyle name="Normal 2 5 2 2 2 5 3 3" xfId="18735" xr:uid="{00000000-0005-0000-0000-00006E3E0000}"/>
    <cellStyle name="Normal 2 5 2 2 2 5 3 3 2" xfId="43609" xr:uid="{00000000-0005-0000-0000-00006F3E0000}"/>
    <cellStyle name="Normal 2 5 2 2 2 5 3 4" xfId="31176" xr:uid="{00000000-0005-0000-0000-0000703E0000}"/>
    <cellStyle name="Normal 2 5 2 2 2 5 4" xfId="8091" xr:uid="{00000000-0005-0000-0000-0000713E0000}"/>
    <cellStyle name="Normal 2 5 2 2 2 5 4 2" xfId="20537" xr:uid="{00000000-0005-0000-0000-0000723E0000}"/>
    <cellStyle name="Normal 2 5 2 2 2 5 4 2 2" xfId="45411" xr:uid="{00000000-0005-0000-0000-0000733E0000}"/>
    <cellStyle name="Normal 2 5 2 2 2 5 4 3" xfId="32978" xr:uid="{00000000-0005-0000-0000-0000743E0000}"/>
    <cellStyle name="Normal 2 5 2 2 2 5 5" xfId="12753" xr:uid="{00000000-0005-0000-0000-0000753E0000}"/>
    <cellStyle name="Normal 2 5 2 2 2 5 5 2" xfId="25187" xr:uid="{00000000-0005-0000-0000-0000763E0000}"/>
    <cellStyle name="Normal 2 5 2 2 2 5 5 2 2" xfId="50061" xr:uid="{00000000-0005-0000-0000-0000773E0000}"/>
    <cellStyle name="Normal 2 5 2 2 2 5 5 3" xfId="37628" xr:uid="{00000000-0005-0000-0000-0000783E0000}"/>
    <cellStyle name="Normal 2 5 2 2 2 5 6" xfId="7497" xr:uid="{00000000-0005-0000-0000-0000793E0000}"/>
    <cellStyle name="Normal 2 5 2 2 2 5 6 2" xfId="19945" xr:uid="{00000000-0005-0000-0000-00007A3E0000}"/>
    <cellStyle name="Normal 2 5 2 2 2 5 6 2 2" xfId="44819" xr:uid="{00000000-0005-0000-0000-00007B3E0000}"/>
    <cellStyle name="Normal 2 5 2 2 2 5 6 3" xfId="32386" xr:uid="{00000000-0005-0000-0000-00007C3E0000}"/>
    <cellStyle name="Normal 2 5 2 2 2 5 7" xfId="3021" xr:uid="{00000000-0005-0000-0000-00007D3E0000}"/>
    <cellStyle name="Normal 2 5 2 2 2 5 7 2" xfId="15530" xr:uid="{00000000-0005-0000-0000-00007E3E0000}"/>
    <cellStyle name="Normal 2 5 2 2 2 5 7 2 2" xfId="40404" xr:uid="{00000000-0005-0000-0000-00007F3E0000}"/>
    <cellStyle name="Normal 2 5 2 2 2 5 7 3" xfId="27963" xr:uid="{00000000-0005-0000-0000-0000803E0000}"/>
    <cellStyle name="Normal 2 5 2 2 2 5 8" xfId="14938" xr:uid="{00000000-0005-0000-0000-0000813E0000}"/>
    <cellStyle name="Normal 2 5 2 2 2 5 8 2" xfId="39812" xr:uid="{00000000-0005-0000-0000-0000823E0000}"/>
    <cellStyle name="Normal 2 5 2 2 2 5 9" xfId="27371" xr:uid="{00000000-0005-0000-0000-0000833E0000}"/>
    <cellStyle name="Normal 2 5 2 2 2 6" xfId="1095" xr:uid="{00000000-0005-0000-0000-0000843E0000}"/>
    <cellStyle name="Normal 2 5 2 2 2 6 2" xfId="8977" xr:uid="{00000000-0005-0000-0000-0000853E0000}"/>
    <cellStyle name="Normal 2 5 2 2 2 6 2 2" xfId="21420" xr:uid="{00000000-0005-0000-0000-0000863E0000}"/>
    <cellStyle name="Normal 2 5 2 2 2 6 2 2 2" xfId="46294" xr:uid="{00000000-0005-0000-0000-0000873E0000}"/>
    <cellStyle name="Normal 2 5 2 2 2 6 2 3" xfId="33861" xr:uid="{00000000-0005-0000-0000-0000883E0000}"/>
    <cellStyle name="Normal 2 5 2 2 2 6 3" xfId="3959" xr:uid="{00000000-0005-0000-0000-0000893E0000}"/>
    <cellStyle name="Normal 2 5 2 2 2 6 3 2" xfId="16413" xr:uid="{00000000-0005-0000-0000-00008A3E0000}"/>
    <cellStyle name="Normal 2 5 2 2 2 6 3 2 2" xfId="41287" xr:uid="{00000000-0005-0000-0000-00008B3E0000}"/>
    <cellStyle name="Normal 2 5 2 2 2 6 3 3" xfId="28854" xr:uid="{00000000-0005-0000-0000-00008C3E0000}"/>
    <cellStyle name="Normal 2 5 2 2 2 6 4" xfId="13895" xr:uid="{00000000-0005-0000-0000-00008D3E0000}"/>
    <cellStyle name="Normal 2 5 2 2 2 6 4 2" xfId="38769" xr:uid="{00000000-0005-0000-0000-00008E3E0000}"/>
    <cellStyle name="Normal 2 5 2 2 2 6 5" xfId="26328" xr:uid="{00000000-0005-0000-0000-00008F3E0000}"/>
    <cellStyle name="Normal 2 5 2 2 2 7" xfId="5240" xr:uid="{00000000-0005-0000-0000-0000903E0000}"/>
    <cellStyle name="Normal 2 5 2 2 2 7 2" xfId="10256" xr:uid="{00000000-0005-0000-0000-0000913E0000}"/>
    <cellStyle name="Normal 2 5 2 2 2 7 2 2" xfId="22699" xr:uid="{00000000-0005-0000-0000-0000923E0000}"/>
    <cellStyle name="Normal 2 5 2 2 2 7 2 2 2" xfId="47573" xr:uid="{00000000-0005-0000-0000-0000933E0000}"/>
    <cellStyle name="Normal 2 5 2 2 2 7 2 3" xfId="35140" xr:uid="{00000000-0005-0000-0000-0000943E0000}"/>
    <cellStyle name="Normal 2 5 2 2 2 7 3" xfId="17692" xr:uid="{00000000-0005-0000-0000-0000953E0000}"/>
    <cellStyle name="Normal 2 5 2 2 2 7 3 2" xfId="42566" xr:uid="{00000000-0005-0000-0000-0000963E0000}"/>
    <cellStyle name="Normal 2 5 2 2 2 7 4" xfId="30133" xr:uid="{00000000-0005-0000-0000-0000973E0000}"/>
    <cellStyle name="Normal 2 5 2 2 2 8" xfId="7817" xr:uid="{00000000-0005-0000-0000-0000983E0000}"/>
    <cellStyle name="Normal 2 5 2 2 2 8 2" xfId="20263" xr:uid="{00000000-0005-0000-0000-0000993E0000}"/>
    <cellStyle name="Normal 2 5 2 2 2 8 2 2" xfId="45137" xr:uid="{00000000-0005-0000-0000-00009A3E0000}"/>
    <cellStyle name="Normal 2 5 2 2 2 8 3" xfId="32704" xr:uid="{00000000-0005-0000-0000-00009B3E0000}"/>
    <cellStyle name="Normal 2 5 2 2 2 9" xfId="11710" xr:uid="{00000000-0005-0000-0000-00009C3E0000}"/>
    <cellStyle name="Normal 2 5 2 2 2 9 2" xfId="24144" xr:uid="{00000000-0005-0000-0000-00009D3E0000}"/>
    <cellStyle name="Normal 2 5 2 2 2 9 2 2" xfId="49018" xr:uid="{00000000-0005-0000-0000-00009E3E0000}"/>
    <cellStyle name="Normal 2 5 2 2 2 9 3" xfId="36585" xr:uid="{00000000-0005-0000-0000-00009F3E0000}"/>
    <cellStyle name="Normal 2 5 2 2 2_Degree data" xfId="2189" xr:uid="{00000000-0005-0000-0000-0000A03E0000}"/>
    <cellStyle name="Normal 2 5 2 2 3" xfId="182" xr:uid="{00000000-0005-0000-0000-0000A13E0000}"/>
    <cellStyle name="Normal 2 5 2 2 3 10" xfId="6631" xr:uid="{00000000-0005-0000-0000-0000A23E0000}"/>
    <cellStyle name="Normal 2 5 2 2 3 10 2" xfId="19080" xr:uid="{00000000-0005-0000-0000-0000A33E0000}"/>
    <cellStyle name="Normal 2 5 2 2 3 10 2 2" xfId="43954" xr:uid="{00000000-0005-0000-0000-0000A43E0000}"/>
    <cellStyle name="Normal 2 5 2 2 3 10 3" xfId="31521" xr:uid="{00000000-0005-0000-0000-0000A53E0000}"/>
    <cellStyle name="Normal 2 5 2 2 3 11" xfId="2695" xr:uid="{00000000-0005-0000-0000-0000A63E0000}"/>
    <cellStyle name="Normal 2 5 2 2 3 11 2" xfId="15213" xr:uid="{00000000-0005-0000-0000-0000A73E0000}"/>
    <cellStyle name="Normal 2 5 2 2 3 11 2 2" xfId="40087" xr:uid="{00000000-0005-0000-0000-0000A83E0000}"/>
    <cellStyle name="Normal 2 5 2 2 3 11 3" xfId="27646" xr:uid="{00000000-0005-0000-0000-0000A93E0000}"/>
    <cellStyle name="Normal 2 5 2 2 3 12" xfId="13012" xr:uid="{00000000-0005-0000-0000-0000AA3E0000}"/>
    <cellStyle name="Normal 2 5 2 2 3 12 2" xfId="37886" xr:uid="{00000000-0005-0000-0000-0000AB3E0000}"/>
    <cellStyle name="Normal 2 5 2 2 3 13" xfId="25445" xr:uid="{00000000-0005-0000-0000-0000AC3E0000}"/>
    <cellStyle name="Normal 2 5 2 2 3 2" xfId="505" xr:uid="{00000000-0005-0000-0000-0000AD3E0000}"/>
    <cellStyle name="Normal 2 5 2 2 3 2 10" xfId="13318" xr:uid="{00000000-0005-0000-0000-0000AE3E0000}"/>
    <cellStyle name="Normal 2 5 2 2 3 2 10 2" xfId="38192" xr:uid="{00000000-0005-0000-0000-0000AF3E0000}"/>
    <cellStyle name="Normal 2 5 2 2 3 2 11" xfId="25751" xr:uid="{00000000-0005-0000-0000-0000B03E0000}"/>
    <cellStyle name="Normal 2 5 2 2 3 2 2" xfId="864" xr:uid="{00000000-0005-0000-0000-0000B13E0000}"/>
    <cellStyle name="Normal 2 5 2 2 3 2 2 2" xfId="1391" xr:uid="{00000000-0005-0000-0000-0000B23E0000}"/>
    <cellStyle name="Normal 2 5 2 2 3 2 2 2 2" xfId="9495" xr:uid="{00000000-0005-0000-0000-0000B33E0000}"/>
    <cellStyle name="Normal 2 5 2 2 3 2 2 2 2 2" xfId="21938" xr:uid="{00000000-0005-0000-0000-0000B43E0000}"/>
    <cellStyle name="Normal 2 5 2 2 3 2 2 2 2 2 2" xfId="46812" xr:uid="{00000000-0005-0000-0000-0000B53E0000}"/>
    <cellStyle name="Normal 2 5 2 2 3 2 2 2 2 3" xfId="34379" xr:uid="{00000000-0005-0000-0000-0000B63E0000}"/>
    <cellStyle name="Normal 2 5 2 2 3 2 2 2 3" xfId="4477" xr:uid="{00000000-0005-0000-0000-0000B73E0000}"/>
    <cellStyle name="Normal 2 5 2 2 3 2 2 2 3 2" xfId="16931" xr:uid="{00000000-0005-0000-0000-0000B83E0000}"/>
    <cellStyle name="Normal 2 5 2 2 3 2 2 2 3 2 2" xfId="41805" xr:uid="{00000000-0005-0000-0000-0000B93E0000}"/>
    <cellStyle name="Normal 2 5 2 2 3 2 2 2 3 3" xfId="29372" xr:uid="{00000000-0005-0000-0000-0000BA3E0000}"/>
    <cellStyle name="Normal 2 5 2 2 3 2 2 2 4" xfId="14191" xr:uid="{00000000-0005-0000-0000-0000BB3E0000}"/>
    <cellStyle name="Normal 2 5 2 2 3 2 2 2 4 2" xfId="39065" xr:uid="{00000000-0005-0000-0000-0000BC3E0000}"/>
    <cellStyle name="Normal 2 5 2 2 3 2 2 2 5" xfId="26624" xr:uid="{00000000-0005-0000-0000-0000BD3E0000}"/>
    <cellStyle name="Normal 2 5 2 2 3 2 2 3" xfId="5536" xr:uid="{00000000-0005-0000-0000-0000BE3E0000}"/>
    <cellStyle name="Normal 2 5 2 2 3 2 2 3 2" xfId="10552" xr:uid="{00000000-0005-0000-0000-0000BF3E0000}"/>
    <cellStyle name="Normal 2 5 2 2 3 2 2 3 2 2" xfId="22995" xr:uid="{00000000-0005-0000-0000-0000C03E0000}"/>
    <cellStyle name="Normal 2 5 2 2 3 2 2 3 2 2 2" xfId="47869" xr:uid="{00000000-0005-0000-0000-0000C13E0000}"/>
    <cellStyle name="Normal 2 5 2 2 3 2 2 3 2 3" xfId="35436" xr:uid="{00000000-0005-0000-0000-0000C23E0000}"/>
    <cellStyle name="Normal 2 5 2 2 3 2 2 3 3" xfId="17988" xr:uid="{00000000-0005-0000-0000-0000C33E0000}"/>
    <cellStyle name="Normal 2 5 2 2 3 2 2 3 3 2" xfId="42862" xr:uid="{00000000-0005-0000-0000-0000C43E0000}"/>
    <cellStyle name="Normal 2 5 2 2 3 2 2 3 4" xfId="30429" xr:uid="{00000000-0005-0000-0000-0000C53E0000}"/>
    <cellStyle name="Normal 2 5 2 2 3 2 2 4" xfId="8611" xr:uid="{00000000-0005-0000-0000-0000C63E0000}"/>
    <cellStyle name="Normal 2 5 2 2 3 2 2 4 2" xfId="21055" xr:uid="{00000000-0005-0000-0000-0000C73E0000}"/>
    <cellStyle name="Normal 2 5 2 2 3 2 2 4 2 2" xfId="45929" xr:uid="{00000000-0005-0000-0000-0000C83E0000}"/>
    <cellStyle name="Normal 2 5 2 2 3 2 2 4 3" xfId="33496" xr:uid="{00000000-0005-0000-0000-0000C93E0000}"/>
    <cellStyle name="Normal 2 5 2 2 3 2 2 5" xfId="12006" xr:uid="{00000000-0005-0000-0000-0000CA3E0000}"/>
    <cellStyle name="Normal 2 5 2 2 3 2 2 5 2" xfId="24440" xr:uid="{00000000-0005-0000-0000-0000CB3E0000}"/>
    <cellStyle name="Normal 2 5 2 2 3 2 2 5 2 2" xfId="49314" xr:uid="{00000000-0005-0000-0000-0000CC3E0000}"/>
    <cellStyle name="Normal 2 5 2 2 3 2 2 5 3" xfId="36881" xr:uid="{00000000-0005-0000-0000-0000CD3E0000}"/>
    <cellStyle name="Normal 2 5 2 2 3 2 2 6" xfId="7088" xr:uid="{00000000-0005-0000-0000-0000CE3E0000}"/>
    <cellStyle name="Normal 2 5 2 2 3 2 2 6 2" xfId="19537" xr:uid="{00000000-0005-0000-0000-0000CF3E0000}"/>
    <cellStyle name="Normal 2 5 2 2 3 2 2 6 2 2" xfId="44411" xr:uid="{00000000-0005-0000-0000-0000D03E0000}"/>
    <cellStyle name="Normal 2 5 2 2 3 2 2 6 3" xfId="31978" xr:uid="{00000000-0005-0000-0000-0000D13E0000}"/>
    <cellStyle name="Normal 2 5 2 2 3 2 2 7" xfId="3542" xr:uid="{00000000-0005-0000-0000-0000D23E0000}"/>
    <cellStyle name="Normal 2 5 2 2 3 2 2 7 2" xfId="16048" xr:uid="{00000000-0005-0000-0000-0000D33E0000}"/>
    <cellStyle name="Normal 2 5 2 2 3 2 2 7 2 2" xfId="40922" xr:uid="{00000000-0005-0000-0000-0000D43E0000}"/>
    <cellStyle name="Normal 2 5 2 2 3 2 2 7 3" xfId="28481" xr:uid="{00000000-0005-0000-0000-0000D53E0000}"/>
    <cellStyle name="Normal 2 5 2 2 3 2 2 8" xfId="13665" xr:uid="{00000000-0005-0000-0000-0000D63E0000}"/>
    <cellStyle name="Normal 2 5 2 2 3 2 2 8 2" xfId="38539" xr:uid="{00000000-0005-0000-0000-0000D73E0000}"/>
    <cellStyle name="Normal 2 5 2 2 3 2 2 9" xfId="26098" xr:uid="{00000000-0005-0000-0000-0000D83E0000}"/>
    <cellStyle name="Normal 2 5 2 2 3 2 3" xfId="1739" xr:uid="{00000000-0005-0000-0000-0000D93E0000}"/>
    <cellStyle name="Normal 2 5 2 2 3 2 3 2" xfId="5047" xr:uid="{00000000-0005-0000-0000-0000DA3E0000}"/>
    <cellStyle name="Normal 2 5 2 2 3 2 3 2 2" xfId="10064" xr:uid="{00000000-0005-0000-0000-0000DB3E0000}"/>
    <cellStyle name="Normal 2 5 2 2 3 2 3 2 2 2" xfId="22507" xr:uid="{00000000-0005-0000-0000-0000DC3E0000}"/>
    <cellStyle name="Normal 2 5 2 2 3 2 3 2 2 2 2" xfId="47381" xr:uid="{00000000-0005-0000-0000-0000DD3E0000}"/>
    <cellStyle name="Normal 2 5 2 2 3 2 3 2 2 3" xfId="34948" xr:uid="{00000000-0005-0000-0000-0000DE3E0000}"/>
    <cellStyle name="Normal 2 5 2 2 3 2 3 2 3" xfId="17500" xr:uid="{00000000-0005-0000-0000-0000DF3E0000}"/>
    <cellStyle name="Normal 2 5 2 2 3 2 3 2 3 2" xfId="42374" xr:uid="{00000000-0005-0000-0000-0000E03E0000}"/>
    <cellStyle name="Normal 2 5 2 2 3 2 3 2 4" xfId="29941" xr:uid="{00000000-0005-0000-0000-0000E13E0000}"/>
    <cellStyle name="Normal 2 5 2 2 3 2 3 3" xfId="5885" xr:uid="{00000000-0005-0000-0000-0000E23E0000}"/>
    <cellStyle name="Normal 2 5 2 2 3 2 3 3 2" xfId="10900" xr:uid="{00000000-0005-0000-0000-0000E33E0000}"/>
    <cellStyle name="Normal 2 5 2 2 3 2 3 3 2 2" xfId="23343" xr:uid="{00000000-0005-0000-0000-0000E43E0000}"/>
    <cellStyle name="Normal 2 5 2 2 3 2 3 3 2 2 2" xfId="48217" xr:uid="{00000000-0005-0000-0000-0000E53E0000}"/>
    <cellStyle name="Normal 2 5 2 2 3 2 3 3 2 3" xfId="35784" xr:uid="{00000000-0005-0000-0000-0000E63E0000}"/>
    <cellStyle name="Normal 2 5 2 2 3 2 3 3 3" xfId="18336" xr:uid="{00000000-0005-0000-0000-0000E73E0000}"/>
    <cellStyle name="Normal 2 5 2 2 3 2 3 3 3 2" xfId="43210" xr:uid="{00000000-0005-0000-0000-0000E83E0000}"/>
    <cellStyle name="Normal 2 5 2 2 3 2 3 3 4" xfId="30777" xr:uid="{00000000-0005-0000-0000-0000E93E0000}"/>
    <cellStyle name="Normal 2 5 2 2 3 2 3 4" xfId="8471" xr:uid="{00000000-0005-0000-0000-0000EA3E0000}"/>
    <cellStyle name="Normal 2 5 2 2 3 2 3 4 2" xfId="20915" xr:uid="{00000000-0005-0000-0000-0000EB3E0000}"/>
    <cellStyle name="Normal 2 5 2 2 3 2 3 4 2 2" xfId="45789" xr:uid="{00000000-0005-0000-0000-0000EC3E0000}"/>
    <cellStyle name="Normal 2 5 2 2 3 2 3 4 3" xfId="33356" xr:uid="{00000000-0005-0000-0000-0000ED3E0000}"/>
    <cellStyle name="Normal 2 5 2 2 3 2 3 5" xfId="12354" xr:uid="{00000000-0005-0000-0000-0000EE3E0000}"/>
    <cellStyle name="Normal 2 5 2 2 3 2 3 5 2" xfId="24788" xr:uid="{00000000-0005-0000-0000-0000EF3E0000}"/>
    <cellStyle name="Normal 2 5 2 2 3 2 3 5 2 2" xfId="49662" xr:uid="{00000000-0005-0000-0000-0000F03E0000}"/>
    <cellStyle name="Normal 2 5 2 2 3 2 3 5 3" xfId="37229" xr:uid="{00000000-0005-0000-0000-0000F13E0000}"/>
    <cellStyle name="Normal 2 5 2 2 3 2 3 6" xfId="7658" xr:uid="{00000000-0005-0000-0000-0000F23E0000}"/>
    <cellStyle name="Normal 2 5 2 2 3 2 3 6 2" xfId="20106" xr:uid="{00000000-0005-0000-0000-0000F33E0000}"/>
    <cellStyle name="Normal 2 5 2 2 3 2 3 6 2 2" xfId="44980" xr:uid="{00000000-0005-0000-0000-0000F43E0000}"/>
    <cellStyle name="Normal 2 5 2 2 3 2 3 6 3" xfId="32547" xr:uid="{00000000-0005-0000-0000-0000F53E0000}"/>
    <cellStyle name="Normal 2 5 2 2 3 2 3 7" xfId="3402" xr:uid="{00000000-0005-0000-0000-0000F63E0000}"/>
    <cellStyle name="Normal 2 5 2 2 3 2 3 7 2" xfId="15908" xr:uid="{00000000-0005-0000-0000-0000F73E0000}"/>
    <cellStyle name="Normal 2 5 2 2 3 2 3 7 2 2" xfId="40782" xr:uid="{00000000-0005-0000-0000-0000F83E0000}"/>
    <cellStyle name="Normal 2 5 2 2 3 2 3 7 3" xfId="28341" xr:uid="{00000000-0005-0000-0000-0000F93E0000}"/>
    <cellStyle name="Normal 2 5 2 2 3 2 3 8" xfId="14539" xr:uid="{00000000-0005-0000-0000-0000FA3E0000}"/>
    <cellStyle name="Normal 2 5 2 2 3 2 3 8 2" xfId="39413" xr:uid="{00000000-0005-0000-0000-0000FB3E0000}"/>
    <cellStyle name="Normal 2 5 2 2 3 2 3 9" xfId="26972" xr:uid="{00000000-0005-0000-0000-0000FC3E0000}"/>
    <cellStyle name="Normal 2 5 2 2 3 2 4" xfId="2423" xr:uid="{00000000-0005-0000-0000-0000FD3E0000}"/>
    <cellStyle name="Normal 2 5 2 2 3 2 4 2" xfId="6445" xr:uid="{00000000-0005-0000-0000-0000FE3E0000}"/>
    <cellStyle name="Normal 2 5 2 2 3 2 4 2 2" xfId="11460" xr:uid="{00000000-0005-0000-0000-0000FF3E0000}"/>
    <cellStyle name="Normal 2 5 2 2 3 2 4 2 2 2" xfId="23903" xr:uid="{00000000-0005-0000-0000-0000003F0000}"/>
    <cellStyle name="Normal 2 5 2 2 3 2 4 2 2 2 2" xfId="48777" xr:uid="{00000000-0005-0000-0000-0000013F0000}"/>
    <cellStyle name="Normal 2 5 2 2 3 2 4 2 2 3" xfId="36344" xr:uid="{00000000-0005-0000-0000-0000023F0000}"/>
    <cellStyle name="Normal 2 5 2 2 3 2 4 2 3" xfId="18896" xr:uid="{00000000-0005-0000-0000-0000033F0000}"/>
    <cellStyle name="Normal 2 5 2 2 3 2 4 2 3 2" xfId="43770" xr:uid="{00000000-0005-0000-0000-0000043F0000}"/>
    <cellStyle name="Normal 2 5 2 2 3 2 4 2 4" xfId="31337" xr:uid="{00000000-0005-0000-0000-0000053F0000}"/>
    <cellStyle name="Normal 2 5 2 2 3 2 4 3" xfId="12914" xr:uid="{00000000-0005-0000-0000-0000063F0000}"/>
    <cellStyle name="Normal 2 5 2 2 3 2 4 3 2" xfId="25348" xr:uid="{00000000-0005-0000-0000-0000073F0000}"/>
    <cellStyle name="Normal 2 5 2 2 3 2 4 3 2 2" xfId="50222" xr:uid="{00000000-0005-0000-0000-0000083F0000}"/>
    <cellStyle name="Normal 2 5 2 2 3 2 4 3 3" xfId="37789" xr:uid="{00000000-0005-0000-0000-0000093F0000}"/>
    <cellStyle name="Normal 2 5 2 2 3 2 4 4" xfId="9355" xr:uid="{00000000-0005-0000-0000-00000A3F0000}"/>
    <cellStyle name="Normal 2 5 2 2 3 2 4 4 2" xfId="21798" xr:uid="{00000000-0005-0000-0000-00000B3F0000}"/>
    <cellStyle name="Normal 2 5 2 2 3 2 4 4 2 2" xfId="46672" xr:uid="{00000000-0005-0000-0000-00000C3F0000}"/>
    <cellStyle name="Normal 2 5 2 2 3 2 4 4 3" xfId="34239" xr:uid="{00000000-0005-0000-0000-00000D3F0000}"/>
    <cellStyle name="Normal 2 5 2 2 3 2 4 5" xfId="4337" xr:uid="{00000000-0005-0000-0000-00000E3F0000}"/>
    <cellStyle name="Normal 2 5 2 2 3 2 4 5 2" xfId="16791" xr:uid="{00000000-0005-0000-0000-00000F3F0000}"/>
    <cellStyle name="Normal 2 5 2 2 3 2 4 5 2 2" xfId="41665" xr:uid="{00000000-0005-0000-0000-0000103F0000}"/>
    <cellStyle name="Normal 2 5 2 2 3 2 4 5 3" xfId="29232" xr:uid="{00000000-0005-0000-0000-0000113F0000}"/>
    <cellStyle name="Normal 2 5 2 2 3 2 4 6" xfId="15099" xr:uid="{00000000-0005-0000-0000-0000123F0000}"/>
    <cellStyle name="Normal 2 5 2 2 3 2 4 6 2" xfId="39973" xr:uid="{00000000-0005-0000-0000-0000133F0000}"/>
    <cellStyle name="Normal 2 5 2 2 3 2 4 7" xfId="27532" xr:uid="{00000000-0005-0000-0000-0000143F0000}"/>
    <cellStyle name="Normal 2 5 2 2 3 2 5" xfId="1256" xr:uid="{00000000-0005-0000-0000-0000153F0000}"/>
    <cellStyle name="Normal 2 5 2 2 3 2 5 2" xfId="10417" xr:uid="{00000000-0005-0000-0000-0000163F0000}"/>
    <cellStyle name="Normal 2 5 2 2 3 2 5 2 2" xfId="22860" xr:uid="{00000000-0005-0000-0000-0000173F0000}"/>
    <cellStyle name="Normal 2 5 2 2 3 2 5 2 2 2" xfId="47734" xr:uid="{00000000-0005-0000-0000-0000183F0000}"/>
    <cellStyle name="Normal 2 5 2 2 3 2 5 2 3" xfId="35301" xr:uid="{00000000-0005-0000-0000-0000193F0000}"/>
    <cellStyle name="Normal 2 5 2 2 3 2 5 3" xfId="5401" xr:uid="{00000000-0005-0000-0000-00001A3F0000}"/>
    <cellStyle name="Normal 2 5 2 2 3 2 5 3 2" xfId="17853" xr:uid="{00000000-0005-0000-0000-00001B3F0000}"/>
    <cellStyle name="Normal 2 5 2 2 3 2 5 3 2 2" xfId="42727" xr:uid="{00000000-0005-0000-0000-00001C3F0000}"/>
    <cellStyle name="Normal 2 5 2 2 3 2 5 3 3" xfId="30294" xr:uid="{00000000-0005-0000-0000-00001D3F0000}"/>
    <cellStyle name="Normal 2 5 2 2 3 2 5 4" xfId="14056" xr:uid="{00000000-0005-0000-0000-00001E3F0000}"/>
    <cellStyle name="Normal 2 5 2 2 3 2 5 4 2" xfId="38930" xr:uid="{00000000-0005-0000-0000-00001F3F0000}"/>
    <cellStyle name="Normal 2 5 2 2 3 2 5 5" xfId="26489" xr:uid="{00000000-0005-0000-0000-0000203F0000}"/>
    <cellStyle name="Normal 2 5 2 2 3 2 6" xfId="7978" xr:uid="{00000000-0005-0000-0000-0000213F0000}"/>
    <cellStyle name="Normal 2 5 2 2 3 2 6 2" xfId="20424" xr:uid="{00000000-0005-0000-0000-0000223F0000}"/>
    <cellStyle name="Normal 2 5 2 2 3 2 6 2 2" xfId="45298" xr:uid="{00000000-0005-0000-0000-0000233F0000}"/>
    <cellStyle name="Normal 2 5 2 2 3 2 6 3" xfId="32865" xr:uid="{00000000-0005-0000-0000-0000243F0000}"/>
    <cellStyle name="Normal 2 5 2 2 3 2 7" xfId="11871" xr:uid="{00000000-0005-0000-0000-0000253F0000}"/>
    <cellStyle name="Normal 2 5 2 2 3 2 7 2" xfId="24305" xr:uid="{00000000-0005-0000-0000-0000263F0000}"/>
    <cellStyle name="Normal 2 5 2 2 3 2 7 2 2" xfId="49179" xr:uid="{00000000-0005-0000-0000-0000273F0000}"/>
    <cellStyle name="Normal 2 5 2 2 3 2 7 3" xfId="36746" xr:uid="{00000000-0005-0000-0000-0000283F0000}"/>
    <cellStyle name="Normal 2 5 2 2 3 2 8" xfId="6948" xr:uid="{00000000-0005-0000-0000-0000293F0000}"/>
    <cellStyle name="Normal 2 5 2 2 3 2 8 2" xfId="19397" xr:uid="{00000000-0005-0000-0000-00002A3F0000}"/>
    <cellStyle name="Normal 2 5 2 2 3 2 8 2 2" xfId="44271" xr:uid="{00000000-0005-0000-0000-00002B3F0000}"/>
    <cellStyle name="Normal 2 5 2 2 3 2 8 3" xfId="31838" xr:uid="{00000000-0005-0000-0000-00002C3F0000}"/>
    <cellStyle name="Normal 2 5 2 2 3 2 9" xfId="2899" xr:uid="{00000000-0005-0000-0000-00002D3F0000}"/>
    <cellStyle name="Normal 2 5 2 2 3 2 9 2" xfId="15417" xr:uid="{00000000-0005-0000-0000-00002E3F0000}"/>
    <cellStyle name="Normal 2 5 2 2 3 2 9 2 2" xfId="40291" xr:uid="{00000000-0005-0000-0000-00002F3F0000}"/>
    <cellStyle name="Normal 2 5 2 2 3 2 9 3" xfId="27850" xr:uid="{00000000-0005-0000-0000-0000303F0000}"/>
    <cellStyle name="Normal 2 5 2 2 3 2_Degree data" xfId="2160" xr:uid="{00000000-0005-0000-0000-0000313F0000}"/>
    <cellStyle name="Normal 2 5 2 2 3 3" xfId="296" xr:uid="{00000000-0005-0000-0000-0000323F0000}"/>
    <cellStyle name="Normal 2 5 2 2 3 3 2" xfId="1390" xr:uid="{00000000-0005-0000-0000-0000333F0000}"/>
    <cellStyle name="Normal 2 5 2 2 3 3 2 2" xfId="9151" xr:uid="{00000000-0005-0000-0000-0000343F0000}"/>
    <cellStyle name="Normal 2 5 2 2 3 3 2 2 2" xfId="21594" xr:uid="{00000000-0005-0000-0000-0000353F0000}"/>
    <cellStyle name="Normal 2 5 2 2 3 3 2 2 2 2" xfId="46468" xr:uid="{00000000-0005-0000-0000-0000363F0000}"/>
    <cellStyle name="Normal 2 5 2 2 3 3 2 2 3" xfId="34035" xr:uid="{00000000-0005-0000-0000-0000373F0000}"/>
    <cellStyle name="Normal 2 5 2 2 3 3 2 3" xfId="4133" xr:uid="{00000000-0005-0000-0000-0000383F0000}"/>
    <cellStyle name="Normal 2 5 2 2 3 3 2 3 2" xfId="16587" xr:uid="{00000000-0005-0000-0000-0000393F0000}"/>
    <cellStyle name="Normal 2 5 2 2 3 3 2 3 2 2" xfId="41461" xr:uid="{00000000-0005-0000-0000-00003A3F0000}"/>
    <cellStyle name="Normal 2 5 2 2 3 3 2 3 3" xfId="29028" xr:uid="{00000000-0005-0000-0000-00003B3F0000}"/>
    <cellStyle name="Normal 2 5 2 2 3 3 2 4" xfId="14190" xr:uid="{00000000-0005-0000-0000-00003C3F0000}"/>
    <cellStyle name="Normal 2 5 2 2 3 3 2 4 2" xfId="39064" xr:uid="{00000000-0005-0000-0000-00003D3F0000}"/>
    <cellStyle name="Normal 2 5 2 2 3 3 2 5" xfId="26623" xr:uid="{00000000-0005-0000-0000-00003E3F0000}"/>
    <cellStyle name="Normal 2 5 2 2 3 3 3" xfId="5535" xr:uid="{00000000-0005-0000-0000-00003F3F0000}"/>
    <cellStyle name="Normal 2 5 2 2 3 3 3 2" xfId="10551" xr:uid="{00000000-0005-0000-0000-0000403F0000}"/>
    <cellStyle name="Normal 2 5 2 2 3 3 3 2 2" xfId="22994" xr:uid="{00000000-0005-0000-0000-0000413F0000}"/>
    <cellStyle name="Normal 2 5 2 2 3 3 3 2 2 2" xfId="47868" xr:uid="{00000000-0005-0000-0000-0000423F0000}"/>
    <cellStyle name="Normal 2 5 2 2 3 3 3 2 3" xfId="35435" xr:uid="{00000000-0005-0000-0000-0000433F0000}"/>
    <cellStyle name="Normal 2 5 2 2 3 3 3 3" xfId="17987" xr:uid="{00000000-0005-0000-0000-0000443F0000}"/>
    <cellStyle name="Normal 2 5 2 2 3 3 3 3 2" xfId="42861" xr:uid="{00000000-0005-0000-0000-0000453F0000}"/>
    <cellStyle name="Normal 2 5 2 2 3 3 3 4" xfId="30428" xr:uid="{00000000-0005-0000-0000-0000463F0000}"/>
    <cellStyle name="Normal 2 5 2 2 3 3 4" xfId="8267" xr:uid="{00000000-0005-0000-0000-0000473F0000}"/>
    <cellStyle name="Normal 2 5 2 2 3 3 4 2" xfId="20711" xr:uid="{00000000-0005-0000-0000-0000483F0000}"/>
    <cellStyle name="Normal 2 5 2 2 3 3 4 2 2" xfId="45585" xr:uid="{00000000-0005-0000-0000-0000493F0000}"/>
    <cellStyle name="Normal 2 5 2 2 3 3 4 3" xfId="33152" xr:uid="{00000000-0005-0000-0000-00004A3F0000}"/>
    <cellStyle name="Normal 2 5 2 2 3 3 5" xfId="12005" xr:uid="{00000000-0005-0000-0000-00004B3F0000}"/>
    <cellStyle name="Normal 2 5 2 2 3 3 5 2" xfId="24439" xr:uid="{00000000-0005-0000-0000-00004C3F0000}"/>
    <cellStyle name="Normal 2 5 2 2 3 3 5 2 2" xfId="49313" xr:uid="{00000000-0005-0000-0000-00004D3F0000}"/>
    <cellStyle name="Normal 2 5 2 2 3 3 5 3" xfId="36880" xr:uid="{00000000-0005-0000-0000-00004E3F0000}"/>
    <cellStyle name="Normal 2 5 2 2 3 3 6" xfId="6744" xr:uid="{00000000-0005-0000-0000-00004F3F0000}"/>
    <cellStyle name="Normal 2 5 2 2 3 3 6 2" xfId="19193" xr:uid="{00000000-0005-0000-0000-0000503F0000}"/>
    <cellStyle name="Normal 2 5 2 2 3 3 6 2 2" xfId="44067" xr:uid="{00000000-0005-0000-0000-0000513F0000}"/>
    <cellStyle name="Normal 2 5 2 2 3 3 6 3" xfId="31634" xr:uid="{00000000-0005-0000-0000-0000523F0000}"/>
    <cellStyle name="Normal 2 5 2 2 3 3 7" xfId="3198" xr:uid="{00000000-0005-0000-0000-0000533F0000}"/>
    <cellStyle name="Normal 2 5 2 2 3 3 7 2" xfId="15704" xr:uid="{00000000-0005-0000-0000-0000543F0000}"/>
    <cellStyle name="Normal 2 5 2 2 3 3 7 2 2" xfId="40578" xr:uid="{00000000-0005-0000-0000-0000553F0000}"/>
    <cellStyle name="Normal 2 5 2 2 3 3 7 3" xfId="28137" xr:uid="{00000000-0005-0000-0000-0000563F0000}"/>
    <cellStyle name="Normal 2 5 2 2 3 3 8" xfId="13114" xr:uid="{00000000-0005-0000-0000-0000573F0000}"/>
    <cellStyle name="Normal 2 5 2 2 3 3 8 2" xfId="37988" xr:uid="{00000000-0005-0000-0000-0000583F0000}"/>
    <cellStyle name="Normal 2 5 2 2 3 3 9" xfId="25547" xr:uid="{00000000-0005-0000-0000-0000593F0000}"/>
    <cellStyle name="Normal 2 5 2 2 3 4" xfId="657" xr:uid="{00000000-0005-0000-0000-00005A3F0000}"/>
    <cellStyle name="Normal 2 5 2 2 3 4 2" xfId="1738" xr:uid="{00000000-0005-0000-0000-00005B3F0000}"/>
    <cellStyle name="Normal 2 5 2 2 3 4 2 2" xfId="9494" xr:uid="{00000000-0005-0000-0000-00005C3F0000}"/>
    <cellStyle name="Normal 2 5 2 2 3 4 2 2 2" xfId="21937" xr:uid="{00000000-0005-0000-0000-00005D3F0000}"/>
    <cellStyle name="Normal 2 5 2 2 3 4 2 2 2 2" xfId="46811" xr:uid="{00000000-0005-0000-0000-00005E3F0000}"/>
    <cellStyle name="Normal 2 5 2 2 3 4 2 2 3" xfId="34378" xr:uid="{00000000-0005-0000-0000-00005F3F0000}"/>
    <cellStyle name="Normal 2 5 2 2 3 4 2 3" xfId="4476" xr:uid="{00000000-0005-0000-0000-0000603F0000}"/>
    <cellStyle name="Normal 2 5 2 2 3 4 2 3 2" xfId="16930" xr:uid="{00000000-0005-0000-0000-0000613F0000}"/>
    <cellStyle name="Normal 2 5 2 2 3 4 2 3 2 2" xfId="41804" xr:uid="{00000000-0005-0000-0000-0000623F0000}"/>
    <cellStyle name="Normal 2 5 2 2 3 4 2 3 3" xfId="29371" xr:uid="{00000000-0005-0000-0000-0000633F0000}"/>
    <cellStyle name="Normal 2 5 2 2 3 4 2 4" xfId="14538" xr:uid="{00000000-0005-0000-0000-0000643F0000}"/>
    <cellStyle name="Normal 2 5 2 2 3 4 2 4 2" xfId="39412" xr:uid="{00000000-0005-0000-0000-0000653F0000}"/>
    <cellStyle name="Normal 2 5 2 2 3 4 2 5" xfId="26971" xr:uid="{00000000-0005-0000-0000-0000663F0000}"/>
    <cellStyle name="Normal 2 5 2 2 3 4 3" xfId="5884" xr:uid="{00000000-0005-0000-0000-0000673F0000}"/>
    <cellStyle name="Normal 2 5 2 2 3 4 3 2" xfId="10899" xr:uid="{00000000-0005-0000-0000-0000683F0000}"/>
    <cellStyle name="Normal 2 5 2 2 3 4 3 2 2" xfId="23342" xr:uid="{00000000-0005-0000-0000-0000693F0000}"/>
    <cellStyle name="Normal 2 5 2 2 3 4 3 2 2 2" xfId="48216" xr:uid="{00000000-0005-0000-0000-00006A3F0000}"/>
    <cellStyle name="Normal 2 5 2 2 3 4 3 2 3" xfId="35783" xr:uid="{00000000-0005-0000-0000-00006B3F0000}"/>
    <cellStyle name="Normal 2 5 2 2 3 4 3 3" xfId="18335" xr:uid="{00000000-0005-0000-0000-00006C3F0000}"/>
    <cellStyle name="Normal 2 5 2 2 3 4 3 3 2" xfId="43209" xr:uid="{00000000-0005-0000-0000-00006D3F0000}"/>
    <cellStyle name="Normal 2 5 2 2 3 4 3 4" xfId="30776" xr:uid="{00000000-0005-0000-0000-00006E3F0000}"/>
    <cellStyle name="Normal 2 5 2 2 3 4 4" xfId="8610" xr:uid="{00000000-0005-0000-0000-00006F3F0000}"/>
    <cellStyle name="Normal 2 5 2 2 3 4 4 2" xfId="21054" xr:uid="{00000000-0005-0000-0000-0000703F0000}"/>
    <cellStyle name="Normal 2 5 2 2 3 4 4 2 2" xfId="45928" xr:uid="{00000000-0005-0000-0000-0000713F0000}"/>
    <cellStyle name="Normal 2 5 2 2 3 4 4 3" xfId="33495" xr:uid="{00000000-0005-0000-0000-0000723F0000}"/>
    <cellStyle name="Normal 2 5 2 2 3 4 5" xfId="12353" xr:uid="{00000000-0005-0000-0000-0000733F0000}"/>
    <cellStyle name="Normal 2 5 2 2 3 4 5 2" xfId="24787" xr:uid="{00000000-0005-0000-0000-0000743F0000}"/>
    <cellStyle name="Normal 2 5 2 2 3 4 5 2 2" xfId="49661" xr:uid="{00000000-0005-0000-0000-0000753F0000}"/>
    <cellStyle name="Normal 2 5 2 2 3 4 5 3" xfId="37228" xr:uid="{00000000-0005-0000-0000-0000763F0000}"/>
    <cellStyle name="Normal 2 5 2 2 3 4 6" xfId="7087" xr:uid="{00000000-0005-0000-0000-0000773F0000}"/>
    <cellStyle name="Normal 2 5 2 2 3 4 6 2" xfId="19536" xr:uid="{00000000-0005-0000-0000-0000783F0000}"/>
    <cellStyle name="Normal 2 5 2 2 3 4 6 2 2" xfId="44410" xr:uid="{00000000-0005-0000-0000-0000793F0000}"/>
    <cellStyle name="Normal 2 5 2 2 3 4 6 3" xfId="31977" xr:uid="{00000000-0005-0000-0000-00007A3F0000}"/>
    <cellStyle name="Normal 2 5 2 2 3 4 7" xfId="3541" xr:uid="{00000000-0005-0000-0000-00007B3F0000}"/>
    <cellStyle name="Normal 2 5 2 2 3 4 7 2" xfId="16047" xr:uid="{00000000-0005-0000-0000-00007C3F0000}"/>
    <cellStyle name="Normal 2 5 2 2 3 4 7 2 2" xfId="40921" xr:uid="{00000000-0005-0000-0000-00007D3F0000}"/>
    <cellStyle name="Normal 2 5 2 2 3 4 7 3" xfId="28480" xr:uid="{00000000-0005-0000-0000-00007E3F0000}"/>
    <cellStyle name="Normal 2 5 2 2 3 4 8" xfId="13461" xr:uid="{00000000-0005-0000-0000-00007F3F0000}"/>
    <cellStyle name="Normal 2 5 2 2 3 4 8 2" xfId="38335" xr:uid="{00000000-0005-0000-0000-0000803F0000}"/>
    <cellStyle name="Normal 2 5 2 2 3 4 9" xfId="25894" xr:uid="{00000000-0005-0000-0000-0000813F0000}"/>
    <cellStyle name="Normal 2 5 2 2 3 5" xfId="2214" xr:uid="{00000000-0005-0000-0000-0000823F0000}"/>
    <cellStyle name="Normal 2 5 2 2 3 5 2" xfId="4843" xr:uid="{00000000-0005-0000-0000-0000833F0000}"/>
    <cellStyle name="Normal 2 5 2 2 3 5 2 2" xfId="9860" xr:uid="{00000000-0005-0000-0000-0000843F0000}"/>
    <cellStyle name="Normal 2 5 2 2 3 5 2 2 2" xfId="22303" xr:uid="{00000000-0005-0000-0000-0000853F0000}"/>
    <cellStyle name="Normal 2 5 2 2 3 5 2 2 2 2" xfId="47177" xr:uid="{00000000-0005-0000-0000-0000863F0000}"/>
    <cellStyle name="Normal 2 5 2 2 3 5 2 2 3" xfId="34744" xr:uid="{00000000-0005-0000-0000-0000873F0000}"/>
    <cellStyle name="Normal 2 5 2 2 3 5 2 3" xfId="17296" xr:uid="{00000000-0005-0000-0000-0000883F0000}"/>
    <cellStyle name="Normal 2 5 2 2 3 5 2 3 2" xfId="42170" xr:uid="{00000000-0005-0000-0000-0000893F0000}"/>
    <cellStyle name="Normal 2 5 2 2 3 5 2 4" xfId="29737" xr:uid="{00000000-0005-0000-0000-00008A3F0000}"/>
    <cellStyle name="Normal 2 5 2 2 3 5 3" xfId="6241" xr:uid="{00000000-0005-0000-0000-00008B3F0000}"/>
    <cellStyle name="Normal 2 5 2 2 3 5 3 2" xfId="11256" xr:uid="{00000000-0005-0000-0000-00008C3F0000}"/>
    <cellStyle name="Normal 2 5 2 2 3 5 3 2 2" xfId="23699" xr:uid="{00000000-0005-0000-0000-00008D3F0000}"/>
    <cellStyle name="Normal 2 5 2 2 3 5 3 2 2 2" xfId="48573" xr:uid="{00000000-0005-0000-0000-00008E3F0000}"/>
    <cellStyle name="Normal 2 5 2 2 3 5 3 2 3" xfId="36140" xr:uid="{00000000-0005-0000-0000-00008F3F0000}"/>
    <cellStyle name="Normal 2 5 2 2 3 5 3 3" xfId="18692" xr:uid="{00000000-0005-0000-0000-0000903F0000}"/>
    <cellStyle name="Normal 2 5 2 2 3 5 3 3 2" xfId="43566" xr:uid="{00000000-0005-0000-0000-0000913F0000}"/>
    <cellStyle name="Normal 2 5 2 2 3 5 3 4" xfId="31133" xr:uid="{00000000-0005-0000-0000-0000923F0000}"/>
    <cellStyle name="Normal 2 5 2 2 3 5 4" xfId="8152" xr:uid="{00000000-0005-0000-0000-0000933F0000}"/>
    <cellStyle name="Normal 2 5 2 2 3 5 4 2" xfId="20598" xr:uid="{00000000-0005-0000-0000-0000943F0000}"/>
    <cellStyle name="Normal 2 5 2 2 3 5 4 2 2" xfId="45472" xr:uid="{00000000-0005-0000-0000-0000953F0000}"/>
    <cellStyle name="Normal 2 5 2 2 3 5 4 3" xfId="33039" xr:uid="{00000000-0005-0000-0000-0000963F0000}"/>
    <cellStyle name="Normal 2 5 2 2 3 5 5" xfId="12710" xr:uid="{00000000-0005-0000-0000-0000973F0000}"/>
    <cellStyle name="Normal 2 5 2 2 3 5 5 2" xfId="25144" xr:uid="{00000000-0005-0000-0000-0000983F0000}"/>
    <cellStyle name="Normal 2 5 2 2 3 5 5 2 2" xfId="50018" xr:uid="{00000000-0005-0000-0000-0000993F0000}"/>
    <cellStyle name="Normal 2 5 2 2 3 5 5 3" xfId="37585" xr:uid="{00000000-0005-0000-0000-00009A3F0000}"/>
    <cellStyle name="Normal 2 5 2 2 3 5 6" xfId="7454" xr:uid="{00000000-0005-0000-0000-00009B3F0000}"/>
    <cellStyle name="Normal 2 5 2 2 3 5 6 2" xfId="19902" xr:uid="{00000000-0005-0000-0000-00009C3F0000}"/>
    <cellStyle name="Normal 2 5 2 2 3 5 6 2 2" xfId="44776" xr:uid="{00000000-0005-0000-0000-00009D3F0000}"/>
    <cellStyle name="Normal 2 5 2 2 3 5 6 3" xfId="32343" xr:uid="{00000000-0005-0000-0000-00009E3F0000}"/>
    <cellStyle name="Normal 2 5 2 2 3 5 7" xfId="3082" xr:uid="{00000000-0005-0000-0000-00009F3F0000}"/>
    <cellStyle name="Normal 2 5 2 2 3 5 7 2" xfId="15591" xr:uid="{00000000-0005-0000-0000-0000A03F0000}"/>
    <cellStyle name="Normal 2 5 2 2 3 5 7 2 2" xfId="40465" xr:uid="{00000000-0005-0000-0000-0000A13F0000}"/>
    <cellStyle name="Normal 2 5 2 2 3 5 7 3" xfId="28024" xr:uid="{00000000-0005-0000-0000-0000A23F0000}"/>
    <cellStyle name="Normal 2 5 2 2 3 5 8" xfId="14895" xr:uid="{00000000-0005-0000-0000-0000A33F0000}"/>
    <cellStyle name="Normal 2 5 2 2 3 5 8 2" xfId="39769" xr:uid="{00000000-0005-0000-0000-0000A43F0000}"/>
    <cellStyle name="Normal 2 5 2 2 3 5 9" xfId="27328" xr:uid="{00000000-0005-0000-0000-0000A53F0000}"/>
    <cellStyle name="Normal 2 5 2 2 3 6" xfId="1052" xr:uid="{00000000-0005-0000-0000-0000A63F0000}"/>
    <cellStyle name="Normal 2 5 2 2 3 6 2" xfId="9038" xr:uid="{00000000-0005-0000-0000-0000A73F0000}"/>
    <cellStyle name="Normal 2 5 2 2 3 6 2 2" xfId="21481" xr:uid="{00000000-0005-0000-0000-0000A83F0000}"/>
    <cellStyle name="Normal 2 5 2 2 3 6 2 2 2" xfId="46355" xr:uid="{00000000-0005-0000-0000-0000A93F0000}"/>
    <cellStyle name="Normal 2 5 2 2 3 6 2 3" xfId="33922" xr:uid="{00000000-0005-0000-0000-0000AA3F0000}"/>
    <cellStyle name="Normal 2 5 2 2 3 6 3" xfId="4020" xr:uid="{00000000-0005-0000-0000-0000AB3F0000}"/>
    <cellStyle name="Normal 2 5 2 2 3 6 3 2" xfId="16474" xr:uid="{00000000-0005-0000-0000-0000AC3F0000}"/>
    <cellStyle name="Normal 2 5 2 2 3 6 3 2 2" xfId="41348" xr:uid="{00000000-0005-0000-0000-0000AD3F0000}"/>
    <cellStyle name="Normal 2 5 2 2 3 6 3 3" xfId="28915" xr:uid="{00000000-0005-0000-0000-0000AE3F0000}"/>
    <cellStyle name="Normal 2 5 2 2 3 6 4" xfId="13852" xr:uid="{00000000-0005-0000-0000-0000AF3F0000}"/>
    <cellStyle name="Normal 2 5 2 2 3 6 4 2" xfId="38726" xr:uid="{00000000-0005-0000-0000-0000B03F0000}"/>
    <cellStyle name="Normal 2 5 2 2 3 6 5" xfId="26285" xr:uid="{00000000-0005-0000-0000-0000B13F0000}"/>
    <cellStyle name="Normal 2 5 2 2 3 7" xfId="5197" xr:uid="{00000000-0005-0000-0000-0000B23F0000}"/>
    <cellStyle name="Normal 2 5 2 2 3 7 2" xfId="10213" xr:uid="{00000000-0005-0000-0000-0000B33F0000}"/>
    <cellStyle name="Normal 2 5 2 2 3 7 2 2" xfId="22656" xr:uid="{00000000-0005-0000-0000-0000B43F0000}"/>
    <cellStyle name="Normal 2 5 2 2 3 7 2 2 2" xfId="47530" xr:uid="{00000000-0005-0000-0000-0000B53F0000}"/>
    <cellStyle name="Normal 2 5 2 2 3 7 2 3" xfId="35097" xr:uid="{00000000-0005-0000-0000-0000B63F0000}"/>
    <cellStyle name="Normal 2 5 2 2 3 7 3" xfId="17649" xr:uid="{00000000-0005-0000-0000-0000B73F0000}"/>
    <cellStyle name="Normal 2 5 2 2 3 7 3 2" xfId="42523" xr:uid="{00000000-0005-0000-0000-0000B83F0000}"/>
    <cellStyle name="Normal 2 5 2 2 3 7 4" xfId="30090" xr:uid="{00000000-0005-0000-0000-0000B93F0000}"/>
    <cellStyle name="Normal 2 5 2 2 3 8" xfId="7774" xr:uid="{00000000-0005-0000-0000-0000BA3F0000}"/>
    <cellStyle name="Normal 2 5 2 2 3 8 2" xfId="20220" xr:uid="{00000000-0005-0000-0000-0000BB3F0000}"/>
    <cellStyle name="Normal 2 5 2 2 3 8 2 2" xfId="45094" xr:uid="{00000000-0005-0000-0000-0000BC3F0000}"/>
    <cellStyle name="Normal 2 5 2 2 3 8 3" xfId="32661" xr:uid="{00000000-0005-0000-0000-0000BD3F0000}"/>
    <cellStyle name="Normal 2 5 2 2 3 9" xfId="11667" xr:uid="{00000000-0005-0000-0000-0000BE3F0000}"/>
    <cellStyle name="Normal 2 5 2 2 3 9 2" xfId="24101" xr:uid="{00000000-0005-0000-0000-0000BF3F0000}"/>
    <cellStyle name="Normal 2 5 2 2 3 9 2 2" xfId="48975" xr:uid="{00000000-0005-0000-0000-0000C03F0000}"/>
    <cellStyle name="Normal 2 5 2 2 3 9 3" xfId="36542" xr:uid="{00000000-0005-0000-0000-0000C13F0000}"/>
    <cellStyle name="Normal 2 5 2 2 3_Degree data" xfId="2158" xr:uid="{00000000-0005-0000-0000-0000C23F0000}"/>
    <cellStyle name="Normal 2 5 2 2 4" xfId="398" xr:uid="{00000000-0005-0000-0000-0000C33F0000}"/>
    <cellStyle name="Normal 2 5 2 2 4 10" xfId="13214" xr:uid="{00000000-0005-0000-0000-0000C43F0000}"/>
    <cellStyle name="Normal 2 5 2 2 4 10 2" xfId="38088" xr:uid="{00000000-0005-0000-0000-0000C53F0000}"/>
    <cellStyle name="Normal 2 5 2 2 4 11" xfId="25647" xr:uid="{00000000-0005-0000-0000-0000C63F0000}"/>
    <cellStyle name="Normal 2 5 2 2 4 2" xfId="758" xr:uid="{00000000-0005-0000-0000-0000C73F0000}"/>
    <cellStyle name="Normal 2 5 2 2 4 2 2" xfId="1392" xr:uid="{00000000-0005-0000-0000-0000C83F0000}"/>
    <cellStyle name="Normal 2 5 2 2 4 2 2 2" xfId="9496" xr:uid="{00000000-0005-0000-0000-0000C93F0000}"/>
    <cellStyle name="Normal 2 5 2 2 4 2 2 2 2" xfId="21939" xr:uid="{00000000-0005-0000-0000-0000CA3F0000}"/>
    <cellStyle name="Normal 2 5 2 2 4 2 2 2 2 2" xfId="46813" xr:uid="{00000000-0005-0000-0000-0000CB3F0000}"/>
    <cellStyle name="Normal 2 5 2 2 4 2 2 2 3" xfId="34380" xr:uid="{00000000-0005-0000-0000-0000CC3F0000}"/>
    <cellStyle name="Normal 2 5 2 2 4 2 2 3" xfId="4478" xr:uid="{00000000-0005-0000-0000-0000CD3F0000}"/>
    <cellStyle name="Normal 2 5 2 2 4 2 2 3 2" xfId="16932" xr:uid="{00000000-0005-0000-0000-0000CE3F0000}"/>
    <cellStyle name="Normal 2 5 2 2 4 2 2 3 2 2" xfId="41806" xr:uid="{00000000-0005-0000-0000-0000CF3F0000}"/>
    <cellStyle name="Normal 2 5 2 2 4 2 2 3 3" xfId="29373" xr:uid="{00000000-0005-0000-0000-0000D03F0000}"/>
    <cellStyle name="Normal 2 5 2 2 4 2 2 4" xfId="14192" xr:uid="{00000000-0005-0000-0000-0000D13F0000}"/>
    <cellStyle name="Normal 2 5 2 2 4 2 2 4 2" xfId="39066" xr:uid="{00000000-0005-0000-0000-0000D23F0000}"/>
    <cellStyle name="Normal 2 5 2 2 4 2 2 5" xfId="26625" xr:uid="{00000000-0005-0000-0000-0000D33F0000}"/>
    <cellStyle name="Normal 2 5 2 2 4 2 3" xfId="5537" xr:uid="{00000000-0005-0000-0000-0000D43F0000}"/>
    <cellStyle name="Normal 2 5 2 2 4 2 3 2" xfId="10553" xr:uid="{00000000-0005-0000-0000-0000D53F0000}"/>
    <cellStyle name="Normal 2 5 2 2 4 2 3 2 2" xfId="22996" xr:uid="{00000000-0005-0000-0000-0000D63F0000}"/>
    <cellStyle name="Normal 2 5 2 2 4 2 3 2 2 2" xfId="47870" xr:uid="{00000000-0005-0000-0000-0000D73F0000}"/>
    <cellStyle name="Normal 2 5 2 2 4 2 3 2 3" xfId="35437" xr:uid="{00000000-0005-0000-0000-0000D83F0000}"/>
    <cellStyle name="Normal 2 5 2 2 4 2 3 3" xfId="17989" xr:uid="{00000000-0005-0000-0000-0000D93F0000}"/>
    <cellStyle name="Normal 2 5 2 2 4 2 3 3 2" xfId="42863" xr:uid="{00000000-0005-0000-0000-0000DA3F0000}"/>
    <cellStyle name="Normal 2 5 2 2 4 2 3 4" xfId="30430" xr:uid="{00000000-0005-0000-0000-0000DB3F0000}"/>
    <cellStyle name="Normal 2 5 2 2 4 2 4" xfId="8612" xr:uid="{00000000-0005-0000-0000-0000DC3F0000}"/>
    <cellStyle name="Normal 2 5 2 2 4 2 4 2" xfId="21056" xr:uid="{00000000-0005-0000-0000-0000DD3F0000}"/>
    <cellStyle name="Normal 2 5 2 2 4 2 4 2 2" xfId="45930" xr:uid="{00000000-0005-0000-0000-0000DE3F0000}"/>
    <cellStyle name="Normal 2 5 2 2 4 2 4 3" xfId="33497" xr:uid="{00000000-0005-0000-0000-0000DF3F0000}"/>
    <cellStyle name="Normal 2 5 2 2 4 2 5" xfId="12007" xr:uid="{00000000-0005-0000-0000-0000E03F0000}"/>
    <cellStyle name="Normal 2 5 2 2 4 2 5 2" xfId="24441" xr:uid="{00000000-0005-0000-0000-0000E13F0000}"/>
    <cellStyle name="Normal 2 5 2 2 4 2 5 2 2" xfId="49315" xr:uid="{00000000-0005-0000-0000-0000E23F0000}"/>
    <cellStyle name="Normal 2 5 2 2 4 2 5 3" xfId="36882" xr:uid="{00000000-0005-0000-0000-0000E33F0000}"/>
    <cellStyle name="Normal 2 5 2 2 4 2 6" xfId="7089" xr:uid="{00000000-0005-0000-0000-0000E43F0000}"/>
    <cellStyle name="Normal 2 5 2 2 4 2 6 2" xfId="19538" xr:uid="{00000000-0005-0000-0000-0000E53F0000}"/>
    <cellStyle name="Normal 2 5 2 2 4 2 6 2 2" xfId="44412" xr:uid="{00000000-0005-0000-0000-0000E63F0000}"/>
    <cellStyle name="Normal 2 5 2 2 4 2 6 3" xfId="31979" xr:uid="{00000000-0005-0000-0000-0000E73F0000}"/>
    <cellStyle name="Normal 2 5 2 2 4 2 7" xfId="3543" xr:uid="{00000000-0005-0000-0000-0000E83F0000}"/>
    <cellStyle name="Normal 2 5 2 2 4 2 7 2" xfId="16049" xr:uid="{00000000-0005-0000-0000-0000E93F0000}"/>
    <cellStyle name="Normal 2 5 2 2 4 2 7 2 2" xfId="40923" xr:uid="{00000000-0005-0000-0000-0000EA3F0000}"/>
    <cellStyle name="Normal 2 5 2 2 4 2 7 3" xfId="28482" xr:uid="{00000000-0005-0000-0000-0000EB3F0000}"/>
    <cellStyle name="Normal 2 5 2 2 4 2 8" xfId="13561" xr:uid="{00000000-0005-0000-0000-0000EC3F0000}"/>
    <cellStyle name="Normal 2 5 2 2 4 2 8 2" xfId="38435" xr:uid="{00000000-0005-0000-0000-0000ED3F0000}"/>
    <cellStyle name="Normal 2 5 2 2 4 2 9" xfId="25994" xr:uid="{00000000-0005-0000-0000-0000EE3F0000}"/>
    <cellStyle name="Normal 2 5 2 2 4 3" xfId="1740" xr:uid="{00000000-0005-0000-0000-0000EF3F0000}"/>
    <cellStyle name="Normal 2 5 2 2 4 3 2" xfId="4943" xr:uid="{00000000-0005-0000-0000-0000F03F0000}"/>
    <cellStyle name="Normal 2 5 2 2 4 3 2 2" xfId="9960" xr:uid="{00000000-0005-0000-0000-0000F13F0000}"/>
    <cellStyle name="Normal 2 5 2 2 4 3 2 2 2" xfId="22403" xr:uid="{00000000-0005-0000-0000-0000F23F0000}"/>
    <cellStyle name="Normal 2 5 2 2 4 3 2 2 2 2" xfId="47277" xr:uid="{00000000-0005-0000-0000-0000F33F0000}"/>
    <cellStyle name="Normal 2 5 2 2 4 3 2 2 3" xfId="34844" xr:uid="{00000000-0005-0000-0000-0000F43F0000}"/>
    <cellStyle name="Normal 2 5 2 2 4 3 2 3" xfId="17396" xr:uid="{00000000-0005-0000-0000-0000F53F0000}"/>
    <cellStyle name="Normal 2 5 2 2 4 3 2 3 2" xfId="42270" xr:uid="{00000000-0005-0000-0000-0000F63F0000}"/>
    <cellStyle name="Normal 2 5 2 2 4 3 2 4" xfId="29837" xr:uid="{00000000-0005-0000-0000-0000F73F0000}"/>
    <cellStyle name="Normal 2 5 2 2 4 3 3" xfId="5886" xr:uid="{00000000-0005-0000-0000-0000F83F0000}"/>
    <cellStyle name="Normal 2 5 2 2 4 3 3 2" xfId="10901" xr:uid="{00000000-0005-0000-0000-0000F93F0000}"/>
    <cellStyle name="Normal 2 5 2 2 4 3 3 2 2" xfId="23344" xr:uid="{00000000-0005-0000-0000-0000FA3F0000}"/>
    <cellStyle name="Normal 2 5 2 2 4 3 3 2 2 2" xfId="48218" xr:uid="{00000000-0005-0000-0000-0000FB3F0000}"/>
    <cellStyle name="Normal 2 5 2 2 4 3 3 2 3" xfId="35785" xr:uid="{00000000-0005-0000-0000-0000FC3F0000}"/>
    <cellStyle name="Normal 2 5 2 2 4 3 3 3" xfId="18337" xr:uid="{00000000-0005-0000-0000-0000FD3F0000}"/>
    <cellStyle name="Normal 2 5 2 2 4 3 3 3 2" xfId="43211" xr:uid="{00000000-0005-0000-0000-0000FE3F0000}"/>
    <cellStyle name="Normal 2 5 2 2 4 3 3 4" xfId="30778" xr:uid="{00000000-0005-0000-0000-0000FF3F0000}"/>
    <cellStyle name="Normal 2 5 2 2 4 3 4" xfId="8367" xr:uid="{00000000-0005-0000-0000-000000400000}"/>
    <cellStyle name="Normal 2 5 2 2 4 3 4 2" xfId="20811" xr:uid="{00000000-0005-0000-0000-000001400000}"/>
    <cellStyle name="Normal 2 5 2 2 4 3 4 2 2" xfId="45685" xr:uid="{00000000-0005-0000-0000-000002400000}"/>
    <cellStyle name="Normal 2 5 2 2 4 3 4 3" xfId="33252" xr:uid="{00000000-0005-0000-0000-000003400000}"/>
    <cellStyle name="Normal 2 5 2 2 4 3 5" xfId="12355" xr:uid="{00000000-0005-0000-0000-000004400000}"/>
    <cellStyle name="Normal 2 5 2 2 4 3 5 2" xfId="24789" xr:uid="{00000000-0005-0000-0000-000005400000}"/>
    <cellStyle name="Normal 2 5 2 2 4 3 5 2 2" xfId="49663" xr:uid="{00000000-0005-0000-0000-000006400000}"/>
    <cellStyle name="Normal 2 5 2 2 4 3 5 3" xfId="37230" xr:uid="{00000000-0005-0000-0000-000007400000}"/>
    <cellStyle name="Normal 2 5 2 2 4 3 6" xfId="7554" xr:uid="{00000000-0005-0000-0000-000008400000}"/>
    <cellStyle name="Normal 2 5 2 2 4 3 6 2" xfId="20002" xr:uid="{00000000-0005-0000-0000-000009400000}"/>
    <cellStyle name="Normal 2 5 2 2 4 3 6 2 2" xfId="44876" xr:uid="{00000000-0005-0000-0000-00000A400000}"/>
    <cellStyle name="Normal 2 5 2 2 4 3 6 3" xfId="32443" xr:uid="{00000000-0005-0000-0000-00000B400000}"/>
    <cellStyle name="Normal 2 5 2 2 4 3 7" xfId="3298" xr:uid="{00000000-0005-0000-0000-00000C400000}"/>
    <cellStyle name="Normal 2 5 2 2 4 3 7 2" xfId="15804" xr:uid="{00000000-0005-0000-0000-00000D400000}"/>
    <cellStyle name="Normal 2 5 2 2 4 3 7 2 2" xfId="40678" xr:uid="{00000000-0005-0000-0000-00000E400000}"/>
    <cellStyle name="Normal 2 5 2 2 4 3 7 3" xfId="28237" xr:uid="{00000000-0005-0000-0000-00000F400000}"/>
    <cellStyle name="Normal 2 5 2 2 4 3 8" xfId="14540" xr:uid="{00000000-0005-0000-0000-000010400000}"/>
    <cellStyle name="Normal 2 5 2 2 4 3 8 2" xfId="39414" xr:uid="{00000000-0005-0000-0000-000011400000}"/>
    <cellStyle name="Normal 2 5 2 2 4 3 9" xfId="26973" xr:uid="{00000000-0005-0000-0000-000012400000}"/>
    <cellStyle name="Normal 2 5 2 2 4 4" xfId="2316" xr:uid="{00000000-0005-0000-0000-000013400000}"/>
    <cellStyle name="Normal 2 5 2 2 4 4 2" xfId="6341" xr:uid="{00000000-0005-0000-0000-000014400000}"/>
    <cellStyle name="Normal 2 5 2 2 4 4 2 2" xfId="11356" xr:uid="{00000000-0005-0000-0000-000015400000}"/>
    <cellStyle name="Normal 2 5 2 2 4 4 2 2 2" xfId="23799" xr:uid="{00000000-0005-0000-0000-000016400000}"/>
    <cellStyle name="Normal 2 5 2 2 4 4 2 2 2 2" xfId="48673" xr:uid="{00000000-0005-0000-0000-000017400000}"/>
    <cellStyle name="Normal 2 5 2 2 4 4 2 2 3" xfId="36240" xr:uid="{00000000-0005-0000-0000-000018400000}"/>
    <cellStyle name="Normal 2 5 2 2 4 4 2 3" xfId="18792" xr:uid="{00000000-0005-0000-0000-000019400000}"/>
    <cellStyle name="Normal 2 5 2 2 4 4 2 3 2" xfId="43666" xr:uid="{00000000-0005-0000-0000-00001A400000}"/>
    <cellStyle name="Normal 2 5 2 2 4 4 2 4" xfId="31233" xr:uid="{00000000-0005-0000-0000-00001B400000}"/>
    <cellStyle name="Normal 2 5 2 2 4 4 3" xfId="12810" xr:uid="{00000000-0005-0000-0000-00001C400000}"/>
    <cellStyle name="Normal 2 5 2 2 4 4 3 2" xfId="25244" xr:uid="{00000000-0005-0000-0000-00001D400000}"/>
    <cellStyle name="Normal 2 5 2 2 4 4 3 2 2" xfId="50118" xr:uid="{00000000-0005-0000-0000-00001E400000}"/>
    <cellStyle name="Normal 2 5 2 2 4 4 3 3" xfId="37685" xr:uid="{00000000-0005-0000-0000-00001F400000}"/>
    <cellStyle name="Normal 2 5 2 2 4 4 4" xfId="9251" xr:uid="{00000000-0005-0000-0000-000020400000}"/>
    <cellStyle name="Normal 2 5 2 2 4 4 4 2" xfId="21694" xr:uid="{00000000-0005-0000-0000-000021400000}"/>
    <cellStyle name="Normal 2 5 2 2 4 4 4 2 2" xfId="46568" xr:uid="{00000000-0005-0000-0000-000022400000}"/>
    <cellStyle name="Normal 2 5 2 2 4 4 4 3" xfId="34135" xr:uid="{00000000-0005-0000-0000-000023400000}"/>
    <cellStyle name="Normal 2 5 2 2 4 4 5" xfId="4233" xr:uid="{00000000-0005-0000-0000-000024400000}"/>
    <cellStyle name="Normal 2 5 2 2 4 4 5 2" xfId="16687" xr:uid="{00000000-0005-0000-0000-000025400000}"/>
    <cellStyle name="Normal 2 5 2 2 4 4 5 2 2" xfId="41561" xr:uid="{00000000-0005-0000-0000-000026400000}"/>
    <cellStyle name="Normal 2 5 2 2 4 4 5 3" xfId="29128" xr:uid="{00000000-0005-0000-0000-000027400000}"/>
    <cellStyle name="Normal 2 5 2 2 4 4 6" xfId="14995" xr:uid="{00000000-0005-0000-0000-000028400000}"/>
    <cellStyle name="Normal 2 5 2 2 4 4 6 2" xfId="39869" xr:uid="{00000000-0005-0000-0000-000029400000}"/>
    <cellStyle name="Normal 2 5 2 2 4 4 7" xfId="27428" xr:uid="{00000000-0005-0000-0000-00002A400000}"/>
    <cellStyle name="Normal 2 5 2 2 4 5" xfId="1152" xr:uid="{00000000-0005-0000-0000-00002B400000}"/>
    <cellStyle name="Normal 2 5 2 2 4 5 2" xfId="10313" xr:uid="{00000000-0005-0000-0000-00002C400000}"/>
    <cellStyle name="Normal 2 5 2 2 4 5 2 2" xfId="22756" xr:uid="{00000000-0005-0000-0000-00002D400000}"/>
    <cellStyle name="Normal 2 5 2 2 4 5 2 2 2" xfId="47630" xr:uid="{00000000-0005-0000-0000-00002E400000}"/>
    <cellStyle name="Normal 2 5 2 2 4 5 2 3" xfId="35197" xr:uid="{00000000-0005-0000-0000-00002F400000}"/>
    <cellStyle name="Normal 2 5 2 2 4 5 3" xfId="5297" xr:uid="{00000000-0005-0000-0000-000030400000}"/>
    <cellStyle name="Normal 2 5 2 2 4 5 3 2" xfId="17749" xr:uid="{00000000-0005-0000-0000-000031400000}"/>
    <cellStyle name="Normal 2 5 2 2 4 5 3 2 2" xfId="42623" xr:uid="{00000000-0005-0000-0000-000032400000}"/>
    <cellStyle name="Normal 2 5 2 2 4 5 3 3" xfId="30190" xr:uid="{00000000-0005-0000-0000-000033400000}"/>
    <cellStyle name="Normal 2 5 2 2 4 5 4" xfId="13952" xr:uid="{00000000-0005-0000-0000-000034400000}"/>
    <cellStyle name="Normal 2 5 2 2 4 5 4 2" xfId="38826" xr:uid="{00000000-0005-0000-0000-000035400000}"/>
    <cellStyle name="Normal 2 5 2 2 4 5 5" xfId="26385" xr:uid="{00000000-0005-0000-0000-000036400000}"/>
    <cellStyle name="Normal 2 5 2 2 4 6" xfId="7874" xr:uid="{00000000-0005-0000-0000-000037400000}"/>
    <cellStyle name="Normal 2 5 2 2 4 6 2" xfId="20320" xr:uid="{00000000-0005-0000-0000-000038400000}"/>
    <cellStyle name="Normal 2 5 2 2 4 6 2 2" xfId="45194" xr:uid="{00000000-0005-0000-0000-000039400000}"/>
    <cellStyle name="Normal 2 5 2 2 4 6 3" xfId="32761" xr:uid="{00000000-0005-0000-0000-00003A400000}"/>
    <cellStyle name="Normal 2 5 2 2 4 7" xfId="11767" xr:uid="{00000000-0005-0000-0000-00003B400000}"/>
    <cellStyle name="Normal 2 5 2 2 4 7 2" xfId="24201" xr:uid="{00000000-0005-0000-0000-00003C400000}"/>
    <cellStyle name="Normal 2 5 2 2 4 7 2 2" xfId="49075" xr:uid="{00000000-0005-0000-0000-00003D400000}"/>
    <cellStyle name="Normal 2 5 2 2 4 7 3" xfId="36642" xr:uid="{00000000-0005-0000-0000-00003E400000}"/>
    <cellStyle name="Normal 2 5 2 2 4 8" xfId="6844" xr:uid="{00000000-0005-0000-0000-00003F400000}"/>
    <cellStyle name="Normal 2 5 2 2 4 8 2" xfId="19293" xr:uid="{00000000-0005-0000-0000-000040400000}"/>
    <cellStyle name="Normal 2 5 2 2 4 8 2 2" xfId="44167" xr:uid="{00000000-0005-0000-0000-000041400000}"/>
    <cellStyle name="Normal 2 5 2 2 4 8 3" xfId="31734" xr:uid="{00000000-0005-0000-0000-000042400000}"/>
    <cellStyle name="Normal 2 5 2 2 4 9" xfId="2795" xr:uid="{00000000-0005-0000-0000-000043400000}"/>
    <cellStyle name="Normal 2 5 2 2 4 9 2" xfId="15313" xr:uid="{00000000-0005-0000-0000-000044400000}"/>
    <cellStyle name="Normal 2 5 2 2 4 9 2 2" xfId="40187" xr:uid="{00000000-0005-0000-0000-000045400000}"/>
    <cellStyle name="Normal 2 5 2 2 4 9 3" xfId="27746" xr:uid="{00000000-0005-0000-0000-000046400000}"/>
    <cellStyle name="Normal 2 5 2 2 4_Degree data" xfId="2039" xr:uid="{00000000-0005-0000-0000-000047400000}"/>
    <cellStyle name="Normal 2 5 2 2 5" xfId="231" xr:uid="{00000000-0005-0000-0000-000048400000}"/>
    <cellStyle name="Normal 2 5 2 2 5 10" xfId="13057" xr:uid="{00000000-0005-0000-0000-000049400000}"/>
    <cellStyle name="Normal 2 5 2 2 5 10 2" xfId="37931" xr:uid="{00000000-0005-0000-0000-00004A400000}"/>
    <cellStyle name="Normal 2 5 2 2 5 11" xfId="25490" xr:uid="{00000000-0005-0000-0000-00004B400000}"/>
    <cellStyle name="Normal 2 5 2 2 5 2" xfId="595" xr:uid="{00000000-0005-0000-0000-00004C400000}"/>
    <cellStyle name="Normal 2 5 2 2 5 2 2" xfId="1393" xr:uid="{00000000-0005-0000-0000-00004D400000}"/>
    <cellStyle name="Normal 2 5 2 2 5 2 2 2" xfId="9497" xr:uid="{00000000-0005-0000-0000-00004E400000}"/>
    <cellStyle name="Normal 2 5 2 2 5 2 2 2 2" xfId="21940" xr:uid="{00000000-0005-0000-0000-00004F400000}"/>
    <cellStyle name="Normal 2 5 2 2 5 2 2 2 2 2" xfId="46814" xr:uid="{00000000-0005-0000-0000-000050400000}"/>
    <cellStyle name="Normal 2 5 2 2 5 2 2 2 3" xfId="34381" xr:uid="{00000000-0005-0000-0000-000051400000}"/>
    <cellStyle name="Normal 2 5 2 2 5 2 2 3" xfId="4479" xr:uid="{00000000-0005-0000-0000-000052400000}"/>
    <cellStyle name="Normal 2 5 2 2 5 2 2 3 2" xfId="16933" xr:uid="{00000000-0005-0000-0000-000053400000}"/>
    <cellStyle name="Normal 2 5 2 2 5 2 2 3 2 2" xfId="41807" xr:uid="{00000000-0005-0000-0000-000054400000}"/>
    <cellStyle name="Normal 2 5 2 2 5 2 2 3 3" xfId="29374" xr:uid="{00000000-0005-0000-0000-000055400000}"/>
    <cellStyle name="Normal 2 5 2 2 5 2 2 4" xfId="14193" xr:uid="{00000000-0005-0000-0000-000056400000}"/>
    <cellStyle name="Normal 2 5 2 2 5 2 2 4 2" xfId="39067" xr:uid="{00000000-0005-0000-0000-000057400000}"/>
    <cellStyle name="Normal 2 5 2 2 5 2 2 5" xfId="26626" xr:uid="{00000000-0005-0000-0000-000058400000}"/>
    <cellStyle name="Normal 2 5 2 2 5 2 3" xfId="5538" xr:uid="{00000000-0005-0000-0000-000059400000}"/>
    <cellStyle name="Normal 2 5 2 2 5 2 3 2" xfId="10554" xr:uid="{00000000-0005-0000-0000-00005A400000}"/>
    <cellStyle name="Normal 2 5 2 2 5 2 3 2 2" xfId="22997" xr:uid="{00000000-0005-0000-0000-00005B400000}"/>
    <cellStyle name="Normal 2 5 2 2 5 2 3 2 2 2" xfId="47871" xr:uid="{00000000-0005-0000-0000-00005C400000}"/>
    <cellStyle name="Normal 2 5 2 2 5 2 3 2 3" xfId="35438" xr:uid="{00000000-0005-0000-0000-00005D400000}"/>
    <cellStyle name="Normal 2 5 2 2 5 2 3 3" xfId="17990" xr:uid="{00000000-0005-0000-0000-00005E400000}"/>
    <cellStyle name="Normal 2 5 2 2 5 2 3 3 2" xfId="42864" xr:uid="{00000000-0005-0000-0000-00005F400000}"/>
    <cellStyle name="Normal 2 5 2 2 5 2 3 4" xfId="30431" xr:uid="{00000000-0005-0000-0000-000060400000}"/>
    <cellStyle name="Normal 2 5 2 2 5 2 4" xfId="8613" xr:uid="{00000000-0005-0000-0000-000061400000}"/>
    <cellStyle name="Normal 2 5 2 2 5 2 4 2" xfId="21057" xr:uid="{00000000-0005-0000-0000-000062400000}"/>
    <cellStyle name="Normal 2 5 2 2 5 2 4 2 2" xfId="45931" xr:uid="{00000000-0005-0000-0000-000063400000}"/>
    <cellStyle name="Normal 2 5 2 2 5 2 4 3" xfId="33498" xr:uid="{00000000-0005-0000-0000-000064400000}"/>
    <cellStyle name="Normal 2 5 2 2 5 2 5" xfId="12008" xr:uid="{00000000-0005-0000-0000-000065400000}"/>
    <cellStyle name="Normal 2 5 2 2 5 2 5 2" xfId="24442" xr:uid="{00000000-0005-0000-0000-000066400000}"/>
    <cellStyle name="Normal 2 5 2 2 5 2 5 2 2" xfId="49316" xr:uid="{00000000-0005-0000-0000-000067400000}"/>
    <cellStyle name="Normal 2 5 2 2 5 2 5 3" xfId="36883" xr:uid="{00000000-0005-0000-0000-000068400000}"/>
    <cellStyle name="Normal 2 5 2 2 5 2 6" xfId="7090" xr:uid="{00000000-0005-0000-0000-000069400000}"/>
    <cellStyle name="Normal 2 5 2 2 5 2 6 2" xfId="19539" xr:uid="{00000000-0005-0000-0000-00006A400000}"/>
    <cellStyle name="Normal 2 5 2 2 5 2 6 2 2" xfId="44413" xr:uid="{00000000-0005-0000-0000-00006B400000}"/>
    <cellStyle name="Normal 2 5 2 2 5 2 6 3" xfId="31980" xr:uid="{00000000-0005-0000-0000-00006C400000}"/>
    <cellStyle name="Normal 2 5 2 2 5 2 7" xfId="3544" xr:uid="{00000000-0005-0000-0000-00006D400000}"/>
    <cellStyle name="Normal 2 5 2 2 5 2 7 2" xfId="16050" xr:uid="{00000000-0005-0000-0000-00006E400000}"/>
    <cellStyle name="Normal 2 5 2 2 5 2 7 2 2" xfId="40924" xr:uid="{00000000-0005-0000-0000-00006F400000}"/>
    <cellStyle name="Normal 2 5 2 2 5 2 7 3" xfId="28483" xr:uid="{00000000-0005-0000-0000-000070400000}"/>
    <cellStyle name="Normal 2 5 2 2 5 2 8" xfId="13404" xr:uid="{00000000-0005-0000-0000-000071400000}"/>
    <cellStyle name="Normal 2 5 2 2 5 2 8 2" xfId="38278" xr:uid="{00000000-0005-0000-0000-000072400000}"/>
    <cellStyle name="Normal 2 5 2 2 5 2 9" xfId="25837" xr:uid="{00000000-0005-0000-0000-000073400000}"/>
    <cellStyle name="Normal 2 5 2 2 5 3" xfId="1741" xr:uid="{00000000-0005-0000-0000-000074400000}"/>
    <cellStyle name="Normal 2 5 2 2 5 3 2" xfId="4786" xr:uid="{00000000-0005-0000-0000-000075400000}"/>
    <cellStyle name="Normal 2 5 2 2 5 3 2 2" xfId="9803" xr:uid="{00000000-0005-0000-0000-000076400000}"/>
    <cellStyle name="Normal 2 5 2 2 5 3 2 2 2" xfId="22246" xr:uid="{00000000-0005-0000-0000-000077400000}"/>
    <cellStyle name="Normal 2 5 2 2 5 3 2 2 2 2" xfId="47120" xr:uid="{00000000-0005-0000-0000-000078400000}"/>
    <cellStyle name="Normal 2 5 2 2 5 3 2 2 3" xfId="34687" xr:uid="{00000000-0005-0000-0000-000079400000}"/>
    <cellStyle name="Normal 2 5 2 2 5 3 2 3" xfId="17239" xr:uid="{00000000-0005-0000-0000-00007A400000}"/>
    <cellStyle name="Normal 2 5 2 2 5 3 2 3 2" xfId="42113" xr:uid="{00000000-0005-0000-0000-00007B400000}"/>
    <cellStyle name="Normal 2 5 2 2 5 3 2 4" xfId="29680" xr:uid="{00000000-0005-0000-0000-00007C400000}"/>
    <cellStyle name="Normal 2 5 2 2 5 3 3" xfId="5887" xr:uid="{00000000-0005-0000-0000-00007D400000}"/>
    <cellStyle name="Normal 2 5 2 2 5 3 3 2" xfId="10902" xr:uid="{00000000-0005-0000-0000-00007E400000}"/>
    <cellStyle name="Normal 2 5 2 2 5 3 3 2 2" xfId="23345" xr:uid="{00000000-0005-0000-0000-00007F400000}"/>
    <cellStyle name="Normal 2 5 2 2 5 3 3 2 2 2" xfId="48219" xr:uid="{00000000-0005-0000-0000-000080400000}"/>
    <cellStyle name="Normal 2 5 2 2 5 3 3 2 3" xfId="35786" xr:uid="{00000000-0005-0000-0000-000081400000}"/>
    <cellStyle name="Normal 2 5 2 2 5 3 3 3" xfId="18338" xr:uid="{00000000-0005-0000-0000-000082400000}"/>
    <cellStyle name="Normal 2 5 2 2 5 3 3 3 2" xfId="43212" xr:uid="{00000000-0005-0000-0000-000083400000}"/>
    <cellStyle name="Normal 2 5 2 2 5 3 3 4" xfId="30779" xr:uid="{00000000-0005-0000-0000-000084400000}"/>
    <cellStyle name="Normal 2 5 2 2 5 3 4" xfId="8868" xr:uid="{00000000-0005-0000-0000-000085400000}"/>
    <cellStyle name="Normal 2 5 2 2 5 3 4 2" xfId="21311" xr:uid="{00000000-0005-0000-0000-000086400000}"/>
    <cellStyle name="Normal 2 5 2 2 5 3 4 2 2" xfId="46185" xr:uid="{00000000-0005-0000-0000-000087400000}"/>
    <cellStyle name="Normal 2 5 2 2 5 3 4 3" xfId="33752" xr:uid="{00000000-0005-0000-0000-000088400000}"/>
    <cellStyle name="Normal 2 5 2 2 5 3 5" xfId="12356" xr:uid="{00000000-0005-0000-0000-000089400000}"/>
    <cellStyle name="Normal 2 5 2 2 5 3 5 2" xfId="24790" xr:uid="{00000000-0005-0000-0000-00008A400000}"/>
    <cellStyle name="Normal 2 5 2 2 5 3 5 2 2" xfId="49664" xr:uid="{00000000-0005-0000-0000-00008B400000}"/>
    <cellStyle name="Normal 2 5 2 2 5 3 5 3" xfId="37231" xr:uid="{00000000-0005-0000-0000-00008C400000}"/>
    <cellStyle name="Normal 2 5 2 2 5 3 6" xfId="7397" xr:uid="{00000000-0005-0000-0000-00008D400000}"/>
    <cellStyle name="Normal 2 5 2 2 5 3 6 2" xfId="19845" xr:uid="{00000000-0005-0000-0000-00008E400000}"/>
    <cellStyle name="Normal 2 5 2 2 5 3 6 2 2" xfId="44719" xr:uid="{00000000-0005-0000-0000-00008F400000}"/>
    <cellStyle name="Normal 2 5 2 2 5 3 6 3" xfId="32286" xr:uid="{00000000-0005-0000-0000-000090400000}"/>
    <cellStyle name="Normal 2 5 2 2 5 3 7" xfId="3850" xr:uid="{00000000-0005-0000-0000-000091400000}"/>
    <cellStyle name="Normal 2 5 2 2 5 3 7 2" xfId="16304" xr:uid="{00000000-0005-0000-0000-000092400000}"/>
    <cellStyle name="Normal 2 5 2 2 5 3 7 2 2" xfId="41178" xr:uid="{00000000-0005-0000-0000-000093400000}"/>
    <cellStyle name="Normal 2 5 2 2 5 3 7 3" xfId="28745" xr:uid="{00000000-0005-0000-0000-000094400000}"/>
    <cellStyle name="Normal 2 5 2 2 5 3 8" xfId="14541" xr:uid="{00000000-0005-0000-0000-000095400000}"/>
    <cellStyle name="Normal 2 5 2 2 5 3 8 2" xfId="39415" xr:uid="{00000000-0005-0000-0000-000096400000}"/>
    <cellStyle name="Normal 2 5 2 2 5 3 9" xfId="26974" xr:uid="{00000000-0005-0000-0000-000097400000}"/>
    <cellStyle name="Normal 2 5 2 2 5 4" xfId="2149" xr:uid="{00000000-0005-0000-0000-000098400000}"/>
    <cellStyle name="Normal 2 5 2 2 5 4 2" xfId="6184" xr:uid="{00000000-0005-0000-0000-000099400000}"/>
    <cellStyle name="Normal 2 5 2 2 5 4 2 2" xfId="11199" xr:uid="{00000000-0005-0000-0000-00009A400000}"/>
    <cellStyle name="Normal 2 5 2 2 5 4 2 2 2" xfId="23642" xr:uid="{00000000-0005-0000-0000-00009B400000}"/>
    <cellStyle name="Normal 2 5 2 2 5 4 2 2 2 2" xfId="48516" xr:uid="{00000000-0005-0000-0000-00009C400000}"/>
    <cellStyle name="Normal 2 5 2 2 5 4 2 2 3" xfId="36083" xr:uid="{00000000-0005-0000-0000-00009D400000}"/>
    <cellStyle name="Normal 2 5 2 2 5 4 2 3" xfId="18635" xr:uid="{00000000-0005-0000-0000-00009E400000}"/>
    <cellStyle name="Normal 2 5 2 2 5 4 2 3 2" xfId="43509" xr:uid="{00000000-0005-0000-0000-00009F400000}"/>
    <cellStyle name="Normal 2 5 2 2 5 4 2 4" xfId="31076" xr:uid="{00000000-0005-0000-0000-0000A0400000}"/>
    <cellStyle name="Normal 2 5 2 2 5 4 3" xfId="12653" xr:uid="{00000000-0005-0000-0000-0000A1400000}"/>
    <cellStyle name="Normal 2 5 2 2 5 4 3 2" xfId="25087" xr:uid="{00000000-0005-0000-0000-0000A2400000}"/>
    <cellStyle name="Normal 2 5 2 2 5 4 3 2 2" xfId="49961" xr:uid="{00000000-0005-0000-0000-0000A3400000}"/>
    <cellStyle name="Normal 2 5 2 2 5 4 3 3" xfId="37528" xr:uid="{00000000-0005-0000-0000-0000A4400000}"/>
    <cellStyle name="Normal 2 5 2 2 5 4 4" xfId="9094" xr:uid="{00000000-0005-0000-0000-0000A5400000}"/>
    <cellStyle name="Normal 2 5 2 2 5 4 4 2" xfId="21537" xr:uid="{00000000-0005-0000-0000-0000A6400000}"/>
    <cellStyle name="Normal 2 5 2 2 5 4 4 2 2" xfId="46411" xr:uid="{00000000-0005-0000-0000-0000A7400000}"/>
    <cellStyle name="Normal 2 5 2 2 5 4 4 3" xfId="33978" xr:uid="{00000000-0005-0000-0000-0000A8400000}"/>
    <cellStyle name="Normal 2 5 2 2 5 4 5" xfId="4076" xr:uid="{00000000-0005-0000-0000-0000A9400000}"/>
    <cellStyle name="Normal 2 5 2 2 5 4 5 2" xfId="16530" xr:uid="{00000000-0005-0000-0000-0000AA400000}"/>
    <cellStyle name="Normal 2 5 2 2 5 4 5 2 2" xfId="41404" xr:uid="{00000000-0005-0000-0000-0000AB400000}"/>
    <cellStyle name="Normal 2 5 2 2 5 4 5 3" xfId="28971" xr:uid="{00000000-0005-0000-0000-0000AC400000}"/>
    <cellStyle name="Normal 2 5 2 2 5 4 6" xfId="14838" xr:uid="{00000000-0005-0000-0000-0000AD400000}"/>
    <cellStyle name="Normal 2 5 2 2 5 4 6 2" xfId="39712" xr:uid="{00000000-0005-0000-0000-0000AE400000}"/>
    <cellStyle name="Normal 2 5 2 2 5 4 7" xfId="27271" xr:uid="{00000000-0005-0000-0000-0000AF400000}"/>
    <cellStyle name="Normal 2 5 2 2 5 5" xfId="995" xr:uid="{00000000-0005-0000-0000-0000B0400000}"/>
    <cellStyle name="Normal 2 5 2 2 5 5 2" xfId="10154" xr:uid="{00000000-0005-0000-0000-0000B1400000}"/>
    <cellStyle name="Normal 2 5 2 2 5 5 2 2" xfId="22597" xr:uid="{00000000-0005-0000-0000-0000B2400000}"/>
    <cellStyle name="Normal 2 5 2 2 5 5 2 2 2" xfId="47471" xr:uid="{00000000-0005-0000-0000-0000B3400000}"/>
    <cellStyle name="Normal 2 5 2 2 5 5 2 3" xfId="35038" xr:uid="{00000000-0005-0000-0000-0000B4400000}"/>
    <cellStyle name="Normal 2 5 2 2 5 5 3" xfId="5138" xr:uid="{00000000-0005-0000-0000-0000B5400000}"/>
    <cellStyle name="Normal 2 5 2 2 5 5 3 2" xfId="17590" xr:uid="{00000000-0005-0000-0000-0000B6400000}"/>
    <cellStyle name="Normal 2 5 2 2 5 5 3 2 2" xfId="42464" xr:uid="{00000000-0005-0000-0000-0000B7400000}"/>
    <cellStyle name="Normal 2 5 2 2 5 5 3 3" xfId="30031" xr:uid="{00000000-0005-0000-0000-0000B8400000}"/>
    <cellStyle name="Normal 2 5 2 2 5 5 4" xfId="13795" xr:uid="{00000000-0005-0000-0000-0000B9400000}"/>
    <cellStyle name="Normal 2 5 2 2 5 5 4 2" xfId="38669" xr:uid="{00000000-0005-0000-0000-0000BA400000}"/>
    <cellStyle name="Normal 2 5 2 2 5 5 5" xfId="26228" xr:uid="{00000000-0005-0000-0000-0000BB400000}"/>
    <cellStyle name="Normal 2 5 2 2 5 6" xfId="8210" xr:uid="{00000000-0005-0000-0000-0000BC400000}"/>
    <cellStyle name="Normal 2 5 2 2 5 6 2" xfId="20654" xr:uid="{00000000-0005-0000-0000-0000BD400000}"/>
    <cellStyle name="Normal 2 5 2 2 5 6 2 2" xfId="45528" xr:uid="{00000000-0005-0000-0000-0000BE400000}"/>
    <cellStyle name="Normal 2 5 2 2 5 6 3" xfId="33095" xr:uid="{00000000-0005-0000-0000-0000BF400000}"/>
    <cellStyle name="Normal 2 5 2 2 5 7" xfId="11610" xr:uid="{00000000-0005-0000-0000-0000C0400000}"/>
    <cellStyle name="Normal 2 5 2 2 5 7 2" xfId="24044" xr:uid="{00000000-0005-0000-0000-0000C1400000}"/>
    <cellStyle name="Normal 2 5 2 2 5 7 2 2" xfId="48918" xr:uid="{00000000-0005-0000-0000-0000C2400000}"/>
    <cellStyle name="Normal 2 5 2 2 5 7 3" xfId="36485" xr:uid="{00000000-0005-0000-0000-0000C3400000}"/>
    <cellStyle name="Normal 2 5 2 2 5 8" xfId="6687" xr:uid="{00000000-0005-0000-0000-0000C4400000}"/>
    <cellStyle name="Normal 2 5 2 2 5 8 2" xfId="19136" xr:uid="{00000000-0005-0000-0000-0000C5400000}"/>
    <cellStyle name="Normal 2 5 2 2 5 8 2 2" xfId="44010" xr:uid="{00000000-0005-0000-0000-0000C6400000}"/>
    <cellStyle name="Normal 2 5 2 2 5 8 3" xfId="31577" xr:uid="{00000000-0005-0000-0000-0000C7400000}"/>
    <cellStyle name="Normal 2 5 2 2 5 9" xfId="3141" xr:uid="{00000000-0005-0000-0000-0000C8400000}"/>
    <cellStyle name="Normal 2 5 2 2 5 9 2" xfId="15647" xr:uid="{00000000-0005-0000-0000-0000C9400000}"/>
    <cellStyle name="Normal 2 5 2 2 5 9 2 2" xfId="40521" xr:uid="{00000000-0005-0000-0000-0000CA400000}"/>
    <cellStyle name="Normal 2 5 2 2 5 9 3" xfId="28080" xr:uid="{00000000-0005-0000-0000-0000CB400000}"/>
    <cellStyle name="Normal 2 5 2 2 5_Degree data" xfId="2050" xr:uid="{00000000-0005-0000-0000-0000CC400000}"/>
    <cellStyle name="Normal 2 5 2 2 6" xfId="549" xr:uid="{00000000-0005-0000-0000-0000CD400000}"/>
    <cellStyle name="Normal 2 5 2 2 6 2" xfId="1387" xr:uid="{00000000-0005-0000-0000-0000CE400000}"/>
    <cellStyle name="Normal 2 5 2 2 6 2 2" xfId="9491" xr:uid="{00000000-0005-0000-0000-0000CF400000}"/>
    <cellStyle name="Normal 2 5 2 2 6 2 2 2" xfId="21934" xr:uid="{00000000-0005-0000-0000-0000D0400000}"/>
    <cellStyle name="Normal 2 5 2 2 6 2 2 2 2" xfId="46808" xr:uid="{00000000-0005-0000-0000-0000D1400000}"/>
    <cellStyle name="Normal 2 5 2 2 6 2 2 3" xfId="34375" xr:uid="{00000000-0005-0000-0000-0000D2400000}"/>
    <cellStyle name="Normal 2 5 2 2 6 2 3" xfId="4473" xr:uid="{00000000-0005-0000-0000-0000D3400000}"/>
    <cellStyle name="Normal 2 5 2 2 6 2 3 2" xfId="16927" xr:uid="{00000000-0005-0000-0000-0000D4400000}"/>
    <cellStyle name="Normal 2 5 2 2 6 2 3 2 2" xfId="41801" xr:uid="{00000000-0005-0000-0000-0000D5400000}"/>
    <cellStyle name="Normal 2 5 2 2 6 2 3 3" xfId="29368" xr:uid="{00000000-0005-0000-0000-0000D6400000}"/>
    <cellStyle name="Normal 2 5 2 2 6 2 4" xfId="14187" xr:uid="{00000000-0005-0000-0000-0000D7400000}"/>
    <cellStyle name="Normal 2 5 2 2 6 2 4 2" xfId="39061" xr:uid="{00000000-0005-0000-0000-0000D8400000}"/>
    <cellStyle name="Normal 2 5 2 2 6 2 5" xfId="26620" xr:uid="{00000000-0005-0000-0000-0000D9400000}"/>
    <cellStyle name="Normal 2 5 2 2 6 3" xfId="5532" xr:uid="{00000000-0005-0000-0000-0000DA400000}"/>
    <cellStyle name="Normal 2 5 2 2 6 3 2" xfId="10548" xr:uid="{00000000-0005-0000-0000-0000DB400000}"/>
    <cellStyle name="Normal 2 5 2 2 6 3 2 2" xfId="22991" xr:uid="{00000000-0005-0000-0000-0000DC400000}"/>
    <cellStyle name="Normal 2 5 2 2 6 3 2 2 2" xfId="47865" xr:uid="{00000000-0005-0000-0000-0000DD400000}"/>
    <cellStyle name="Normal 2 5 2 2 6 3 2 3" xfId="35432" xr:uid="{00000000-0005-0000-0000-0000DE400000}"/>
    <cellStyle name="Normal 2 5 2 2 6 3 3" xfId="17984" xr:uid="{00000000-0005-0000-0000-0000DF400000}"/>
    <cellStyle name="Normal 2 5 2 2 6 3 3 2" xfId="42858" xr:uid="{00000000-0005-0000-0000-0000E0400000}"/>
    <cellStyle name="Normal 2 5 2 2 6 3 4" xfId="30425" xr:uid="{00000000-0005-0000-0000-0000E1400000}"/>
    <cellStyle name="Normal 2 5 2 2 6 4" xfId="8607" xr:uid="{00000000-0005-0000-0000-0000E2400000}"/>
    <cellStyle name="Normal 2 5 2 2 6 4 2" xfId="21051" xr:uid="{00000000-0005-0000-0000-0000E3400000}"/>
    <cellStyle name="Normal 2 5 2 2 6 4 2 2" xfId="45925" xr:uid="{00000000-0005-0000-0000-0000E4400000}"/>
    <cellStyle name="Normal 2 5 2 2 6 4 3" xfId="33492" xr:uid="{00000000-0005-0000-0000-0000E5400000}"/>
    <cellStyle name="Normal 2 5 2 2 6 5" xfId="12002" xr:uid="{00000000-0005-0000-0000-0000E6400000}"/>
    <cellStyle name="Normal 2 5 2 2 6 5 2" xfId="24436" xr:uid="{00000000-0005-0000-0000-0000E7400000}"/>
    <cellStyle name="Normal 2 5 2 2 6 5 2 2" xfId="49310" xr:uid="{00000000-0005-0000-0000-0000E8400000}"/>
    <cellStyle name="Normal 2 5 2 2 6 5 3" xfId="36877" xr:uid="{00000000-0005-0000-0000-0000E9400000}"/>
    <cellStyle name="Normal 2 5 2 2 6 6" xfId="7084" xr:uid="{00000000-0005-0000-0000-0000EA400000}"/>
    <cellStyle name="Normal 2 5 2 2 6 6 2" xfId="19533" xr:uid="{00000000-0005-0000-0000-0000EB400000}"/>
    <cellStyle name="Normal 2 5 2 2 6 6 2 2" xfId="44407" xr:uid="{00000000-0005-0000-0000-0000EC400000}"/>
    <cellStyle name="Normal 2 5 2 2 6 6 3" xfId="31974" xr:uid="{00000000-0005-0000-0000-0000ED400000}"/>
    <cellStyle name="Normal 2 5 2 2 6 7" xfId="3538" xr:uid="{00000000-0005-0000-0000-0000EE400000}"/>
    <cellStyle name="Normal 2 5 2 2 6 7 2" xfId="16044" xr:uid="{00000000-0005-0000-0000-0000EF400000}"/>
    <cellStyle name="Normal 2 5 2 2 6 7 2 2" xfId="40918" xr:uid="{00000000-0005-0000-0000-0000F0400000}"/>
    <cellStyle name="Normal 2 5 2 2 6 7 3" xfId="28477" xr:uid="{00000000-0005-0000-0000-0000F1400000}"/>
    <cellStyle name="Normal 2 5 2 2 6 8" xfId="13359" xr:uid="{00000000-0005-0000-0000-0000F2400000}"/>
    <cellStyle name="Normal 2 5 2 2 6 8 2" xfId="38233" xr:uid="{00000000-0005-0000-0000-0000F3400000}"/>
    <cellStyle name="Normal 2 5 2 2 6 9" xfId="25792" xr:uid="{00000000-0005-0000-0000-0000F4400000}"/>
    <cellStyle name="Normal 2 5 2 2 7" xfId="1735" xr:uid="{00000000-0005-0000-0000-0000F5400000}"/>
    <cellStyle name="Normal 2 5 2 2 7 2" xfId="4741" xr:uid="{00000000-0005-0000-0000-0000F6400000}"/>
    <cellStyle name="Normal 2 5 2 2 7 2 2" xfId="9758" xr:uid="{00000000-0005-0000-0000-0000F7400000}"/>
    <cellStyle name="Normal 2 5 2 2 7 2 2 2" xfId="22201" xr:uid="{00000000-0005-0000-0000-0000F8400000}"/>
    <cellStyle name="Normal 2 5 2 2 7 2 2 2 2" xfId="47075" xr:uid="{00000000-0005-0000-0000-0000F9400000}"/>
    <cellStyle name="Normal 2 5 2 2 7 2 2 3" xfId="34642" xr:uid="{00000000-0005-0000-0000-0000FA400000}"/>
    <cellStyle name="Normal 2 5 2 2 7 2 3" xfId="17194" xr:uid="{00000000-0005-0000-0000-0000FB400000}"/>
    <cellStyle name="Normal 2 5 2 2 7 2 3 2" xfId="42068" xr:uid="{00000000-0005-0000-0000-0000FC400000}"/>
    <cellStyle name="Normal 2 5 2 2 7 2 4" xfId="29635" xr:uid="{00000000-0005-0000-0000-0000FD400000}"/>
    <cellStyle name="Normal 2 5 2 2 7 3" xfId="5881" xr:uid="{00000000-0005-0000-0000-0000FE400000}"/>
    <cellStyle name="Normal 2 5 2 2 7 3 2" xfId="10896" xr:uid="{00000000-0005-0000-0000-0000FF400000}"/>
    <cellStyle name="Normal 2 5 2 2 7 3 2 2" xfId="23339" xr:uid="{00000000-0005-0000-0000-000000410000}"/>
    <cellStyle name="Normal 2 5 2 2 7 3 2 2 2" xfId="48213" xr:uid="{00000000-0005-0000-0000-000001410000}"/>
    <cellStyle name="Normal 2 5 2 2 7 3 2 3" xfId="35780" xr:uid="{00000000-0005-0000-0000-000002410000}"/>
    <cellStyle name="Normal 2 5 2 2 7 3 3" xfId="18332" xr:uid="{00000000-0005-0000-0000-000003410000}"/>
    <cellStyle name="Normal 2 5 2 2 7 3 3 2" xfId="43206" xr:uid="{00000000-0005-0000-0000-000004410000}"/>
    <cellStyle name="Normal 2 5 2 2 7 3 4" xfId="30773" xr:uid="{00000000-0005-0000-0000-000005410000}"/>
    <cellStyle name="Normal 2 5 2 2 7 4" xfId="8048" xr:uid="{00000000-0005-0000-0000-000006410000}"/>
    <cellStyle name="Normal 2 5 2 2 7 4 2" xfId="20494" xr:uid="{00000000-0005-0000-0000-000007410000}"/>
    <cellStyle name="Normal 2 5 2 2 7 4 2 2" xfId="45368" xr:uid="{00000000-0005-0000-0000-000008410000}"/>
    <cellStyle name="Normal 2 5 2 2 7 4 3" xfId="32935" xr:uid="{00000000-0005-0000-0000-000009410000}"/>
    <cellStyle name="Normal 2 5 2 2 7 5" xfId="12350" xr:uid="{00000000-0005-0000-0000-00000A410000}"/>
    <cellStyle name="Normal 2 5 2 2 7 5 2" xfId="24784" xr:uid="{00000000-0005-0000-0000-00000B410000}"/>
    <cellStyle name="Normal 2 5 2 2 7 5 2 2" xfId="49658" xr:uid="{00000000-0005-0000-0000-00000C410000}"/>
    <cellStyle name="Normal 2 5 2 2 7 5 3" xfId="37225" xr:uid="{00000000-0005-0000-0000-00000D410000}"/>
    <cellStyle name="Normal 2 5 2 2 7 6" xfId="7352" xr:uid="{00000000-0005-0000-0000-00000E410000}"/>
    <cellStyle name="Normal 2 5 2 2 7 6 2" xfId="19800" xr:uid="{00000000-0005-0000-0000-00000F410000}"/>
    <cellStyle name="Normal 2 5 2 2 7 6 2 2" xfId="44674" xr:uid="{00000000-0005-0000-0000-000010410000}"/>
    <cellStyle name="Normal 2 5 2 2 7 6 3" xfId="32241" xr:uid="{00000000-0005-0000-0000-000011410000}"/>
    <cellStyle name="Normal 2 5 2 2 7 7" xfId="2975" xr:uid="{00000000-0005-0000-0000-000012410000}"/>
    <cellStyle name="Normal 2 5 2 2 7 7 2" xfId="15487" xr:uid="{00000000-0005-0000-0000-000013410000}"/>
    <cellStyle name="Normal 2 5 2 2 7 7 2 2" xfId="40361" xr:uid="{00000000-0005-0000-0000-000014410000}"/>
    <cellStyle name="Normal 2 5 2 2 7 7 3" xfId="27920" xr:uid="{00000000-0005-0000-0000-000015410000}"/>
    <cellStyle name="Normal 2 5 2 2 7 8" xfId="14535" xr:uid="{00000000-0005-0000-0000-000016410000}"/>
    <cellStyle name="Normal 2 5 2 2 7 8 2" xfId="39409" xr:uid="{00000000-0005-0000-0000-000017410000}"/>
    <cellStyle name="Normal 2 5 2 2 7 9" xfId="26968" xr:uid="{00000000-0005-0000-0000-000018410000}"/>
    <cellStyle name="Normal 2 5 2 2 8" xfId="2098" xr:uid="{00000000-0005-0000-0000-000019410000}"/>
    <cellStyle name="Normal 2 5 2 2 8 2" xfId="6139" xr:uid="{00000000-0005-0000-0000-00001A410000}"/>
    <cellStyle name="Normal 2 5 2 2 8 2 2" xfId="11154" xr:uid="{00000000-0005-0000-0000-00001B410000}"/>
    <cellStyle name="Normal 2 5 2 2 8 2 2 2" xfId="23597" xr:uid="{00000000-0005-0000-0000-00001C410000}"/>
    <cellStyle name="Normal 2 5 2 2 8 2 2 2 2" xfId="48471" xr:uid="{00000000-0005-0000-0000-00001D410000}"/>
    <cellStyle name="Normal 2 5 2 2 8 2 2 3" xfId="36038" xr:uid="{00000000-0005-0000-0000-00001E410000}"/>
    <cellStyle name="Normal 2 5 2 2 8 2 3" xfId="18590" xr:uid="{00000000-0005-0000-0000-00001F410000}"/>
    <cellStyle name="Normal 2 5 2 2 8 2 3 2" xfId="43464" xr:uid="{00000000-0005-0000-0000-000020410000}"/>
    <cellStyle name="Normal 2 5 2 2 8 2 4" xfId="31031" xr:uid="{00000000-0005-0000-0000-000021410000}"/>
    <cellStyle name="Normal 2 5 2 2 8 3" xfId="12608" xr:uid="{00000000-0005-0000-0000-000022410000}"/>
    <cellStyle name="Normal 2 5 2 2 8 3 2" xfId="25042" xr:uid="{00000000-0005-0000-0000-000023410000}"/>
    <cellStyle name="Normal 2 5 2 2 8 3 2 2" xfId="49916" xr:uid="{00000000-0005-0000-0000-000024410000}"/>
    <cellStyle name="Normal 2 5 2 2 8 3 3" xfId="37483" xr:uid="{00000000-0005-0000-0000-000025410000}"/>
    <cellStyle name="Normal 2 5 2 2 8 4" xfId="8934" xr:uid="{00000000-0005-0000-0000-000026410000}"/>
    <cellStyle name="Normal 2 5 2 2 8 4 2" xfId="21377" xr:uid="{00000000-0005-0000-0000-000027410000}"/>
    <cellStyle name="Normal 2 5 2 2 8 4 2 2" xfId="46251" xr:uid="{00000000-0005-0000-0000-000028410000}"/>
    <cellStyle name="Normal 2 5 2 2 8 4 3" xfId="33818" xr:uid="{00000000-0005-0000-0000-000029410000}"/>
    <cellStyle name="Normal 2 5 2 2 8 5" xfId="3916" xr:uid="{00000000-0005-0000-0000-00002A410000}"/>
    <cellStyle name="Normal 2 5 2 2 8 5 2" xfId="16370" xr:uid="{00000000-0005-0000-0000-00002B410000}"/>
    <cellStyle name="Normal 2 5 2 2 8 5 2 2" xfId="41244" xr:uid="{00000000-0005-0000-0000-00002C410000}"/>
    <cellStyle name="Normal 2 5 2 2 8 5 3" xfId="28811" xr:uid="{00000000-0005-0000-0000-00002D410000}"/>
    <cellStyle name="Normal 2 5 2 2 8 6" xfId="14793" xr:uid="{00000000-0005-0000-0000-00002E410000}"/>
    <cellStyle name="Normal 2 5 2 2 8 6 2" xfId="39667" xr:uid="{00000000-0005-0000-0000-00002F410000}"/>
    <cellStyle name="Normal 2 5 2 2 8 7" xfId="27226" xr:uid="{00000000-0005-0000-0000-000030410000}"/>
    <cellStyle name="Normal 2 5 2 2 9" xfId="950" xr:uid="{00000000-0005-0000-0000-000031410000}"/>
    <cellStyle name="Normal 2 5 2 2 9 2" xfId="11565" xr:uid="{00000000-0005-0000-0000-000032410000}"/>
    <cellStyle name="Normal 2 5 2 2 9 2 2" xfId="23999" xr:uid="{00000000-0005-0000-0000-000033410000}"/>
    <cellStyle name="Normal 2 5 2 2 9 2 2 2" xfId="48873" xr:uid="{00000000-0005-0000-0000-000034410000}"/>
    <cellStyle name="Normal 2 5 2 2 9 2 3" xfId="36440" xr:uid="{00000000-0005-0000-0000-000035410000}"/>
    <cellStyle name="Normal 2 5 2 2 9 3" xfId="10109" xr:uid="{00000000-0005-0000-0000-000036410000}"/>
    <cellStyle name="Normal 2 5 2 2 9 3 2" xfId="22552" xr:uid="{00000000-0005-0000-0000-000037410000}"/>
    <cellStyle name="Normal 2 5 2 2 9 3 2 2" xfId="47426" xr:uid="{00000000-0005-0000-0000-000038410000}"/>
    <cellStyle name="Normal 2 5 2 2 9 3 3" xfId="34993" xr:uid="{00000000-0005-0000-0000-000039410000}"/>
    <cellStyle name="Normal 2 5 2 2 9 4" xfId="5093" xr:uid="{00000000-0005-0000-0000-00003A410000}"/>
    <cellStyle name="Normal 2 5 2 2 9 4 2" xfId="17545" xr:uid="{00000000-0005-0000-0000-00003B410000}"/>
    <cellStyle name="Normal 2 5 2 2 9 4 2 2" xfId="42419" xr:uid="{00000000-0005-0000-0000-00003C410000}"/>
    <cellStyle name="Normal 2 5 2 2 9 4 3" xfId="29986" xr:uid="{00000000-0005-0000-0000-00003D410000}"/>
    <cellStyle name="Normal 2 5 2 2 9 5" xfId="13750" xr:uid="{00000000-0005-0000-0000-00003E410000}"/>
    <cellStyle name="Normal 2 5 2 2 9 5 2" xfId="38624" xr:uid="{00000000-0005-0000-0000-00003F410000}"/>
    <cellStyle name="Normal 2 5 2 2 9 6" xfId="26183" xr:uid="{00000000-0005-0000-0000-000040410000}"/>
    <cellStyle name="Normal 2 5 2 2_Degree data" xfId="2191" xr:uid="{00000000-0005-0000-0000-000041410000}"/>
    <cellStyle name="Normal 2 5 2 3" xfId="140" xr:uid="{00000000-0005-0000-0000-000042410000}"/>
    <cellStyle name="Normal 2 5 2 3 10" xfId="7703" xr:uid="{00000000-0005-0000-0000-000043410000}"/>
    <cellStyle name="Normal 2 5 2 3 10 2" xfId="20149" xr:uid="{00000000-0005-0000-0000-000044410000}"/>
    <cellStyle name="Normal 2 5 2 3 10 2 2" xfId="45023" xr:uid="{00000000-0005-0000-0000-000045410000}"/>
    <cellStyle name="Normal 2 5 2 3 10 3" xfId="32590" xr:uid="{00000000-0005-0000-0000-000046410000}"/>
    <cellStyle name="Normal 2 5 2 3 11" xfId="11523" xr:uid="{00000000-0005-0000-0000-000047410000}"/>
    <cellStyle name="Normal 2 5 2 3 11 2" xfId="23957" xr:uid="{00000000-0005-0000-0000-000048410000}"/>
    <cellStyle name="Normal 2 5 2 3 11 2 2" xfId="48831" xr:uid="{00000000-0005-0000-0000-000049410000}"/>
    <cellStyle name="Normal 2 5 2 3 11 3" xfId="36398" xr:uid="{00000000-0005-0000-0000-00004A410000}"/>
    <cellStyle name="Normal 2 5 2 3 12" xfId="6515" xr:uid="{00000000-0005-0000-0000-00004B410000}"/>
    <cellStyle name="Normal 2 5 2 3 12 2" xfId="18964" xr:uid="{00000000-0005-0000-0000-00004C410000}"/>
    <cellStyle name="Normal 2 5 2 3 12 2 2" xfId="43838" xr:uid="{00000000-0005-0000-0000-00004D410000}"/>
    <cellStyle name="Normal 2 5 2 3 12 3" xfId="31405" xr:uid="{00000000-0005-0000-0000-00004E410000}"/>
    <cellStyle name="Normal 2 5 2 3 13" xfId="2623" xr:uid="{00000000-0005-0000-0000-00004F410000}"/>
    <cellStyle name="Normal 2 5 2 3 13 2" xfId="15142" xr:uid="{00000000-0005-0000-0000-000050410000}"/>
    <cellStyle name="Normal 2 5 2 3 13 2 2" xfId="40016" xr:uid="{00000000-0005-0000-0000-000051410000}"/>
    <cellStyle name="Normal 2 5 2 3 13 3" xfId="27575" xr:uid="{00000000-0005-0000-0000-000052410000}"/>
    <cellStyle name="Normal 2 5 2 3 14" xfId="12970" xr:uid="{00000000-0005-0000-0000-000053410000}"/>
    <cellStyle name="Normal 2 5 2 3 14 2" xfId="37844" xr:uid="{00000000-0005-0000-0000-000054410000}"/>
    <cellStyle name="Normal 2 5 2 3 15" xfId="25403" xr:uid="{00000000-0005-0000-0000-000055410000}"/>
    <cellStyle name="Normal 2 5 2 3 2" xfId="328" xr:uid="{00000000-0005-0000-0000-000056410000}"/>
    <cellStyle name="Normal 2 5 2 3 2 10" xfId="6558" xr:uid="{00000000-0005-0000-0000-000057410000}"/>
    <cellStyle name="Normal 2 5 2 3 2 10 2" xfId="19007" xr:uid="{00000000-0005-0000-0000-000058410000}"/>
    <cellStyle name="Normal 2 5 2 3 2 10 2 2" xfId="43881" xr:uid="{00000000-0005-0000-0000-000059410000}"/>
    <cellStyle name="Normal 2 5 2 3 2 10 3" xfId="31448" xr:uid="{00000000-0005-0000-0000-00005A410000}"/>
    <cellStyle name="Normal 2 5 2 3 2 11" xfId="2726" xr:uid="{00000000-0005-0000-0000-00005B410000}"/>
    <cellStyle name="Normal 2 5 2 3 2 11 2" xfId="15244" xr:uid="{00000000-0005-0000-0000-00005C410000}"/>
    <cellStyle name="Normal 2 5 2 3 2 11 2 2" xfId="40118" xr:uid="{00000000-0005-0000-0000-00005D410000}"/>
    <cellStyle name="Normal 2 5 2 3 2 11 3" xfId="27677" xr:uid="{00000000-0005-0000-0000-00005E410000}"/>
    <cellStyle name="Normal 2 5 2 3 2 12" xfId="13145" xr:uid="{00000000-0005-0000-0000-00005F410000}"/>
    <cellStyle name="Normal 2 5 2 3 2 12 2" xfId="38019" xr:uid="{00000000-0005-0000-0000-000060410000}"/>
    <cellStyle name="Normal 2 5 2 3 2 13" xfId="25578" xr:uid="{00000000-0005-0000-0000-000061410000}"/>
    <cellStyle name="Normal 2 5 2 3 2 2" xfId="430" xr:uid="{00000000-0005-0000-0000-000062410000}"/>
    <cellStyle name="Normal 2 5 2 3 2 2 10" xfId="13245" xr:uid="{00000000-0005-0000-0000-000063410000}"/>
    <cellStyle name="Normal 2 5 2 3 2 2 10 2" xfId="38119" xr:uid="{00000000-0005-0000-0000-000064410000}"/>
    <cellStyle name="Normal 2 5 2 3 2 2 11" xfId="25678" xr:uid="{00000000-0005-0000-0000-000065410000}"/>
    <cellStyle name="Normal 2 5 2 3 2 2 2" xfId="790" xr:uid="{00000000-0005-0000-0000-000066410000}"/>
    <cellStyle name="Normal 2 5 2 3 2 2 2 2" xfId="1396" xr:uid="{00000000-0005-0000-0000-000067410000}"/>
    <cellStyle name="Normal 2 5 2 3 2 2 2 2 2" xfId="9500" xr:uid="{00000000-0005-0000-0000-000068410000}"/>
    <cellStyle name="Normal 2 5 2 3 2 2 2 2 2 2" xfId="21943" xr:uid="{00000000-0005-0000-0000-000069410000}"/>
    <cellStyle name="Normal 2 5 2 3 2 2 2 2 2 2 2" xfId="46817" xr:uid="{00000000-0005-0000-0000-00006A410000}"/>
    <cellStyle name="Normal 2 5 2 3 2 2 2 2 2 3" xfId="34384" xr:uid="{00000000-0005-0000-0000-00006B410000}"/>
    <cellStyle name="Normal 2 5 2 3 2 2 2 2 3" xfId="4482" xr:uid="{00000000-0005-0000-0000-00006C410000}"/>
    <cellStyle name="Normal 2 5 2 3 2 2 2 2 3 2" xfId="16936" xr:uid="{00000000-0005-0000-0000-00006D410000}"/>
    <cellStyle name="Normal 2 5 2 3 2 2 2 2 3 2 2" xfId="41810" xr:uid="{00000000-0005-0000-0000-00006E410000}"/>
    <cellStyle name="Normal 2 5 2 3 2 2 2 2 3 3" xfId="29377" xr:uid="{00000000-0005-0000-0000-00006F410000}"/>
    <cellStyle name="Normal 2 5 2 3 2 2 2 2 4" xfId="14196" xr:uid="{00000000-0005-0000-0000-000070410000}"/>
    <cellStyle name="Normal 2 5 2 3 2 2 2 2 4 2" xfId="39070" xr:uid="{00000000-0005-0000-0000-000071410000}"/>
    <cellStyle name="Normal 2 5 2 3 2 2 2 2 5" xfId="26629" xr:uid="{00000000-0005-0000-0000-000072410000}"/>
    <cellStyle name="Normal 2 5 2 3 2 2 2 3" xfId="5541" xr:uid="{00000000-0005-0000-0000-000073410000}"/>
    <cellStyle name="Normal 2 5 2 3 2 2 2 3 2" xfId="10557" xr:uid="{00000000-0005-0000-0000-000074410000}"/>
    <cellStyle name="Normal 2 5 2 3 2 2 2 3 2 2" xfId="23000" xr:uid="{00000000-0005-0000-0000-000075410000}"/>
    <cellStyle name="Normal 2 5 2 3 2 2 2 3 2 2 2" xfId="47874" xr:uid="{00000000-0005-0000-0000-000076410000}"/>
    <cellStyle name="Normal 2 5 2 3 2 2 2 3 2 3" xfId="35441" xr:uid="{00000000-0005-0000-0000-000077410000}"/>
    <cellStyle name="Normal 2 5 2 3 2 2 2 3 3" xfId="17993" xr:uid="{00000000-0005-0000-0000-000078410000}"/>
    <cellStyle name="Normal 2 5 2 3 2 2 2 3 3 2" xfId="42867" xr:uid="{00000000-0005-0000-0000-000079410000}"/>
    <cellStyle name="Normal 2 5 2 3 2 2 2 3 4" xfId="30434" xr:uid="{00000000-0005-0000-0000-00007A410000}"/>
    <cellStyle name="Normal 2 5 2 3 2 2 2 4" xfId="8616" xr:uid="{00000000-0005-0000-0000-00007B410000}"/>
    <cellStyle name="Normal 2 5 2 3 2 2 2 4 2" xfId="21060" xr:uid="{00000000-0005-0000-0000-00007C410000}"/>
    <cellStyle name="Normal 2 5 2 3 2 2 2 4 2 2" xfId="45934" xr:uid="{00000000-0005-0000-0000-00007D410000}"/>
    <cellStyle name="Normal 2 5 2 3 2 2 2 4 3" xfId="33501" xr:uid="{00000000-0005-0000-0000-00007E410000}"/>
    <cellStyle name="Normal 2 5 2 3 2 2 2 5" xfId="12011" xr:uid="{00000000-0005-0000-0000-00007F410000}"/>
    <cellStyle name="Normal 2 5 2 3 2 2 2 5 2" xfId="24445" xr:uid="{00000000-0005-0000-0000-000080410000}"/>
    <cellStyle name="Normal 2 5 2 3 2 2 2 5 2 2" xfId="49319" xr:uid="{00000000-0005-0000-0000-000081410000}"/>
    <cellStyle name="Normal 2 5 2 3 2 2 2 5 3" xfId="36886" xr:uid="{00000000-0005-0000-0000-000082410000}"/>
    <cellStyle name="Normal 2 5 2 3 2 2 2 6" xfId="7093" xr:uid="{00000000-0005-0000-0000-000083410000}"/>
    <cellStyle name="Normal 2 5 2 3 2 2 2 6 2" xfId="19542" xr:uid="{00000000-0005-0000-0000-000084410000}"/>
    <cellStyle name="Normal 2 5 2 3 2 2 2 6 2 2" xfId="44416" xr:uid="{00000000-0005-0000-0000-000085410000}"/>
    <cellStyle name="Normal 2 5 2 3 2 2 2 6 3" xfId="31983" xr:uid="{00000000-0005-0000-0000-000086410000}"/>
    <cellStyle name="Normal 2 5 2 3 2 2 2 7" xfId="3547" xr:uid="{00000000-0005-0000-0000-000087410000}"/>
    <cellStyle name="Normal 2 5 2 3 2 2 2 7 2" xfId="16053" xr:uid="{00000000-0005-0000-0000-000088410000}"/>
    <cellStyle name="Normal 2 5 2 3 2 2 2 7 2 2" xfId="40927" xr:uid="{00000000-0005-0000-0000-000089410000}"/>
    <cellStyle name="Normal 2 5 2 3 2 2 2 7 3" xfId="28486" xr:uid="{00000000-0005-0000-0000-00008A410000}"/>
    <cellStyle name="Normal 2 5 2 3 2 2 2 8" xfId="13592" xr:uid="{00000000-0005-0000-0000-00008B410000}"/>
    <cellStyle name="Normal 2 5 2 3 2 2 2 8 2" xfId="38466" xr:uid="{00000000-0005-0000-0000-00008C410000}"/>
    <cellStyle name="Normal 2 5 2 3 2 2 2 9" xfId="26025" xr:uid="{00000000-0005-0000-0000-00008D410000}"/>
    <cellStyle name="Normal 2 5 2 3 2 2 3" xfId="1744" xr:uid="{00000000-0005-0000-0000-00008E410000}"/>
    <cellStyle name="Normal 2 5 2 3 2 2 3 2" xfId="4974" xr:uid="{00000000-0005-0000-0000-00008F410000}"/>
    <cellStyle name="Normal 2 5 2 3 2 2 3 2 2" xfId="9991" xr:uid="{00000000-0005-0000-0000-000090410000}"/>
    <cellStyle name="Normal 2 5 2 3 2 2 3 2 2 2" xfId="22434" xr:uid="{00000000-0005-0000-0000-000091410000}"/>
    <cellStyle name="Normal 2 5 2 3 2 2 3 2 2 2 2" xfId="47308" xr:uid="{00000000-0005-0000-0000-000092410000}"/>
    <cellStyle name="Normal 2 5 2 3 2 2 3 2 2 3" xfId="34875" xr:uid="{00000000-0005-0000-0000-000093410000}"/>
    <cellStyle name="Normal 2 5 2 3 2 2 3 2 3" xfId="17427" xr:uid="{00000000-0005-0000-0000-000094410000}"/>
    <cellStyle name="Normal 2 5 2 3 2 2 3 2 3 2" xfId="42301" xr:uid="{00000000-0005-0000-0000-000095410000}"/>
    <cellStyle name="Normal 2 5 2 3 2 2 3 2 4" xfId="29868" xr:uid="{00000000-0005-0000-0000-000096410000}"/>
    <cellStyle name="Normal 2 5 2 3 2 2 3 3" xfId="5890" xr:uid="{00000000-0005-0000-0000-000097410000}"/>
    <cellStyle name="Normal 2 5 2 3 2 2 3 3 2" xfId="10905" xr:uid="{00000000-0005-0000-0000-000098410000}"/>
    <cellStyle name="Normal 2 5 2 3 2 2 3 3 2 2" xfId="23348" xr:uid="{00000000-0005-0000-0000-000099410000}"/>
    <cellStyle name="Normal 2 5 2 3 2 2 3 3 2 2 2" xfId="48222" xr:uid="{00000000-0005-0000-0000-00009A410000}"/>
    <cellStyle name="Normal 2 5 2 3 2 2 3 3 2 3" xfId="35789" xr:uid="{00000000-0005-0000-0000-00009B410000}"/>
    <cellStyle name="Normal 2 5 2 3 2 2 3 3 3" xfId="18341" xr:uid="{00000000-0005-0000-0000-00009C410000}"/>
    <cellStyle name="Normal 2 5 2 3 2 2 3 3 3 2" xfId="43215" xr:uid="{00000000-0005-0000-0000-00009D410000}"/>
    <cellStyle name="Normal 2 5 2 3 2 2 3 3 4" xfId="30782" xr:uid="{00000000-0005-0000-0000-00009E410000}"/>
    <cellStyle name="Normal 2 5 2 3 2 2 3 4" xfId="8398" xr:uid="{00000000-0005-0000-0000-00009F410000}"/>
    <cellStyle name="Normal 2 5 2 3 2 2 3 4 2" xfId="20842" xr:uid="{00000000-0005-0000-0000-0000A0410000}"/>
    <cellStyle name="Normal 2 5 2 3 2 2 3 4 2 2" xfId="45716" xr:uid="{00000000-0005-0000-0000-0000A1410000}"/>
    <cellStyle name="Normal 2 5 2 3 2 2 3 4 3" xfId="33283" xr:uid="{00000000-0005-0000-0000-0000A2410000}"/>
    <cellStyle name="Normal 2 5 2 3 2 2 3 5" xfId="12359" xr:uid="{00000000-0005-0000-0000-0000A3410000}"/>
    <cellStyle name="Normal 2 5 2 3 2 2 3 5 2" xfId="24793" xr:uid="{00000000-0005-0000-0000-0000A4410000}"/>
    <cellStyle name="Normal 2 5 2 3 2 2 3 5 2 2" xfId="49667" xr:uid="{00000000-0005-0000-0000-0000A5410000}"/>
    <cellStyle name="Normal 2 5 2 3 2 2 3 5 3" xfId="37234" xr:uid="{00000000-0005-0000-0000-0000A6410000}"/>
    <cellStyle name="Normal 2 5 2 3 2 2 3 6" xfId="7585" xr:uid="{00000000-0005-0000-0000-0000A7410000}"/>
    <cellStyle name="Normal 2 5 2 3 2 2 3 6 2" xfId="20033" xr:uid="{00000000-0005-0000-0000-0000A8410000}"/>
    <cellStyle name="Normal 2 5 2 3 2 2 3 6 2 2" xfId="44907" xr:uid="{00000000-0005-0000-0000-0000A9410000}"/>
    <cellStyle name="Normal 2 5 2 3 2 2 3 6 3" xfId="32474" xr:uid="{00000000-0005-0000-0000-0000AA410000}"/>
    <cellStyle name="Normal 2 5 2 3 2 2 3 7" xfId="3329" xr:uid="{00000000-0005-0000-0000-0000AB410000}"/>
    <cellStyle name="Normal 2 5 2 3 2 2 3 7 2" xfId="15835" xr:uid="{00000000-0005-0000-0000-0000AC410000}"/>
    <cellStyle name="Normal 2 5 2 3 2 2 3 7 2 2" xfId="40709" xr:uid="{00000000-0005-0000-0000-0000AD410000}"/>
    <cellStyle name="Normal 2 5 2 3 2 2 3 7 3" xfId="28268" xr:uid="{00000000-0005-0000-0000-0000AE410000}"/>
    <cellStyle name="Normal 2 5 2 3 2 2 3 8" xfId="14544" xr:uid="{00000000-0005-0000-0000-0000AF410000}"/>
    <cellStyle name="Normal 2 5 2 3 2 2 3 8 2" xfId="39418" xr:uid="{00000000-0005-0000-0000-0000B0410000}"/>
    <cellStyle name="Normal 2 5 2 3 2 2 3 9" xfId="26977" xr:uid="{00000000-0005-0000-0000-0000B1410000}"/>
    <cellStyle name="Normal 2 5 2 3 2 2 4" xfId="2348" xr:uid="{00000000-0005-0000-0000-0000B2410000}"/>
    <cellStyle name="Normal 2 5 2 3 2 2 4 2" xfId="6372" xr:uid="{00000000-0005-0000-0000-0000B3410000}"/>
    <cellStyle name="Normal 2 5 2 3 2 2 4 2 2" xfId="11387" xr:uid="{00000000-0005-0000-0000-0000B4410000}"/>
    <cellStyle name="Normal 2 5 2 3 2 2 4 2 2 2" xfId="23830" xr:uid="{00000000-0005-0000-0000-0000B5410000}"/>
    <cellStyle name="Normal 2 5 2 3 2 2 4 2 2 2 2" xfId="48704" xr:uid="{00000000-0005-0000-0000-0000B6410000}"/>
    <cellStyle name="Normal 2 5 2 3 2 2 4 2 2 3" xfId="36271" xr:uid="{00000000-0005-0000-0000-0000B7410000}"/>
    <cellStyle name="Normal 2 5 2 3 2 2 4 2 3" xfId="18823" xr:uid="{00000000-0005-0000-0000-0000B8410000}"/>
    <cellStyle name="Normal 2 5 2 3 2 2 4 2 3 2" xfId="43697" xr:uid="{00000000-0005-0000-0000-0000B9410000}"/>
    <cellStyle name="Normal 2 5 2 3 2 2 4 2 4" xfId="31264" xr:uid="{00000000-0005-0000-0000-0000BA410000}"/>
    <cellStyle name="Normal 2 5 2 3 2 2 4 3" xfId="12841" xr:uid="{00000000-0005-0000-0000-0000BB410000}"/>
    <cellStyle name="Normal 2 5 2 3 2 2 4 3 2" xfId="25275" xr:uid="{00000000-0005-0000-0000-0000BC410000}"/>
    <cellStyle name="Normal 2 5 2 3 2 2 4 3 2 2" xfId="50149" xr:uid="{00000000-0005-0000-0000-0000BD410000}"/>
    <cellStyle name="Normal 2 5 2 3 2 2 4 3 3" xfId="37716" xr:uid="{00000000-0005-0000-0000-0000BE410000}"/>
    <cellStyle name="Normal 2 5 2 3 2 2 4 4" xfId="9282" xr:uid="{00000000-0005-0000-0000-0000BF410000}"/>
    <cellStyle name="Normal 2 5 2 3 2 2 4 4 2" xfId="21725" xr:uid="{00000000-0005-0000-0000-0000C0410000}"/>
    <cellStyle name="Normal 2 5 2 3 2 2 4 4 2 2" xfId="46599" xr:uid="{00000000-0005-0000-0000-0000C1410000}"/>
    <cellStyle name="Normal 2 5 2 3 2 2 4 4 3" xfId="34166" xr:uid="{00000000-0005-0000-0000-0000C2410000}"/>
    <cellStyle name="Normal 2 5 2 3 2 2 4 5" xfId="4264" xr:uid="{00000000-0005-0000-0000-0000C3410000}"/>
    <cellStyle name="Normal 2 5 2 3 2 2 4 5 2" xfId="16718" xr:uid="{00000000-0005-0000-0000-0000C4410000}"/>
    <cellStyle name="Normal 2 5 2 3 2 2 4 5 2 2" xfId="41592" xr:uid="{00000000-0005-0000-0000-0000C5410000}"/>
    <cellStyle name="Normal 2 5 2 3 2 2 4 5 3" xfId="29159" xr:uid="{00000000-0005-0000-0000-0000C6410000}"/>
    <cellStyle name="Normal 2 5 2 3 2 2 4 6" xfId="15026" xr:uid="{00000000-0005-0000-0000-0000C7410000}"/>
    <cellStyle name="Normal 2 5 2 3 2 2 4 6 2" xfId="39900" xr:uid="{00000000-0005-0000-0000-0000C8410000}"/>
    <cellStyle name="Normal 2 5 2 3 2 2 4 7" xfId="27459" xr:uid="{00000000-0005-0000-0000-0000C9410000}"/>
    <cellStyle name="Normal 2 5 2 3 2 2 5" xfId="1183" xr:uid="{00000000-0005-0000-0000-0000CA410000}"/>
    <cellStyle name="Normal 2 5 2 3 2 2 5 2" xfId="10344" xr:uid="{00000000-0005-0000-0000-0000CB410000}"/>
    <cellStyle name="Normal 2 5 2 3 2 2 5 2 2" xfId="22787" xr:uid="{00000000-0005-0000-0000-0000CC410000}"/>
    <cellStyle name="Normal 2 5 2 3 2 2 5 2 2 2" xfId="47661" xr:uid="{00000000-0005-0000-0000-0000CD410000}"/>
    <cellStyle name="Normal 2 5 2 3 2 2 5 2 3" xfId="35228" xr:uid="{00000000-0005-0000-0000-0000CE410000}"/>
    <cellStyle name="Normal 2 5 2 3 2 2 5 3" xfId="5328" xr:uid="{00000000-0005-0000-0000-0000CF410000}"/>
    <cellStyle name="Normal 2 5 2 3 2 2 5 3 2" xfId="17780" xr:uid="{00000000-0005-0000-0000-0000D0410000}"/>
    <cellStyle name="Normal 2 5 2 3 2 2 5 3 2 2" xfId="42654" xr:uid="{00000000-0005-0000-0000-0000D1410000}"/>
    <cellStyle name="Normal 2 5 2 3 2 2 5 3 3" xfId="30221" xr:uid="{00000000-0005-0000-0000-0000D2410000}"/>
    <cellStyle name="Normal 2 5 2 3 2 2 5 4" xfId="13983" xr:uid="{00000000-0005-0000-0000-0000D3410000}"/>
    <cellStyle name="Normal 2 5 2 3 2 2 5 4 2" xfId="38857" xr:uid="{00000000-0005-0000-0000-0000D4410000}"/>
    <cellStyle name="Normal 2 5 2 3 2 2 5 5" xfId="26416" xr:uid="{00000000-0005-0000-0000-0000D5410000}"/>
    <cellStyle name="Normal 2 5 2 3 2 2 6" xfId="7905" xr:uid="{00000000-0005-0000-0000-0000D6410000}"/>
    <cellStyle name="Normal 2 5 2 3 2 2 6 2" xfId="20351" xr:uid="{00000000-0005-0000-0000-0000D7410000}"/>
    <cellStyle name="Normal 2 5 2 3 2 2 6 2 2" xfId="45225" xr:uid="{00000000-0005-0000-0000-0000D8410000}"/>
    <cellStyle name="Normal 2 5 2 3 2 2 6 3" xfId="32792" xr:uid="{00000000-0005-0000-0000-0000D9410000}"/>
    <cellStyle name="Normal 2 5 2 3 2 2 7" xfId="11798" xr:uid="{00000000-0005-0000-0000-0000DA410000}"/>
    <cellStyle name="Normal 2 5 2 3 2 2 7 2" xfId="24232" xr:uid="{00000000-0005-0000-0000-0000DB410000}"/>
    <cellStyle name="Normal 2 5 2 3 2 2 7 2 2" xfId="49106" xr:uid="{00000000-0005-0000-0000-0000DC410000}"/>
    <cellStyle name="Normal 2 5 2 3 2 2 7 3" xfId="36673" xr:uid="{00000000-0005-0000-0000-0000DD410000}"/>
    <cellStyle name="Normal 2 5 2 3 2 2 8" xfId="6875" xr:uid="{00000000-0005-0000-0000-0000DE410000}"/>
    <cellStyle name="Normal 2 5 2 3 2 2 8 2" xfId="19324" xr:uid="{00000000-0005-0000-0000-0000DF410000}"/>
    <cellStyle name="Normal 2 5 2 3 2 2 8 2 2" xfId="44198" xr:uid="{00000000-0005-0000-0000-0000E0410000}"/>
    <cellStyle name="Normal 2 5 2 3 2 2 8 3" xfId="31765" xr:uid="{00000000-0005-0000-0000-0000E1410000}"/>
    <cellStyle name="Normal 2 5 2 3 2 2 9" xfId="2826" xr:uid="{00000000-0005-0000-0000-0000E2410000}"/>
    <cellStyle name="Normal 2 5 2 3 2 2 9 2" xfId="15344" xr:uid="{00000000-0005-0000-0000-0000E3410000}"/>
    <cellStyle name="Normal 2 5 2 3 2 2 9 2 2" xfId="40218" xr:uid="{00000000-0005-0000-0000-0000E4410000}"/>
    <cellStyle name="Normal 2 5 2 3 2 2 9 3" xfId="27777" xr:uid="{00000000-0005-0000-0000-0000E5410000}"/>
    <cellStyle name="Normal 2 5 2 3 2 2_Degree data" xfId="2042" xr:uid="{00000000-0005-0000-0000-0000E6410000}"/>
    <cellStyle name="Normal 2 5 2 3 2 3" xfId="689" xr:uid="{00000000-0005-0000-0000-0000E7410000}"/>
    <cellStyle name="Normal 2 5 2 3 2 3 2" xfId="1395" xr:uid="{00000000-0005-0000-0000-0000E8410000}"/>
    <cellStyle name="Normal 2 5 2 3 2 3 2 2" xfId="9182" xr:uid="{00000000-0005-0000-0000-0000E9410000}"/>
    <cellStyle name="Normal 2 5 2 3 2 3 2 2 2" xfId="21625" xr:uid="{00000000-0005-0000-0000-0000EA410000}"/>
    <cellStyle name="Normal 2 5 2 3 2 3 2 2 2 2" xfId="46499" xr:uid="{00000000-0005-0000-0000-0000EB410000}"/>
    <cellStyle name="Normal 2 5 2 3 2 3 2 2 3" xfId="34066" xr:uid="{00000000-0005-0000-0000-0000EC410000}"/>
    <cellStyle name="Normal 2 5 2 3 2 3 2 3" xfId="4164" xr:uid="{00000000-0005-0000-0000-0000ED410000}"/>
    <cellStyle name="Normal 2 5 2 3 2 3 2 3 2" xfId="16618" xr:uid="{00000000-0005-0000-0000-0000EE410000}"/>
    <cellStyle name="Normal 2 5 2 3 2 3 2 3 2 2" xfId="41492" xr:uid="{00000000-0005-0000-0000-0000EF410000}"/>
    <cellStyle name="Normal 2 5 2 3 2 3 2 3 3" xfId="29059" xr:uid="{00000000-0005-0000-0000-0000F0410000}"/>
    <cellStyle name="Normal 2 5 2 3 2 3 2 4" xfId="14195" xr:uid="{00000000-0005-0000-0000-0000F1410000}"/>
    <cellStyle name="Normal 2 5 2 3 2 3 2 4 2" xfId="39069" xr:uid="{00000000-0005-0000-0000-0000F2410000}"/>
    <cellStyle name="Normal 2 5 2 3 2 3 2 5" xfId="26628" xr:uid="{00000000-0005-0000-0000-0000F3410000}"/>
    <cellStyle name="Normal 2 5 2 3 2 3 3" xfId="5540" xr:uid="{00000000-0005-0000-0000-0000F4410000}"/>
    <cellStyle name="Normal 2 5 2 3 2 3 3 2" xfId="10556" xr:uid="{00000000-0005-0000-0000-0000F5410000}"/>
    <cellStyle name="Normal 2 5 2 3 2 3 3 2 2" xfId="22999" xr:uid="{00000000-0005-0000-0000-0000F6410000}"/>
    <cellStyle name="Normal 2 5 2 3 2 3 3 2 2 2" xfId="47873" xr:uid="{00000000-0005-0000-0000-0000F7410000}"/>
    <cellStyle name="Normal 2 5 2 3 2 3 3 2 3" xfId="35440" xr:uid="{00000000-0005-0000-0000-0000F8410000}"/>
    <cellStyle name="Normal 2 5 2 3 2 3 3 3" xfId="17992" xr:uid="{00000000-0005-0000-0000-0000F9410000}"/>
    <cellStyle name="Normal 2 5 2 3 2 3 3 3 2" xfId="42866" xr:uid="{00000000-0005-0000-0000-0000FA410000}"/>
    <cellStyle name="Normal 2 5 2 3 2 3 3 4" xfId="30433" xr:uid="{00000000-0005-0000-0000-0000FB410000}"/>
    <cellStyle name="Normal 2 5 2 3 2 3 4" xfId="8298" xr:uid="{00000000-0005-0000-0000-0000FC410000}"/>
    <cellStyle name="Normal 2 5 2 3 2 3 4 2" xfId="20742" xr:uid="{00000000-0005-0000-0000-0000FD410000}"/>
    <cellStyle name="Normal 2 5 2 3 2 3 4 2 2" xfId="45616" xr:uid="{00000000-0005-0000-0000-0000FE410000}"/>
    <cellStyle name="Normal 2 5 2 3 2 3 4 3" xfId="33183" xr:uid="{00000000-0005-0000-0000-0000FF410000}"/>
    <cellStyle name="Normal 2 5 2 3 2 3 5" xfId="12010" xr:uid="{00000000-0005-0000-0000-000000420000}"/>
    <cellStyle name="Normal 2 5 2 3 2 3 5 2" xfId="24444" xr:uid="{00000000-0005-0000-0000-000001420000}"/>
    <cellStyle name="Normal 2 5 2 3 2 3 5 2 2" xfId="49318" xr:uid="{00000000-0005-0000-0000-000002420000}"/>
    <cellStyle name="Normal 2 5 2 3 2 3 5 3" xfId="36885" xr:uid="{00000000-0005-0000-0000-000003420000}"/>
    <cellStyle name="Normal 2 5 2 3 2 3 6" xfId="6775" xr:uid="{00000000-0005-0000-0000-000004420000}"/>
    <cellStyle name="Normal 2 5 2 3 2 3 6 2" xfId="19224" xr:uid="{00000000-0005-0000-0000-000005420000}"/>
    <cellStyle name="Normal 2 5 2 3 2 3 6 2 2" xfId="44098" xr:uid="{00000000-0005-0000-0000-000006420000}"/>
    <cellStyle name="Normal 2 5 2 3 2 3 6 3" xfId="31665" xr:uid="{00000000-0005-0000-0000-000007420000}"/>
    <cellStyle name="Normal 2 5 2 3 2 3 7" xfId="3229" xr:uid="{00000000-0005-0000-0000-000008420000}"/>
    <cellStyle name="Normal 2 5 2 3 2 3 7 2" xfId="15735" xr:uid="{00000000-0005-0000-0000-000009420000}"/>
    <cellStyle name="Normal 2 5 2 3 2 3 7 2 2" xfId="40609" xr:uid="{00000000-0005-0000-0000-00000A420000}"/>
    <cellStyle name="Normal 2 5 2 3 2 3 7 3" xfId="28168" xr:uid="{00000000-0005-0000-0000-00000B420000}"/>
    <cellStyle name="Normal 2 5 2 3 2 3 8" xfId="13492" xr:uid="{00000000-0005-0000-0000-00000C420000}"/>
    <cellStyle name="Normal 2 5 2 3 2 3 8 2" xfId="38366" xr:uid="{00000000-0005-0000-0000-00000D420000}"/>
    <cellStyle name="Normal 2 5 2 3 2 3 9" xfId="25925" xr:uid="{00000000-0005-0000-0000-00000E420000}"/>
    <cellStyle name="Normal 2 5 2 3 2 4" xfId="1743" xr:uid="{00000000-0005-0000-0000-00000F420000}"/>
    <cellStyle name="Normal 2 5 2 3 2 4 2" xfId="4481" xr:uid="{00000000-0005-0000-0000-000010420000}"/>
    <cellStyle name="Normal 2 5 2 3 2 4 2 2" xfId="9499" xr:uid="{00000000-0005-0000-0000-000011420000}"/>
    <cellStyle name="Normal 2 5 2 3 2 4 2 2 2" xfId="21942" xr:uid="{00000000-0005-0000-0000-000012420000}"/>
    <cellStyle name="Normal 2 5 2 3 2 4 2 2 2 2" xfId="46816" xr:uid="{00000000-0005-0000-0000-000013420000}"/>
    <cellStyle name="Normal 2 5 2 3 2 4 2 2 3" xfId="34383" xr:uid="{00000000-0005-0000-0000-000014420000}"/>
    <cellStyle name="Normal 2 5 2 3 2 4 2 3" xfId="16935" xr:uid="{00000000-0005-0000-0000-000015420000}"/>
    <cellStyle name="Normal 2 5 2 3 2 4 2 3 2" xfId="41809" xr:uid="{00000000-0005-0000-0000-000016420000}"/>
    <cellStyle name="Normal 2 5 2 3 2 4 2 4" xfId="29376" xr:uid="{00000000-0005-0000-0000-000017420000}"/>
    <cellStyle name="Normal 2 5 2 3 2 4 3" xfId="5889" xr:uid="{00000000-0005-0000-0000-000018420000}"/>
    <cellStyle name="Normal 2 5 2 3 2 4 3 2" xfId="10904" xr:uid="{00000000-0005-0000-0000-000019420000}"/>
    <cellStyle name="Normal 2 5 2 3 2 4 3 2 2" xfId="23347" xr:uid="{00000000-0005-0000-0000-00001A420000}"/>
    <cellStyle name="Normal 2 5 2 3 2 4 3 2 2 2" xfId="48221" xr:uid="{00000000-0005-0000-0000-00001B420000}"/>
    <cellStyle name="Normal 2 5 2 3 2 4 3 2 3" xfId="35788" xr:uid="{00000000-0005-0000-0000-00001C420000}"/>
    <cellStyle name="Normal 2 5 2 3 2 4 3 3" xfId="18340" xr:uid="{00000000-0005-0000-0000-00001D420000}"/>
    <cellStyle name="Normal 2 5 2 3 2 4 3 3 2" xfId="43214" xr:uid="{00000000-0005-0000-0000-00001E420000}"/>
    <cellStyle name="Normal 2 5 2 3 2 4 3 4" xfId="30781" xr:uid="{00000000-0005-0000-0000-00001F420000}"/>
    <cellStyle name="Normal 2 5 2 3 2 4 4" xfId="8615" xr:uid="{00000000-0005-0000-0000-000020420000}"/>
    <cellStyle name="Normal 2 5 2 3 2 4 4 2" xfId="21059" xr:uid="{00000000-0005-0000-0000-000021420000}"/>
    <cellStyle name="Normal 2 5 2 3 2 4 4 2 2" xfId="45933" xr:uid="{00000000-0005-0000-0000-000022420000}"/>
    <cellStyle name="Normal 2 5 2 3 2 4 4 3" xfId="33500" xr:uid="{00000000-0005-0000-0000-000023420000}"/>
    <cellStyle name="Normal 2 5 2 3 2 4 5" xfId="12358" xr:uid="{00000000-0005-0000-0000-000024420000}"/>
    <cellStyle name="Normal 2 5 2 3 2 4 5 2" xfId="24792" xr:uid="{00000000-0005-0000-0000-000025420000}"/>
    <cellStyle name="Normal 2 5 2 3 2 4 5 2 2" xfId="49666" xr:uid="{00000000-0005-0000-0000-000026420000}"/>
    <cellStyle name="Normal 2 5 2 3 2 4 5 3" xfId="37233" xr:uid="{00000000-0005-0000-0000-000027420000}"/>
    <cellStyle name="Normal 2 5 2 3 2 4 6" xfId="7092" xr:uid="{00000000-0005-0000-0000-000028420000}"/>
    <cellStyle name="Normal 2 5 2 3 2 4 6 2" xfId="19541" xr:uid="{00000000-0005-0000-0000-000029420000}"/>
    <cellStyle name="Normal 2 5 2 3 2 4 6 2 2" xfId="44415" xr:uid="{00000000-0005-0000-0000-00002A420000}"/>
    <cellStyle name="Normal 2 5 2 3 2 4 6 3" xfId="31982" xr:uid="{00000000-0005-0000-0000-00002B420000}"/>
    <cellStyle name="Normal 2 5 2 3 2 4 7" xfId="3546" xr:uid="{00000000-0005-0000-0000-00002C420000}"/>
    <cellStyle name="Normal 2 5 2 3 2 4 7 2" xfId="16052" xr:uid="{00000000-0005-0000-0000-00002D420000}"/>
    <cellStyle name="Normal 2 5 2 3 2 4 7 2 2" xfId="40926" xr:uid="{00000000-0005-0000-0000-00002E420000}"/>
    <cellStyle name="Normal 2 5 2 3 2 4 7 3" xfId="28485" xr:uid="{00000000-0005-0000-0000-00002F420000}"/>
    <cellStyle name="Normal 2 5 2 3 2 4 8" xfId="14543" xr:uid="{00000000-0005-0000-0000-000030420000}"/>
    <cellStyle name="Normal 2 5 2 3 2 4 8 2" xfId="39417" xr:uid="{00000000-0005-0000-0000-000031420000}"/>
    <cellStyle name="Normal 2 5 2 3 2 4 9" xfId="26976" xr:uid="{00000000-0005-0000-0000-000032420000}"/>
    <cellStyle name="Normal 2 5 2 3 2 5" xfId="2246" xr:uid="{00000000-0005-0000-0000-000033420000}"/>
    <cellStyle name="Normal 2 5 2 3 2 5 2" xfId="4874" xr:uid="{00000000-0005-0000-0000-000034420000}"/>
    <cellStyle name="Normal 2 5 2 3 2 5 2 2" xfId="9891" xr:uid="{00000000-0005-0000-0000-000035420000}"/>
    <cellStyle name="Normal 2 5 2 3 2 5 2 2 2" xfId="22334" xr:uid="{00000000-0005-0000-0000-000036420000}"/>
    <cellStyle name="Normal 2 5 2 3 2 5 2 2 2 2" xfId="47208" xr:uid="{00000000-0005-0000-0000-000037420000}"/>
    <cellStyle name="Normal 2 5 2 3 2 5 2 2 3" xfId="34775" xr:uid="{00000000-0005-0000-0000-000038420000}"/>
    <cellStyle name="Normal 2 5 2 3 2 5 2 3" xfId="17327" xr:uid="{00000000-0005-0000-0000-000039420000}"/>
    <cellStyle name="Normal 2 5 2 3 2 5 2 3 2" xfId="42201" xr:uid="{00000000-0005-0000-0000-00003A420000}"/>
    <cellStyle name="Normal 2 5 2 3 2 5 2 4" xfId="29768" xr:uid="{00000000-0005-0000-0000-00003B420000}"/>
    <cellStyle name="Normal 2 5 2 3 2 5 3" xfId="6272" xr:uid="{00000000-0005-0000-0000-00003C420000}"/>
    <cellStyle name="Normal 2 5 2 3 2 5 3 2" xfId="11287" xr:uid="{00000000-0005-0000-0000-00003D420000}"/>
    <cellStyle name="Normal 2 5 2 3 2 5 3 2 2" xfId="23730" xr:uid="{00000000-0005-0000-0000-00003E420000}"/>
    <cellStyle name="Normal 2 5 2 3 2 5 3 2 2 2" xfId="48604" xr:uid="{00000000-0005-0000-0000-00003F420000}"/>
    <cellStyle name="Normal 2 5 2 3 2 5 3 2 3" xfId="36171" xr:uid="{00000000-0005-0000-0000-000040420000}"/>
    <cellStyle name="Normal 2 5 2 3 2 5 3 3" xfId="18723" xr:uid="{00000000-0005-0000-0000-000041420000}"/>
    <cellStyle name="Normal 2 5 2 3 2 5 3 3 2" xfId="43597" xr:uid="{00000000-0005-0000-0000-000042420000}"/>
    <cellStyle name="Normal 2 5 2 3 2 5 3 4" xfId="31164" xr:uid="{00000000-0005-0000-0000-000043420000}"/>
    <cellStyle name="Normal 2 5 2 3 2 5 4" xfId="8079" xr:uid="{00000000-0005-0000-0000-000044420000}"/>
    <cellStyle name="Normal 2 5 2 3 2 5 4 2" xfId="20525" xr:uid="{00000000-0005-0000-0000-000045420000}"/>
    <cellStyle name="Normal 2 5 2 3 2 5 4 2 2" xfId="45399" xr:uid="{00000000-0005-0000-0000-000046420000}"/>
    <cellStyle name="Normal 2 5 2 3 2 5 4 3" xfId="32966" xr:uid="{00000000-0005-0000-0000-000047420000}"/>
    <cellStyle name="Normal 2 5 2 3 2 5 5" xfId="12741" xr:uid="{00000000-0005-0000-0000-000048420000}"/>
    <cellStyle name="Normal 2 5 2 3 2 5 5 2" xfId="25175" xr:uid="{00000000-0005-0000-0000-000049420000}"/>
    <cellStyle name="Normal 2 5 2 3 2 5 5 2 2" xfId="50049" xr:uid="{00000000-0005-0000-0000-00004A420000}"/>
    <cellStyle name="Normal 2 5 2 3 2 5 5 3" xfId="37616" xr:uid="{00000000-0005-0000-0000-00004B420000}"/>
    <cellStyle name="Normal 2 5 2 3 2 5 6" xfId="7485" xr:uid="{00000000-0005-0000-0000-00004C420000}"/>
    <cellStyle name="Normal 2 5 2 3 2 5 6 2" xfId="19933" xr:uid="{00000000-0005-0000-0000-00004D420000}"/>
    <cellStyle name="Normal 2 5 2 3 2 5 6 2 2" xfId="44807" xr:uid="{00000000-0005-0000-0000-00004E420000}"/>
    <cellStyle name="Normal 2 5 2 3 2 5 6 3" xfId="32374" xr:uid="{00000000-0005-0000-0000-00004F420000}"/>
    <cellStyle name="Normal 2 5 2 3 2 5 7" xfId="3008" xr:uid="{00000000-0005-0000-0000-000050420000}"/>
    <cellStyle name="Normal 2 5 2 3 2 5 7 2" xfId="15518" xr:uid="{00000000-0005-0000-0000-000051420000}"/>
    <cellStyle name="Normal 2 5 2 3 2 5 7 2 2" xfId="40392" xr:uid="{00000000-0005-0000-0000-000052420000}"/>
    <cellStyle name="Normal 2 5 2 3 2 5 7 3" xfId="27951" xr:uid="{00000000-0005-0000-0000-000053420000}"/>
    <cellStyle name="Normal 2 5 2 3 2 5 8" xfId="14926" xr:uid="{00000000-0005-0000-0000-000054420000}"/>
    <cellStyle name="Normal 2 5 2 3 2 5 8 2" xfId="39800" xr:uid="{00000000-0005-0000-0000-000055420000}"/>
    <cellStyle name="Normal 2 5 2 3 2 5 9" xfId="27359" xr:uid="{00000000-0005-0000-0000-000056420000}"/>
    <cellStyle name="Normal 2 5 2 3 2 6" xfId="1083" xr:uid="{00000000-0005-0000-0000-000057420000}"/>
    <cellStyle name="Normal 2 5 2 3 2 6 2" xfId="8965" xr:uid="{00000000-0005-0000-0000-000058420000}"/>
    <cellStyle name="Normal 2 5 2 3 2 6 2 2" xfId="21408" xr:uid="{00000000-0005-0000-0000-000059420000}"/>
    <cellStyle name="Normal 2 5 2 3 2 6 2 2 2" xfId="46282" xr:uid="{00000000-0005-0000-0000-00005A420000}"/>
    <cellStyle name="Normal 2 5 2 3 2 6 2 3" xfId="33849" xr:uid="{00000000-0005-0000-0000-00005B420000}"/>
    <cellStyle name="Normal 2 5 2 3 2 6 3" xfId="3947" xr:uid="{00000000-0005-0000-0000-00005C420000}"/>
    <cellStyle name="Normal 2 5 2 3 2 6 3 2" xfId="16401" xr:uid="{00000000-0005-0000-0000-00005D420000}"/>
    <cellStyle name="Normal 2 5 2 3 2 6 3 2 2" xfId="41275" xr:uid="{00000000-0005-0000-0000-00005E420000}"/>
    <cellStyle name="Normal 2 5 2 3 2 6 3 3" xfId="28842" xr:uid="{00000000-0005-0000-0000-00005F420000}"/>
    <cellStyle name="Normal 2 5 2 3 2 6 4" xfId="13883" xr:uid="{00000000-0005-0000-0000-000060420000}"/>
    <cellStyle name="Normal 2 5 2 3 2 6 4 2" xfId="38757" xr:uid="{00000000-0005-0000-0000-000061420000}"/>
    <cellStyle name="Normal 2 5 2 3 2 6 5" xfId="26316" xr:uid="{00000000-0005-0000-0000-000062420000}"/>
    <cellStyle name="Normal 2 5 2 3 2 7" xfId="5228" xr:uid="{00000000-0005-0000-0000-000063420000}"/>
    <cellStyle name="Normal 2 5 2 3 2 7 2" xfId="10244" xr:uid="{00000000-0005-0000-0000-000064420000}"/>
    <cellStyle name="Normal 2 5 2 3 2 7 2 2" xfId="22687" xr:uid="{00000000-0005-0000-0000-000065420000}"/>
    <cellStyle name="Normal 2 5 2 3 2 7 2 2 2" xfId="47561" xr:uid="{00000000-0005-0000-0000-000066420000}"/>
    <cellStyle name="Normal 2 5 2 3 2 7 2 3" xfId="35128" xr:uid="{00000000-0005-0000-0000-000067420000}"/>
    <cellStyle name="Normal 2 5 2 3 2 7 3" xfId="17680" xr:uid="{00000000-0005-0000-0000-000068420000}"/>
    <cellStyle name="Normal 2 5 2 3 2 7 3 2" xfId="42554" xr:uid="{00000000-0005-0000-0000-000069420000}"/>
    <cellStyle name="Normal 2 5 2 3 2 7 4" xfId="30121" xr:uid="{00000000-0005-0000-0000-00006A420000}"/>
    <cellStyle name="Normal 2 5 2 3 2 8" xfId="7805" xr:uid="{00000000-0005-0000-0000-00006B420000}"/>
    <cellStyle name="Normal 2 5 2 3 2 8 2" xfId="20251" xr:uid="{00000000-0005-0000-0000-00006C420000}"/>
    <cellStyle name="Normal 2 5 2 3 2 8 2 2" xfId="45125" xr:uid="{00000000-0005-0000-0000-00006D420000}"/>
    <cellStyle name="Normal 2 5 2 3 2 8 3" xfId="32692" xr:uid="{00000000-0005-0000-0000-00006E420000}"/>
    <cellStyle name="Normal 2 5 2 3 2 9" xfId="11698" xr:uid="{00000000-0005-0000-0000-00006F420000}"/>
    <cellStyle name="Normal 2 5 2 3 2 9 2" xfId="24132" xr:uid="{00000000-0005-0000-0000-000070420000}"/>
    <cellStyle name="Normal 2 5 2 3 2 9 2 2" xfId="49006" xr:uid="{00000000-0005-0000-0000-000071420000}"/>
    <cellStyle name="Normal 2 5 2 3 2 9 3" xfId="36573" xr:uid="{00000000-0005-0000-0000-000072420000}"/>
    <cellStyle name="Normal 2 5 2 3 2_Degree data" xfId="2051" xr:uid="{00000000-0005-0000-0000-000073420000}"/>
    <cellStyle name="Normal 2 5 2 3 3" xfId="283" xr:uid="{00000000-0005-0000-0000-000074420000}"/>
    <cellStyle name="Normal 2 5 2 3 3 10" xfId="6620" xr:uid="{00000000-0005-0000-0000-000075420000}"/>
    <cellStyle name="Normal 2 5 2 3 3 10 2" xfId="19069" xr:uid="{00000000-0005-0000-0000-000076420000}"/>
    <cellStyle name="Normal 2 5 2 3 3 10 2 2" xfId="43943" xr:uid="{00000000-0005-0000-0000-000077420000}"/>
    <cellStyle name="Normal 2 5 2 3 3 10 3" xfId="31510" xr:uid="{00000000-0005-0000-0000-000078420000}"/>
    <cellStyle name="Normal 2 5 2 3 3 11" xfId="2683" xr:uid="{00000000-0005-0000-0000-000079420000}"/>
    <cellStyle name="Normal 2 5 2 3 3 11 2" xfId="15201" xr:uid="{00000000-0005-0000-0000-00007A420000}"/>
    <cellStyle name="Normal 2 5 2 3 3 11 2 2" xfId="40075" xr:uid="{00000000-0005-0000-0000-00007B420000}"/>
    <cellStyle name="Normal 2 5 2 3 3 11 3" xfId="27634" xr:uid="{00000000-0005-0000-0000-00007C420000}"/>
    <cellStyle name="Normal 2 5 2 3 3 12" xfId="13102" xr:uid="{00000000-0005-0000-0000-00007D420000}"/>
    <cellStyle name="Normal 2 5 2 3 3 12 2" xfId="37976" xr:uid="{00000000-0005-0000-0000-00007E420000}"/>
    <cellStyle name="Normal 2 5 2 3 3 13" xfId="25535" xr:uid="{00000000-0005-0000-0000-00007F420000}"/>
    <cellStyle name="Normal 2 5 2 3 3 2" xfId="494" xr:uid="{00000000-0005-0000-0000-000080420000}"/>
    <cellStyle name="Normal 2 5 2 3 3 2 10" xfId="13307" xr:uid="{00000000-0005-0000-0000-000081420000}"/>
    <cellStyle name="Normal 2 5 2 3 3 2 10 2" xfId="38181" xr:uid="{00000000-0005-0000-0000-000082420000}"/>
    <cellStyle name="Normal 2 5 2 3 3 2 11" xfId="25740" xr:uid="{00000000-0005-0000-0000-000083420000}"/>
    <cellStyle name="Normal 2 5 2 3 3 2 2" xfId="853" xr:uid="{00000000-0005-0000-0000-000084420000}"/>
    <cellStyle name="Normal 2 5 2 3 3 2 2 2" xfId="1398" xr:uid="{00000000-0005-0000-0000-000085420000}"/>
    <cellStyle name="Normal 2 5 2 3 3 2 2 2 2" xfId="9502" xr:uid="{00000000-0005-0000-0000-000086420000}"/>
    <cellStyle name="Normal 2 5 2 3 3 2 2 2 2 2" xfId="21945" xr:uid="{00000000-0005-0000-0000-000087420000}"/>
    <cellStyle name="Normal 2 5 2 3 3 2 2 2 2 2 2" xfId="46819" xr:uid="{00000000-0005-0000-0000-000088420000}"/>
    <cellStyle name="Normal 2 5 2 3 3 2 2 2 2 3" xfId="34386" xr:uid="{00000000-0005-0000-0000-000089420000}"/>
    <cellStyle name="Normal 2 5 2 3 3 2 2 2 3" xfId="4484" xr:uid="{00000000-0005-0000-0000-00008A420000}"/>
    <cellStyle name="Normal 2 5 2 3 3 2 2 2 3 2" xfId="16938" xr:uid="{00000000-0005-0000-0000-00008B420000}"/>
    <cellStyle name="Normal 2 5 2 3 3 2 2 2 3 2 2" xfId="41812" xr:uid="{00000000-0005-0000-0000-00008C420000}"/>
    <cellStyle name="Normal 2 5 2 3 3 2 2 2 3 3" xfId="29379" xr:uid="{00000000-0005-0000-0000-00008D420000}"/>
    <cellStyle name="Normal 2 5 2 3 3 2 2 2 4" xfId="14198" xr:uid="{00000000-0005-0000-0000-00008E420000}"/>
    <cellStyle name="Normal 2 5 2 3 3 2 2 2 4 2" xfId="39072" xr:uid="{00000000-0005-0000-0000-00008F420000}"/>
    <cellStyle name="Normal 2 5 2 3 3 2 2 2 5" xfId="26631" xr:uid="{00000000-0005-0000-0000-000090420000}"/>
    <cellStyle name="Normal 2 5 2 3 3 2 2 3" xfId="5543" xr:uid="{00000000-0005-0000-0000-000091420000}"/>
    <cellStyle name="Normal 2 5 2 3 3 2 2 3 2" xfId="10559" xr:uid="{00000000-0005-0000-0000-000092420000}"/>
    <cellStyle name="Normal 2 5 2 3 3 2 2 3 2 2" xfId="23002" xr:uid="{00000000-0005-0000-0000-000093420000}"/>
    <cellStyle name="Normal 2 5 2 3 3 2 2 3 2 2 2" xfId="47876" xr:uid="{00000000-0005-0000-0000-000094420000}"/>
    <cellStyle name="Normal 2 5 2 3 3 2 2 3 2 3" xfId="35443" xr:uid="{00000000-0005-0000-0000-000095420000}"/>
    <cellStyle name="Normal 2 5 2 3 3 2 2 3 3" xfId="17995" xr:uid="{00000000-0005-0000-0000-000096420000}"/>
    <cellStyle name="Normal 2 5 2 3 3 2 2 3 3 2" xfId="42869" xr:uid="{00000000-0005-0000-0000-000097420000}"/>
    <cellStyle name="Normal 2 5 2 3 3 2 2 3 4" xfId="30436" xr:uid="{00000000-0005-0000-0000-000098420000}"/>
    <cellStyle name="Normal 2 5 2 3 3 2 2 4" xfId="8618" xr:uid="{00000000-0005-0000-0000-000099420000}"/>
    <cellStyle name="Normal 2 5 2 3 3 2 2 4 2" xfId="21062" xr:uid="{00000000-0005-0000-0000-00009A420000}"/>
    <cellStyle name="Normal 2 5 2 3 3 2 2 4 2 2" xfId="45936" xr:uid="{00000000-0005-0000-0000-00009B420000}"/>
    <cellStyle name="Normal 2 5 2 3 3 2 2 4 3" xfId="33503" xr:uid="{00000000-0005-0000-0000-00009C420000}"/>
    <cellStyle name="Normal 2 5 2 3 3 2 2 5" xfId="12013" xr:uid="{00000000-0005-0000-0000-00009D420000}"/>
    <cellStyle name="Normal 2 5 2 3 3 2 2 5 2" xfId="24447" xr:uid="{00000000-0005-0000-0000-00009E420000}"/>
    <cellStyle name="Normal 2 5 2 3 3 2 2 5 2 2" xfId="49321" xr:uid="{00000000-0005-0000-0000-00009F420000}"/>
    <cellStyle name="Normal 2 5 2 3 3 2 2 5 3" xfId="36888" xr:uid="{00000000-0005-0000-0000-0000A0420000}"/>
    <cellStyle name="Normal 2 5 2 3 3 2 2 6" xfId="7095" xr:uid="{00000000-0005-0000-0000-0000A1420000}"/>
    <cellStyle name="Normal 2 5 2 3 3 2 2 6 2" xfId="19544" xr:uid="{00000000-0005-0000-0000-0000A2420000}"/>
    <cellStyle name="Normal 2 5 2 3 3 2 2 6 2 2" xfId="44418" xr:uid="{00000000-0005-0000-0000-0000A3420000}"/>
    <cellStyle name="Normal 2 5 2 3 3 2 2 6 3" xfId="31985" xr:uid="{00000000-0005-0000-0000-0000A4420000}"/>
    <cellStyle name="Normal 2 5 2 3 3 2 2 7" xfId="3549" xr:uid="{00000000-0005-0000-0000-0000A5420000}"/>
    <cellStyle name="Normal 2 5 2 3 3 2 2 7 2" xfId="16055" xr:uid="{00000000-0005-0000-0000-0000A6420000}"/>
    <cellStyle name="Normal 2 5 2 3 3 2 2 7 2 2" xfId="40929" xr:uid="{00000000-0005-0000-0000-0000A7420000}"/>
    <cellStyle name="Normal 2 5 2 3 3 2 2 7 3" xfId="28488" xr:uid="{00000000-0005-0000-0000-0000A8420000}"/>
    <cellStyle name="Normal 2 5 2 3 3 2 2 8" xfId="13654" xr:uid="{00000000-0005-0000-0000-0000A9420000}"/>
    <cellStyle name="Normal 2 5 2 3 3 2 2 8 2" xfId="38528" xr:uid="{00000000-0005-0000-0000-0000AA420000}"/>
    <cellStyle name="Normal 2 5 2 3 3 2 2 9" xfId="26087" xr:uid="{00000000-0005-0000-0000-0000AB420000}"/>
    <cellStyle name="Normal 2 5 2 3 3 2 3" xfId="1746" xr:uid="{00000000-0005-0000-0000-0000AC420000}"/>
    <cellStyle name="Normal 2 5 2 3 3 2 3 2" xfId="5036" xr:uid="{00000000-0005-0000-0000-0000AD420000}"/>
    <cellStyle name="Normal 2 5 2 3 3 2 3 2 2" xfId="10053" xr:uid="{00000000-0005-0000-0000-0000AE420000}"/>
    <cellStyle name="Normal 2 5 2 3 3 2 3 2 2 2" xfId="22496" xr:uid="{00000000-0005-0000-0000-0000AF420000}"/>
    <cellStyle name="Normal 2 5 2 3 3 2 3 2 2 2 2" xfId="47370" xr:uid="{00000000-0005-0000-0000-0000B0420000}"/>
    <cellStyle name="Normal 2 5 2 3 3 2 3 2 2 3" xfId="34937" xr:uid="{00000000-0005-0000-0000-0000B1420000}"/>
    <cellStyle name="Normal 2 5 2 3 3 2 3 2 3" xfId="17489" xr:uid="{00000000-0005-0000-0000-0000B2420000}"/>
    <cellStyle name="Normal 2 5 2 3 3 2 3 2 3 2" xfId="42363" xr:uid="{00000000-0005-0000-0000-0000B3420000}"/>
    <cellStyle name="Normal 2 5 2 3 3 2 3 2 4" xfId="29930" xr:uid="{00000000-0005-0000-0000-0000B4420000}"/>
    <cellStyle name="Normal 2 5 2 3 3 2 3 3" xfId="5892" xr:uid="{00000000-0005-0000-0000-0000B5420000}"/>
    <cellStyle name="Normal 2 5 2 3 3 2 3 3 2" xfId="10907" xr:uid="{00000000-0005-0000-0000-0000B6420000}"/>
    <cellStyle name="Normal 2 5 2 3 3 2 3 3 2 2" xfId="23350" xr:uid="{00000000-0005-0000-0000-0000B7420000}"/>
    <cellStyle name="Normal 2 5 2 3 3 2 3 3 2 2 2" xfId="48224" xr:uid="{00000000-0005-0000-0000-0000B8420000}"/>
    <cellStyle name="Normal 2 5 2 3 3 2 3 3 2 3" xfId="35791" xr:uid="{00000000-0005-0000-0000-0000B9420000}"/>
    <cellStyle name="Normal 2 5 2 3 3 2 3 3 3" xfId="18343" xr:uid="{00000000-0005-0000-0000-0000BA420000}"/>
    <cellStyle name="Normal 2 5 2 3 3 2 3 3 3 2" xfId="43217" xr:uid="{00000000-0005-0000-0000-0000BB420000}"/>
    <cellStyle name="Normal 2 5 2 3 3 2 3 3 4" xfId="30784" xr:uid="{00000000-0005-0000-0000-0000BC420000}"/>
    <cellStyle name="Normal 2 5 2 3 3 2 3 4" xfId="8460" xr:uid="{00000000-0005-0000-0000-0000BD420000}"/>
    <cellStyle name="Normal 2 5 2 3 3 2 3 4 2" xfId="20904" xr:uid="{00000000-0005-0000-0000-0000BE420000}"/>
    <cellStyle name="Normal 2 5 2 3 3 2 3 4 2 2" xfId="45778" xr:uid="{00000000-0005-0000-0000-0000BF420000}"/>
    <cellStyle name="Normal 2 5 2 3 3 2 3 4 3" xfId="33345" xr:uid="{00000000-0005-0000-0000-0000C0420000}"/>
    <cellStyle name="Normal 2 5 2 3 3 2 3 5" xfId="12361" xr:uid="{00000000-0005-0000-0000-0000C1420000}"/>
    <cellStyle name="Normal 2 5 2 3 3 2 3 5 2" xfId="24795" xr:uid="{00000000-0005-0000-0000-0000C2420000}"/>
    <cellStyle name="Normal 2 5 2 3 3 2 3 5 2 2" xfId="49669" xr:uid="{00000000-0005-0000-0000-0000C3420000}"/>
    <cellStyle name="Normal 2 5 2 3 3 2 3 5 3" xfId="37236" xr:uid="{00000000-0005-0000-0000-0000C4420000}"/>
    <cellStyle name="Normal 2 5 2 3 3 2 3 6" xfId="7647" xr:uid="{00000000-0005-0000-0000-0000C5420000}"/>
    <cellStyle name="Normal 2 5 2 3 3 2 3 6 2" xfId="20095" xr:uid="{00000000-0005-0000-0000-0000C6420000}"/>
    <cellStyle name="Normal 2 5 2 3 3 2 3 6 2 2" xfId="44969" xr:uid="{00000000-0005-0000-0000-0000C7420000}"/>
    <cellStyle name="Normal 2 5 2 3 3 2 3 6 3" xfId="32536" xr:uid="{00000000-0005-0000-0000-0000C8420000}"/>
    <cellStyle name="Normal 2 5 2 3 3 2 3 7" xfId="3391" xr:uid="{00000000-0005-0000-0000-0000C9420000}"/>
    <cellStyle name="Normal 2 5 2 3 3 2 3 7 2" xfId="15897" xr:uid="{00000000-0005-0000-0000-0000CA420000}"/>
    <cellStyle name="Normal 2 5 2 3 3 2 3 7 2 2" xfId="40771" xr:uid="{00000000-0005-0000-0000-0000CB420000}"/>
    <cellStyle name="Normal 2 5 2 3 3 2 3 7 3" xfId="28330" xr:uid="{00000000-0005-0000-0000-0000CC420000}"/>
    <cellStyle name="Normal 2 5 2 3 3 2 3 8" xfId="14546" xr:uid="{00000000-0005-0000-0000-0000CD420000}"/>
    <cellStyle name="Normal 2 5 2 3 3 2 3 8 2" xfId="39420" xr:uid="{00000000-0005-0000-0000-0000CE420000}"/>
    <cellStyle name="Normal 2 5 2 3 3 2 3 9" xfId="26979" xr:uid="{00000000-0005-0000-0000-0000CF420000}"/>
    <cellStyle name="Normal 2 5 2 3 3 2 4" xfId="2412" xr:uid="{00000000-0005-0000-0000-0000D0420000}"/>
    <cellStyle name="Normal 2 5 2 3 3 2 4 2" xfId="6434" xr:uid="{00000000-0005-0000-0000-0000D1420000}"/>
    <cellStyle name="Normal 2 5 2 3 3 2 4 2 2" xfId="11449" xr:uid="{00000000-0005-0000-0000-0000D2420000}"/>
    <cellStyle name="Normal 2 5 2 3 3 2 4 2 2 2" xfId="23892" xr:uid="{00000000-0005-0000-0000-0000D3420000}"/>
    <cellStyle name="Normal 2 5 2 3 3 2 4 2 2 2 2" xfId="48766" xr:uid="{00000000-0005-0000-0000-0000D4420000}"/>
    <cellStyle name="Normal 2 5 2 3 3 2 4 2 2 3" xfId="36333" xr:uid="{00000000-0005-0000-0000-0000D5420000}"/>
    <cellStyle name="Normal 2 5 2 3 3 2 4 2 3" xfId="18885" xr:uid="{00000000-0005-0000-0000-0000D6420000}"/>
    <cellStyle name="Normal 2 5 2 3 3 2 4 2 3 2" xfId="43759" xr:uid="{00000000-0005-0000-0000-0000D7420000}"/>
    <cellStyle name="Normal 2 5 2 3 3 2 4 2 4" xfId="31326" xr:uid="{00000000-0005-0000-0000-0000D8420000}"/>
    <cellStyle name="Normal 2 5 2 3 3 2 4 3" xfId="12903" xr:uid="{00000000-0005-0000-0000-0000D9420000}"/>
    <cellStyle name="Normal 2 5 2 3 3 2 4 3 2" xfId="25337" xr:uid="{00000000-0005-0000-0000-0000DA420000}"/>
    <cellStyle name="Normal 2 5 2 3 3 2 4 3 2 2" xfId="50211" xr:uid="{00000000-0005-0000-0000-0000DB420000}"/>
    <cellStyle name="Normal 2 5 2 3 3 2 4 3 3" xfId="37778" xr:uid="{00000000-0005-0000-0000-0000DC420000}"/>
    <cellStyle name="Normal 2 5 2 3 3 2 4 4" xfId="9344" xr:uid="{00000000-0005-0000-0000-0000DD420000}"/>
    <cellStyle name="Normal 2 5 2 3 3 2 4 4 2" xfId="21787" xr:uid="{00000000-0005-0000-0000-0000DE420000}"/>
    <cellStyle name="Normal 2 5 2 3 3 2 4 4 2 2" xfId="46661" xr:uid="{00000000-0005-0000-0000-0000DF420000}"/>
    <cellStyle name="Normal 2 5 2 3 3 2 4 4 3" xfId="34228" xr:uid="{00000000-0005-0000-0000-0000E0420000}"/>
    <cellStyle name="Normal 2 5 2 3 3 2 4 5" xfId="4326" xr:uid="{00000000-0005-0000-0000-0000E1420000}"/>
    <cellStyle name="Normal 2 5 2 3 3 2 4 5 2" xfId="16780" xr:uid="{00000000-0005-0000-0000-0000E2420000}"/>
    <cellStyle name="Normal 2 5 2 3 3 2 4 5 2 2" xfId="41654" xr:uid="{00000000-0005-0000-0000-0000E3420000}"/>
    <cellStyle name="Normal 2 5 2 3 3 2 4 5 3" xfId="29221" xr:uid="{00000000-0005-0000-0000-0000E4420000}"/>
    <cellStyle name="Normal 2 5 2 3 3 2 4 6" xfId="15088" xr:uid="{00000000-0005-0000-0000-0000E5420000}"/>
    <cellStyle name="Normal 2 5 2 3 3 2 4 6 2" xfId="39962" xr:uid="{00000000-0005-0000-0000-0000E6420000}"/>
    <cellStyle name="Normal 2 5 2 3 3 2 4 7" xfId="27521" xr:uid="{00000000-0005-0000-0000-0000E7420000}"/>
    <cellStyle name="Normal 2 5 2 3 3 2 5" xfId="1245" xr:uid="{00000000-0005-0000-0000-0000E8420000}"/>
    <cellStyle name="Normal 2 5 2 3 3 2 5 2" xfId="10406" xr:uid="{00000000-0005-0000-0000-0000E9420000}"/>
    <cellStyle name="Normal 2 5 2 3 3 2 5 2 2" xfId="22849" xr:uid="{00000000-0005-0000-0000-0000EA420000}"/>
    <cellStyle name="Normal 2 5 2 3 3 2 5 2 2 2" xfId="47723" xr:uid="{00000000-0005-0000-0000-0000EB420000}"/>
    <cellStyle name="Normal 2 5 2 3 3 2 5 2 3" xfId="35290" xr:uid="{00000000-0005-0000-0000-0000EC420000}"/>
    <cellStyle name="Normal 2 5 2 3 3 2 5 3" xfId="5390" xr:uid="{00000000-0005-0000-0000-0000ED420000}"/>
    <cellStyle name="Normal 2 5 2 3 3 2 5 3 2" xfId="17842" xr:uid="{00000000-0005-0000-0000-0000EE420000}"/>
    <cellStyle name="Normal 2 5 2 3 3 2 5 3 2 2" xfId="42716" xr:uid="{00000000-0005-0000-0000-0000EF420000}"/>
    <cellStyle name="Normal 2 5 2 3 3 2 5 3 3" xfId="30283" xr:uid="{00000000-0005-0000-0000-0000F0420000}"/>
    <cellStyle name="Normal 2 5 2 3 3 2 5 4" xfId="14045" xr:uid="{00000000-0005-0000-0000-0000F1420000}"/>
    <cellStyle name="Normal 2 5 2 3 3 2 5 4 2" xfId="38919" xr:uid="{00000000-0005-0000-0000-0000F2420000}"/>
    <cellStyle name="Normal 2 5 2 3 3 2 5 5" xfId="26478" xr:uid="{00000000-0005-0000-0000-0000F3420000}"/>
    <cellStyle name="Normal 2 5 2 3 3 2 6" xfId="7967" xr:uid="{00000000-0005-0000-0000-0000F4420000}"/>
    <cellStyle name="Normal 2 5 2 3 3 2 6 2" xfId="20413" xr:uid="{00000000-0005-0000-0000-0000F5420000}"/>
    <cellStyle name="Normal 2 5 2 3 3 2 6 2 2" xfId="45287" xr:uid="{00000000-0005-0000-0000-0000F6420000}"/>
    <cellStyle name="Normal 2 5 2 3 3 2 6 3" xfId="32854" xr:uid="{00000000-0005-0000-0000-0000F7420000}"/>
    <cellStyle name="Normal 2 5 2 3 3 2 7" xfId="11860" xr:uid="{00000000-0005-0000-0000-0000F8420000}"/>
    <cellStyle name="Normal 2 5 2 3 3 2 7 2" xfId="24294" xr:uid="{00000000-0005-0000-0000-0000F9420000}"/>
    <cellStyle name="Normal 2 5 2 3 3 2 7 2 2" xfId="49168" xr:uid="{00000000-0005-0000-0000-0000FA420000}"/>
    <cellStyle name="Normal 2 5 2 3 3 2 7 3" xfId="36735" xr:uid="{00000000-0005-0000-0000-0000FB420000}"/>
    <cellStyle name="Normal 2 5 2 3 3 2 8" xfId="6937" xr:uid="{00000000-0005-0000-0000-0000FC420000}"/>
    <cellStyle name="Normal 2 5 2 3 3 2 8 2" xfId="19386" xr:uid="{00000000-0005-0000-0000-0000FD420000}"/>
    <cellStyle name="Normal 2 5 2 3 3 2 8 2 2" xfId="44260" xr:uid="{00000000-0005-0000-0000-0000FE420000}"/>
    <cellStyle name="Normal 2 5 2 3 3 2 8 3" xfId="31827" xr:uid="{00000000-0005-0000-0000-0000FF420000}"/>
    <cellStyle name="Normal 2 5 2 3 3 2 9" xfId="2888" xr:uid="{00000000-0005-0000-0000-000000430000}"/>
    <cellStyle name="Normal 2 5 2 3 3 2 9 2" xfId="15406" xr:uid="{00000000-0005-0000-0000-000001430000}"/>
    <cellStyle name="Normal 2 5 2 3 3 2 9 2 2" xfId="40280" xr:uid="{00000000-0005-0000-0000-000002430000}"/>
    <cellStyle name="Normal 2 5 2 3 3 2 9 3" xfId="27839" xr:uid="{00000000-0005-0000-0000-000003430000}"/>
    <cellStyle name="Normal 2 5 2 3 3 2_Degree data" xfId="2049" xr:uid="{00000000-0005-0000-0000-000004430000}"/>
    <cellStyle name="Normal 2 5 2 3 3 3" xfId="645" xr:uid="{00000000-0005-0000-0000-000005430000}"/>
    <cellStyle name="Normal 2 5 2 3 3 3 2" xfId="1397" xr:uid="{00000000-0005-0000-0000-000006430000}"/>
    <cellStyle name="Normal 2 5 2 3 3 3 2 2" xfId="9139" xr:uid="{00000000-0005-0000-0000-000007430000}"/>
    <cellStyle name="Normal 2 5 2 3 3 3 2 2 2" xfId="21582" xr:uid="{00000000-0005-0000-0000-000008430000}"/>
    <cellStyle name="Normal 2 5 2 3 3 3 2 2 2 2" xfId="46456" xr:uid="{00000000-0005-0000-0000-000009430000}"/>
    <cellStyle name="Normal 2 5 2 3 3 3 2 2 3" xfId="34023" xr:uid="{00000000-0005-0000-0000-00000A430000}"/>
    <cellStyle name="Normal 2 5 2 3 3 3 2 3" xfId="4121" xr:uid="{00000000-0005-0000-0000-00000B430000}"/>
    <cellStyle name="Normal 2 5 2 3 3 3 2 3 2" xfId="16575" xr:uid="{00000000-0005-0000-0000-00000C430000}"/>
    <cellStyle name="Normal 2 5 2 3 3 3 2 3 2 2" xfId="41449" xr:uid="{00000000-0005-0000-0000-00000D430000}"/>
    <cellStyle name="Normal 2 5 2 3 3 3 2 3 3" xfId="29016" xr:uid="{00000000-0005-0000-0000-00000E430000}"/>
    <cellStyle name="Normal 2 5 2 3 3 3 2 4" xfId="14197" xr:uid="{00000000-0005-0000-0000-00000F430000}"/>
    <cellStyle name="Normal 2 5 2 3 3 3 2 4 2" xfId="39071" xr:uid="{00000000-0005-0000-0000-000010430000}"/>
    <cellStyle name="Normal 2 5 2 3 3 3 2 5" xfId="26630" xr:uid="{00000000-0005-0000-0000-000011430000}"/>
    <cellStyle name="Normal 2 5 2 3 3 3 3" xfId="5542" xr:uid="{00000000-0005-0000-0000-000012430000}"/>
    <cellStyle name="Normal 2 5 2 3 3 3 3 2" xfId="10558" xr:uid="{00000000-0005-0000-0000-000013430000}"/>
    <cellStyle name="Normal 2 5 2 3 3 3 3 2 2" xfId="23001" xr:uid="{00000000-0005-0000-0000-000014430000}"/>
    <cellStyle name="Normal 2 5 2 3 3 3 3 2 2 2" xfId="47875" xr:uid="{00000000-0005-0000-0000-000015430000}"/>
    <cellStyle name="Normal 2 5 2 3 3 3 3 2 3" xfId="35442" xr:uid="{00000000-0005-0000-0000-000016430000}"/>
    <cellStyle name="Normal 2 5 2 3 3 3 3 3" xfId="17994" xr:uid="{00000000-0005-0000-0000-000017430000}"/>
    <cellStyle name="Normal 2 5 2 3 3 3 3 3 2" xfId="42868" xr:uid="{00000000-0005-0000-0000-000018430000}"/>
    <cellStyle name="Normal 2 5 2 3 3 3 3 4" xfId="30435" xr:uid="{00000000-0005-0000-0000-000019430000}"/>
    <cellStyle name="Normal 2 5 2 3 3 3 4" xfId="8255" xr:uid="{00000000-0005-0000-0000-00001A430000}"/>
    <cellStyle name="Normal 2 5 2 3 3 3 4 2" xfId="20699" xr:uid="{00000000-0005-0000-0000-00001B430000}"/>
    <cellStyle name="Normal 2 5 2 3 3 3 4 2 2" xfId="45573" xr:uid="{00000000-0005-0000-0000-00001C430000}"/>
    <cellStyle name="Normal 2 5 2 3 3 3 4 3" xfId="33140" xr:uid="{00000000-0005-0000-0000-00001D430000}"/>
    <cellStyle name="Normal 2 5 2 3 3 3 5" xfId="12012" xr:uid="{00000000-0005-0000-0000-00001E430000}"/>
    <cellStyle name="Normal 2 5 2 3 3 3 5 2" xfId="24446" xr:uid="{00000000-0005-0000-0000-00001F430000}"/>
    <cellStyle name="Normal 2 5 2 3 3 3 5 2 2" xfId="49320" xr:uid="{00000000-0005-0000-0000-000020430000}"/>
    <cellStyle name="Normal 2 5 2 3 3 3 5 3" xfId="36887" xr:uid="{00000000-0005-0000-0000-000021430000}"/>
    <cellStyle name="Normal 2 5 2 3 3 3 6" xfId="6732" xr:uid="{00000000-0005-0000-0000-000022430000}"/>
    <cellStyle name="Normal 2 5 2 3 3 3 6 2" xfId="19181" xr:uid="{00000000-0005-0000-0000-000023430000}"/>
    <cellStyle name="Normal 2 5 2 3 3 3 6 2 2" xfId="44055" xr:uid="{00000000-0005-0000-0000-000024430000}"/>
    <cellStyle name="Normal 2 5 2 3 3 3 6 3" xfId="31622" xr:uid="{00000000-0005-0000-0000-000025430000}"/>
    <cellStyle name="Normal 2 5 2 3 3 3 7" xfId="3186" xr:uid="{00000000-0005-0000-0000-000026430000}"/>
    <cellStyle name="Normal 2 5 2 3 3 3 7 2" xfId="15692" xr:uid="{00000000-0005-0000-0000-000027430000}"/>
    <cellStyle name="Normal 2 5 2 3 3 3 7 2 2" xfId="40566" xr:uid="{00000000-0005-0000-0000-000028430000}"/>
    <cellStyle name="Normal 2 5 2 3 3 3 7 3" xfId="28125" xr:uid="{00000000-0005-0000-0000-000029430000}"/>
    <cellStyle name="Normal 2 5 2 3 3 3 8" xfId="13449" xr:uid="{00000000-0005-0000-0000-00002A430000}"/>
    <cellStyle name="Normal 2 5 2 3 3 3 8 2" xfId="38323" xr:uid="{00000000-0005-0000-0000-00002B430000}"/>
    <cellStyle name="Normal 2 5 2 3 3 3 9" xfId="25882" xr:uid="{00000000-0005-0000-0000-00002C430000}"/>
    <cellStyle name="Normal 2 5 2 3 3 4" xfId="1745" xr:uid="{00000000-0005-0000-0000-00002D430000}"/>
    <cellStyle name="Normal 2 5 2 3 3 4 2" xfId="4483" xr:uid="{00000000-0005-0000-0000-00002E430000}"/>
    <cellStyle name="Normal 2 5 2 3 3 4 2 2" xfId="9501" xr:uid="{00000000-0005-0000-0000-00002F430000}"/>
    <cellStyle name="Normal 2 5 2 3 3 4 2 2 2" xfId="21944" xr:uid="{00000000-0005-0000-0000-000030430000}"/>
    <cellStyle name="Normal 2 5 2 3 3 4 2 2 2 2" xfId="46818" xr:uid="{00000000-0005-0000-0000-000031430000}"/>
    <cellStyle name="Normal 2 5 2 3 3 4 2 2 3" xfId="34385" xr:uid="{00000000-0005-0000-0000-000032430000}"/>
    <cellStyle name="Normal 2 5 2 3 3 4 2 3" xfId="16937" xr:uid="{00000000-0005-0000-0000-000033430000}"/>
    <cellStyle name="Normal 2 5 2 3 3 4 2 3 2" xfId="41811" xr:uid="{00000000-0005-0000-0000-000034430000}"/>
    <cellStyle name="Normal 2 5 2 3 3 4 2 4" xfId="29378" xr:uid="{00000000-0005-0000-0000-000035430000}"/>
    <cellStyle name="Normal 2 5 2 3 3 4 3" xfId="5891" xr:uid="{00000000-0005-0000-0000-000036430000}"/>
    <cellStyle name="Normal 2 5 2 3 3 4 3 2" xfId="10906" xr:uid="{00000000-0005-0000-0000-000037430000}"/>
    <cellStyle name="Normal 2 5 2 3 3 4 3 2 2" xfId="23349" xr:uid="{00000000-0005-0000-0000-000038430000}"/>
    <cellStyle name="Normal 2 5 2 3 3 4 3 2 2 2" xfId="48223" xr:uid="{00000000-0005-0000-0000-000039430000}"/>
    <cellStyle name="Normal 2 5 2 3 3 4 3 2 3" xfId="35790" xr:uid="{00000000-0005-0000-0000-00003A430000}"/>
    <cellStyle name="Normal 2 5 2 3 3 4 3 3" xfId="18342" xr:uid="{00000000-0005-0000-0000-00003B430000}"/>
    <cellStyle name="Normal 2 5 2 3 3 4 3 3 2" xfId="43216" xr:uid="{00000000-0005-0000-0000-00003C430000}"/>
    <cellStyle name="Normal 2 5 2 3 3 4 3 4" xfId="30783" xr:uid="{00000000-0005-0000-0000-00003D430000}"/>
    <cellStyle name="Normal 2 5 2 3 3 4 4" xfId="8617" xr:uid="{00000000-0005-0000-0000-00003E430000}"/>
    <cellStyle name="Normal 2 5 2 3 3 4 4 2" xfId="21061" xr:uid="{00000000-0005-0000-0000-00003F430000}"/>
    <cellStyle name="Normal 2 5 2 3 3 4 4 2 2" xfId="45935" xr:uid="{00000000-0005-0000-0000-000040430000}"/>
    <cellStyle name="Normal 2 5 2 3 3 4 4 3" xfId="33502" xr:uid="{00000000-0005-0000-0000-000041430000}"/>
    <cellStyle name="Normal 2 5 2 3 3 4 5" xfId="12360" xr:uid="{00000000-0005-0000-0000-000042430000}"/>
    <cellStyle name="Normal 2 5 2 3 3 4 5 2" xfId="24794" xr:uid="{00000000-0005-0000-0000-000043430000}"/>
    <cellStyle name="Normal 2 5 2 3 3 4 5 2 2" xfId="49668" xr:uid="{00000000-0005-0000-0000-000044430000}"/>
    <cellStyle name="Normal 2 5 2 3 3 4 5 3" xfId="37235" xr:uid="{00000000-0005-0000-0000-000045430000}"/>
    <cellStyle name="Normal 2 5 2 3 3 4 6" xfId="7094" xr:uid="{00000000-0005-0000-0000-000046430000}"/>
    <cellStyle name="Normal 2 5 2 3 3 4 6 2" xfId="19543" xr:uid="{00000000-0005-0000-0000-000047430000}"/>
    <cellStyle name="Normal 2 5 2 3 3 4 6 2 2" xfId="44417" xr:uid="{00000000-0005-0000-0000-000048430000}"/>
    <cellStyle name="Normal 2 5 2 3 3 4 6 3" xfId="31984" xr:uid="{00000000-0005-0000-0000-000049430000}"/>
    <cellStyle name="Normal 2 5 2 3 3 4 7" xfId="3548" xr:uid="{00000000-0005-0000-0000-00004A430000}"/>
    <cellStyle name="Normal 2 5 2 3 3 4 7 2" xfId="16054" xr:uid="{00000000-0005-0000-0000-00004B430000}"/>
    <cellStyle name="Normal 2 5 2 3 3 4 7 2 2" xfId="40928" xr:uid="{00000000-0005-0000-0000-00004C430000}"/>
    <cellStyle name="Normal 2 5 2 3 3 4 7 3" xfId="28487" xr:uid="{00000000-0005-0000-0000-00004D430000}"/>
    <cellStyle name="Normal 2 5 2 3 3 4 8" xfId="14545" xr:uid="{00000000-0005-0000-0000-00004E430000}"/>
    <cellStyle name="Normal 2 5 2 3 3 4 8 2" xfId="39419" xr:uid="{00000000-0005-0000-0000-00004F430000}"/>
    <cellStyle name="Normal 2 5 2 3 3 4 9" xfId="26978" xr:uid="{00000000-0005-0000-0000-000050430000}"/>
    <cellStyle name="Normal 2 5 2 3 3 5" xfId="2201" xr:uid="{00000000-0005-0000-0000-000051430000}"/>
    <cellStyle name="Normal 2 5 2 3 3 5 2" xfId="4831" xr:uid="{00000000-0005-0000-0000-000052430000}"/>
    <cellStyle name="Normal 2 5 2 3 3 5 2 2" xfId="9848" xr:uid="{00000000-0005-0000-0000-000053430000}"/>
    <cellStyle name="Normal 2 5 2 3 3 5 2 2 2" xfId="22291" xr:uid="{00000000-0005-0000-0000-000054430000}"/>
    <cellStyle name="Normal 2 5 2 3 3 5 2 2 2 2" xfId="47165" xr:uid="{00000000-0005-0000-0000-000055430000}"/>
    <cellStyle name="Normal 2 5 2 3 3 5 2 2 3" xfId="34732" xr:uid="{00000000-0005-0000-0000-000056430000}"/>
    <cellStyle name="Normal 2 5 2 3 3 5 2 3" xfId="17284" xr:uid="{00000000-0005-0000-0000-000057430000}"/>
    <cellStyle name="Normal 2 5 2 3 3 5 2 3 2" xfId="42158" xr:uid="{00000000-0005-0000-0000-000058430000}"/>
    <cellStyle name="Normal 2 5 2 3 3 5 2 4" xfId="29725" xr:uid="{00000000-0005-0000-0000-000059430000}"/>
    <cellStyle name="Normal 2 5 2 3 3 5 3" xfId="6229" xr:uid="{00000000-0005-0000-0000-00005A430000}"/>
    <cellStyle name="Normal 2 5 2 3 3 5 3 2" xfId="11244" xr:uid="{00000000-0005-0000-0000-00005B430000}"/>
    <cellStyle name="Normal 2 5 2 3 3 5 3 2 2" xfId="23687" xr:uid="{00000000-0005-0000-0000-00005C430000}"/>
    <cellStyle name="Normal 2 5 2 3 3 5 3 2 2 2" xfId="48561" xr:uid="{00000000-0005-0000-0000-00005D430000}"/>
    <cellStyle name="Normal 2 5 2 3 3 5 3 2 3" xfId="36128" xr:uid="{00000000-0005-0000-0000-00005E430000}"/>
    <cellStyle name="Normal 2 5 2 3 3 5 3 3" xfId="18680" xr:uid="{00000000-0005-0000-0000-00005F430000}"/>
    <cellStyle name="Normal 2 5 2 3 3 5 3 3 2" xfId="43554" xr:uid="{00000000-0005-0000-0000-000060430000}"/>
    <cellStyle name="Normal 2 5 2 3 3 5 3 4" xfId="31121" xr:uid="{00000000-0005-0000-0000-000061430000}"/>
    <cellStyle name="Normal 2 5 2 3 3 5 4" xfId="8141" xr:uid="{00000000-0005-0000-0000-000062430000}"/>
    <cellStyle name="Normal 2 5 2 3 3 5 4 2" xfId="20587" xr:uid="{00000000-0005-0000-0000-000063430000}"/>
    <cellStyle name="Normal 2 5 2 3 3 5 4 2 2" xfId="45461" xr:uid="{00000000-0005-0000-0000-000064430000}"/>
    <cellStyle name="Normal 2 5 2 3 3 5 4 3" xfId="33028" xr:uid="{00000000-0005-0000-0000-000065430000}"/>
    <cellStyle name="Normal 2 5 2 3 3 5 5" xfId="12698" xr:uid="{00000000-0005-0000-0000-000066430000}"/>
    <cellStyle name="Normal 2 5 2 3 3 5 5 2" xfId="25132" xr:uid="{00000000-0005-0000-0000-000067430000}"/>
    <cellStyle name="Normal 2 5 2 3 3 5 5 2 2" xfId="50006" xr:uid="{00000000-0005-0000-0000-000068430000}"/>
    <cellStyle name="Normal 2 5 2 3 3 5 5 3" xfId="37573" xr:uid="{00000000-0005-0000-0000-000069430000}"/>
    <cellStyle name="Normal 2 5 2 3 3 5 6" xfId="7442" xr:uid="{00000000-0005-0000-0000-00006A430000}"/>
    <cellStyle name="Normal 2 5 2 3 3 5 6 2" xfId="19890" xr:uid="{00000000-0005-0000-0000-00006B430000}"/>
    <cellStyle name="Normal 2 5 2 3 3 5 6 2 2" xfId="44764" xr:uid="{00000000-0005-0000-0000-00006C430000}"/>
    <cellStyle name="Normal 2 5 2 3 3 5 6 3" xfId="32331" xr:uid="{00000000-0005-0000-0000-00006D430000}"/>
    <cellStyle name="Normal 2 5 2 3 3 5 7" xfId="3071" xr:uid="{00000000-0005-0000-0000-00006E430000}"/>
    <cellStyle name="Normal 2 5 2 3 3 5 7 2" xfId="15580" xr:uid="{00000000-0005-0000-0000-00006F430000}"/>
    <cellStyle name="Normal 2 5 2 3 3 5 7 2 2" xfId="40454" xr:uid="{00000000-0005-0000-0000-000070430000}"/>
    <cellStyle name="Normal 2 5 2 3 3 5 7 3" xfId="28013" xr:uid="{00000000-0005-0000-0000-000071430000}"/>
    <cellStyle name="Normal 2 5 2 3 3 5 8" xfId="14883" xr:uid="{00000000-0005-0000-0000-000072430000}"/>
    <cellStyle name="Normal 2 5 2 3 3 5 8 2" xfId="39757" xr:uid="{00000000-0005-0000-0000-000073430000}"/>
    <cellStyle name="Normal 2 5 2 3 3 5 9" xfId="27316" xr:uid="{00000000-0005-0000-0000-000074430000}"/>
    <cellStyle name="Normal 2 5 2 3 3 6" xfId="1040" xr:uid="{00000000-0005-0000-0000-000075430000}"/>
    <cellStyle name="Normal 2 5 2 3 3 6 2" xfId="9027" xr:uid="{00000000-0005-0000-0000-000076430000}"/>
    <cellStyle name="Normal 2 5 2 3 3 6 2 2" xfId="21470" xr:uid="{00000000-0005-0000-0000-000077430000}"/>
    <cellStyle name="Normal 2 5 2 3 3 6 2 2 2" xfId="46344" xr:uid="{00000000-0005-0000-0000-000078430000}"/>
    <cellStyle name="Normal 2 5 2 3 3 6 2 3" xfId="33911" xr:uid="{00000000-0005-0000-0000-000079430000}"/>
    <cellStyle name="Normal 2 5 2 3 3 6 3" xfId="4009" xr:uid="{00000000-0005-0000-0000-00007A430000}"/>
    <cellStyle name="Normal 2 5 2 3 3 6 3 2" xfId="16463" xr:uid="{00000000-0005-0000-0000-00007B430000}"/>
    <cellStyle name="Normal 2 5 2 3 3 6 3 2 2" xfId="41337" xr:uid="{00000000-0005-0000-0000-00007C430000}"/>
    <cellStyle name="Normal 2 5 2 3 3 6 3 3" xfId="28904" xr:uid="{00000000-0005-0000-0000-00007D430000}"/>
    <cellStyle name="Normal 2 5 2 3 3 6 4" xfId="13840" xr:uid="{00000000-0005-0000-0000-00007E430000}"/>
    <cellStyle name="Normal 2 5 2 3 3 6 4 2" xfId="38714" xr:uid="{00000000-0005-0000-0000-00007F430000}"/>
    <cellStyle name="Normal 2 5 2 3 3 6 5" xfId="26273" xr:uid="{00000000-0005-0000-0000-000080430000}"/>
    <cellStyle name="Normal 2 5 2 3 3 7" xfId="5185" xr:uid="{00000000-0005-0000-0000-000081430000}"/>
    <cellStyle name="Normal 2 5 2 3 3 7 2" xfId="10201" xr:uid="{00000000-0005-0000-0000-000082430000}"/>
    <cellStyle name="Normal 2 5 2 3 3 7 2 2" xfId="22644" xr:uid="{00000000-0005-0000-0000-000083430000}"/>
    <cellStyle name="Normal 2 5 2 3 3 7 2 2 2" xfId="47518" xr:uid="{00000000-0005-0000-0000-000084430000}"/>
    <cellStyle name="Normal 2 5 2 3 3 7 2 3" xfId="35085" xr:uid="{00000000-0005-0000-0000-000085430000}"/>
    <cellStyle name="Normal 2 5 2 3 3 7 3" xfId="17637" xr:uid="{00000000-0005-0000-0000-000086430000}"/>
    <cellStyle name="Normal 2 5 2 3 3 7 3 2" xfId="42511" xr:uid="{00000000-0005-0000-0000-000087430000}"/>
    <cellStyle name="Normal 2 5 2 3 3 7 4" xfId="30078" xr:uid="{00000000-0005-0000-0000-000088430000}"/>
    <cellStyle name="Normal 2 5 2 3 3 8" xfId="7762" xr:uid="{00000000-0005-0000-0000-000089430000}"/>
    <cellStyle name="Normal 2 5 2 3 3 8 2" xfId="20208" xr:uid="{00000000-0005-0000-0000-00008A430000}"/>
    <cellStyle name="Normal 2 5 2 3 3 8 2 2" xfId="45082" xr:uid="{00000000-0005-0000-0000-00008B430000}"/>
    <cellStyle name="Normal 2 5 2 3 3 8 3" xfId="32649" xr:uid="{00000000-0005-0000-0000-00008C430000}"/>
    <cellStyle name="Normal 2 5 2 3 3 9" xfId="11655" xr:uid="{00000000-0005-0000-0000-00008D430000}"/>
    <cellStyle name="Normal 2 5 2 3 3 9 2" xfId="24089" xr:uid="{00000000-0005-0000-0000-00008E430000}"/>
    <cellStyle name="Normal 2 5 2 3 3 9 2 2" xfId="48963" xr:uid="{00000000-0005-0000-0000-00008F430000}"/>
    <cellStyle name="Normal 2 5 2 3 3 9 3" xfId="36530" xr:uid="{00000000-0005-0000-0000-000090430000}"/>
    <cellStyle name="Normal 2 5 2 3 3_Degree data" xfId="2041" xr:uid="{00000000-0005-0000-0000-000091430000}"/>
    <cellStyle name="Normal 2 5 2 3 4" xfId="386" xr:uid="{00000000-0005-0000-0000-000092430000}"/>
    <cellStyle name="Normal 2 5 2 3 4 10" xfId="13202" xr:uid="{00000000-0005-0000-0000-000093430000}"/>
    <cellStyle name="Normal 2 5 2 3 4 10 2" xfId="38076" xr:uid="{00000000-0005-0000-0000-000094430000}"/>
    <cellStyle name="Normal 2 5 2 3 4 11" xfId="25635" xr:uid="{00000000-0005-0000-0000-000095430000}"/>
    <cellStyle name="Normal 2 5 2 3 4 2" xfId="746" xr:uid="{00000000-0005-0000-0000-000096430000}"/>
    <cellStyle name="Normal 2 5 2 3 4 2 2" xfId="1399" xr:uid="{00000000-0005-0000-0000-000097430000}"/>
    <cellStyle name="Normal 2 5 2 3 4 2 2 2" xfId="9503" xr:uid="{00000000-0005-0000-0000-000098430000}"/>
    <cellStyle name="Normal 2 5 2 3 4 2 2 2 2" xfId="21946" xr:uid="{00000000-0005-0000-0000-000099430000}"/>
    <cellStyle name="Normal 2 5 2 3 4 2 2 2 2 2" xfId="46820" xr:uid="{00000000-0005-0000-0000-00009A430000}"/>
    <cellStyle name="Normal 2 5 2 3 4 2 2 2 3" xfId="34387" xr:uid="{00000000-0005-0000-0000-00009B430000}"/>
    <cellStyle name="Normal 2 5 2 3 4 2 2 3" xfId="4485" xr:uid="{00000000-0005-0000-0000-00009C430000}"/>
    <cellStyle name="Normal 2 5 2 3 4 2 2 3 2" xfId="16939" xr:uid="{00000000-0005-0000-0000-00009D430000}"/>
    <cellStyle name="Normal 2 5 2 3 4 2 2 3 2 2" xfId="41813" xr:uid="{00000000-0005-0000-0000-00009E430000}"/>
    <cellStyle name="Normal 2 5 2 3 4 2 2 3 3" xfId="29380" xr:uid="{00000000-0005-0000-0000-00009F430000}"/>
    <cellStyle name="Normal 2 5 2 3 4 2 2 4" xfId="14199" xr:uid="{00000000-0005-0000-0000-0000A0430000}"/>
    <cellStyle name="Normal 2 5 2 3 4 2 2 4 2" xfId="39073" xr:uid="{00000000-0005-0000-0000-0000A1430000}"/>
    <cellStyle name="Normal 2 5 2 3 4 2 2 5" xfId="26632" xr:uid="{00000000-0005-0000-0000-0000A2430000}"/>
    <cellStyle name="Normal 2 5 2 3 4 2 3" xfId="5544" xr:uid="{00000000-0005-0000-0000-0000A3430000}"/>
    <cellStyle name="Normal 2 5 2 3 4 2 3 2" xfId="10560" xr:uid="{00000000-0005-0000-0000-0000A4430000}"/>
    <cellStyle name="Normal 2 5 2 3 4 2 3 2 2" xfId="23003" xr:uid="{00000000-0005-0000-0000-0000A5430000}"/>
    <cellStyle name="Normal 2 5 2 3 4 2 3 2 2 2" xfId="47877" xr:uid="{00000000-0005-0000-0000-0000A6430000}"/>
    <cellStyle name="Normal 2 5 2 3 4 2 3 2 3" xfId="35444" xr:uid="{00000000-0005-0000-0000-0000A7430000}"/>
    <cellStyle name="Normal 2 5 2 3 4 2 3 3" xfId="17996" xr:uid="{00000000-0005-0000-0000-0000A8430000}"/>
    <cellStyle name="Normal 2 5 2 3 4 2 3 3 2" xfId="42870" xr:uid="{00000000-0005-0000-0000-0000A9430000}"/>
    <cellStyle name="Normal 2 5 2 3 4 2 3 4" xfId="30437" xr:uid="{00000000-0005-0000-0000-0000AA430000}"/>
    <cellStyle name="Normal 2 5 2 3 4 2 4" xfId="8619" xr:uid="{00000000-0005-0000-0000-0000AB430000}"/>
    <cellStyle name="Normal 2 5 2 3 4 2 4 2" xfId="21063" xr:uid="{00000000-0005-0000-0000-0000AC430000}"/>
    <cellStyle name="Normal 2 5 2 3 4 2 4 2 2" xfId="45937" xr:uid="{00000000-0005-0000-0000-0000AD430000}"/>
    <cellStyle name="Normal 2 5 2 3 4 2 4 3" xfId="33504" xr:uid="{00000000-0005-0000-0000-0000AE430000}"/>
    <cellStyle name="Normal 2 5 2 3 4 2 5" xfId="12014" xr:uid="{00000000-0005-0000-0000-0000AF430000}"/>
    <cellStyle name="Normal 2 5 2 3 4 2 5 2" xfId="24448" xr:uid="{00000000-0005-0000-0000-0000B0430000}"/>
    <cellStyle name="Normal 2 5 2 3 4 2 5 2 2" xfId="49322" xr:uid="{00000000-0005-0000-0000-0000B1430000}"/>
    <cellStyle name="Normal 2 5 2 3 4 2 5 3" xfId="36889" xr:uid="{00000000-0005-0000-0000-0000B2430000}"/>
    <cellStyle name="Normal 2 5 2 3 4 2 6" xfId="7096" xr:uid="{00000000-0005-0000-0000-0000B3430000}"/>
    <cellStyle name="Normal 2 5 2 3 4 2 6 2" xfId="19545" xr:uid="{00000000-0005-0000-0000-0000B4430000}"/>
    <cellStyle name="Normal 2 5 2 3 4 2 6 2 2" xfId="44419" xr:uid="{00000000-0005-0000-0000-0000B5430000}"/>
    <cellStyle name="Normal 2 5 2 3 4 2 6 3" xfId="31986" xr:uid="{00000000-0005-0000-0000-0000B6430000}"/>
    <cellStyle name="Normal 2 5 2 3 4 2 7" xfId="3550" xr:uid="{00000000-0005-0000-0000-0000B7430000}"/>
    <cellStyle name="Normal 2 5 2 3 4 2 7 2" xfId="16056" xr:uid="{00000000-0005-0000-0000-0000B8430000}"/>
    <cellStyle name="Normal 2 5 2 3 4 2 7 2 2" xfId="40930" xr:uid="{00000000-0005-0000-0000-0000B9430000}"/>
    <cellStyle name="Normal 2 5 2 3 4 2 7 3" xfId="28489" xr:uid="{00000000-0005-0000-0000-0000BA430000}"/>
    <cellStyle name="Normal 2 5 2 3 4 2 8" xfId="13549" xr:uid="{00000000-0005-0000-0000-0000BB430000}"/>
    <cellStyle name="Normal 2 5 2 3 4 2 8 2" xfId="38423" xr:uid="{00000000-0005-0000-0000-0000BC430000}"/>
    <cellStyle name="Normal 2 5 2 3 4 2 9" xfId="25982" xr:uid="{00000000-0005-0000-0000-0000BD430000}"/>
    <cellStyle name="Normal 2 5 2 3 4 3" xfId="1747" xr:uid="{00000000-0005-0000-0000-0000BE430000}"/>
    <cellStyle name="Normal 2 5 2 3 4 3 2" xfId="4931" xr:uid="{00000000-0005-0000-0000-0000BF430000}"/>
    <cellStyle name="Normal 2 5 2 3 4 3 2 2" xfId="9948" xr:uid="{00000000-0005-0000-0000-0000C0430000}"/>
    <cellStyle name="Normal 2 5 2 3 4 3 2 2 2" xfId="22391" xr:uid="{00000000-0005-0000-0000-0000C1430000}"/>
    <cellStyle name="Normal 2 5 2 3 4 3 2 2 2 2" xfId="47265" xr:uid="{00000000-0005-0000-0000-0000C2430000}"/>
    <cellStyle name="Normal 2 5 2 3 4 3 2 2 3" xfId="34832" xr:uid="{00000000-0005-0000-0000-0000C3430000}"/>
    <cellStyle name="Normal 2 5 2 3 4 3 2 3" xfId="17384" xr:uid="{00000000-0005-0000-0000-0000C4430000}"/>
    <cellStyle name="Normal 2 5 2 3 4 3 2 3 2" xfId="42258" xr:uid="{00000000-0005-0000-0000-0000C5430000}"/>
    <cellStyle name="Normal 2 5 2 3 4 3 2 4" xfId="29825" xr:uid="{00000000-0005-0000-0000-0000C6430000}"/>
    <cellStyle name="Normal 2 5 2 3 4 3 3" xfId="5893" xr:uid="{00000000-0005-0000-0000-0000C7430000}"/>
    <cellStyle name="Normal 2 5 2 3 4 3 3 2" xfId="10908" xr:uid="{00000000-0005-0000-0000-0000C8430000}"/>
    <cellStyle name="Normal 2 5 2 3 4 3 3 2 2" xfId="23351" xr:uid="{00000000-0005-0000-0000-0000C9430000}"/>
    <cellStyle name="Normal 2 5 2 3 4 3 3 2 2 2" xfId="48225" xr:uid="{00000000-0005-0000-0000-0000CA430000}"/>
    <cellStyle name="Normal 2 5 2 3 4 3 3 2 3" xfId="35792" xr:uid="{00000000-0005-0000-0000-0000CB430000}"/>
    <cellStyle name="Normal 2 5 2 3 4 3 3 3" xfId="18344" xr:uid="{00000000-0005-0000-0000-0000CC430000}"/>
    <cellStyle name="Normal 2 5 2 3 4 3 3 3 2" xfId="43218" xr:uid="{00000000-0005-0000-0000-0000CD430000}"/>
    <cellStyle name="Normal 2 5 2 3 4 3 3 4" xfId="30785" xr:uid="{00000000-0005-0000-0000-0000CE430000}"/>
    <cellStyle name="Normal 2 5 2 3 4 3 4" xfId="8355" xr:uid="{00000000-0005-0000-0000-0000CF430000}"/>
    <cellStyle name="Normal 2 5 2 3 4 3 4 2" xfId="20799" xr:uid="{00000000-0005-0000-0000-0000D0430000}"/>
    <cellStyle name="Normal 2 5 2 3 4 3 4 2 2" xfId="45673" xr:uid="{00000000-0005-0000-0000-0000D1430000}"/>
    <cellStyle name="Normal 2 5 2 3 4 3 4 3" xfId="33240" xr:uid="{00000000-0005-0000-0000-0000D2430000}"/>
    <cellStyle name="Normal 2 5 2 3 4 3 5" xfId="12362" xr:uid="{00000000-0005-0000-0000-0000D3430000}"/>
    <cellStyle name="Normal 2 5 2 3 4 3 5 2" xfId="24796" xr:uid="{00000000-0005-0000-0000-0000D4430000}"/>
    <cellStyle name="Normal 2 5 2 3 4 3 5 2 2" xfId="49670" xr:uid="{00000000-0005-0000-0000-0000D5430000}"/>
    <cellStyle name="Normal 2 5 2 3 4 3 5 3" xfId="37237" xr:uid="{00000000-0005-0000-0000-0000D6430000}"/>
    <cellStyle name="Normal 2 5 2 3 4 3 6" xfId="7542" xr:uid="{00000000-0005-0000-0000-0000D7430000}"/>
    <cellStyle name="Normal 2 5 2 3 4 3 6 2" xfId="19990" xr:uid="{00000000-0005-0000-0000-0000D8430000}"/>
    <cellStyle name="Normal 2 5 2 3 4 3 6 2 2" xfId="44864" xr:uid="{00000000-0005-0000-0000-0000D9430000}"/>
    <cellStyle name="Normal 2 5 2 3 4 3 6 3" xfId="32431" xr:uid="{00000000-0005-0000-0000-0000DA430000}"/>
    <cellStyle name="Normal 2 5 2 3 4 3 7" xfId="3286" xr:uid="{00000000-0005-0000-0000-0000DB430000}"/>
    <cellStyle name="Normal 2 5 2 3 4 3 7 2" xfId="15792" xr:uid="{00000000-0005-0000-0000-0000DC430000}"/>
    <cellStyle name="Normal 2 5 2 3 4 3 7 2 2" xfId="40666" xr:uid="{00000000-0005-0000-0000-0000DD430000}"/>
    <cellStyle name="Normal 2 5 2 3 4 3 7 3" xfId="28225" xr:uid="{00000000-0005-0000-0000-0000DE430000}"/>
    <cellStyle name="Normal 2 5 2 3 4 3 8" xfId="14547" xr:uid="{00000000-0005-0000-0000-0000DF430000}"/>
    <cellStyle name="Normal 2 5 2 3 4 3 8 2" xfId="39421" xr:uid="{00000000-0005-0000-0000-0000E0430000}"/>
    <cellStyle name="Normal 2 5 2 3 4 3 9" xfId="26980" xr:uid="{00000000-0005-0000-0000-0000E1430000}"/>
    <cellStyle name="Normal 2 5 2 3 4 4" xfId="2304" xr:uid="{00000000-0005-0000-0000-0000E2430000}"/>
    <cellStyle name="Normal 2 5 2 3 4 4 2" xfId="6329" xr:uid="{00000000-0005-0000-0000-0000E3430000}"/>
    <cellStyle name="Normal 2 5 2 3 4 4 2 2" xfId="11344" xr:uid="{00000000-0005-0000-0000-0000E4430000}"/>
    <cellStyle name="Normal 2 5 2 3 4 4 2 2 2" xfId="23787" xr:uid="{00000000-0005-0000-0000-0000E5430000}"/>
    <cellStyle name="Normal 2 5 2 3 4 4 2 2 2 2" xfId="48661" xr:uid="{00000000-0005-0000-0000-0000E6430000}"/>
    <cellStyle name="Normal 2 5 2 3 4 4 2 2 3" xfId="36228" xr:uid="{00000000-0005-0000-0000-0000E7430000}"/>
    <cellStyle name="Normal 2 5 2 3 4 4 2 3" xfId="18780" xr:uid="{00000000-0005-0000-0000-0000E8430000}"/>
    <cellStyle name="Normal 2 5 2 3 4 4 2 3 2" xfId="43654" xr:uid="{00000000-0005-0000-0000-0000E9430000}"/>
    <cellStyle name="Normal 2 5 2 3 4 4 2 4" xfId="31221" xr:uid="{00000000-0005-0000-0000-0000EA430000}"/>
    <cellStyle name="Normal 2 5 2 3 4 4 3" xfId="12798" xr:uid="{00000000-0005-0000-0000-0000EB430000}"/>
    <cellStyle name="Normal 2 5 2 3 4 4 3 2" xfId="25232" xr:uid="{00000000-0005-0000-0000-0000EC430000}"/>
    <cellStyle name="Normal 2 5 2 3 4 4 3 2 2" xfId="50106" xr:uid="{00000000-0005-0000-0000-0000ED430000}"/>
    <cellStyle name="Normal 2 5 2 3 4 4 3 3" xfId="37673" xr:uid="{00000000-0005-0000-0000-0000EE430000}"/>
    <cellStyle name="Normal 2 5 2 3 4 4 4" xfId="9239" xr:uid="{00000000-0005-0000-0000-0000EF430000}"/>
    <cellStyle name="Normal 2 5 2 3 4 4 4 2" xfId="21682" xr:uid="{00000000-0005-0000-0000-0000F0430000}"/>
    <cellStyle name="Normal 2 5 2 3 4 4 4 2 2" xfId="46556" xr:uid="{00000000-0005-0000-0000-0000F1430000}"/>
    <cellStyle name="Normal 2 5 2 3 4 4 4 3" xfId="34123" xr:uid="{00000000-0005-0000-0000-0000F2430000}"/>
    <cellStyle name="Normal 2 5 2 3 4 4 5" xfId="4221" xr:uid="{00000000-0005-0000-0000-0000F3430000}"/>
    <cellStyle name="Normal 2 5 2 3 4 4 5 2" xfId="16675" xr:uid="{00000000-0005-0000-0000-0000F4430000}"/>
    <cellStyle name="Normal 2 5 2 3 4 4 5 2 2" xfId="41549" xr:uid="{00000000-0005-0000-0000-0000F5430000}"/>
    <cellStyle name="Normal 2 5 2 3 4 4 5 3" xfId="29116" xr:uid="{00000000-0005-0000-0000-0000F6430000}"/>
    <cellStyle name="Normal 2 5 2 3 4 4 6" xfId="14983" xr:uid="{00000000-0005-0000-0000-0000F7430000}"/>
    <cellStyle name="Normal 2 5 2 3 4 4 6 2" xfId="39857" xr:uid="{00000000-0005-0000-0000-0000F8430000}"/>
    <cellStyle name="Normal 2 5 2 3 4 4 7" xfId="27416" xr:uid="{00000000-0005-0000-0000-0000F9430000}"/>
    <cellStyle name="Normal 2 5 2 3 4 5" xfId="1140" xr:uid="{00000000-0005-0000-0000-0000FA430000}"/>
    <cellStyle name="Normal 2 5 2 3 4 5 2" xfId="10301" xr:uid="{00000000-0005-0000-0000-0000FB430000}"/>
    <cellStyle name="Normal 2 5 2 3 4 5 2 2" xfId="22744" xr:uid="{00000000-0005-0000-0000-0000FC430000}"/>
    <cellStyle name="Normal 2 5 2 3 4 5 2 2 2" xfId="47618" xr:uid="{00000000-0005-0000-0000-0000FD430000}"/>
    <cellStyle name="Normal 2 5 2 3 4 5 2 3" xfId="35185" xr:uid="{00000000-0005-0000-0000-0000FE430000}"/>
    <cellStyle name="Normal 2 5 2 3 4 5 3" xfId="5285" xr:uid="{00000000-0005-0000-0000-0000FF430000}"/>
    <cellStyle name="Normal 2 5 2 3 4 5 3 2" xfId="17737" xr:uid="{00000000-0005-0000-0000-000000440000}"/>
    <cellStyle name="Normal 2 5 2 3 4 5 3 2 2" xfId="42611" xr:uid="{00000000-0005-0000-0000-000001440000}"/>
    <cellStyle name="Normal 2 5 2 3 4 5 3 3" xfId="30178" xr:uid="{00000000-0005-0000-0000-000002440000}"/>
    <cellStyle name="Normal 2 5 2 3 4 5 4" xfId="13940" xr:uid="{00000000-0005-0000-0000-000003440000}"/>
    <cellStyle name="Normal 2 5 2 3 4 5 4 2" xfId="38814" xr:uid="{00000000-0005-0000-0000-000004440000}"/>
    <cellStyle name="Normal 2 5 2 3 4 5 5" xfId="26373" xr:uid="{00000000-0005-0000-0000-000005440000}"/>
    <cellStyle name="Normal 2 5 2 3 4 6" xfId="7862" xr:uid="{00000000-0005-0000-0000-000006440000}"/>
    <cellStyle name="Normal 2 5 2 3 4 6 2" xfId="20308" xr:uid="{00000000-0005-0000-0000-000007440000}"/>
    <cellStyle name="Normal 2 5 2 3 4 6 2 2" xfId="45182" xr:uid="{00000000-0005-0000-0000-000008440000}"/>
    <cellStyle name="Normal 2 5 2 3 4 6 3" xfId="32749" xr:uid="{00000000-0005-0000-0000-000009440000}"/>
    <cellStyle name="Normal 2 5 2 3 4 7" xfId="11755" xr:uid="{00000000-0005-0000-0000-00000A440000}"/>
    <cellStyle name="Normal 2 5 2 3 4 7 2" xfId="24189" xr:uid="{00000000-0005-0000-0000-00000B440000}"/>
    <cellStyle name="Normal 2 5 2 3 4 7 2 2" xfId="49063" xr:uid="{00000000-0005-0000-0000-00000C440000}"/>
    <cellStyle name="Normal 2 5 2 3 4 7 3" xfId="36630" xr:uid="{00000000-0005-0000-0000-00000D440000}"/>
    <cellStyle name="Normal 2 5 2 3 4 8" xfId="6832" xr:uid="{00000000-0005-0000-0000-00000E440000}"/>
    <cellStyle name="Normal 2 5 2 3 4 8 2" xfId="19281" xr:uid="{00000000-0005-0000-0000-00000F440000}"/>
    <cellStyle name="Normal 2 5 2 3 4 8 2 2" xfId="44155" xr:uid="{00000000-0005-0000-0000-000010440000}"/>
    <cellStyle name="Normal 2 5 2 3 4 8 3" xfId="31722" xr:uid="{00000000-0005-0000-0000-000011440000}"/>
    <cellStyle name="Normal 2 5 2 3 4 9" xfId="2783" xr:uid="{00000000-0005-0000-0000-000012440000}"/>
    <cellStyle name="Normal 2 5 2 3 4 9 2" xfId="15301" xr:uid="{00000000-0005-0000-0000-000013440000}"/>
    <cellStyle name="Normal 2 5 2 3 4 9 2 2" xfId="40175" xr:uid="{00000000-0005-0000-0000-000014440000}"/>
    <cellStyle name="Normal 2 5 2 3 4 9 3" xfId="27734" xr:uid="{00000000-0005-0000-0000-000015440000}"/>
    <cellStyle name="Normal 2 5 2 3 4_Degree data" xfId="2078" xr:uid="{00000000-0005-0000-0000-000016440000}"/>
    <cellStyle name="Normal 2 5 2 3 5" xfId="215" xr:uid="{00000000-0005-0000-0000-000017440000}"/>
    <cellStyle name="Normal 2 5 2 3 5 2" xfId="1394" xr:uid="{00000000-0005-0000-0000-000018440000}"/>
    <cellStyle name="Normal 2 5 2 3 5 2 2" xfId="9080" xr:uid="{00000000-0005-0000-0000-000019440000}"/>
    <cellStyle name="Normal 2 5 2 3 5 2 2 2" xfId="21523" xr:uid="{00000000-0005-0000-0000-00001A440000}"/>
    <cellStyle name="Normal 2 5 2 3 5 2 2 2 2" xfId="46397" xr:uid="{00000000-0005-0000-0000-00001B440000}"/>
    <cellStyle name="Normal 2 5 2 3 5 2 2 3" xfId="33964" xr:uid="{00000000-0005-0000-0000-00001C440000}"/>
    <cellStyle name="Normal 2 5 2 3 5 2 3" xfId="4062" xr:uid="{00000000-0005-0000-0000-00001D440000}"/>
    <cellStyle name="Normal 2 5 2 3 5 2 3 2" xfId="16516" xr:uid="{00000000-0005-0000-0000-00001E440000}"/>
    <cellStyle name="Normal 2 5 2 3 5 2 3 2 2" xfId="41390" xr:uid="{00000000-0005-0000-0000-00001F440000}"/>
    <cellStyle name="Normal 2 5 2 3 5 2 3 3" xfId="28957" xr:uid="{00000000-0005-0000-0000-000020440000}"/>
    <cellStyle name="Normal 2 5 2 3 5 2 4" xfId="14194" xr:uid="{00000000-0005-0000-0000-000021440000}"/>
    <cellStyle name="Normal 2 5 2 3 5 2 4 2" xfId="39068" xr:uid="{00000000-0005-0000-0000-000022440000}"/>
    <cellStyle name="Normal 2 5 2 3 5 2 5" xfId="26627" xr:uid="{00000000-0005-0000-0000-000023440000}"/>
    <cellStyle name="Normal 2 5 2 3 5 3" xfId="5539" xr:uid="{00000000-0005-0000-0000-000024440000}"/>
    <cellStyle name="Normal 2 5 2 3 5 3 2" xfId="10555" xr:uid="{00000000-0005-0000-0000-000025440000}"/>
    <cellStyle name="Normal 2 5 2 3 5 3 2 2" xfId="22998" xr:uid="{00000000-0005-0000-0000-000026440000}"/>
    <cellStyle name="Normal 2 5 2 3 5 3 2 2 2" xfId="47872" xr:uid="{00000000-0005-0000-0000-000027440000}"/>
    <cellStyle name="Normal 2 5 2 3 5 3 2 3" xfId="35439" xr:uid="{00000000-0005-0000-0000-000028440000}"/>
    <cellStyle name="Normal 2 5 2 3 5 3 3" xfId="17991" xr:uid="{00000000-0005-0000-0000-000029440000}"/>
    <cellStyle name="Normal 2 5 2 3 5 3 3 2" xfId="42865" xr:uid="{00000000-0005-0000-0000-00002A440000}"/>
    <cellStyle name="Normal 2 5 2 3 5 3 4" xfId="30432" xr:uid="{00000000-0005-0000-0000-00002B440000}"/>
    <cellStyle name="Normal 2 5 2 3 5 4" xfId="8196" xr:uid="{00000000-0005-0000-0000-00002C440000}"/>
    <cellStyle name="Normal 2 5 2 3 5 4 2" xfId="20640" xr:uid="{00000000-0005-0000-0000-00002D440000}"/>
    <cellStyle name="Normal 2 5 2 3 5 4 2 2" xfId="45514" xr:uid="{00000000-0005-0000-0000-00002E440000}"/>
    <cellStyle name="Normal 2 5 2 3 5 4 3" xfId="33081" xr:uid="{00000000-0005-0000-0000-00002F440000}"/>
    <cellStyle name="Normal 2 5 2 3 5 5" xfId="12009" xr:uid="{00000000-0005-0000-0000-000030440000}"/>
    <cellStyle name="Normal 2 5 2 3 5 5 2" xfId="24443" xr:uid="{00000000-0005-0000-0000-000031440000}"/>
    <cellStyle name="Normal 2 5 2 3 5 5 2 2" xfId="49317" xr:uid="{00000000-0005-0000-0000-000032440000}"/>
    <cellStyle name="Normal 2 5 2 3 5 5 3" xfId="36884" xr:uid="{00000000-0005-0000-0000-000033440000}"/>
    <cellStyle name="Normal 2 5 2 3 5 6" xfId="6673" xr:uid="{00000000-0005-0000-0000-000034440000}"/>
    <cellStyle name="Normal 2 5 2 3 5 6 2" xfId="19122" xr:uid="{00000000-0005-0000-0000-000035440000}"/>
    <cellStyle name="Normal 2 5 2 3 5 6 2 2" xfId="43996" xr:uid="{00000000-0005-0000-0000-000036440000}"/>
    <cellStyle name="Normal 2 5 2 3 5 6 3" xfId="31563" xr:uid="{00000000-0005-0000-0000-000037440000}"/>
    <cellStyle name="Normal 2 5 2 3 5 7" xfId="3127" xr:uid="{00000000-0005-0000-0000-000038440000}"/>
    <cellStyle name="Normal 2 5 2 3 5 7 2" xfId="15633" xr:uid="{00000000-0005-0000-0000-000039440000}"/>
    <cellStyle name="Normal 2 5 2 3 5 7 2 2" xfId="40507" xr:uid="{00000000-0005-0000-0000-00003A440000}"/>
    <cellStyle name="Normal 2 5 2 3 5 7 3" xfId="28066" xr:uid="{00000000-0005-0000-0000-00003B440000}"/>
    <cellStyle name="Normal 2 5 2 3 5 8" xfId="13043" xr:uid="{00000000-0005-0000-0000-00003C440000}"/>
    <cellStyle name="Normal 2 5 2 3 5 8 2" xfId="37917" xr:uid="{00000000-0005-0000-0000-00003D440000}"/>
    <cellStyle name="Normal 2 5 2 3 5 9" xfId="25476" xr:uid="{00000000-0005-0000-0000-00003E440000}"/>
    <cellStyle name="Normal 2 5 2 3 6" xfId="581" xr:uid="{00000000-0005-0000-0000-00003F440000}"/>
    <cellStyle name="Normal 2 5 2 3 6 2" xfId="1742" xr:uid="{00000000-0005-0000-0000-000040440000}"/>
    <cellStyle name="Normal 2 5 2 3 6 2 2" xfId="9498" xr:uid="{00000000-0005-0000-0000-000041440000}"/>
    <cellStyle name="Normal 2 5 2 3 6 2 2 2" xfId="21941" xr:uid="{00000000-0005-0000-0000-000042440000}"/>
    <cellStyle name="Normal 2 5 2 3 6 2 2 2 2" xfId="46815" xr:uid="{00000000-0005-0000-0000-000043440000}"/>
    <cellStyle name="Normal 2 5 2 3 6 2 2 3" xfId="34382" xr:uid="{00000000-0005-0000-0000-000044440000}"/>
    <cellStyle name="Normal 2 5 2 3 6 2 3" xfId="4480" xr:uid="{00000000-0005-0000-0000-000045440000}"/>
    <cellStyle name="Normal 2 5 2 3 6 2 3 2" xfId="16934" xr:uid="{00000000-0005-0000-0000-000046440000}"/>
    <cellStyle name="Normal 2 5 2 3 6 2 3 2 2" xfId="41808" xr:uid="{00000000-0005-0000-0000-000047440000}"/>
    <cellStyle name="Normal 2 5 2 3 6 2 3 3" xfId="29375" xr:uid="{00000000-0005-0000-0000-000048440000}"/>
    <cellStyle name="Normal 2 5 2 3 6 2 4" xfId="14542" xr:uid="{00000000-0005-0000-0000-000049440000}"/>
    <cellStyle name="Normal 2 5 2 3 6 2 4 2" xfId="39416" xr:uid="{00000000-0005-0000-0000-00004A440000}"/>
    <cellStyle name="Normal 2 5 2 3 6 2 5" xfId="26975" xr:uid="{00000000-0005-0000-0000-00004B440000}"/>
    <cellStyle name="Normal 2 5 2 3 6 3" xfId="5888" xr:uid="{00000000-0005-0000-0000-00004C440000}"/>
    <cellStyle name="Normal 2 5 2 3 6 3 2" xfId="10903" xr:uid="{00000000-0005-0000-0000-00004D440000}"/>
    <cellStyle name="Normal 2 5 2 3 6 3 2 2" xfId="23346" xr:uid="{00000000-0005-0000-0000-00004E440000}"/>
    <cellStyle name="Normal 2 5 2 3 6 3 2 2 2" xfId="48220" xr:uid="{00000000-0005-0000-0000-00004F440000}"/>
    <cellStyle name="Normal 2 5 2 3 6 3 2 3" xfId="35787" xr:uid="{00000000-0005-0000-0000-000050440000}"/>
    <cellStyle name="Normal 2 5 2 3 6 3 3" xfId="18339" xr:uid="{00000000-0005-0000-0000-000051440000}"/>
    <cellStyle name="Normal 2 5 2 3 6 3 3 2" xfId="43213" xr:uid="{00000000-0005-0000-0000-000052440000}"/>
    <cellStyle name="Normal 2 5 2 3 6 3 4" xfId="30780" xr:uid="{00000000-0005-0000-0000-000053440000}"/>
    <cellStyle name="Normal 2 5 2 3 6 4" xfId="8614" xr:uid="{00000000-0005-0000-0000-000054440000}"/>
    <cellStyle name="Normal 2 5 2 3 6 4 2" xfId="21058" xr:uid="{00000000-0005-0000-0000-000055440000}"/>
    <cellStyle name="Normal 2 5 2 3 6 4 2 2" xfId="45932" xr:uid="{00000000-0005-0000-0000-000056440000}"/>
    <cellStyle name="Normal 2 5 2 3 6 4 3" xfId="33499" xr:uid="{00000000-0005-0000-0000-000057440000}"/>
    <cellStyle name="Normal 2 5 2 3 6 5" xfId="12357" xr:uid="{00000000-0005-0000-0000-000058440000}"/>
    <cellStyle name="Normal 2 5 2 3 6 5 2" xfId="24791" xr:uid="{00000000-0005-0000-0000-000059440000}"/>
    <cellStyle name="Normal 2 5 2 3 6 5 2 2" xfId="49665" xr:uid="{00000000-0005-0000-0000-00005A440000}"/>
    <cellStyle name="Normal 2 5 2 3 6 5 3" xfId="37232" xr:uid="{00000000-0005-0000-0000-00005B440000}"/>
    <cellStyle name="Normal 2 5 2 3 6 6" xfId="7091" xr:uid="{00000000-0005-0000-0000-00005C440000}"/>
    <cellStyle name="Normal 2 5 2 3 6 6 2" xfId="19540" xr:uid="{00000000-0005-0000-0000-00005D440000}"/>
    <cellStyle name="Normal 2 5 2 3 6 6 2 2" xfId="44414" xr:uid="{00000000-0005-0000-0000-00005E440000}"/>
    <cellStyle name="Normal 2 5 2 3 6 6 3" xfId="31981" xr:uid="{00000000-0005-0000-0000-00005F440000}"/>
    <cellStyle name="Normal 2 5 2 3 6 7" xfId="3545" xr:uid="{00000000-0005-0000-0000-000060440000}"/>
    <cellStyle name="Normal 2 5 2 3 6 7 2" xfId="16051" xr:uid="{00000000-0005-0000-0000-000061440000}"/>
    <cellStyle name="Normal 2 5 2 3 6 7 2 2" xfId="40925" xr:uid="{00000000-0005-0000-0000-000062440000}"/>
    <cellStyle name="Normal 2 5 2 3 6 7 3" xfId="28484" xr:uid="{00000000-0005-0000-0000-000063440000}"/>
    <cellStyle name="Normal 2 5 2 3 6 8" xfId="13390" xr:uid="{00000000-0005-0000-0000-000064440000}"/>
    <cellStyle name="Normal 2 5 2 3 6 8 2" xfId="38264" xr:uid="{00000000-0005-0000-0000-000065440000}"/>
    <cellStyle name="Normal 2 5 2 3 6 9" xfId="25823" xr:uid="{00000000-0005-0000-0000-000066440000}"/>
    <cellStyle name="Normal 2 5 2 3 7" xfId="2133" xr:uid="{00000000-0005-0000-0000-000067440000}"/>
    <cellStyle name="Normal 2 5 2 3 7 2" xfId="4772" xr:uid="{00000000-0005-0000-0000-000068440000}"/>
    <cellStyle name="Normal 2 5 2 3 7 2 2" xfId="9789" xr:uid="{00000000-0005-0000-0000-000069440000}"/>
    <cellStyle name="Normal 2 5 2 3 7 2 2 2" xfId="22232" xr:uid="{00000000-0005-0000-0000-00006A440000}"/>
    <cellStyle name="Normal 2 5 2 3 7 2 2 2 2" xfId="47106" xr:uid="{00000000-0005-0000-0000-00006B440000}"/>
    <cellStyle name="Normal 2 5 2 3 7 2 2 3" xfId="34673" xr:uid="{00000000-0005-0000-0000-00006C440000}"/>
    <cellStyle name="Normal 2 5 2 3 7 2 3" xfId="17225" xr:uid="{00000000-0005-0000-0000-00006D440000}"/>
    <cellStyle name="Normal 2 5 2 3 7 2 3 2" xfId="42099" xr:uid="{00000000-0005-0000-0000-00006E440000}"/>
    <cellStyle name="Normal 2 5 2 3 7 2 4" xfId="29666" xr:uid="{00000000-0005-0000-0000-00006F440000}"/>
    <cellStyle name="Normal 2 5 2 3 7 3" xfId="6170" xr:uid="{00000000-0005-0000-0000-000070440000}"/>
    <cellStyle name="Normal 2 5 2 3 7 3 2" xfId="11185" xr:uid="{00000000-0005-0000-0000-000071440000}"/>
    <cellStyle name="Normal 2 5 2 3 7 3 2 2" xfId="23628" xr:uid="{00000000-0005-0000-0000-000072440000}"/>
    <cellStyle name="Normal 2 5 2 3 7 3 2 2 2" xfId="48502" xr:uid="{00000000-0005-0000-0000-000073440000}"/>
    <cellStyle name="Normal 2 5 2 3 7 3 2 3" xfId="36069" xr:uid="{00000000-0005-0000-0000-000074440000}"/>
    <cellStyle name="Normal 2 5 2 3 7 3 3" xfId="18621" xr:uid="{00000000-0005-0000-0000-000075440000}"/>
    <cellStyle name="Normal 2 5 2 3 7 3 3 2" xfId="43495" xr:uid="{00000000-0005-0000-0000-000076440000}"/>
    <cellStyle name="Normal 2 5 2 3 7 3 4" xfId="31062" xr:uid="{00000000-0005-0000-0000-000077440000}"/>
    <cellStyle name="Normal 2 5 2 3 7 4" xfId="8035" xr:uid="{00000000-0005-0000-0000-000078440000}"/>
    <cellStyle name="Normal 2 5 2 3 7 4 2" xfId="20481" xr:uid="{00000000-0005-0000-0000-000079440000}"/>
    <cellStyle name="Normal 2 5 2 3 7 4 2 2" xfId="45355" xr:uid="{00000000-0005-0000-0000-00007A440000}"/>
    <cellStyle name="Normal 2 5 2 3 7 4 3" xfId="32922" xr:uid="{00000000-0005-0000-0000-00007B440000}"/>
    <cellStyle name="Normal 2 5 2 3 7 5" xfId="12639" xr:uid="{00000000-0005-0000-0000-00007C440000}"/>
    <cellStyle name="Normal 2 5 2 3 7 5 2" xfId="25073" xr:uid="{00000000-0005-0000-0000-00007D440000}"/>
    <cellStyle name="Normal 2 5 2 3 7 5 2 2" xfId="49947" xr:uid="{00000000-0005-0000-0000-00007E440000}"/>
    <cellStyle name="Normal 2 5 2 3 7 5 3" xfId="37514" xr:uid="{00000000-0005-0000-0000-00007F440000}"/>
    <cellStyle name="Normal 2 5 2 3 7 6" xfId="7383" xr:uid="{00000000-0005-0000-0000-000080440000}"/>
    <cellStyle name="Normal 2 5 2 3 7 6 2" xfId="19831" xr:uid="{00000000-0005-0000-0000-000081440000}"/>
    <cellStyle name="Normal 2 5 2 3 7 6 2 2" xfId="44705" xr:uid="{00000000-0005-0000-0000-000082440000}"/>
    <cellStyle name="Normal 2 5 2 3 7 6 3" xfId="32272" xr:uid="{00000000-0005-0000-0000-000083440000}"/>
    <cellStyle name="Normal 2 5 2 3 7 7" xfId="2962" xr:uid="{00000000-0005-0000-0000-000084440000}"/>
    <cellStyle name="Normal 2 5 2 3 7 7 2" xfId="15474" xr:uid="{00000000-0005-0000-0000-000085440000}"/>
    <cellStyle name="Normal 2 5 2 3 7 7 2 2" xfId="40348" xr:uid="{00000000-0005-0000-0000-000086440000}"/>
    <cellStyle name="Normal 2 5 2 3 7 7 3" xfId="27907" xr:uid="{00000000-0005-0000-0000-000087440000}"/>
    <cellStyle name="Normal 2 5 2 3 7 8" xfId="14824" xr:uid="{00000000-0005-0000-0000-000088440000}"/>
    <cellStyle name="Normal 2 5 2 3 7 8 2" xfId="39698" xr:uid="{00000000-0005-0000-0000-000089440000}"/>
    <cellStyle name="Normal 2 5 2 3 7 9" xfId="27257" xr:uid="{00000000-0005-0000-0000-00008A440000}"/>
    <cellStyle name="Normal 2 5 2 3 8" xfId="981" xr:uid="{00000000-0005-0000-0000-00008B440000}"/>
    <cellStyle name="Normal 2 5 2 3 8 2" xfId="11596" xr:uid="{00000000-0005-0000-0000-00008C440000}"/>
    <cellStyle name="Normal 2 5 2 3 8 2 2" xfId="24030" xr:uid="{00000000-0005-0000-0000-00008D440000}"/>
    <cellStyle name="Normal 2 5 2 3 8 2 2 2" xfId="48904" xr:uid="{00000000-0005-0000-0000-00008E440000}"/>
    <cellStyle name="Normal 2 5 2 3 8 2 3" xfId="36471" xr:uid="{00000000-0005-0000-0000-00008F440000}"/>
    <cellStyle name="Normal 2 5 2 3 8 3" xfId="8922" xr:uid="{00000000-0005-0000-0000-000090440000}"/>
    <cellStyle name="Normal 2 5 2 3 8 3 2" xfId="21365" xr:uid="{00000000-0005-0000-0000-000091440000}"/>
    <cellStyle name="Normal 2 5 2 3 8 3 2 2" xfId="46239" xr:uid="{00000000-0005-0000-0000-000092440000}"/>
    <cellStyle name="Normal 2 5 2 3 8 3 3" xfId="33806" xr:uid="{00000000-0005-0000-0000-000093440000}"/>
    <cellStyle name="Normal 2 5 2 3 8 4" xfId="3904" xr:uid="{00000000-0005-0000-0000-000094440000}"/>
    <cellStyle name="Normal 2 5 2 3 8 4 2" xfId="16358" xr:uid="{00000000-0005-0000-0000-000095440000}"/>
    <cellStyle name="Normal 2 5 2 3 8 4 2 2" xfId="41232" xr:uid="{00000000-0005-0000-0000-000096440000}"/>
    <cellStyle name="Normal 2 5 2 3 8 4 3" xfId="28799" xr:uid="{00000000-0005-0000-0000-000097440000}"/>
    <cellStyle name="Normal 2 5 2 3 8 5" xfId="13781" xr:uid="{00000000-0005-0000-0000-000098440000}"/>
    <cellStyle name="Normal 2 5 2 3 8 5 2" xfId="38655" xr:uid="{00000000-0005-0000-0000-000099440000}"/>
    <cellStyle name="Normal 2 5 2 3 8 6" xfId="26214" xr:uid="{00000000-0005-0000-0000-00009A440000}"/>
    <cellStyle name="Normal 2 5 2 3 9" xfId="908" xr:uid="{00000000-0005-0000-0000-00009B440000}"/>
    <cellStyle name="Normal 2 5 2 3 9 2" xfId="10140" xr:uid="{00000000-0005-0000-0000-00009C440000}"/>
    <cellStyle name="Normal 2 5 2 3 9 2 2" xfId="22583" xr:uid="{00000000-0005-0000-0000-00009D440000}"/>
    <cellStyle name="Normal 2 5 2 3 9 2 2 2" xfId="47457" xr:uid="{00000000-0005-0000-0000-00009E440000}"/>
    <cellStyle name="Normal 2 5 2 3 9 2 3" xfId="35024" xr:uid="{00000000-0005-0000-0000-00009F440000}"/>
    <cellStyle name="Normal 2 5 2 3 9 3" xfId="5124" xr:uid="{00000000-0005-0000-0000-0000A0440000}"/>
    <cellStyle name="Normal 2 5 2 3 9 3 2" xfId="17576" xr:uid="{00000000-0005-0000-0000-0000A1440000}"/>
    <cellStyle name="Normal 2 5 2 3 9 3 2 2" xfId="42450" xr:uid="{00000000-0005-0000-0000-0000A2440000}"/>
    <cellStyle name="Normal 2 5 2 3 9 3 3" xfId="30017" xr:uid="{00000000-0005-0000-0000-0000A3440000}"/>
    <cellStyle name="Normal 2 5 2 3 9 4" xfId="13708" xr:uid="{00000000-0005-0000-0000-0000A4440000}"/>
    <cellStyle name="Normal 2 5 2 3 9 4 2" xfId="38582" xr:uid="{00000000-0005-0000-0000-0000A5440000}"/>
    <cellStyle name="Normal 2 5 2 3 9 5" xfId="26141" xr:uid="{00000000-0005-0000-0000-0000A6440000}"/>
    <cellStyle name="Normal 2 5 2 3_Degree data" xfId="2032" xr:uid="{00000000-0005-0000-0000-0000A7440000}"/>
    <cellStyle name="Normal 2 5 2 4" xfId="170" xr:uid="{00000000-0005-0000-0000-0000A8440000}"/>
    <cellStyle name="Normal 2 5 2 4 10" xfId="6548" xr:uid="{00000000-0005-0000-0000-0000A9440000}"/>
    <cellStyle name="Normal 2 5 2 4 10 2" xfId="18997" xr:uid="{00000000-0005-0000-0000-0000AA440000}"/>
    <cellStyle name="Normal 2 5 2 4 10 2 2" xfId="43871" xr:uid="{00000000-0005-0000-0000-0000AB440000}"/>
    <cellStyle name="Normal 2 5 2 4 10 3" xfId="31438" xr:uid="{00000000-0005-0000-0000-0000AC440000}"/>
    <cellStyle name="Normal 2 5 2 4 11" xfId="2716" xr:uid="{00000000-0005-0000-0000-0000AD440000}"/>
    <cellStyle name="Normal 2 5 2 4 11 2" xfId="15234" xr:uid="{00000000-0005-0000-0000-0000AE440000}"/>
    <cellStyle name="Normal 2 5 2 4 11 2 2" xfId="40108" xr:uid="{00000000-0005-0000-0000-0000AF440000}"/>
    <cellStyle name="Normal 2 5 2 4 11 3" xfId="27667" xr:uid="{00000000-0005-0000-0000-0000B0440000}"/>
    <cellStyle name="Normal 2 5 2 4 12" xfId="13000" xr:uid="{00000000-0005-0000-0000-0000B1440000}"/>
    <cellStyle name="Normal 2 5 2 4 12 2" xfId="37874" xr:uid="{00000000-0005-0000-0000-0000B2440000}"/>
    <cellStyle name="Normal 2 5 2 4 13" xfId="25433" xr:uid="{00000000-0005-0000-0000-0000B3440000}"/>
    <cellStyle name="Normal 2 5 2 4 2" xfId="420" xr:uid="{00000000-0005-0000-0000-0000B4440000}"/>
    <cellStyle name="Normal 2 5 2 4 2 10" xfId="13235" xr:uid="{00000000-0005-0000-0000-0000B5440000}"/>
    <cellStyle name="Normal 2 5 2 4 2 10 2" xfId="38109" xr:uid="{00000000-0005-0000-0000-0000B6440000}"/>
    <cellStyle name="Normal 2 5 2 4 2 11" xfId="25668" xr:uid="{00000000-0005-0000-0000-0000B7440000}"/>
    <cellStyle name="Normal 2 5 2 4 2 2" xfId="780" xr:uid="{00000000-0005-0000-0000-0000B8440000}"/>
    <cellStyle name="Normal 2 5 2 4 2 2 2" xfId="1401" xr:uid="{00000000-0005-0000-0000-0000B9440000}"/>
    <cellStyle name="Normal 2 5 2 4 2 2 2 2" xfId="9505" xr:uid="{00000000-0005-0000-0000-0000BA440000}"/>
    <cellStyle name="Normal 2 5 2 4 2 2 2 2 2" xfId="21948" xr:uid="{00000000-0005-0000-0000-0000BB440000}"/>
    <cellStyle name="Normal 2 5 2 4 2 2 2 2 2 2" xfId="46822" xr:uid="{00000000-0005-0000-0000-0000BC440000}"/>
    <cellStyle name="Normal 2 5 2 4 2 2 2 2 3" xfId="34389" xr:uid="{00000000-0005-0000-0000-0000BD440000}"/>
    <cellStyle name="Normal 2 5 2 4 2 2 2 3" xfId="4487" xr:uid="{00000000-0005-0000-0000-0000BE440000}"/>
    <cellStyle name="Normal 2 5 2 4 2 2 2 3 2" xfId="16941" xr:uid="{00000000-0005-0000-0000-0000BF440000}"/>
    <cellStyle name="Normal 2 5 2 4 2 2 2 3 2 2" xfId="41815" xr:uid="{00000000-0005-0000-0000-0000C0440000}"/>
    <cellStyle name="Normal 2 5 2 4 2 2 2 3 3" xfId="29382" xr:uid="{00000000-0005-0000-0000-0000C1440000}"/>
    <cellStyle name="Normal 2 5 2 4 2 2 2 4" xfId="14201" xr:uid="{00000000-0005-0000-0000-0000C2440000}"/>
    <cellStyle name="Normal 2 5 2 4 2 2 2 4 2" xfId="39075" xr:uid="{00000000-0005-0000-0000-0000C3440000}"/>
    <cellStyle name="Normal 2 5 2 4 2 2 2 5" xfId="26634" xr:uid="{00000000-0005-0000-0000-0000C4440000}"/>
    <cellStyle name="Normal 2 5 2 4 2 2 3" xfId="5546" xr:uid="{00000000-0005-0000-0000-0000C5440000}"/>
    <cellStyle name="Normal 2 5 2 4 2 2 3 2" xfId="10562" xr:uid="{00000000-0005-0000-0000-0000C6440000}"/>
    <cellStyle name="Normal 2 5 2 4 2 2 3 2 2" xfId="23005" xr:uid="{00000000-0005-0000-0000-0000C7440000}"/>
    <cellStyle name="Normal 2 5 2 4 2 2 3 2 2 2" xfId="47879" xr:uid="{00000000-0005-0000-0000-0000C8440000}"/>
    <cellStyle name="Normal 2 5 2 4 2 2 3 2 3" xfId="35446" xr:uid="{00000000-0005-0000-0000-0000C9440000}"/>
    <cellStyle name="Normal 2 5 2 4 2 2 3 3" xfId="17998" xr:uid="{00000000-0005-0000-0000-0000CA440000}"/>
    <cellStyle name="Normal 2 5 2 4 2 2 3 3 2" xfId="42872" xr:uid="{00000000-0005-0000-0000-0000CB440000}"/>
    <cellStyle name="Normal 2 5 2 4 2 2 3 4" xfId="30439" xr:uid="{00000000-0005-0000-0000-0000CC440000}"/>
    <cellStyle name="Normal 2 5 2 4 2 2 4" xfId="8621" xr:uid="{00000000-0005-0000-0000-0000CD440000}"/>
    <cellStyle name="Normal 2 5 2 4 2 2 4 2" xfId="21065" xr:uid="{00000000-0005-0000-0000-0000CE440000}"/>
    <cellStyle name="Normal 2 5 2 4 2 2 4 2 2" xfId="45939" xr:uid="{00000000-0005-0000-0000-0000CF440000}"/>
    <cellStyle name="Normal 2 5 2 4 2 2 4 3" xfId="33506" xr:uid="{00000000-0005-0000-0000-0000D0440000}"/>
    <cellStyle name="Normal 2 5 2 4 2 2 5" xfId="12016" xr:uid="{00000000-0005-0000-0000-0000D1440000}"/>
    <cellStyle name="Normal 2 5 2 4 2 2 5 2" xfId="24450" xr:uid="{00000000-0005-0000-0000-0000D2440000}"/>
    <cellStyle name="Normal 2 5 2 4 2 2 5 2 2" xfId="49324" xr:uid="{00000000-0005-0000-0000-0000D3440000}"/>
    <cellStyle name="Normal 2 5 2 4 2 2 5 3" xfId="36891" xr:uid="{00000000-0005-0000-0000-0000D4440000}"/>
    <cellStyle name="Normal 2 5 2 4 2 2 6" xfId="7098" xr:uid="{00000000-0005-0000-0000-0000D5440000}"/>
    <cellStyle name="Normal 2 5 2 4 2 2 6 2" xfId="19547" xr:uid="{00000000-0005-0000-0000-0000D6440000}"/>
    <cellStyle name="Normal 2 5 2 4 2 2 6 2 2" xfId="44421" xr:uid="{00000000-0005-0000-0000-0000D7440000}"/>
    <cellStyle name="Normal 2 5 2 4 2 2 6 3" xfId="31988" xr:uid="{00000000-0005-0000-0000-0000D8440000}"/>
    <cellStyle name="Normal 2 5 2 4 2 2 7" xfId="3552" xr:uid="{00000000-0005-0000-0000-0000D9440000}"/>
    <cellStyle name="Normal 2 5 2 4 2 2 7 2" xfId="16058" xr:uid="{00000000-0005-0000-0000-0000DA440000}"/>
    <cellStyle name="Normal 2 5 2 4 2 2 7 2 2" xfId="40932" xr:uid="{00000000-0005-0000-0000-0000DB440000}"/>
    <cellStyle name="Normal 2 5 2 4 2 2 7 3" xfId="28491" xr:uid="{00000000-0005-0000-0000-0000DC440000}"/>
    <cellStyle name="Normal 2 5 2 4 2 2 8" xfId="13582" xr:uid="{00000000-0005-0000-0000-0000DD440000}"/>
    <cellStyle name="Normal 2 5 2 4 2 2 8 2" xfId="38456" xr:uid="{00000000-0005-0000-0000-0000DE440000}"/>
    <cellStyle name="Normal 2 5 2 4 2 2 9" xfId="26015" xr:uid="{00000000-0005-0000-0000-0000DF440000}"/>
    <cellStyle name="Normal 2 5 2 4 2 3" xfId="1749" xr:uid="{00000000-0005-0000-0000-0000E0440000}"/>
    <cellStyle name="Normal 2 5 2 4 2 3 2" xfId="4964" xr:uid="{00000000-0005-0000-0000-0000E1440000}"/>
    <cellStyle name="Normal 2 5 2 4 2 3 2 2" xfId="9981" xr:uid="{00000000-0005-0000-0000-0000E2440000}"/>
    <cellStyle name="Normal 2 5 2 4 2 3 2 2 2" xfId="22424" xr:uid="{00000000-0005-0000-0000-0000E3440000}"/>
    <cellStyle name="Normal 2 5 2 4 2 3 2 2 2 2" xfId="47298" xr:uid="{00000000-0005-0000-0000-0000E4440000}"/>
    <cellStyle name="Normal 2 5 2 4 2 3 2 2 3" xfId="34865" xr:uid="{00000000-0005-0000-0000-0000E5440000}"/>
    <cellStyle name="Normal 2 5 2 4 2 3 2 3" xfId="17417" xr:uid="{00000000-0005-0000-0000-0000E6440000}"/>
    <cellStyle name="Normal 2 5 2 4 2 3 2 3 2" xfId="42291" xr:uid="{00000000-0005-0000-0000-0000E7440000}"/>
    <cellStyle name="Normal 2 5 2 4 2 3 2 4" xfId="29858" xr:uid="{00000000-0005-0000-0000-0000E8440000}"/>
    <cellStyle name="Normal 2 5 2 4 2 3 3" xfId="5895" xr:uid="{00000000-0005-0000-0000-0000E9440000}"/>
    <cellStyle name="Normal 2 5 2 4 2 3 3 2" xfId="10910" xr:uid="{00000000-0005-0000-0000-0000EA440000}"/>
    <cellStyle name="Normal 2 5 2 4 2 3 3 2 2" xfId="23353" xr:uid="{00000000-0005-0000-0000-0000EB440000}"/>
    <cellStyle name="Normal 2 5 2 4 2 3 3 2 2 2" xfId="48227" xr:uid="{00000000-0005-0000-0000-0000EC440000}"/>
    <cellStyle name="Normal 2 5 2 4 2 3 3 2 3" xfId="35794" xr:uid="{00000000-0005-0000-0000-0000ED440000}"/>
    <cellStyle name="Normal 2 5 2 4 2 3 3 3" xfId="18346" xr:uid="{00000000-0005-0000-0000-0000EE440000}"/>
    <cellStyle name="Normal 2 5 2 4 2 3 3 3 2" xfId="43220" xr:uid="{00000000-0005-0000-0000-0000EF440000}"/>
    <cellStyle name="Normal 2 5 2 4 2 3 3 4" xfId="30787" xr:uid="{00000000-0005-0000-0000-0000F0440000}"/>
    <cellStyle name="Normal 2 5 2 4 2 3 4" xfId="8388" xr:uid="{00000000-0005-0000-0000-0000F1440000}"/>
    <cellStyle name="Normal 2 5 2 4 2 3 4 2" xfId="20832" xr:uid="{00000000-0005-0000-0000-0000F2440000}"/>
    <cellStyle name="Normal 2 5 2 4 2 3 4 2 2" xfId="45706" xr:uid="{00000000-0005-0000-0000-0000F3440000}"/>
    <cellStyle name="Normal 2 5 2 4 2 3 4 3" xfId="33273" xr:uid="{00000000-0005-0000-0000-0000F4440000}"/>
    <cellStyle name="Normal 2 5 2 4 2 3 5" xfId="12364" xr:uid="{00000000-0005-0000-0000-0000F5440000}"/>
    <cellStyle name="Normal 2 5 2 4 2 3 5 2" xfId="24798" xr:uid="{00000000-0005-0000-0000-0000F6440000}"/>
    <cellStyle name="Normal 2 5 2 4 2 3 5 2 2" xfId="49672" xr:uid="{00000000-0005-0000-0000-0000F7440000}"/>
    <cellStyle name="Normal 2 5 2 4 2 3 5 3" xfId="37239" xr:uid="{00000000-0005-0000-0000-0000F8440000}"/>
    <cellStyle name="Normal 2 5 2 4 2 3 6" xfId="7575" xr:uid="{00000000-0005-0000-0000-0000F9440000}"/>
    <cellStyle name="Normal 2 5 2 4 2 3 6 2" xfId="20023" xr:uid="{00000000-0005-0000-0000-0000FA440000}"/>
    <cellStyle name="Normal 2 5 2 4 2 3 6 2 2" xfId="44897" xr:uid="{00000000-0005-0000-0000-0000FB440000}"/>
    <cellStyle name="Normal 2 5 2 4 2 3 6 3" xfId="32464" xr:uid="{00000000-0005-0000-0000-0000FC440000}"/>
    <cellStyle name="Normal 2 5 2 4 2 3 7" xfId="3319" xr:uid="{00000000-0005-0000-0000-0000FD440000}"/>
    <cellStyle name="Normal 2 5 2 4 2 3 7 2" xfId="15825" xr:uid="{00000000-0005-0000-0000-0000FE440000}"/>
    <cellStyle name="Normal 2 5 2 4 2 3 7 2 2" xfId="40699" xr:uid="{00000000-0005-0000-0000-0000FF440000}"/>
    <cellStyle name="Normal 2 5 2 4 2 3 7 3" xfId="28258" xr:uid="{00000000-0005-0000-0000-000000450000}"/>
    <cellStyle name="Normal 2 5 2 4 2 3 8" xfId="14549" xr:uid="{00000000-0005-0000-0000-000001450000}"/>
    <cellStyle name="Normal 2 5 2 4 2 3 8 2" xfId="39423" xr:uid="{00000000-0005-0000-0000-000002450000}"/>
    <cellStyle name="Normal 2 5 2 4 2 3 9" xfId="26982" xr:uid="{00000000-0005-0000-0000-000003450000}"/>
    <cellStyle name="Normal 2 5 2 4 2 4" xfId="2338" xr:uid="{00000000-0005-0000-0000-000004450000}"/>
    <cellStyle name="Normal 2 5 2 4 2 4 2" xfId="6362" xr:uid="{00000000-0005-0000-0000-000005450000}"/>
    <cellStyle name="Normal 2 5 2 4 2 4 2 2" xfId="11377" xr:uid="{00000000-0005-0000-0000-000006450000}"/>
    <cellStyle name="Normal 2 5 2 4 2 4 2 2 2" xfId="23820" xr:uid="{00000000-0005-0000-0000-000007450000}"/>
    <cellStyle name="Normal 2 5 2 4 2 4 2 2 2 2" xfId="48694" xr:uid="{00000000-0005-0000-0000-000008450000}"/>
    <cellStyle name="Normal 2 5 2 4 2 4 2 2 3" xfId="36261" xr:uid="{00000000-0005-0000-0000-000009450000}"/>
    <cellStyle name="Normal 2 5 2 4 2 4 2 3" xfId="18813" xr:uid="{00000000-0005-0000-0000-00000A450000}"/>
    <cellStyle name="Normal 2 5 2 4 2 4 2 3 2" xfId="43687" xr:uid="{00000000-0005-0000-0000-00000B450000}"/>
    <cellStyle name="Normal 2 5 2 4 2 4 2 4" xfId="31254" xr:uid="{00000000-0005-0000-0000-00000C450000}"/>
    <cellStyle name="Normal 2 5 2 4 2 4 3" xfId="12831" xr:uid="{00000000-0005-0000-0000-00000D450000}"/>
    <cellStyle name="Normal 2 5 2 4 2 4 3 2" xfId="25265" xr:uid="{00000000-0005-0000-0000-00000E450000}"/>
    <cellStyle name="Normal 2 5 2 4 2 4 3 2 2" xfId="50139" xr:uid="{00000000-0005-0000-0000-00000F450000}"/>
    <cellStyle name="Normal 2 5 2 4 2 4 3 3" xfId="37706" xr:uid="{00000000-0005-0000-0000-000010450000}"/>
    <cellStyle name="Normal 2 5 2 4 2 4 4" xfId="9272" xr:uid="{00000000-0005-0000-0000-000011450000}"/>
    <cellStyle name="Normal 2 5 2 4 2 4 4 2" xfId="21715" xr:uid="{00000000-0005-0000-0000-000012450000}"/>
    <cellStyle name="Normal 2 5 2 4 2 4 4 2 2" xfId="46589" xr:uid="{00000000-0005-0000-0000-000013450000}"/>
    <cellStyle name="Normal 2 5 2 4 2 4 4 3" xfId="34156" xr:uid="{00000000-0005-0000-0000-000014450000}"/>
    <cellStyle name="Normal 2 5 2 4 2 4 5" xfId="4254" xr:uid="{00000000-0005-0000-0000-000015450000}"/>
    <cellStyle name="Normal 2 5 2 4 2 4 5 2" xfId="16708" xr:uid="{00000000-0005-0000-0000-000016450000}"/>
    <cellStyle name="Normal 2 5 2 4 2 4 5 2 2" xfId="41582" xr:uid="{00000000-0005-0000-0000-000017450000}"/>
    <cellStyle name="Normal 2 5 2 4 2 4 5 3" xfId="29149" xr:uid="{00000000-0005-0000-0000-000018450000}"/>
    <cellStyle name="Normal 2 5 2 4 2 4 6" xfId="15016" xr:uid="{00000000-0005-0000-0000-000019450000}"/>
    <cellStyle name="Normal 2 5 2 4 2 4 6 2" xfId="39890" xr:uid="{00000000-0005-0000-0000-00001A450000}"/>
    <cellStyle name="Normal 2 5 2 4 2 4 7" xfId="27449" xr:uid="{00000000-0005-0000-0000-00001B450000}"/>
    <cellStyle name="Normal 2 5 2 4 2 5" xfId="1173" xr:uid="{00000000-0005-0000-0000-00001C450000}"/>
    <cellStyle name="Normal 2 5 2 4 2 5 2" xfId="10334" xr:uid="{00000000-0005-0000-0000-00001D450000}"/>
    <cellStyle name="Normal 2 5 2 4 2 5 2 2" xfId="22777" xr:uid="{00000000-0005-0000-0000-00001E450000}"/>
    <cellStyle name="Normal 2 5 2 4 2 5 2 2 2" xfId="47651" xr:uid="{00000000-0005-0000-0000-00001F450000}"/>
    <cellStyle name="Normal 2 5 2 4 2 5 2 3" xfId="35218" xr:uid="{00000000-0005-0000-0000-000020450000}"/>
    <cellStyle name="Normal 2 5 2 4 2 5 3" xfId="5318" xr:uid="{00000000-0005-0000-0000-000021450000}"/>
    <cellStyle name="Normal 2 5 2 4 2 5 3 2" xfId="17770" xr:uid="{00000000-0005-0000-0000-000022450000}"/>
    <cellStyle name="Normal 2 5 2 4 2 5 3 2 2" xfId="42644" xr:uid="{00000000-0005-0000-0000-000023450000}"/>
    <cellStyle name="Normal 2 5 2 4 2 5 3 3" xfId="30211" xr:uid="{00000000-0005-0000-0000-000024450000}"/>
    <cellStyle name="Normal 2 5 2 4 2 5 4" xfId="13973" xr:uid="{00000000-0005-0000-0000-000025450000}"/>
    <cellStyle name="Normal 2 5 2 4 2 5 4 2" xfId="38847" xr:uid="{00000000-0005-0000-0000-000026450000}"/>
    <cellStyle name="Normal 2 5 2 4 2 5 5" xfId="26406" xr:uid="{00000000-0005-0000-0000-000027450000}"/>
    <cellStyle name="Normal 2 5 2 4 2 6" xfId="7895" xr:uid="{00000000-0005-0000-0000-000028450000}"/>
    <cellStyle name="Normal 2 5 2 4 2 6 2" xfId="20341" xr:uid="{00000000-0005-0000-0000-000029450000}"/>
    <cellStyle name="Normal 2 5 2 4 2 6 2 2" xfId="45215" xr:uid="{00000000-0005-0000-0000-00002A450000}"/>
    <cellStyle name="Normal 2 5 2 4 2 6 3" xfId="32782" xr:uid="{00000000-0005-0000-0000-00002B450000}"/>
    <cellStyle name="Normal 2 5 2 4 2 7" xfId="11788" xr:uid="{00000000-0005-0000-0000-00002C450000}"/>
    <cellStyle name="Normal 2 5 2 4 2 7 2" xfId="24222" xr:uid="{00000000-0005-0000-0000-00002D450000}"/>
    <cellStyle name="Normal 2 5 2 4 2 7 2 2" xfId="49096" xr:uid="{00000000-0005-0000-0000-00002E450000}"/>
    <cellStyle name="Normal 2 5 2 4 2 7 3" xfId="36663" xr:uid="{00000000-0005-0000-0000-00002F450000}"/>
    <cellStyle name="Normal 2 5 2 4 2 8" xfId="6865" xr:uid="{00000000-0005-0000-0000-000030450000}"/>
    <cellStyle name="Normal 2 5 2 4 2 8 2" xfId="19314" xr:uid="{00000000-0005-0000-0000-000031450000}"/>
    <cellStyle name="Normal 2 5 2 4 2 8 2 2" xfId="44188" xr:uid="{00000000-0005-0000-0000-000032450000}"/>
    <cellStyle name="Normal 2 5 2 4 2 8 3" xfId="31755" xr:uid="{00000000-0005-0000-0000-000033450000}"/>
    <cellStyle name="Normal 2 5 2 4 2 9" xfId="2816" xr:uid="{00000000-0005-0000-0000-000034450000}"/>
    <cellStyle name="Normal 2 5 2 4 2 9 2" xfId="15334" xr:uid="{00000000-0005-0000-0000-000035450000}"/>
    <cellStyle name="Normal 2 5 2 4 2 9 2 2" xfId="40208" xr:uid="{00000000-0005-0000-0000-000036450000}"/>
    <cellStyle name="Normal 2 5 2 4 2 9 3" xfId="27767" xr:uid="{00000000-0005-0000-0000-000037450000}"/>
    <cellStyle name="Normal 2 5 2 4 2_Degree data" xfId="2076" xr:uid="{00000000-0005-0000-0000-000038450000}"/>
    <cellStyle name="Normal 2 5 2 4 3" xfId="318" xr:uid="{00000000-0005-0000-0000-000039450000}"/>
    <cellStyle name="Normal 2 5 2 4 3 2" xfId="1400" xr:uid="{00000000-0005-0000-0000-00003A450000}"/>
    <cellStyle name="Normal 2 5 2 4 3 2 2" xfId="9172" xr:uid="{00000000-0005-0000-0000-00003B450000}"/>
    <cellStyle name="Normal 2 5 2 4 3 2 2 2" xfId="21615" xr:uid="{00000000-0005-0000-0000-00003C450000}"/>
    <cellStyle name="Normal 2 5 2 4 3 2 2 2 2" xfId="46489" xr:uid="{00000000-0005-0000-0000-00003D450000}"/>
    <cellStyle name="Normal 2 5 2 4 3 2 2 3" xfId="34056" xr:uid="{00000000-0005-0000-0000-00003E450000}"/>
    <cellStyle name="Normal 2 5 2 4 3 2 3" xfId="4154" xr:uid="{00000000-0005-0000-0000-00003F450000}"/>
    <cellStyle name="Normal 2 5 2 4 3 2 3 2" xfId="16608" xr:uid="{00000000-0005-0000-0000-000040450000}"/>
    <cellStyle name="Normal 2 5 2 4 3 2 3 2 2" xfId="41482" xr:uid="{00000000-0005-0000-0000-000041450000}"/>
    <cellStyle name="Normal 2 5 2 4 3 2 3 3" xfId="29049" xr:uid="{00000000-0005-0000-0000-000042450000}"/>
    <cellStyle name="Normal 2 5 2 4 3 2 4" xfId="14200" xr:uid="{00000000-0005-0000-0000-000043450000}"/>
    <cellStyle name="Normal 2 5 2 4 3 2 4 2" xfId="39074" xr:uid="{00000000-0005-0000-0000-000044450000}"/>
    <cellStyle name="Normal 2 5 2 4 3 2 5" xfId="26633" xr:uid="{00000000-0005-0000-0000-000045450000}"/>
    <cellStyle name="Normal 2 5 2 4 3 3" xfId="5545" xr:uid="{00000000-0005-0000-0000-000046450000}"/>
    <cellStyle name="Normal 2 5 2 4 3 3 2" xfId="10561" xr:uid="{00000000-0005-0000-0000-000047450000}"/>
    <cellStyle name="Normal 2 5 2 4 3 3 2 2" xfId="23004" xr:uid="{00000000-0005-0000-0000-000048450000}"/>
    <cellStyle name="Normal 2 5 2 4 3 3 2 2 2" xfId="47878" xr:uid="{00000000-0005-0000-0000-000049450000}"/>
    <cellStyle name="Normal 2 5 2 4 3 3 2 3" xfId="35445" xr:uid="{00000000-0005-0000-0000-00004A450000}"/>
    <cellStyle name="Normal 2 5 2 4 3 3 3" xfId="17997" xr:uid="{00000000-0005-0000-0000-00004B450000}"/>
    <cellStyle name="Normal 2 5 2 4 3 3 3 2" xfId="42871" xr:uid="{00000000-0005-0000-0000-00004C450000}"/>
    <cellStyle name="Normal 2 5 2 4 3 3 4" xfId="30438" xr:uid="{00000000-0005-0000-0000-00004D450000}"/>
    <cellStyle name="Normal 2 5 2 4 3 4" xfId="8288" xr:uid="{00000000-0005-0000-0000-00004E450000}"/>
    <cellStyle name="Normal 2 5 2 4 3 4 2" xfId="20732" xr:uid="{00000000-0005-0000-0000-00004F450000}"/>
    <cellStyle name="Normal 2 5 2 4 3 4 2 2" xfId="45606" xr:uid="{00000000-0005-0000-0000-000050450000}"/>
    <cellStyle name="Normal 2 5 2 4 3 4 3" xfId="33173" xr:uid="{00000000-0005-0000-0000-000051450000}"/>
    <cellStyle name="Normal 2 5 2 4 3 5" xfId="12015" xr:uid="{00000000-0005-0000-0000-000052450000}"/>
    <cellStyle name="Normal 2 5 2 4 3 5 2" xfId="24449" xr:uid="{00000000-0005-0000-0000-000053450000}"/>
    <cellStyle name="Normal 2 5 2 4 3 5 2 2" xfId="49323" xr:uid="{00000000-0005-0000-0000-000054450000}"/>
    <cellStyle name="Normal 2 5 2 4 3 5 3" xfId="36890" xr:uid="{00000000-0005-0000-0000-000055450000}"/>
    <cellStyle name="Normal 2 5 2 4 3 6" xfId="6765" xr:uid="{00000000-0005-0000-0000-000056450000}"/>
    <cellStyle name="Normal 2 5 2 4 3 6 2" xfId="19214" xr:uid="{00000000-0005-0000-0000-000057450000}"/>
    <cellStyle name="Normal 2 5 2 4 3 6 2 2" xfId="44088" xr:uid="{00000000-0005-0000-0000-000058450000}"/>
    <cellStyle name="Normal 2 5 2 4 3 6 3" xfId="31655" xr:uid="{00000000-0005-0000-0000-000059450000}"/>
    <cellStyle name="Normal 2 5 2 4 3 7" xfId="3219" xr:uid="{00000000-0005-0000-0000-00005A450000}"/>
    <cellStyle name="Normal 2 5 2 4 3 7 2" xfId="15725" xr:uid="{00000000-0005-0000-0000-00005B450000}"/>
    <cellStyle name="Normal 2 5 2 4 3 7 2 2" xfId="40599" xr:uid="{00000000-0005-0000-0000-00005C450000}"/>
    <cellStyle name="Normal 2 5 2 4 3 7 3" xfId="28158" xr:uid="{00000000-0005-0000-0000-00005D450000}"/>
    <cellStyle name="Normal 2 5 2 4 3 8" xfId="13135" xr:uid="{00000000-0005-0000-0000-00005E450000}"/>
    <cellStyle name="Normal 2 5 2 4 3 8 2" xfId="38009" xr:uid="{00000000-0005-0000-0000-00005F450000}"/>
    <cellStyle name="Normal 2 5 2 4 3 9" xfId="25568" xr:uid="{00000000-0005-0000-0000-000060450000}"/>
    <cellStyle name="Normal 2 5 2 4 4" xfId="679" xr:uid="{00000000-0005-0000-0000-000061450000}"/>
    <cellStyle name="Normal 2 5 2 4 4 2" xfId="1748" xr:uid="{00000000-0005-0000-0000-000062450000}"/>
    <cellStyle name="Normal 2 5 2 4 4 2 2" xfId="9504" xr:uid="{00000000-0005-0000-0000-000063450000}"/>
    <cellStyle name="Normal 2 5 2 4 4 2 2 2" xfId="21947" xr:uid="{00000000-0005-0000-0000-000064450000}"/>
    <cellStyle name="Normal 2 5 2 4 4 2 2 2 2" xfId="46821" xr:uid="{00000000-0005-0000-0000-000065450000}"/>
    <cellStyle name="Normal 2 5 2 4 4 2 2 3" xfId="34388" xr:uid="{00000000-0005-0000-0000-000066450000}"/>
    <cellStyle name="Normal 2 5 2 4 4 2 3" xfId="4486" xr:uid="{00000000-0005-0000-0000-000067450000}"/>
    <cellStyle name="Normal 2 5 2 4 4 2 3 2" xfId="16940" xr:uid="{00000000-0005-0000-0000-000068450000}"/>
    <cellStyle name="Normal 2 5 2 4 4 2 3 2 2" xfId="41814" xr:uid="{00000000-0005-0000-0000-000069450000}"/>
    <cellStyle name="Normal 2 5 2 4 4 2 3 3" xfId="29381" xr:uid="{00000000-0005-0000-0000-00006A450000}"/>
    <cellStyle name="Normal 2 5 2 4 4 2 4" xfId="14548" xr:uid="{00000000-0005-0000-0000-00006B450000}"/>
    <cellStyle name="Normal 2 5 2 4 4 2 4 2" xfId="39422" xr:uid="{00000000-0005-0000-0000-00006C450000}"/>
    <cellStyle name="Normal 2 5 2 4 4 2 5" xfId="26981" xr:uid="{00000000-0005-0000-0000-00006D450000}"/>
    <cellStyle name="Normal 2 5 2 4 4 3" xfId="5894" xr:uid="{00000000-0005-0000-0000-00006E450000}"/>
    <cellStyle name="Normal 2 5 2 4 4 3 2" xfId="10909" xr:uid="{00000000-0005-0000-0000-00006F450000}"/>
    <cellStyle name="Normal 2 5 2 4 4 3 2 2" xfId="23352" xr:uid="{00000000-0005-0000-0000-000070450000}"/>
    <cellStyle name="Normal 2 5 2 4 4 3 2 2 2" xfId="48226" xr:uid="{00000000-0005-0000-0000-000071450000}"/>
    <cellStyle name="Normal 2 5 2 4 4 3 2 3" xfId="35793" xr:uid="{00000000-0005-0000-0000-000072450000}"/>
    <cellStyle name="Normal 2 5 2 4 4 3 3" xfId="18345" xr:uid="{00000000-0005-0000-0000-000073450000}"/>
    <cellStyle name="Normal 2 5 2 4 4 3 3 2" xfId="43219" xr:uid="{00000000-0005-0000-0000-000074450000}"/>
    <cellStyle name="Normal 2 5 2 4 4 3 4" xfId="30786" xr:uid="{00000000-0005-0000-0000-000075450000}"/>
    <cellStyle name="Normal 2 5 2 4 4 4" xfId="8620" xr:uid="{00000000-0005-0000-0000-000076450000}"/>
    <cellStyle name="Normal 2 5 2 4 4 4 2" xfId="21064" xr:uid="{00000000-0005-0000-0000-000077450000}"/>
    <cellStyle name="Normal 2 5 2 4 4 4 2 2" xfId="45938" xr:uid="{00000000-0005-0000-0000-000078450000}"/>
    <cellStyle name="Normal 2 5 2 4 4 4 3" xfId="33505" xr:uid="{00000000-0005-0000-0000-000079450000}"/>
    <cellStyle name="Normal 2 5 2 4 4 5" xfId="12363" xr:uid="{00000000-0005-0000-0000-00007A450000}"/>
    <cellStyle name="Normal 2 5 2 4 4 5 2" xfId="24797" xr:uid="{00000000-0005-0000-0000-00007B450000}"/>
    <cellStyle name="Normal 2 5 2 4 4 5 2 2" xfId="49671" xr:uid="{00000000-0005-0000-0000-00007C450000}"/>
    <cellStyle name="Normal 2 5 2 4 4 5 3" xfId="37238" xr:uid="{00000000-0005-0000-0000-00007D450000}"/>
    <cellStyle name="Normal 2 5 2 4 4 6" xfId="7097" xr:uid="{00000000-0005-0000-0000-00007E450000}"/>
    <cellStyle name="Normal 2 5 2 4 4 6 2" xfId="19546" xr:uid="{00000000-0005-0000-0000-00007F450000}"/>
    <cellStyle name="Normal 2 5 2 4 4 6 2 2" xfId="44420" xr:uid="{00000000-0005-0000-0000-000080450000}"/>
    <cellStyle name="Normal 2 5 2 4 4 6 3" xfId="31987" xr:uid="{00000000-0005-0000-0000-000081450000}"/>
    <cellStyle name="Normal 2 5 2 4 4 7" xfId="3551" xr:uid="{00000000-0005-0000-0000-000082450000}"/>
    <cellStyle name="Normal 2 5 2 4 4 7 2" xfId="16057" xr:uid="{00000000-0005-0000-0000-000083450000}"/>
    <cellStyle name="Normal 2 5 2 4 4 7 2 2" xfId="40931" xr:uid="{00000000-0005-0000-0000-000084450000}"/>
    <cellStyle name="Normal 2 5 2 4 4 7 3" xfId="28490" xr:uid="{00000000-0005-0000-0000-000085450000}"/>
    <cellStyle name="Normal 2 5 2 4 4 8" xfId="13482" xr:uid="{00000000-0005-0000-0000-000086450000}"/>
    <cellStyle name="Normal 2 5 2 4 4 8 2" xfId="38356" xr:uid="{00000000-0005-0000-0000-000087450000}"/>
    <cellStyle name="Normal 2 5 2 4 4 9" xfId="25915" xr:uid="{00000000-0005-0000-0000-000088450000}"/>
    <cellStyle name="Normal 2 5 2 4 5" xfId="2236" xr:uid="{00000000-0005-0000-0000-000089450000}"/>
    <cellStyle name="Normal 2 5 2 4 5 2" xfId="4864" xr:uid="{00000000-0005-0000-0000-00008A450000}"/>
    <cellStyle name="Normal 2 5 2 4 5 2 2" xfId="9881" xr:uid="{00000000-0005-0000-0000-00008B450000}"/>
    <cellStyle name="Normal 2 5 2 4 5 2 2 2" xfId="22324" xr:uid="{00000000-0005-0000-0000-00008C450000}"/>
    <cellStyle name="Normal 2 5 2 4 5 2 2 2 2" xfId="47198" xr:uid="{00000000-0005-0000-0000-00008D450000}"/>
    <cellStyle name="Normal 2 5 2 4 5 2 2 3" xfId="34765" xr:uid="{00000000-0005-0000-0000-00008E450000}"/>
    <cellStyle name="Normal 2 5 2 4 5 2 3" xfId="17317" xr:uid="{00000000-0005-0000-0000-00008F450000}"/>
    <cellStyle name="Normal 2 5 2 4 5 2 3 2" xfId="42191" xr:uid="{00000000-0005-0000-0000-000090450000}"/>
    <cellStyle name="Normal 2 5 2 4 5 2 4" xfId="29758" xr:uid="{00000000-0005-0000-0000-000091450000}"/>
    <cellStyle name="Normal 2 5 2 4 5 3" xfId="6262" xr:uid="{00000000-0005-0000-0000-000092450000}"/>
    <cellStyle name="Normal 2 5 2 4 5 3 2" xfId="11277" xr:uid="{00000000-0005-0000-0000-000093450000}"/>
    <cellStyle name="Normal 2 5 2 4 5 3 2 2" xfId="23720" xr:uid="{00000000-0005-0000-0000-000094450000}"/>
    <cellStyle name="Normal 2 5 2 4 5 3 2 2 2" xfId="48594" xr:uid="{00000000-0005-0000-0000-000095450000}"/>
    <cellStyle name="Normal 2 5 2 4 5 3 2 3" xfId="36161" xr:uid="{00000000-0005-0000-0000-000096450000}"/>
    <cellStyle name="Normal 2 5 2 4 5 3 3" xfId="18713" xr:uid="{00000000-0005-0000-0000-000097450000}"/>
    <cellStyle name="Normal 2 5 2 4 5 3 3 2" xfId="43587" xr:uid="{00000000-0005-0000-0000-000098450000}"/>
    <cellStyle name="Normal 2 5 2 4 5 3 4" xfId="31154" xr:uid="{00000000-0005-0000-0000-000099450000}"/>
    <cellStyle name="Normal 2 5 2 4 5 4" xfId="8069" xr:uid="{00000000-0005-0000-0000-00009A450000}"/>
    <cellStyle name="Normal 2 5 2 4 5 4 2" xfId="20515" xr:uid="{00000000-0005-0000-0000-00009B450000}"/>
    <cellStyle name="Normal 2 5 2 4 5 4 2 2" xfId="45389" xr:uid="{00000000-0005-0000-0000-00009C450000}"/>
    <cellStyle name="Normal 2 5 2 4 5 4 3" xfId="32956" xr:uid="{00000000-0005-0000-0000-00009D450000}"/>
    <cellStyle name="Normal 2 5 2 4 5 5" xfId="12731" xr:uid="{00000000-0005-0000-0000-00009E450000}"/>
    <cellStyle name="Normal 2 5 2 4 5 5 2" xfId="25165" xr:uid="{00000000-0005-0000-0000-00009F450000}"/>
    <cellStyle name="Normal 2 5 2 4 5 5 2 2" xfId="50039" xr:uid="{00000000-0005-0000-0000-0000A0450000}"/>
    <cellStyle name="Normal 2 5 2 4 5 5 3" xfId="37606" xr:uid="{00000000-0005-0000-0000-0000A1450000}"/>
    <cellStyle name="Normal 2 5 2 4 5 6" xfId="7475" xr:uid="{00000000-0005-0000-0000-0000A2450000}"/>
    <cellStyle name="Normal 2 5 2 4 5 6 2" xfId="19923" xr:uid="{00000000-0005-0000-0000-0000A3450000}"/>
    <cellStyle name="Normal 2 5 2 4 5 6 2 2" xfId="44797" xr:uid="{00000000-0005-0000-0000-0000A4450000}"/>
    <cellStyle name="Normal 2 5 2 4 5 6 3" xfId="32364" xr:uid="{00000000-0005-0000-0000-0000A5450000}"/>
    <cellStyle name="Normal 2 5 2 4 5 7" xfId="2998" xr:uid="{00000000-0005-0000-0000-0000A6450000}"/>
    <cellStyle name="Normal 2 5 2 4 5 7 2" xfId="15508" xr:uid="{00000000-0005-0000-0000-0000A7450000}"/>
    <cellStyle name="Normal 2 5 2 4 5 7 2 2" xfId="40382" xr:uid="{00000000-0005-0000-0000-0000A8450000}"/>
    <cellStyle name="Normal 2 5 2 4 5 7 3" xfId="27941" xr:uid="{00000000-0005-0000-0000-0000A9450000}"/>
    <cellStyle name="Normal 2 5 2 4 5 8" xfId="14916" xr:uid="{00000000-0005-0000-0000-0000AA450000}"/>
    <cellStyle name="Normal 2 5 2 4 5 8 2" xfId="39790" xr:uid="{00000000-0005-0000-0000-0000AB450000}"/>
    <cellStyle name="Normal 2 5 2 4 5 9" xfId="27349" xr:uid="{00000000-0005-0000-0000-0000AC450000}"/>
    <cellStyle name="Normal 2 5 2 4 6" xfId="1073" xr:uid="{00000000-0005-0000-0000-0000AD450000}"/>
    <cellStyle name="Normal 2 5 2 4 6 2" xfId="8955" xr:uid="{00000000-0005-0000-0000-0000AE450000}"/>
    <cellStyle name="Normal 2 5 2 4 6 2 2" xfId="21398" xr:uid="{00000000-0005-0000-0000-0000AF450000}"/>
    <cellStyle name="Normal 2 5 2 4 6 2 2 2" xfId="46272" xr:uid="{00000000-0005-0000-0000-0000B0450000}"/>
    <cellStyle name="Normal 2 5 2 4 6 2 3" xfId="33839" xr:uid="{00000000-0005-0000-0000-0000B1450000}"/>
    <cellStyle name="Normal 2 5 2 4 6 3" xfId="3937" xr:uid="{00000000-0005-0000-0000-0000B2450000}"/>
    <cellStyle name="Normal 2 5 2 4 6 3 2" xfId="16391" xr:uid="{00000000-0005-0000-0000-0000B3450000}"/>
    <cellStyle name="Normal 2 5 2 4 6 3 2 2" xfId="41265" xr:uid="{00000000-0005-0000-0000-0000B4450000}"/>
    <cellStyle name="Normal 2 5 2 4 6 3 3" xfId="28832" xr:uid="{00000000-0005-0000-0000-0000B5450000}"/>
    <cellStyle name="Normal 2 5 2 4 6 4" xfId="13873" xr:uid="{00000000-0005-0000-0000-0000B6450000}"/>
    <cellStyle name="Normal 2 5 2 4 6 4 2" xfId="38747" xr:uid="{00000000-0005-0000-0000-0000B7450000}"/>
    <cellStyle name="Normal 2 5 2 4 6 5" xfId="26306" xr:uid="{00000000-0005-0000-0000-0000B8450000}"/>
    <cellStyle name="Normal 2 5 2 4 7" xfId="5218" xr:uid="{00000000-0005-0000-0000-0000B9450000}"/>
    <cellStyle name="Normal 2 5 2 4 7 2" xfId="10234" xr:uid="{00000000-0005-0000-0000-0000BA450000}"/>
    <cellStyle name="Normal 2 5 2 4 7 2 2" xfId="22677" xr:uid="{00000000-0005-0000-0000-0000BB450000}"/>
    <cellStyle name="Normal 2 5 2 4 7 2 2 2" xfId="47551" xr:uid="{00000000-0005-0000-0000-0000BC450000}"/>
    <cellStyle name="Normal 2 5 2 4 7 2 3" xfId="35118" xr:uid="{00000000-0005-0000-0000-0000BD450000}"/>
    <cellStyle name="Normal 2 5 2 4 7 3" xfId="17670" xr:uid="{00000000-0005-0000-0000-0000BE450000}"/>
    <cellStyle name="Normal 2 5 2 4 7 3 2" xfId="42544" xr:uid="{00000000-0005-0000-0000-0000BF450000}"/>
    <cellStyle name="Normal 2 5 2 4 7 4" xfId="30111" xr:uid="{00000000-0005-0000-0000-0000C0450000}"/>
    <cellStyle name="Normal 2 5 2 4 8" xfId="7795" xr:uid="{00000000-0005-0000-0000-0000C1450000}"/>
    <cellStyle name="Normal 2 5 2 4 8 2" xfId="20241" xr:uid="{00000000-0005-0000-0000-0000C2450000}"/>
    <cellStyle name="Normal 2 5 2 4 8 2 2" xfId="45115" xr:uid="{00000000-0005-0000-0000-0000C3450000}"/>
    <cellStyle name="Normal 2 5 2 4 8 3" xfId="32682" xr:uid="{00000000-0005-0000-0000-0000C4450000}"/>
    <cellStyle name="Normal 2 5 2 4 9" xfId="11688" xr:uid="{00000000-0005-0000-0000-0000C5450000}"/>
    <cellStyle name="Normal 2 5 2 4 9 2" xfId="24122" xr:uid="{00000000-0005-0000-0000-0000C6450000}"/>
    <cellStyle name="Normal 2 5 2 4 9 2 2" xfId="48996" xr:uid="{00000000-0005-0000-0000-0000C7450000}"/>
    <cellStyle name="Normal 2 5 2 4 9 3" xfId="36563" xr:uid="{00000000-0005-0000-0000-0000C8450000}"/>
    <cellStyle name="Normal 2 5 2 4_Degree data" xfId="2077" xr:uid="{00000000-0005-0000-0000-0000C9450000}"/>
    <cellStyle name="Normal 2 5 2 5" xfId="262" xr:uid="{00000000-0005-0000-0000-0000CA450000}"/>
    <cellStyle name="Normal 2 5 2 5 10" xfId="6602" xr:uid="{00000000-0005-0000-0000-0000CB450000}"/>
    <cellStyle name="Normal 2 5 2 5 10 2" xfId="19051" xr:uid="{00000000-0005-0000-0000-0000CC450000}"/>
    <cellStyle name="Normal 2 5 2 5 10 2 2" xfId="43925" xr:uid="{00000000-0005-0000-0000-0000CD450000}"/>
    <cellStyle name="Normal 2 5 2 5 10 3" xfId="31492" xr:uid="{00000000-0005-0000-0000-0000CE450000}"/>
    <cellStyle name="Normal 2 5 2 5 11" xfId="2665" xr:uid="{00000000-0005-0000-0000-0000CF450000}"/>
    <cellStyle name="Normal 2 5 2 5 11 2" xfId="15183" xr:uid="{00000000-0005-0000-0000-0000D0450000}"/>
    <cellStyle name="Normal 2 5 2 5 11 2 2" xfId="40057" xr:uid="{00000000-0005-0000-0000-0000D1450000}"/>
    <cellStyle name="Normal 2 5 2 5 11 3" xfId="27616" xr:uid="{00000000-0005-0000-0000-0000D2450000}"/>
    <cellStyle name="Normal 2 5 2 5 12" xfId="13084" xr:uid="{00000000-0005-0000-0000-0000D3450000}"/>
    <cellStyle name="Normal 2 5 2 5 12 2" xfId="37958" xr:uid="{00000000-0005-0000-0000-0000D4450000}"/>
    <cellStyle name="Normal 2 5 2 5 13" xfId="25517" xr:uid="{00000000-0005-0000-0000-0000D5450000}"/>
    <cellStyle name="Normal 2 5 2 5 2" xfId="476" xr:uid="{00000000-0005-0000-0000-0000D6450000}"/>
    <cellStyle name="Normal 2 5 2 5 2 10" xfId="13289" xr:uid="{00000000-0005-0000-0000-0000D7450000}"/>
    <cellStyle name="Normal 2 5 2 5 2 10 2" xfId="38163" xr:uid="{00000000-0005-0000-0000-0000D8450000}"/>
    <cellStyle name="Normal 2 5 2 5 2 11" xfId="25722" xr:uid="{00000000-0005-0000-0000-0000D9450000}"/>
    <cellStyle name="Normal 2 5 2 5 2 2" xfId="835" xr:uid="{00000000-0005-0000-0000-0000DA450000}"/>
    <cellStyle name="Normal 2 5 2 5 2 2 2" xfId="1403" xr:uid="{00000000-0005-0000-0000-0000DB450000}"/>
    <cellStyle name="Normal 2 5 2 5 2 2 2 2" xfId="9507" xr:uid="{00000000-0005-0000-0000-0000DC450000}"/>
    <cellStyle name="Normal 2 5 2 5 2 2 2 2 2" xfId="21950" xr:uid="{00000000-0005-0000-0000-0000DD450000}"/>
    <cellStyle name="Normal 2 5 2 5 2 2 2 2 2 2" xfId="46824" xr:uid="{00000000-0005-0000-0000-0000DE450000}"/>
    <cellStyle name="Normal 2 5 2 5 2 2 2 2 3" xfId="34391" xr:uid="{00000000-0005-0000-0000-0000DF450000}"/>
    <cellStyle name="Normal 2 5 2 5 2 2 2 3" xfId="4489" xr:uid="{00000000-0005-0000-0000-0000E0450000}"/>
    <cellStyle name="Normal 2 5 2 5 2 2 2 3 2" xfId="16943" xr:uid="{00000000-0005-0000-0000-0000E1450000}"/>
    <cellStyle name="Normal 2 5 2 5 2 2 2 3 2 2" xfId="41817" xr:uid="{00000000-0005-0000-0000-0000E2450000}"/>
    <cellStyle name="Normal 2 5 2 5 2 2 2 3 3" xfId="29384" xr:uid="{00000000-0005-0000-0000-0000E3450000}"/>
    <cellStyle name="Normal 2 5 2 5 2 2 2 4" xfId="14203" xr:uid="{00000000-0005-0000-0000-0000E4450000}"/>
    <cellStyle name="Normal 2 5 2 5 2 2 2 4 2" xfId="39077" xr:uid="{00000000-0005-0000-0000-0000E5450000}"/>
    <cellStyle name="Normal 2 5 2 5 2 2 2 5" xfId="26636" xr:uid="{00000000-0005-0000-0000-0000E6450000}"/>
    <cellStyle name="Normal 2 5 2 5 2 2 3" xfId="5548" xr:uid="{00000000-0005-0000-0000-0000E7450000}"/>
    <cellStyle name="Normal 2 5 2 5 2 2 3 2" xfId="10564" xr:uid="{00000000-0005-0000-0000-0000E8450000}"/>
    <cellStyle name="Normal 2 5 2 5 2 2 3 2 2" xfId="23007" xr:uid="{00000000-0005-0000-0000-0000E9450000}"/>
    <cellStyle name="Normal 2 5 2 5 2 2 3 2 2 2" xfId="47881" xr:uid="{00000000-0005-0000-0000-0000EA450000}"/>
    <cellStyle name="Normal 2 5 2 5 2 2 3 2 3" xfId="35448" xr:uid="{00000000-0005-0000-0000-0000EB450000}"/>
    <cellStyle name="Normal 2 5 2 5 2 2 3 3" xfId="18000" xr:uid="{00000000-0005-0000-0000-0000EC450000}"/>
    <cellStyle name="Normal 2 5 2 5 2 2 3 3 2" xfId="42874" xr:uid="{00000000-0005-0000-0000-0000ED450000}"/>
    <cellStyle name="Normal 2 5 2 5 2 2 3 4" xfId="30441" xr:uid="{00000000-0005-0000-0000-0000EE450000}"/>
    <cellStyle name="Normal 2 5 2 5 2 2 4" xfId="8623" xr:uid="{00000000-0005-0000-0000-0000EF450000}"/>
    <cellStyle name="Normal 2 5 2 5 2 2 4 2" xfId="21067" xr:uid="{00000000-0005-0000-0000-0000F0450000}"/>
    <cellStyle name="Normal 2 5 2 5 2 2 4 2 2" xfId="45941" xr:uid="{00000000-0005-0000-0000-0000F1450000}"/>
    <cellStyle name="Normal 2 5 2 5 2 2 4 3" xfId="33508" xr:uid="{00000000-0005-0000-0000-0000F2450000}"/>
    <cellStyle name="Normal 2 5 2 5 2 2 5" xfId="12018" xr:uid="{00000000-0005-0000-0000-0000F3450000}"/>
    <cellStyle name="Normal 2 5 2 5 2 2 5 2" xfId="24452" xr:uid="{00000000-0005-0000-0000-0000F4450000}"/>
    <cellStyle name="Normal 2 5 2 5 2 2 5 2 2" xfId="49326" xr:uid="{00000000-0005-0000-0000-0000F5450000}"/>
    <cellStyle name="Normal 2 5 2 5 2 2 5 3" xfId="36893" xr:uid="{00000000-0005-0000-0000-0000F6450000}"/>
    <cellStyle name="Normal 2 5 2 5 2 2 6" xfId="7100" xr:uid="{00000000-0005-0000-0000-0000F7450000}"/>
    <cellStyle name="Normal 2 5 2 5 2 2 6 2" xfId="19549" xr:uid="{00000000-0005-0000-0000-0000F8450000}"/>
    <cellStyle name="Normal 2 5 2 5 2 2 6 2 2" xfId="44423" xr:uid="{00000000-0005-0000-0000-0000F9450000}"/>
    <cellStyle name="Normal 2 5 2 5 2 2 6 3" xfId="31990" xr:uid="{00000000-0005-0000-0000-0000FA450000}"/>
    <cellStyle name="Normal 2 5 2 5 2 2 7" xfId="3554" xr:uid="{00000000-0005-0000-0000-0000FB450000}"/>
    <cellStyle name="Normal 2 5 2 5 2 2 7 2" xfId="16060" xr:uid="{00000000-0005-0000-0000-0000FC450000}"/>
    <cellStyle name="Normal 2 5 2 5 2 2 7 2 2" xfId="40934" xr:uid="{00000000-0005-0000-0000-0000FD450000}"/>
    <cellStyle name="Normal 2 5 2 5 2 2 7 3" xfId="28493" xr:uid="{00000000-0005-0000-0000-0000FE450000}"/>
    <cellStyle name="Normal 2 5 2 5 2 2 8" xfId="13636" xr:uid="{00000000-0005-0000-0000-0000FF450000}"/>
    <cellStyle name="Normal 2 5 2 5 2 2 8 2" xfId="38510" xr:uid="{00000000-0005-0000-0000-000000460000}"/>
    <cellStyle name="Normal 2 5 2 5 2 2 9" xfId="26069" xr:uid="{00000000-0005-0000-0000-000001460000}"/>
    <cellStyle name="Normal 2 5 2 5 2 3" xfId="1751" xr:uid="{00000000-0005-0000-0000-000002460000}"/>
    <cellStyle name="Normal 2 5 2 5 2 3 2" xfId="5018" xr:uid="{00000000-0005-0000-0000-000003460000}"/>
    <cellStyle name="Normal 2 5 2 5 2 3 2 2" xfId="10035" xr:uid="{00000000-0005-0000-0000-000004460000}"/>
    <cellStyle name="Normal 2 5 2 5 2 3 2 2 2" xfId="22478" xr:uid="{00000000-0005-0000-0000-000005460000}"/>
    <cellStyle name="Normal 2 5 2 5 2 3 2 2 2 2" xfId="47352" xr:uid="{00000000-0005-0000-0000-000006460000}"/>
    <cellStyle name="Normal 2 5 2 5 2 3 2 2 3" xfId="34919" xr:uid="{00000000-0005-0000-0000-000007460000}"/>
    <cellStyle name="Normal 2 5 2 5 2 3 2 3" xfId="17471" xr:uid="{00000000-0005-0000-0000-000008460000}"/>
    <cellStyle name="Normal 2 5 2 5 2 3 2 3 2" xfId="42345" xr:uid="{00000000-0005-0000-0000-000009460000}"/>
    <cellStyle name="Normal 2 5 2 5 2 3 2 4" xfId="29912" xr:uid="{00000000-0005-0000-0000-00000A460000}"/>
    <cellStyle name="Normal 2 5 2 5 2 3 3" xfId="5897" xr:uid="{00000000-0005-0000-0000-00000B460000}"/>
    <cellStyle name="Normal 2 5 2 5 2 3 3 2" xfId="10912" xr:uid="{00000000-0005-0000-0000-00000C460000}"/>
    <cellStyle name="Normal 2 5 2 5 2 3 3 2 2" xfId="23355" xr:uid="{00000000-0005-0000-0000-00000D460000}"/>
    <cellStyle name="Normal 2 5 2 5 2 3 3 2 2 2" xfId="48229" xr:uid="{00000000-0005-0000-0000-00000E460000}"/>
    <cellStyle name="Normal 2 5 2 5 2 3 3 2 3" xfId="35796" xr:uid="{00000000-0005-0000-0000-00000F460000}"/>
    <cellStyle name="Normal 2 5 2 5 2 3 3 3" xfId="18348" xr:uid="{00000000-0005-0000-0000-000010460000}"/>
    <cellStyle name="Normal 2 5 2 5 2 3 3 3 2" xfId="43222" xr:uid="{00000000-0005-0000-0000-000011460000}"/>
    <cellStyle name="Normal 2 5 2 5 2 3 3 4" xfId="30789" xr:uid="{00000000-0005-0000-0000-000012460000}"/>
    <cellStyle name="Normal 2 5 2 5 2 3 4" xfId="8442" xr:uid="{00000000-0005-0000-0000-000013460000}"/>
    <cellStyle name="Normal 2 5 2 5 2 3 4 2" xfId="20886" xr:uid="{00000000-0005-0000-0000-000014460000}"/>
    <cellStyle name="Normal 2 5 2 5 2 3 4 2 2" xfId="45760" xr:uid="{00000000-0005-0000-0000-000015460000}"/>
    <cellStyle name="Normal 2 5 2 5 2 3 4 3" xfId="33327" xr:uid="{00000000-0005-0000-0000-000016460000}"/>
    <cellStyle name="Normal 2 5 2 5 2 3 5" xfId="12366" xr:uid="{00000000-0005-0000-0000-000017460000}"/>
    <cellStyle name="Normal 2 5 2 5 2 3 5 2" xfId="24800" xr:uid="{00000000-0005-0000-0000-000018460000}"/>
    <cellStyle name="Normal 2 5 2 5 2 3 5 2 2" xfId="49674" xr:uid="{00000000-0005-0000-0000-000019460000}"/>
    <cellStyle name="Normal 2 5 2 5 2 3 5 3" xfId="37241" xr:uid="{00000000-0005-0000-0000-00001A460000}"/>
    <cellStyle name="Normal 2 5 2 5 2 3 6" xfId="7629" xr:uid="{00000000-0005-0000-0000-00001B460000}"/>
    <cellStyle name="Normal 2 5 2 5 2 3 6 2" xfId="20077" xr:uid="{00000000-0005-0000-0000-00001C460000}"/>
    <cellStyle name="Normal 2 5 2 5 2 3 6 2 2" xfId="44951" xr:uid="{00000000-0005-0000-0000-00001D460000}"/>
    <cellStyle name="Normal 2 5 2 5 2 3 6 3" xfId="32518" xr:uid="{00000000-0005-0000-0000-00001E460000}"/>
    <cellStyle name="Normal 2 5 2 5 2 3 7" xfId="3373" xr:uid="{00000000-0005-0000-0000-00001F460000}"/>
    <cellStyle name="Normal 2 5 2 5 2 3 7 2" xfId="15879" xr:uid="{00000000-0005-0000-0000-000020460000}"/>
    <cellStyle name="Normal 2 5 2 5 2 3 7 2 2" xfId="40753" xr:uid="{00000000-0005-0000-0000-000021460000}"/>
    <cellStyle name="Normal 2 5 2 5 2 3 7 3" xfId="28312" xr:uid="{00000000-0005-0000-0000-000022460000}"/>
    <cellStyle name="Normal 2 5 2 5 2 3 8" xfId="14551" xr:uid="{00000000-0005-0000-0000-000023460000}"/>
    <cellStyle name="Normal 2 5 2 5 2 3 8 2" xfId="39425" xr:uid="{00000000-0005-0000-0000-000024460000}"/>
    <cellStyle name="Normal 2 5 2 5 2 3 9" xfId="26984" xr:uid="{00000000-0005-0000-0000-000025460000}"/>
    <cellStyle name="Normal 2 5 2 5 2 4" xfId="2394" xr:uid="{00000000-0005-0000-0000-000026460000}"/>
    <cellStyle name="Normal 2 5 2 5 2 4 2" xfId="6416" xr:uid="{00000000-0005-0000-0000-000027460000}"/>
    <cellStyle name="Normal 2 5 2 5 2 4 2 2" xfId="11431" xr:uid="{00000000-0005-0000-0000-000028460000}"/>
    <cellStyle name="Normal 2 5 2 5 2 4 2 2 2" xfId="23874" xr:uid="{00000000-0005-0000-0000-000029460000}"/>
    <cellStyle name="Normal 2 5 2 5 2 4 2 2 2 2" xfId="48748" xr:uid="{00000000-0005-0000-0000-00002A460000}"/>
    <cellStyle name="Normal 2 5 2 5 2 4 2 2 3" xfId="36315" xr:uid="{00000000-0005-0000-0000-00002B460000}"/>
    <cellStyle name="Normal 2 5 2 5 2 4 2 3" xfId="18867" xr:uid="{00000000-0005-0000-0000-00002C460000}"/>
    <cellStyle name="Normal 2 5 2 5 2 4 2 3 2" xfId="43741" xr:uid="{00000000-0005-0000-0000-00002D460000}"/>
    <cellStyle name="Normal 2 5 2 5 2 4 2 4" xfId="31308" xr:uid="{00000000-0005-0000-0000-00002E460000}"/>
    <cellStyle name="Normal 2 5 2 5 2 4 3" xfId="12885" xr:uid="{00000000-0005-0000-0000-00002F460000}"/>
    <cellStyle name="Normal 2 5 2 5 2 4 3 2" xfId="25319" xr:uid="{00000000-0005-0000-0000-000030460000}"/>
    <cellStyle name="Normal 2 5 2 5 2 4 3 2 2" xfId="50193" xr:uid="{00000000-0005-0000-0000-000031460000}"/>
    <cellStyle name="Normal 2 5 2 5 2 4 3 3" xfId="37760" xr:uid="{00000000-0005-0000-0000-000032460000}"/>
    <cellStyle name="Normal 2 5 2 5 2 4 4" xfId="9326" xr:uid="{00000000-0005-0000-0000-000033460000}"/>
    <cellStyle name="Normal 2 5 2 5 2 4 4 2" xfId="21769" xr:uid="{00000000-0005-0000-0000-000034460000}"/>
    <cellStyle name="Normal 2 5 2 5 2 4 4 2 2" xfId="46643" xr:uid="{00000000-0005-0000-0000-000035460000}"/>
    <cellStyle name="Normal 2 5 2 5 2 4 4 3" xfId="34210" xr:uid="{00000000-0005-0000-0000-000036460000}"/>
    <cellStyle name="Normal 2 5 2 5 2 4 5" xfId="4308" xr:uid="{00000000-0005-0000-0000-000037460000}"/>
    <cellStyle name="Normal 2 5 2 5 2 4 5 2" xfId="16762" xr:uid="{00000000-0005-0000-0000-000038460000}"/>
    <cellStyle name="Normal 2 5 2 5 2 4 5 2 2" xfId="41636" xr:uid="{00000000-0005-0000-0000-000039460000}"/>
    <cellStyle name="Normal 2 5 2 5 2 4 5 3" xfId="29203" xr:uid="{00000000-0005-0000-0000-00003A460000}"/>
    <cellStyle name="Normal 2 5 2 5 2 4 6" xfId="15070" xr:uid="{00000000-0005-0000-0000-00003B460000}"/>
    <cellStyle name="Normal 2 5 2 5 2 4 6 2" xfId="39944" xr:uid="{00000000-0005-0000-0000-00003C460000}"/>
    <cellStyle name="Normal 2 5 2 5 2 4 7" xfId="27503" xr:uid="{00000000-0005-0000-0000-00003D460000}"/>
    <cellStyle name="Normal 2 5 2 5 2 5" xfId="1227" xr:uid="{00000000-0005-0000-0000-00003E460000}"/>
    <cellStyle name="Normal 2 5 2 5 2 5 2" xfId="10388" xr:uid="{00000000-0005-0000-0000-00003F460000}"/>
    <cellStyle name="Normal 2 5 2 5 2 5 2 2" xfId="22831" xr:uid="{00000000-0005-0000-0000-000040460000}"/>
    <cellStyle name="Normal 2 5 2 5 2 5 2 2 2" xfId="47705" xr:uid="{00000000-0005-0000-0000-000041460000}"/>
    <cellStyle name="Normal 2 5 2 5 2 5 2 3" xfId="35272" xr:uid="{00000000-0005-0000-0000-000042460000}"/>
    <cellStyle name="Normal 2 5 2 5 2 5 3" xfId="5372" xr:uid="{00000000-0005-0000-0000-000043460000}"/>
    <cellStyle name="Normal 2 5 2 5 2 5 3 2" xfId="17824" xr:uid="{00000000-0005-0000-0000-000044460000}"/>
    <cellStyle name="Normal 2 5 2 5 2 5 3 2 2" xfId="42698" xr:uid="{00000000-0005-0000-0000-000045460000}"/>
    <cellStyle name="Normal 2 5 2 5 2 5 3 3" xfId="30265" xr:uid="{00000000-0005-0000-0000-000046460000}"/>
    <cellStyle name="Normal 2 5 2 5 2 5 4" xfId="14027" xr:uid="{00000000-0005-0000-0000-000047460000}"/>
    <cellStyle name="Normal 2 5 2 5 2 5 4 2" xfId="38901" xr:uid="{00000000-0005-0000-0000-000048460000}"/>
    <cellStyle name="Normal 2 5 2 5 2 5 5" xfId="26460" xr:uid="{00000000-0005-0000-0000-000049460000}"/>
    <cellStyle name="Normal 2 5 2 5 2 6" xfId="7949" xr:uid="{00000000-0005-0000-0000-00004A460000}"/>
    <cellStyle name="Normal 2 5 2 5 2 6 2" xfId="20395" xr:uid="{00000000-0005-0000-0000-00004B460000}"/>
    <cellStyle name="Normal 2 5 2 5 2 6 2 2" xfId="45269" xr:uid="{00000000-0005-0000-0000-00004C460000}"/>
    <cellStyle name="Normal 2 5 2 5 2 6 3" xfId="32836" xr:uid="{00000000-0005-0000-0000-00004D460000}"/>
    <cellStyle name="Normal 2 5 2 5 2 7" xfId="11842" xr:uid="{00000000-0005-0000-0000-00004E460000}"/>
    <cellStyle name="Normal 2 5 2 5 2 7 2" xfId="24276" xr:uid="{00000000-0005-0000-0000-00004F460000}"/>
    <cellStyle name="Normal 2 5 2 5 2 7 2 2" xfId="49150" xr:uid="{00000000-0005-0000-0000-000050460000}"/>
    <cellStyle name="Normal 2 5 2 5 2 7 3" xfId="36717" xr:uid="{00000000-0005-0000-0000-000051460000}"/>
    <cellStyle name="Normal 2 5 2 5 2 8" xfId="6919" xr:uid="{00000000-0005-0000-0000-000052460000}"/>
    <cellStyle name="Normal 2 5 2 5 2 8 2" xfId="19368" xr:uid="{00000000-0005-0000-0000-000053460000}"/>
    <cellStyle name="Normal 2 5 2 5 2 8 2 2" xfId="44242" xr:uid="{00000000-0005-0000-0000-000054460000}"/>
    <cellStyle name="Normal 2 5 2 5 2 8 3" xfId="31809" xr:uid="{00000000-0005-0000-0000-000055460000}"/>
    <cellStyle name="Normal 2 5 2 5 2 9" xfId="2870" xr:uid="{00000000-0005-0000-0000-000056460000}"/>
    <cellStyle name="Normal 2 5 2 5 2 9 2" xfId="15388" xr:uid="{00000000-0005-0000-0000-000057460000}"/>
    <cellStyle name="Normal 2 5 2 5 2 9 2 2" xfId="40262" xr:uid="{00000000-0005-0000-0000-000058460000}"/>
    <cellStyle name="Normal 2 5 2 5 2 9 3" xfId="27821" xr:uid="{00000000-0005-0000-0000-000059460000}"/>
    <cellStyle name="Normal 2 5 2 5 2_Degree data" xfId="2013" xr:uid="{00000000-0005-0000-0000-00005A460000}"/>
    <cellStyle name="Normal 2 5 2 5 3" xfId="624" xr:uid="{00000000-0005-0000-0000-00005B460000}"/>
    <cellStyle name="Normal 2 5 2 5 3 2" xfId="1402" xr:uid="{00000000-0005-0000-0000-00005C460000}"/>
    <cellStyle name="Normal 2 5 2 5 3 2 2" xfId="9121" xr:uid="{00000000-0005-0000-0000-00005D460000}"/>
    <cellStyle name="Normal 2 5 2 5 3 2 2 2" xfId="21564" xr:uid="{00000000-0005-0000-0000-00005E460000}"/>
    <cellStyle name="Normal 2 5 2 5 3 2 2 2 2" xfId="46438" xr:uid="{00000000-0005-0000-0000-00005F460000}"/>
    <cellStyle name="Normal 2 5 2 5 3 2 2 3" xfId="34005" xr:uid="{00000000-0005-0000-0000-000060460000}"/>
    <cellStyle name="Normal 2 5 2 5 3 2 3" xfId="4103" xr:uid="{00000000-0005-0000-0000-000061460000}"/>
    <cellStyle name="Normal 2 5 2 5 3 2 3 2" xfId="16557" xr:uid="{00000000-0005-0000-0000-000062460000}"/>
    <cellStyle name="Normal 2 5 2 5 3 2 3 2 2" xfId="41431" xr:uid="{00000000-0005-0000-0000-000063460000}"/>
    <cellStyle name="Normal 2 5 2 5 3 2 3 3" xfId="28998" xr:uid="{00000000-0005-0000-0000-000064460000}"/>
    <cellStyle name="Normal 2 5 2 5 3 2 4" xfId="14202" xr:uid="{00000000-0005-0000-0000-000065460000}"/>
    <cellStyle name="Normal 2 5 2 5 3 2 4 2" xfId="39076" xr:uid="{00000000-0005-0000-0000-000066460000}"/>
    <cellStyle name="Normal 2 5 2 5 3 2 5" xfId="26635" xr:uid="{00000000-0005-0000-0000-000067460000}"/>
    <cellStyle name="Normal 2 5 2 5 3 3" xfId="5547" xr:uid="{00000000-0005-0000-0000-000068460000}"/>
    <cellStyle name="Normal 2 5 2 5 3 3 2" xfId="10563" xr:uid="{00000000-0005-0000-0000-000069460000}"/>
    <cellStyle name="Normal 2 5 2 5 3 3 2 2" xfId="23006" xr:uid="{00000000-0005-0000-0000-00006A460000}"/>
    <cellStyle name="Normal 2 5 2 5 3 3 2 2 2" xfId="47880" xr:uid="{00000000-0005-0000-0000-00006B460000}"/>
    <cellStyle name="Normal 2 5 2 5 3 3 2 3" xfId="35447" xr:uid="{00000000-0005-0000-0000-00006C460000}"/>
    <cellStyle name="Normal 2 5 2 5 3 3 3" xfId="17999" xr:uid="{00000000-0005-0000-0000-00006D460000}"/>
    <cellStyle name="Normal 2 5 2 5 3 3 3 2" xfId="42873" xr:uid="{00000000-0005-0000-0000-00006E460000}"/>
    <cellStyle name="Normal 2 5 2 5 3 3 4" xfId="30440" xr:uid="{00000000-0005-0000-0000-00006F460000}"/>
    <cellStyle name="Normal 2 5 2 5 3 4" xfId="8237" xr:uid="{00000000-0005-0000-0000-000070460000}"/>
    <cellStyle name="Normal 2 5 2 5 3 4 2" xfId="20681" xr:uid="{00000000-0005-0000-0000-000071460000}"/>
    <cellStyle name="Normal 2 5 2 5 3 4 2 2" xfId="45555" xr:uid="{00000000-0005-0000-0000-000072460000}"/>
    <cellStyle name="Normal 2 5 2 5 3 4 3" xfId="33122" xr:uid="{00000000-0005-0000-0000-000073460000}"/>
    <cellStyle name="Normal 2 5 2 5 3 5" xfId="12017" xr:uid="{00000000-0005-0000-0000-000074460000}"/>
    <cellStyle name="Normal 2 5 2 5 3 5 2" xfId="24451" xr:uid="{00000000-0005-0000-0000-000075460000}"/>
    <cellStyle name="Normal 2 5 2 5 3 5 2 2" xfId="49325" xr:uid="{00000000-0005-0000-0000-000076460000}"/>
    <cellStyle name="Normal 2 5 2 5 3 5 3" xfId="36892" xr:uid="{00000000-0005-0000-0000-000077460000}"/>
    <cellStyle name="Normal 2 5 2 5 3 6" xfId="6714" xr:uid="{00000000-0005-0000-0000-000078460000}"/>
    <cellStyle name="Normal 2 5 2 5 3 6 2" xfId="19163" xr:uid="{00000000-0005-0000-0000-000079460000}"/>
    <cellStyle name="Normal 2 5 2 5 3 6 2 2" xfId="44037" xr:uid="{00000000-0005-0000-0000-00007A460000}"/>
    <cellStyle name="Normal 2 5 2 5 3 6 3" xfId="31604" xr:uid="{00000000-0005-0000-0000-00007B460000}"/>
    <cellStyle name="Normal 2 5 2 5 3 7" xfId="3168" xr:uid="{00000000-0005-0000-0000-00007C460000}"/>
    <cellStyle name="Normal 2 5 2 5 3 7 2" xfId="15674" xr:uid="{00000000-0005-0000-0000-00007D460000}"/>
    <cellStyle name="Normal 2 5 2 5 3 7 2 2" xfId="40548" xr:uid="{00000000-0005-0000-0000-00007E460000}"/>
    <cellStyle name="Normal 2 5 2 5 3 7 3" xfId="28107" xr:uid="{00000000-0005-0000-0000-00007F460000}"/>
    <cellStyle name="Normal 2 5 2 5 3 8" xfId="13431" xr:uid="{00000000-0005-0000-0000-000080460000}"/>
    <cellStyle name="Normal 2 5 2 5 3 8 2" xfId="38305" xr:uid="{00000000-0005-0000-0000-000081460000}"/>
    <cellStyle name="Normal 2 5 2 5 3 9" xfId="25864" xr:uid="{00000000-0005-0000-0000-000082460000}"/>
    <cellStyle name="Normal 2 5 2 5 4" xfId="1750" xr:uid="{00000000-0005-0000-0000-000083460000}"/>
    <cellStyle name="Normal 2 5 2 5 4 2" xfId="4488" xr:uid="{00000000-0005-0000-0000-000084460000}"/>
    <cellStyle name="Normal 2 5 2 5 4 2 2" xfId="9506" xr:uid="{00000000-0005-0000-0000-000085460000}"/>
    <cellStyle name="Normal 2 5 2 5 4 2 2 2" xfId="21949" xr:uid="{00000000-0005-0000-0000-000086460000}"/>
    <cellStyle name="Normal 2 5 2 5 4 2 2 2 2" xfId="46823" xr:uid="{00000000-0005-0000-0000-000087460000}"/>
    <cellStyle name="Normal 2 5 2 5 4 2 2 3" xfId="34390" xr:uid="{00000000-0005-0000-0000-000088460000}"/>
    <cellStyle name="Normal 2 5 2 5 4 2 3" xfId="16942" xr:uid="{00000000-0005-0000-0000-000089460000}"/>
    <cellStyle name="Normal 2 5 2 5 4 2 3 2" xfId="41816" xr:uid="{00000000-0005-0000-0000-00008A460000}"/>
    <cellStyle name="Normal 2 5 2 5 4 2 4" xfId="29383" xr:uid="{00000000-0005-0000-0000-00008B460000}"/>
    <cellStyle name="Normal 2 5 2 5 4 3" xfId="5896" xr:uid="{00000000-0005-0000-0000-00008C460000}"/>
    <cellStyle name="Normal 2 5 2 5 4 3 2" xfId="10911" xr:uid="{00000000-0005-0000-0000-00008D460000}"/>
    <cellStyle name="Normal 2 5 2 5 4 3 2 2" xfId="23354" xr:uid="{00000000-0005-0000-0000-00008E460000}"/>
    <cellStyle name="Normal 2 5 2 5 4 3 2 2 2" xfId="48228" xr:uid="{00000000-0005-0000-0000-00008F460000}"/>
    <cellStyle name="Normal 2 5 2 5 4 3 2 3" xfId="35795" xr:uid="{00000000-0005-0000-0000-000090460000}"/>
    <cellStyle name="Normal 2 5 2 5 4 3 3" xfId="18347" xr:uid="{00000000-0005-0000-0000-000091460000}"/>
    <cellStyle name="Normal 2 5 2 5 4 3 3 2" xfId="43221" xr:uid="{00000000-0005-0000-0000-000092460000}"/>
    <cellStyle name="Normal 2 5 2 5 4 3 4" xfId="30788" xr:uid="{00000000-0005-0000-0000-000093460000}"/>
    <cellStyle name="Normal 2 5 2 5 4 4" xfId="8622" xr:uid="{00000000-0005-0000-0000-000094460000}"/>
    <cellStyle name="Normal 2 5 2 5 4 4 2" xfId="21066" xr:uid="{00000000-0005-0000-0000-000095460000}"/>
    <cellStyle name="Normal 2 5 2 5 4 4 2 2" xfId="45940" xr:uid="{00000000-0005-0000-0000-000096460000}"/>
    <cellStyle name="Normal 2 5 2 5 4 4 3" xfId="33507" xr:uid="{00000000-0005-0000-0000-000097460000}"/>
    <cellStyle name="Normal 2 5 2 5 4 5" xfId="12365" xr:uid="{00000000-0005-0000-0000-000098460000}"/>
    <cellStyle name="Normal 2 5 2 5 4 5 2" xfId="24799" xr:uid="{00000000-0005-0000-0000-000099460000}"/>
    <cellStyle name="Normal 2 5 2 5 4 5 2 2" xfId="49673" xr:uid="{00000000-0005-0000-0000-00009A460000}"/>
    <cellStyle name="Normal 2 5 2 5 4 5 3" xfId="37240" xr:uid="{00000000-0005-0000-0000-00009B460000}"/>
    <cellStyle name="Normal 2 5 2 5 4 6" xfId="7099" xr:uid="{00000000-0005-0000-0000-00009C460000}"/>
    <cellStyle name="Normal 2 5 2 5 4 6 2" xfId="19548" xr:uid="{00000000-0005-0000-0000-00009D460000}"/>
    <cellStyle name="Normal 2 5 2 5 4 6 2 2" xfId="44422" xr:uid="{00000000-0005-0000-0000-00009E460000}"/>
    <cellStyle name="Normal 2 5 2 5 4 6 3" xfId="31989" xr:uid="{00000000-0005-0000-0000-00009F460000}"/>
    <cellStyle name="Normal 2 5 2 5 4 7" xfId="3553" xr:uid="{00000000-0005-0000-0000-0000A0460000}"/>
    <cellStyle name="Normal 2 5 2 5 4 7 2" xfId="16059" xr:uid="{00000000-0005-0000-0000-0000A1460000}"/>
    <cellStyle name="Normal 2 5 2 5 4 7 2 2" xfId="40933" xr:uid="{00000000-0005-0000-0000-0000A2460000}"/>
    <cellStyle name="Normal 2 5 2 5 4 7 3" xfId="28492" xr:uid="{00000000-0005-0000-0000-0000A3460000}"/>
    <cellStyle name="Normal 2 5 2 5 4 8" xfId="14550" xr:uid="{00000000-0005-0000-0000-0000A4460000}"/>
    <cellStyle name="Normal 2 5 2 5 4 8 2" xfId="39424" xr:uid="{00000000-0005-0000-0000-0000A5460000}"/>
    <cellStyle name="Normal 2 5 2 5 4 9" xfId="26983" xr:uid="{00000000-0005-0000-0000-0000A6460000}"/>
    <cellStyle name="Normal 2 5 2 5 5" xfId="2180" xr:uid="{00000000-0005-0000-0000-0000A7460000}"/>
    <cellStyle name="Normal 2 5 2 5 5 2" xfId="4813" xr:uid="{00000000-0005-0000-0000-0000A8460000}"/>
    <cellStyle name="Normal 2 5 2 5 5 2 2" xfId="9830" xr:uid="{00000000-0005-0000-0000-0000A9460000}"/>
    <cellStyle name="Normal 2 5 2 5 5 2 2 2" xfId="22273" xr:uid="{00000000-0005-0000-0000-0000AA460000}"/>
    <cellStyle name="Normal 2 5 2 5 5 2 2 2 2" xfId="47147" xr:uid="{00000000-0005-0000-0000-0000AB460000}"/>
    <cellStyle name="Normal 2 5 2 5 5 2 2 3" xfId="34714" xr:uid="{00000000-0005-0000-0000-0000AC460000}"/>
    <cellStyle name="Normal 2 5 2 5 5 2 3" xfId="17266" xr:uid="{00000000-0005-0000-0000-0000AD460000}"/>
    <cellStyle name="Normal 2 5 2 5 5 2 3 2" xfId="42140" xr:uid="{00000000-0005-0000-0000-0000AE460000}"/>
    <cellStyle name="Normal 2 5 2 5 5 2 4" xfId="29707" xr:uid="{00000000-0005-0000-0000-0000AF460000}"/>
    <cellStyle name="Normal 2 5 2 5 5 3" xfId="6211" xr:uid="{00000000-0005-0000-0000-0000B0460000}"/>
    <cellStyle name="Normal 2 5 2 5 5 3 2" xfId="11226" xr:uid="{00000000-0005-0000-0000-0000B1460000}"/>
    <cellStyle name="Normal 2 5 2 5 5 3 2 2" xfId="23669" xr:uid="{00000000-0005-0000-0000-0000B2460000}"/>
    <cellStyle name="Normal 2 5 2 5 5 3 2 2 2" xfId="48543" xr:uid="{00000000-0005-0000-0000-0000B3460000}"/>
    <cellStyle name="Normal 2 5 2 5 5 3 2 3" xfId="36110" xr:uid="{00000000-0005-0000-0000-0000B4460000}"/>
    <cellStyle name="Normal 2 5 2 5 5 3 3" xfId="18662" xr:uid="{00000000-0005-0000-0000-0000B5460000}"/>
    <cellStyle name="Normal 2 5 2 5 5 3 3 2" xfId="43536" xr:uid="{00000000-0005-0000-0000-0000B6460000}"/>
    <cellStyle name="Normal 2 5 2 5 5 3 4" xfId="31103" xr:uid="{00000000-0005-0000-0000-0000B7460000}"/>
    <cellStyle name="Normal 2 5 2 5 5 4" xfId="8123" xr:uid="{00000000-0005-0000-0000-0000B8460000}"/>
    <cellStyle name="Normal 2 5 2 5 5 4 2" xfId="20569" xr:uid="{00000000-0005-0000-0000-0000B9460000}"/>
    <cellStyle name="Normal 2 5 2 5 5 4 2 2" xfId="45443" xr:uid="{00000000-0005-0000-0000-0000BA460000}"/>
    <cellStyle name="Normal 2 5 2 5 5 4 3" xfId="33010" xr:uid="{00000000-0005-0000-0000-0000BB460000}"/>
    <cellStyle name="Normal 2 5 2 5 5 5" xfId="12680" xr:uid="{00000000-0005-0000-0000-0000BC460000}"/>
    <cellStyle name="Normal 2 5 2 5 5 5 2" xfId="25114" xr:uid="{00000000-0005-0000-0000-0000BD460000}"/>
    <cellStyle name="Normal 2 5 2 5 5 5 2 2" xfId="49988" xr:uid="{00000000-0005-0000-0000-0000BE460000}"/>
    <cellStyle name="Normal 2 5 2 5 5 5 3" xfId="37555" xr:uid="{00000000-0005-0000-0000-0000BF460000}"/>
    <cellStyle name="Normal 2 5 2 5 5 6" xfId="7424" xr:uid="{00000000-0005-0000-0000-0000C0460000}"/>
    <cellStyle name="Normal 2 5 2 5 5 6 2" xfId="19872" xr:uid="{00000000-0005-0000-0000-0000C1460000}"/>
    <cellStyle name="Normal 2 5 2 5 5 6 2 2" xfId="44746" xr:uid="{00000000-0005-0000-0000-0000C2460000}"/>
    <cellStyle name="Normal 2 5 2 5 5 6 3" xfId="32313" xr:uid="{00000000-0005-0000-0000-0000C3460000}"/>
    <cellStyle name="Normal 2 5 2 5 5 7" xfId="3053" xr:uid="{00000000-0005-0000-0000-0000C4460000}"/>
    <cellStyle name="Normal 2 5 2 5 5 7 2" xfId="15562" xr:uid="{00000000-0005-0000-0000-0000C5460000}"/>
    <cellStyle name="Normal 2 5 2 5 5 7 2 2" xfId="40436" xr:uid="{00000000-0005-0000-0000-0000C6460000}"/>
    <cellStyle name="Normal 2 5 2 5 5 7 3" xfId="27995" xr:uid="{00000000-0005-0000-0000-0000C7460000}"/>
    <cellStyle name="Normal 2 5 2 5 5 8" xfId="14865" xr:uid="{00000000-0005-0000-0000-0000C8460000}"/>
    <cellStyle name="Normal 2 5 2 5 5 8 2" xfId="39739" xr:uid="{00000000-0005-0000-0000-0000C9460000}"/>
    <cellStyle name="Normal 2 5 2 5 5 9" xfId="27298" xr:uid="{00000000-0005-0000-0000-0000CA460000}"/>
    <cellStyle name="Normal 2 5 2 5 6" xfId="1022" xr:uid="{00000000-0005-0000-0000-0000CB460000}"/>
    <cellStyle name="Normal 2 5 2 5 6 2" xfId="9009" xr:uid="{00000000-0005-0000-0000-0000CC460000}"/>
    <cellStyle name="Normal 2 5 2 5 6 2 2" xfId="21452" xr:uid="{00000000-0005-0000-0000-0000CD460000}"/>
    <cellStyle name="Normal 2 5 2 5 6 2 2 2" xfId="46326" xr:uid="{00000000-0005-0000-0000-0000CE460000}"/>
    <cellStyle name="Normal 2 5 2 5 6 2 3" xfId="33893" xr:uid="{00000000-0005-0000-0000-0000CF460000}"/>
    <cellStyle name="Normal 2 5 2 5 6 3" xfId="3991" xr:uid="{00000000-0005-0000-0000-0000D0460000}"/>
    <cellStyle name="Normal 2 5 2 5 6 3 2" xfId="16445" xr:uid="{00000000-0005-0000-0000-0000D1460000}"/>
    <cellStyle name="Normal 2 5 2 5 6 3 2 2" xfId="41319" xr:uid="{00000000-0005-0000-0000-0000D2460000}"/>
    <cellStyle name="Normal 2 5 2 5 6 3 3" xfId="28886" xr:uid="{00000000-0005-0000-0000-0000D3460000}"/>
    <cellStyle name="Normal 2 5 2 5 6 4" xfId="13822" xr:uid="{00000000-0005-0000-0000-0000D4460000}"/>
    <cellStyle name="Normal 2 5 2 5 6 4 2" xfId="38696" xr:uid="{00000000-0005-0000-0000-0000D5460000}"/>
    <cellStyle name="Normal 2 5 2 5 6 5" xfId="26255" xr:uid="{00000000-0005-0000-0000-0000D6460000}"/>
    <cellStyle name="Normal 2 5 2 5 7" xfId="5167" xr:uid="{00000000-0005-0000-0000-0000D7460000}"/>
    <cellStyle name="Normal 2 5 2 5 7 2" xfId="10183" xr:uid="{00000000-0005-0000-0000-0000D8460000}"/>
    <cellStyle name="Normal 2 5 2 5 7 2 2" xfId="22626" xr:uid="{00000000-0005-0000-0000-0000D9460000}"/>
    <cellStyle name="Normal 2 5 2 5 7 2 2 2" xfId="47500" xr:uid="{00000000-0005-0000-0000-0000DA460000}"/>
    <cellStyle name="Normal 2 5 2 5 7 2 3" xfId="35067" xr:uid="{00000000-0005-0000-0000-0000DB460000}"/>
    <cellStyle name="Normal 2 5 2 5 7 3" xfId="17619" xr:uid="{00000000-0005-0000-0000-0000DC460000}"/>
    <cellStyle name="Normal 2 5 2 5 7 3 2" xfId="42493" xr:uid="{00000000-0005-0000-0000-0000DD460000}"/>
    <cellStyle name="Normal 2 5 2 5 7 4" xfId="30060" xr:uid="{00000000-0005-0000-0000-0000DE460000}"/>
    <cellStyle name="Normal 2 5 2 5 8" xfId="7744" xr:uid="{00000000-0005-0000-0000-0000DF460000}"/>
    <cellStyle name="Normal 2 5 2 5 8 2" xfId="20190" xr:uid="{00000000-0005-0000-0000-0000E0460000}"/>
    <cellStyle name="Normal 2 5 2 5 8 2 2" xfId="45064" xr:uid="{00000000-0005-0000-0000-0000E1460000}"/>
    <cellStyle name="Normal 2 5 2 5 8 3" xfId="32631" xr:uid="{00000000-0005-0000-0000-0000E2460000}"/>
    <cellStyle name="Normal 2 5 2 5 9" xfId="11637" xr:uid="{00000000-0005-0000-0000-0000E3460000}"/>
    <cellStyle name="Normal 2 5 2 5 9 2" xfId="24071" xr:uid="{00000000-0005-0000-0000-0000E4460000}"/>
    <cellStyle name="Normal 2 5 2 5 9 2 2" xfId="48945" xr:uid="{00000000-0005-0000-0000-0000E5460000}"/>
    <cellStyle name="Normal 2 5 2 5 9 3" xfId="36512" xr:uid="{00000000-0005-0000-0000-0000E6460000}"/>
    <cellStyle name="Normal 2 5 2 5_Degree data" xfId="2003" xr:uid="{00000000-0005-0000-0000-0000E7460000}"/>
    <cellStyle name="Normal 2 5 2 6" xfId="368" xr:uid="{00000000-0005-0000-0000-0000E8460000}"/>
    <cellStyle name="Normal 2 5 2 6 10" xfId="13184" xr:uid="{00000000-0005-0000-0000-0000E9460000}"/>
    <cellStyle name="Normal 2 5 2 6 10 2" xfId="38058" xr:uid="{00000000-0005-0000-0000-0000EA460000}"/>
    <cellStyle name="Normal 2 5 2 6 11" xfId="25617" xr:uid="{00000000-0005-0000-0000-0000EB460000}"/>
    <cellStyle name="Normal 2 5 2 6 2" xfId="728" xr:uid="{00000000-0005-0000-0000-0000EC460000}"/>
    <cellStyle name="Normal 2 5 2 6 2 2" xfId="1404" xr:uid="{00000000-0005-0000-0000-0000ED460000}"/>
    <cellStyle name="Normal 2 5 2 6 2 2 2" xfId="9508" xr:uid="{00000000-0005-0000-0000-0000EE460000}"/>
    <cellStyle name="Normal 2 5 2 6 2 2 2 2" xfId="21951" xr:uid="{00000000-0005-0000-0000-0000EF460000}"/>
    <cellStyle name="Normal 2 5 2 6 2 2 2 2 2" xfId="46825" xr:uid="{00000000-0005-0000-0000-0000F0460000}"/>
    <cellStyle name="Normal 2 5 2 6 2 2 2 3" xfId="34392" xr:uid="{00000000-0005-0000-0000-0000F1460000}"/>
    <cellStyle name="Normal 2 5 2 6 2 2 3" xfId="4490" xr:uid="{00000000-0005-0000-0000-0000F2460000}"/>
    <cellStyle name="Normal 2 5 2 6 2 2 3 2" xfId="16944" xr:uid="{00000000-0005-0000-0000-0000F3460000}"/>
    <cellStyle name="Normal 2 5 2 6 2 2 3 2 2" xfId="41818" xr:uid="{00000000-0005-0000-0000-0000F4460000}"/>
    <cellStyle name="Normal 2 5 2 6 2 2 3 3" xfId="29385" xr:uid="{00000000-0005-0000-0000-0000F5460000}"/>
    <cellStyle name="Normal 2 5 2 6 2 2 4" xfId="14204" xr:uid="{00000000-0005-0000-0000-0000F6460000}"/>
    <cellStyle name="Normal 2 5 2 6 2 2 4 2" xfId="39078" xr:uid="{00000000-0005-0000-0000-0000F7460000}"/>
    <cellStyle name="Normal 2 5 2 6 2 2 5" xfId="26637" xr:uid="{00000000-0005-0000-0000-0000F8460000}"/>
    <cellStyle name="Normal 2 5 2 6 2 3" xfId="5549" xr:uid="{00000000-0005-0000-0000-0000F9460000}"/>
    <cellStyle name="Normal 2 5 2 6 2 3 2" xfId="10565" xr:uid="{00000000-0005-0000-0000-0000FA460000}"/>
    <cellStyle name="Normal 2 5 2 6 2 3 2 2" xfId="23008" xr:uid="{00000000-0005-0000-0000-0000FB460000}"/>
    <cellStyle name="Normal 2 5 2 6 2 3 2 2 2" xfId="47882" xr:uid="{00000000-0005-0000-0000-0000FC460000}"/>
    <cellStyle name="Normal 2 5 2 6 2 3 2 3" xfId="35449" xr:uid="{00000000-0005-0000-0000-0000FD460000}"/>
    <cellStyle name="Normal 2 5 2 6 2 3 3" xfId="18001" xr:uid="{00000000-0005-0000-0000-0000FE460000}"/>
    <cellStyle name="Normal 2 5 2 6 2 3 3 2" xfId="42875" xr:uid="{00000000-0005-0000-0000-0000FF460000}"/>
    <cellStyle name="Normal 2 5 2 6 2 3 4" xfId="30442" xr:uid="{00000000-0005-0000-0000-000000470000}"/>
    <cellStyle name="Normal 2 5 2 6 2 4" xfId="8624" xr:uid="{00000000-0005-0000-0000-000001470000}"/>
    <cellStyle name="Normal 2 5 2 6 2 4 2" xfId="21068" xr:uid="{00000000-0005-0000-0000-000002470000}"/>
    <cellStyle name="Normal 2 5 2 6 2 4 2 2" xfId="45942" xr:uid="{00000000-0005-0000-0000-000003470000}"/>
    <cellStyle name="Normal 2 5 2 6 2 4 3" xfId="33509" xr:uid="{00000000-0005-0000-0000-000004470000}"/>
    <cellStyle name="Normal 2 5 2 6 2 5" xfId="12019" xr:uid="{00000000-0005-0000-0000-000005470000}"/>
    <cellStyle name="Normal 2 5 2 6 2 5 2" xfId="24453" xr:uid="{00000000-0005-0000-0000-000006470000}"/>
    <cellStyle name="Normal 2 5 2 6 2 5 2 2" xfId="49327" xr:uid="{00000000-0005-0000-0000-000007470000}"/>
    <cellStyle name="Normal 2 5 2 6 2 5 3" xfId="36894" xr:uid="{00000000-0005-0000-0000-000008470000}"/>
    <cellStyle name="Normal 2 5 2 6 2 6" xfId="7101" xr:uid="{00000000-0005-0000-0000-000009470000}"/>
    <cellStyle name="Normal 2 5 2 6 2 6 2" xfId="19550" xr:uid="{00000000-0005-0000-0000-00000A470000}"/>
    <cellStyle name="Normal 2 5 2 6 2 6 2 2" xfId="44424" xr:uid="{00000000-0005-0000-0000-00000B470000}"/>
    <cellStyle name="Normal 2 5 2 6 2 6 3" xfId="31991" xr:uid="{00000000-0005-0000-0000-00000C470000}"/>
    <cellStyle name="Normal 2 5 2 6 2 7" xfId="3555" xr:uid="{00000000-0005-0000-0000-00000D470000}"/>
    <cellStyle name="Normal 2 5 2 6 2 7 2" xfId="16061" xr:uid="{00000000-0005-0000-0000-00000E470000}"/>
    <cellStyle name="Normal 2 5 2 6 2 7 2 2" xfId="40935" xr:uid="{00000000-0005-0000-0000-00000F470000}"/>
    <cellStyle name="Normal 2 5 2 6 2 7 3" xfId="28494" xr:uid="{00000000-0005-0000-0000-000010470000}"/>
    <cellStyle name="Normal 2 5 2 6 2 8" xfId="13531" xr:uid="{00000000-0005-0000-0000-000011470000}"/>
    <cellStyle name="Normal 2 5 2 6 2 8 2" xfId="38405" xr:uid="{00000000-0005-0000-0000-000012470000}"/>
    <cellStyle name="Normal 2 5 2 6 2 9" xfId="25964" xr:uid="{00000000-0005-0000-0000-000013470000}"/>
    <cellStyle name="Normal 2 5 2 6 3" xfId="1752" xr:uid="{00000000-0005-0000-0000-000014470000}"/>
    <cellStyle name="Normal 2 5 2 6 3 2" xfId="4913" xr:uid="{00000000-0005-0000-0000-000015470000}"/>
    <cellStyle name="Normal 2 5 2 6 3 2 2" xfId="9930" xr:uid="{00000000-0005-0000-0000-000016470000}"/>
    <cellStyle name="Normal 2 5 2 6 3 2 2 2" xfId="22373" xr:uid="{00000000-0005-0000-0000-000017470000}"/>
    <cellStyle name="Normal 2 5 2 6 3 2 2 2 2" xfId="47247" xr:uid="{00000000-0005-0000-0000-000018470000}"/>
    <cellStyle name="Normal 2 5 2 6 3 2 2 3" xfId="34814" xr:uid="{00000000-0005-0000-0000-000019470000}"/>
    <cellStyle name="Normal 2 5 2 6 3 2 3" xfId="17366" xr:uid="{00000000-0005-0000-0000-00001A470000}"/>
    <cellStyle name="Normal 2 5 2 6 3 2 3 2" xfId="42240" xr:uid="{00000000-0005-0000-0000-00001B470000}"/>
    <cellStyle name="Normal 2 5 2 6 3 2 4" xfId="29807" xr:uid="{00000000-0005-0000-0000-00001C470000}"/>
    <cellStyle name="Normal 2 5 2 6 3 3" xfId="5898" xr:uid="{00000000-0005-0000-0000-00001D470000}"/>
    <cellStyle name="Normal 2 5 2 6 3 3 2" xfId="10913" xr:uid="{00000000-0005-0000-0000-00001E470000}"/>
    <cellStyle name="Normal 2 5 2 6 3 3 2 2" xfId="23356" xr:uid="{00000000-0005-0000-0000-00001F470000}"/>
    <cellStyle name="Normal 2 5 2 6 3 3 2 2 2" xfId="48230" xr:uid="{00000000-0005-0000-0000-000020470000}"/>
    <cellStyle name="Normal 2 5 2 6 3 3 2 3" xfId="35797" xr:uid="{00000000-0005-0000-0000-000021470000}"/>
    <cellStyle name="Normal 2 5 2 6 3 3 3" xfId="18349" xr:uid="{00000000-0005-0000-0000-000022470000}"/>
    <cellStyle name="Normal 2 5 2 6 3 3 3 2" xfId="43223" xr:uid="{00000000-0005-0000-0000-000023470000}"/>
    <cellStyle name="Normal 2 5 2 6 3 3 4" xfId="30790" xr:uid="{00000000-0005-0000-0000-000024470000}"/>
    <cellStyle name="Normal 2 5 2 6 3 4" xfId="8337" xr:uid="{00000000-0005-0000-0000-000025470000}"/>
    <cellStyle name="Normal 2 5 2 6 3 4 2" xfId="20781" xr:uid="{00000000-0005-0000-0000-000026470000}"/>
    <cellStyle name="Normal 2 5 2 6 3 4 2 2" xfId="45655" xr:uid="{00000000-0005-0000-0000-000027470000}"/>
    <cellStyle name="Normal 2 5 2 6 3 4 3" xfId="33222" xr:uid="{00000000-0005-0000-0000-000028470000}"/>
    <cellStyle name="Normal 2 5 2 6 3 5" xfId="12367" xr:uid="{00000000-0005-0000-0000-000029470000}"/>
    <cellStyle name="Normal 2 5 2 6 3 5 2" xfId="24801" xr:uid="{00000000-0005-0000-0000-00002A470000}"/>
    <cellStyle name="Normal 2 5 2 6 3 5 2 2" xfId="49675" xr:uid="{00000000-0005-0000-0000-00002B470000}"/>
    <cellStyle name="Normal 2 5 2 6 3 5 3" xfId="37242" xr:uid="{00000000-0005-0000-0000-00002C470000}"/>
    <cellStyle name="Normal 2 5 2 6 3 6" xfId="7524" xr:uid="{00000000-0005-0000-0000-00002D470000}"/>
    <cellStyle name="Normal 2 5 2 6 3 6 2" xfId="19972" xr:uid="{00000000-0005-0000-0000-00002E470000}"/>
    <cellStyle name="Normal 2 5 2 6 3 6 2 2" xfId="44846" xr:uid="{00000000-0005-0000-0000-00002F470000}"/>
    <cellStyle name="Normal 2 5 2 6 3 6 3" xfId="32413" xr:uid="{00000000-0005-0000-0000-000030470000}"/>
    <cellStyle name="Normal 2 5 2 6 3 7" xfId="3268" xr:uid="{00000000-0005-0000-0000-000031470000}"/>
    <cellStyle name="Normal 2 5 2 6 3 7 2" xfId="15774" xr:uid="{00000000-0005-0000-0000-000032470000}"/>
    <cellStyle name="Normal 2 5 2 6 3 7 2 2" xfId="40648" xr:uid="{00000000-0005-0000-0000-000033470000}"/>
    <cellStyle name="Normal 2 5 2 6 3 7 3" xfId="28207" xr:uid="{00000000-0005-0000-0000-000034470000}"/>
    <cellStyle name="Normal 2 5 2 6 3 8" xfId="14552" xr:uid="{00000000-0005-0000-0000-000035470000}"/>
    <cellStyle name="Normal 2 5 2 6 3 8 2" xfId="39426" xr:uid="{00000000-0005-0000-0000-000036470000}"/>
    <cellStyle name="Normal 2 5 2 6 3 9" xfId="26985" xr:uid="{00000000-0005-0000-0000-000037470000}"/>
    <cellStyle name="Normal 2 5 2 6 4" xfId="2286" xr:uid="{00000000-0005-0000-0000-000038470000}"/>
    <cellStyle name="Normal 2 5 2 6 4 2" xfId="6311" xr:uid="{00000000-0005-0000-0000-000039470000}"/>
    <cellStyle name="Normal 2 5 2 6 4 2 2" xfId="11326" xr:uid="{00000000-0005-0000-0000-00003A470000}"/>
    <cellStyle name="Normal 2 5 2 6 4 2 2 2" xfId="23769" xr:uid="{00000000-0005-0000-0000-00003B470000}"/>
    <cellStyle name="Normal 2 5 2 6 4 2 2 2 2" xfId="48643" xr:uid="{00000000-0005-0000-0000-00003C470000}"/>
    <cellStyle name="Normal 2 5 2 6 4 2 2 3" xfId="36210" xr:uid="{00000000-0005-0000-0000-00003D470000}"/>
    <cellStyle name="Normal 2 5 2 6 4 2 3" xfId="18762" xr:uid="{00000000-0005-0000-0000-00003E470000}"/>
    <cellStyle name="Normal 2 5 2 6 4 2 3 2" xfId="43636" xr:uid="{00000000-0005-0000-0000-00003F470000}"/>
    <cellStyle name="Normal 2 5 2 6 4 2 4" xfId="31203" xr:uid="{00000000-0005-0000-0000-000040470000}"/>
    <cellStyle name="Normal 2 5 2 6 4 3" xfId="12780" xr:uid="{00000000-0005-0000-0000-000041470000}"/>
    <cellStyle name="Normal 2 5 2 6 4 3 2" xfId="25214" xr:uid="{00000000-0005-0000-0000-000042470000}"/>
    <cellStyle name="Normal 2 5 2 6 4 3 2 2" xfId="50088" xr:uid="{00000000-0005-0000-0000-000043470000}"/>
    <cellStyle name="Normal 2 5 2 6 4 3 3" xfId="37655" xr:uid="{00000000-0005-0000-0000-000044470000}"/>
    <cellStyle name="Normal 2 5 2 6 4 4" xfId="9221" xr:uid="{00000000-0005-0000-0000-000045470000}"/>
    <cellStyle name="Normal 2 5 2 6 4 4 2" xfId="21664" xr:uid="{00000000-0005-0000-0000-000046470000}"/>
    <cellStyle name="Normal 2 5 2 6 4 4 2 2" xfId="46538" xr:uid="{00000000-0005-0000-0000-000047470000}"/>
    <cellStyle name="Normal 2 5 2 6 4 4 3" xfId="34105" xr:uid="{00000000-0005-0000-0000-000048470000}"/>
    <cellStyle name="Normal 2 5 2 6 4 5" xfId="4203" xr:uid="{00000000-0005-0000-0000-000049470000}"/>
    <cellStyle name="Normal 2 5 2 6 4 5 2" xfId="16657" xr:uid="{00000000-0005-0000-0000-00004A470000}"/>
    <cellStyle name="Normal 2 5 2 6 4 5 2 2" xfId="41531" xr:uid="{00000000-0005-0000-0000-00004B470000}"/>
    <cellStyle name="Normal 2 5 2 6 4 5 3" xfId="29098" xr:uid="{00000000-0005-0000-0000-00004C470000}"/>
    <cellStyle name="Normal 2 5 2 6 4 6" xfId="14965" xr:uid="{00000000-0005-0000-0000-00004D470000}"/>
    <cellStyle name="Normal 2 5 2 6 4 6 2" xfId="39839" xr:uid="{00000000-0005-0000-0000-00004E470000}"/>
    <cellStyle name="Normal 2 5 2 6 4 7" xfId="27398" xr:uid="{00000000-0005-0000-0000-00004F470000}"/>
    <cellStyle name="Normal 2 5 2 6 5" xfId="1122" xr:uid="{00000000-0005-0000-0000-000050470000}"/>
    <cellStyle name="Normal 2 5 2 6 5 2" xfId="10283" xr:uid="{00000000-0005-0000-0000-000051470000}"/>
    <cellStyle name="Normal 2 5 2 6 5 2 2" xfId="22726" xr:uid="{00000000-0005-0000-0000-000052470000}"/>
    <cellStyle name="Normal 2 5 2 6 5 2 2 2" xfId="47600" xr:uid="{00000000-0005-0000-0000-000053470000}"/>
    <cellStyle name="Normal 2 5 2 6 5 2 3" xfId="35167" xr:uid="{00000000-0005-0000-0000-000054470000}"/>
    <cellStyle name="Normal 2 5 2 6 5 3" xfId="5267" xr:uid="{00000000-0005-0000-0000-000055470000}"/>
    <cellStyle name="Normal 2 5 2 6 5 3 2" xfId="17719" xr:uid="{00000000-0005-0000-0000-000056470000}"/>
    <cellStyle name="Normal 2 5 2 6 5 3 2 2" xfId="42593" xr:uid="{00000000-0005-0000-0000-000057470000}"/>
    <cellStyle name="Normal 2 5 2 6 5 3 3" xfId="30160" xr:uid="{00000000-0005-0000-0000-000058470000}"/>
    <cellStyle name="Normal 2 5 2 6 5 4" xfId="13922" xr:uid="{00000000-0005-0000-0000-000059470000}"/>
    <cellStyle name="Normal 2 5 2 6 5 4 2" xfId="38796" xr:uid="{00000000-0005-0000-0000-00005A470000}"/>
    <cellStyle name="Normal 2 5 2 6 5 5" xfId="26355" xr:uid="{00000000-0005-0000-0000-00005B470000}"/>
    <cellStyle name="Normal 2 5 2 6 6" xfId="7844" xr:uid="{00000000-0005-0000-0000-00005C470000}"/>
    <cellStyle name="Normal 2 5 2 6 6 2" xfId="20290" xr:uid="{00000000-0005-0000-0000-00005D470000}"/>
    <cellStyle name="Normal 2 5 2 6 6 2 2" xfId="45164" xr:uid="{00000000-0005-0000-0000-00005E470000}"/>
    <cellStyle name="Normal 2 5 2 6 6 3" xfId="32731" xr:uid="{00000000-0005-0000-0000-00005F470000}"/>
    <cellStyle name="Normal 2 5 2 6 7" xfId="11737" xr:uid="{00000000-0005-0000-0000-000060470000}"/>
    <cellStyle name="Normal 2 5 2 6 7 2" xfId="24171" xr:uid="{00000000-0005-0000-0000-000061470000}"/>
    <cellStyle name="Normal 2 5 2 6 7 2 2" xfId="49045" xr:uid="{00000000-0005-0000-0000-000062470000}"/>
    <cellStyle name="Normal 2 5 2 6 7 3" xfId="36612" xr:uid="{00000000-0005-0000-0000-000063470000}"/>
    <cellStyle name="Normal 2 5 2 6 8" xfId="6814" xr:uid="{00000000-0005-0000-0000-000064470000}"/>
    <cellStyle name="Normal 2 5 2 6 8 2" xfId="19263" xr:uid="{00000000-0005-0000-0000-000065470000}"/>
    <cellStyle name="Normal 2 5 2 6 8 2 2" xfId="44137" xr:uid="{00000000-0005-0000-0000-000066470000}"/>
    <cellStyle name="Normal 2 5 2 6 8 3" xfId="31704" xr:uid="{00000000-0005-0000-0000-000067470000}"/>
    <cellStyle name="Normal 2 5 2 6 9" xfId="2765" xr:uid="{00000000-0005-0000-0000-000068470000}"/>
    <cellStyle name="Normal 2 5 2 6 9 2" xfId="15283" xr:uid="{00000000-0005-0000-0000-000069470000}"/>
    <cellStyle name="Normal 2 5 2 6 9 2 2" xfId="40157" xr:uid="{00000000-0005-0000-0000-00006A470000}"/>
    <cellStyle name="Normal 2 5 2 6 9 3" xfId="27716" xr:uid="{00000000-0005-0000-0000-00006B470000}"/>
    <cellStyle name="Normal 2 5 2 6_Degree data" xfId="2012" xr:uid="{00000000-0005-0000-0000-00006C470000}"/>
    <cellStyle name="Normal 2 5 2 7" xfId="202" xr:uid="{00000000-0005-0000-0000-00006D470000}"/>
    <cellStyle name="Normal 2 5 2 7 10" xfId="13032" xr:uid="{00000000-0005-0000-0000-00006E470000}"/>
    <cellStyle name="Normal 2 5 2 7 10 2" xfId="37906" xr:uid="{00000000-0005-0000-0000-00006F470000}"/>
    <cellStyle name="Normal 2 5 2 7 11" xfId="25465" xr:uid="{00000000-0005-0000-0000-000070470000}"/>
    <cellStyle name="Normal 2 5 2 7 2" xfId="569" xr:uid="{00000000-0005-0000-0000-000071470000}"/>
    <cellStyle name="Normal 2 5 2 7 2 2" xfId="1405" xr:uid="{00000000-0005-0000-0000-000072470000}"/>
    <cellStyle name="Normal 2 5 2 7 2 2 2" xfId="9509" xr:uid="{00000000-0005-0000-0000-000073470000}"/>
    <cellStyle name="Normal 2 5 2 7 2 2 2 2" xfId="21952" xr:uid="{00000000-0005-0000-0000-000074470000}"/>
    <cellStyle name="Normal 2 5 2 7 2 2 2 2 2" xfId="46826" xr:uid="{00000000-0005-0000-0000-000075470000}"/>
    <cellStyle name="Normal 2 5 2 7 2 2 2 3" xfId="34393" xr:uid="{00000000-0005-0000-0000-000076470000}"/>
    <cellStyle name="Normal 2 5 2 7 2 2 3" xfId="4491" xr:uid="{00000000-0005-0000-0000-000077470000}"/>
    <cellStyle name="Normal 2 5 2 7 2 2 3 2" xfId="16945" xr:uid="{00000000-0005-0000-0000-000078470000}"/>
    <cellStyle name="Normal 2 5 2 7 2 2 3 2 2" xfId="41819" xr:uid="{00000000-0005-0000-0000-000079470000}"/>
    <cellStyle name="Normal 2 5 2 7 2 2 3 3" xfId="29386" xr:uid="{00000000-0005-0000-0000-00007A470000}"/>
    <cellStyle name="Normal 2 5 2 7 2 2 4" xfId="14205" xr:uid="{00000000-0005-0000-0000-00007B470000}"/>
    <cellStyle name="Normal 2 5 2 7 2 2 4 2" xfId="39079" xr:uid="{00000000-0005-0000-0000-00007C470000}"/>
    <cellStyle name="Normal 2 5 2 7 2 2 5" xfId="26638" xr:uid="{00000000-0005-0000-0000-00007D470000}"/>
    <cellStyle name="Normal 2 5 2 7 2 3" xfId="5550" xr:uid="{00000000-0005-0000-0000-00007E470000}"/>
    <cellStyle name="Normal 2 5 2 7 2 3 2" xfId="10566" xr:uid="{00000000-0005-0000-0000-00007F470000}"/>
    <cellStyle name="Normal 2 5 2 7 2 3 2 2" xfId="23009" xr:uid="{00000000-0005-0000-0000-000080470000}"/>
    <cellStyle name="Normal 2 5 2 7 2 3 2 2 2" xfId="47883" xr:uid="{00000000-0005-0000-0000-000081470000}"/>
    <cellStyle name="Normal 2 5 2 7 2 3 2 3" xfId="35450" xr:uid="{00000000-0005-0000-0000-000082470000}"/>
    <cellStyle name="Normal 2 5 2 7 2 3 3" xfId="18002" xr:uid="{00000000-0005-0000-0000-000083470000}"/>
    <cellStyle name="Normal 2 5 2 7 2 3 3 2" xfId="42876" xr:uid="{00000000-0005-0000-0000-000084470000}"/>
    <cellStyle name="Normal 2 5 2 7 2 3 4" xfId="30443" xr:uid="{00000000-0005-0000-0000-000085470000}"/>
    <cellStyle name="Normal 2 5 2 7 2 4" xfId="8625" xr:uid="{00000000-0005-0000-0000-000086470000}"/>
    <cellStyle name="Normal 2 5 2 7 2 4 2" xfId="21069" xr:uid="{00000000-0005-0000-0000-000087470000}"/>
    <cellStyle name="Normal 2 5 2 7 2 4 2 2" xfId="45943" xr:uid="{00000000-0005-0000-0000-000088470000}"/>
    <cellStyle name="Normal 2 5 2 7 2 4 3" xfId="33510" xr:uid="{00000000-0005-0000-0000-000089470000}"/>
    <cellStyle name="Normal 2 5 2 7 2 5" xfId="12020" xr:uid="{00000000-0005-0000-0000-00008A470000}"/>
    <cellStyle name="Normal 2 5 2 7 2 5 2" xfId="24454" xr:uid="{00000000-0005-0000-0000-00008B470000}"/>
    <cellStyle name="Normal 2 5 2 7 2 5 2 2" xfId="49328" xr:uid="{00000000-0005-0000-0000-00008C470000}"/>
    <cellStyle name="Normal 2 5 2 7 2 5 3" xfId="36895" xr:uid="{00000000-0005-0000-0000-00008D470000}"/>
    <cellStyle name="Normal 2 5 2 7 2 6" xfId="7102" xr:uid="{00000000-0005-0000-0000-00008E470000}"/>
    <cellStyle name="Normal 2 5 2 7 2 6 2" xfId="19551" xr:uid="{00000000-0005-0000-0000-00008F470000}"/>
    <cellStyle name="Normal 2 5 2 7 2 6 2 2" xfId="44425" xr:uid="{00000000-0005-0000-0000-000090470000}"/>
    <cellStyle name="Normal 2 5 2 7 2 6 3" xfId="31992" xr:uid="{00000000-0005-0000-0000-000091470000}"/>
    <cellStyle name="Normal 2 5 2 7 2 7" xfId="3556" xr:uid="{00000000-0005-0000-0000-000092470000}"/>
    <cellStyle name="Normal 2 5 2 7 2 7 2" xfId="16062" xr:uid="{00000000-0005-0000-0000-000093470000}"/>
    <cellStyle name="Normal 2 5 2 7 2 7 2 2" xfId="40936" xr:uid="{00000000-0005-0000-0000-000094470000}"/>
    <cellStyle name="Normal 2 5 2 7 2 7 3" xfId="28495" xr:uid="{00000000-0005-0000-0000-000095470000}"/>
    <cellStyle name="Normal 2 5 2 7 2 8" xfId="13379" xr:uid="{00000000-0005-0000-0000-000096470000}"/>
    <cellStyle name="Normal 2 5 2 7 2 8 2" xfId="38253" xr:uid="{00000000-0005-0000-0000-000097470000}"/>
    <cellStyle name="Normal 2 5 2 7 2 9" xfId="25812" xr:uid="{00000000-0005-0000-0000-000098470000}"/>
    <cellStyle name="Normal 2 5 2 7 3" xfId="1753" xr:uid="{00000000-0005-0000-0000-000099470000}"/>
    <cellStyle name="Normal 2 5 2 7 3 2" xfId="4761" xr:uid="{00000000-0005-0000-0000-00009A470000}"/>
    <cellStyle name="Normal 2 5 2 7 3 2 2" xfId="9778" xr:uid="{00000000-0005-0000-0000-00009B470000}"/>
    <cellStyle name="Normal 2 5 2 7 3 2 2 2" xfId="22221" xr:uid="{00000000-0005-0000-0000-00009C470000}"/>
    <cellStyle name="Normal 2 5 2 7 3 2 2 2 2" xfId="47095" xr:uid="{00000000-0005-0000-0000-00009D470000}"/>
    <cellStyle name="Normal 2 5 2 7 3 2 2 3" xfId="34662" xr:uid="{00000000-0005-0000-0000-00009E470000}"/>
    <cellStyle name="Normal 2 5 2 7 3 2 3" xfId="17214" xr:uid="{00000000-0005-0000-0000-00009F470000}"/>
    <cellStyle name="Normal 2 5 2 7 3 2 3 2" xfId="42088" xr:uid="{00000000-0005-0000-0000-0000A0470000}"/>
    <cellStyle name="Normal 2 5 2 7 3 2 4" xfId="29655" xr:uid="{00000000-0005-0000-0000-0000A1470000}"/>
    <cellStyle name="Normal 2 5 2 7 3 3" xfId="5899" xr:uid="{00000000-0005-0000-0000-0000A2470000}"/>
    <cellStyle name="Normal 2 5 2 7 3 3 2" xfId="10914" xr:uid="{00000000-0005-0000-0000-0000A3470000}"/>
    <cellStyle name="Normal 2 5 2 7 3 3 2 2" xfId="23357" xr:uid="{00000000-0005-0000-0000-0000A4470000}"/>
    <cellStyle name="Normal 2 5 2 7 3 3 2 2 2" xfId="48231" xr:uid="{00000000-0005-0000-0000-0000A5470000}"/>
    <cellStyle name="Normal 2 5 2 7 3 3 2 3" xfId="35798" xr:uid="{00000000-0005-0000-0000-0000A6470000}"/>
    <cellStyle name="Normal 2 5 2 7 3 3 3" xfId="18350" xr:uid="{00000000-0005-0000-0000-0000A7470000}"/>
    <cellStyle name="Normal 2 5 2 7 3 3 3 2" xfId="43224" xr:uid="{00000000-0005-0000-0000-0000A8470000}"/>
    <cellStyle name="Normal 2 5 2 7 3 3 4" xfId="30791" xr:uid="{00000000-0005-0000-0000-0000A9470000}"/>
    <cellStyle name="Normal 2 5 2 7 3 4" xfId="8041" xr:uid="{00000000-0005-0000-0000-0000AA470000}"/>
    <cellStyle name="Normal 2 5 2 7 3 4 2" xfId="20487" xr:uid="{00000000-0005-0000-0000-0000AB470000}"/>
    <cellStyle name="Normal 2 5 2 7 3 4 2 2" xfId="45361" xr:uid="{00000000-0005-0000-0000-0000AC470000}"/>
    <cellStyle name="Normal 2 5 2 7 3 4 3" xfId="32928" xr:uid="{00000000-0005-0000-0000-0000AD470000}"/>
    <cellStyle name="Normal 2 5 2 7 3 5" xfId="12368" xr:uid="{00000000-0005-0000-0000-0000AE470000}"/>
    <cellStyle name="Normal 2 5 2 7 3 5 2" xfId="24802" xr:uid="{00000000-0005-0000-0000-0000AF470000}"/>
    <cellStyle name="Normal 2 5 2 7 3 5 2 2" xfId="49676" xr:uid="{00000000-0005-0000-0000-0000B0470000}"/>
    <cellStyle name="Normal 2 5 2 7 3 5 3" xfId="37243" xr:uid="{00000000-0005-0000-0000-0000B1470000}"/>
    <cellStyle name="Normal 2 5 2 7 3 6" xfId="7372" xr:uid="{00000000-0005-0000-0000-0000B2470000}"/>
    <cellStyle name="Normal 2 5 2 7 3 6 2" xfId="19820" xr:uid="{00000000-0005-0000-0000-0000B3470000}"/>
    <cellStyle name="Normal 2 5 2 7 3 6 2 2" xfId="44694" xr:uid="{00000000-0005-0000-0000-0000B4470000}"/>
    <cellStyle name="Normal 2 5 2 7 3 6 3" xfId="32261" xr:uid="{00000000-0005-0000-0000-0000B5470000}"/>
    <cellStyle name="Normal 2 5 2 7 3 7" xfId="2968" xr:uid="{00000000-0005-0000-0000-0000B6470000}"/>
    <cellStyle name="Normal 2 5 2 7 3 7 2" xfId="15480" xr:uid="{00000000-0005-0000-0000-0000B7470000}"/>
    <cellStyle name="Normal 2 5 2 7 3 7 2 2" xfId="40354" xr:uid="{00000000-0005-0000-0000-0000B8470000}"/>
    <cellStyle name="Normal 2 5 2 7 3 7 3" xfId="27913" xr:uid="{00000000-0005-0000-0000-0000B9470000}"/>
    <cellStyle name="Normal 2 5 2 7 3 8" xfId="14553" xr:uid="{00000000-0005-0000-0000-0000BA470000}"/>
    <cellStyle name="Normal 2 5 2 7 3 8 2" xfId="39427" xr:uid="{00000000-0005-0000-0000-0000BB470000}"/>
    <cellStyle name="Normal 2 5 2 7 3 9" xfId="26986" xr:uid="{00000000-0005-0000-0000-0000BC470000}"/>
    <cellStyle name="Normal 2 5 2 7 4" xfId="2120" xr:uid="{00000000-0005-0000-0000-0000BD470000}"/>
    <cellStyle name="Normal 2 5 2 7 4 2" xfId="6159" xr:uid="{00000000-0005-0000-0000-0000BE470000}"/>
    <cellStyle name="Normal 2 5 2 7 4 2 2" xfId="11174" xr:uid="{00000000-0005-0000-0000-0000BF470000}"/>
    <cellStyle name="Normal 2 5 2 7 4 2 2 2" xfId="23617" xr:uid="{00000000-0005-0000-0000-0000C0470000}"/>
    <cellStyle name="Normal 2 5 2 7 4 2 2 2 2" xfId="48491" xr:uid="{00000000-0005-0000-0000-0000C1470000}"/>
    <cellStyle name="Normal 2 5 2 7 4 2 2 3" xfId="36058" xr:uid="{00000000-0005-0000-0000-0000C2470000}"/>
    <cellStyle name="Normal 2 5 2 7 4 2 3" xfId="18610" xr:uid="{00000000-0005-0000-0000-0000C3470000}"/>
    <cellStyle name="Normal 2 5 2 7 4 2 3 2" xfId="43484" xr:uid="{00000000-0005-0000-0000-0000C4470000}"/>
    <cellStyle name="Normal 2 5 2 7 4 2 4" xfId="31051" xr:uid="{00000000-0005-0000-0000-0000C5470000}"/>
    <cellStyle name="Normal 2 5 2 7 4 3" xfId="12628" xr:uid="{00000000-0005-0000-0000-0000C6470000}"/>
    <cellStyle name="Normal 2 5 2 7 4 3 2" xfId="25062" xr:uid="{00000000-0005-0000-0000-0000C7470000}"/>
    <cellStyle name="Normal 2 5 2 7 4 3 2 2" xfId="49936" xr:uid="{00000000-0005-0000-0000-0000C8470000}"/>
    <cellStyle name="Normal 2 5 2 7 4 3 3" xfId="37503" xr:uid="{00000000-0005-0000-0000-0000C9470000}"/>
    <cellStyle name="Normal 2 5 2 7 4 4" xfId="9069" xr:uid="{00000000-0005-0000-0000-0000CA470000}"/>
    <cellStyle name="Normal 2 5 2 7 4 4 2" xfId="21512" xr:uid="{00000000-0005-0000-0000-0000CB470000}"/>
    <cellStyle name="Normal 2 5 2 7 4 4 2 2" xfId="46386" xr:uid="{00000000-0005-0000-0000-0000CC470000}"/>
    <cellStyle name="Normal 2 5 2 7 4 4 3" xfId="33953" xr:uid="{00000000-0005-0000-0000-0000CD470000}"/>
    <cellStyle name="Normal 2 5 2 7 4 5" xfId="4051" xr:uid="{00000000-0005-0000-0000-0000CE470000}"/>
    <cellStyle name="Normal 2 5 2 7 4 5 2" xfId="16505" xr:uid="{00000000-0005-0000-0000-0000CF470000}"/>
    <cellStyle name="Normal 2 5 2 7 4 5 2 2" xfId="41379" xr:uid="{00000000-0005-0000-0000-0000D0470000}"/>
    <cellStyle name="Normal 2 5 2 7 4 5 3" xfId="28946" xr:uid="{00000000-0005-0000-0000-0000D1470000}"/>
    <cellStyle name="Normal 2 5 2 7 4 6" xfId="14813" xr:uid="{00000000-0005-0000-0000-0000D2470000}"/>
    <cellStyle name="Normal 2 5 2 7 4 6 2" xfId="39687" xr:uid="{00000000-0005-0000-0000-0000D3470000}"/>
    <cellStyle name="Normal 2 5 2 7 4 7" xfId="27246" xr:uid="{00000000-0005-0000-0000-0000D4470000}"/>
    <cellStyle name="Normal 2 5 2 7 5" xfId="970" xr:uid="{00000000-0005-0000-0000-0000D5470000}"/>
    <cellStyle name="Normal 2 5 2 7 5 2" xfId="10129" xr:uid="{00000000-0005-0000-0000-0000D6470000}"/>
    <cellStyle name="Normal 2 5 2 7 5 2 2" xfId="22572" xr:uid="{00000000-0005-0000-0000-0000D7470000}"/>
    <cellStyle name="Normal 2 5 2 7 5 2 2 2" xfId="47446" xr:uid="{00000000-0005-0000-0000-0000D8470000}"/>
    <cellStyle name="Normal 2 5 2 7 5 2 3" xfId="35013" xr:uid="{00000000-0005-0000-0000-0000D9470000}"/>
    <cellStyle name="Normal 2 5 2 7 5 3" xfId="5113" xr:uid="{00000000-0005-0000-0000-0000DA470000}"/>
    <cellStyle name="Normal 2 5 2 7 5 3 2" xfId="17565" xr:uid="{00000000-0005-0000-0000-0000DB470000}"/>
    <cellStyle name="Normal 2 5 2 7 5 3 2 2" xfId="42439" xr:uid="{00000000-0005-0000-0000-0000DC470000}"/>
    <cellStyle name="Normal 2 5 2 7 5 3 3" xfId="30006" xr:uid="{00000000-0005-0000-0000-0000DD470000}"/>
    <cellStyle name="Normal 2 5 2 7 5 4" xfId="13770" xr:uid="{00000000-0005-0000-0000-0000DE470000}"/>
    <cellStyle name="Normal 2 5 2 7 5 4 2" xfId="38644" xr:uid="{00000000-0005-0000-0000-0000DF470000}"/>
    <cellStyle name="Normal 2 5 2 7 5 5" xfId="26203" xr:uid="{00000000-0005-0000-0000-0000E0470000}"/>
    <cellStyle name="Normal 2 5 2 7 6" xfId="8185" xr:uid="{00000000-0005-0000-0000-0000E1470000}"/>
    <cellStyle name="Normal 2 5 2 7 6 2" xfId="20629" xr:uid="{00000000-0005-0000-0000-0000E2470000}"/>
    <cellStyle name="Normal 2 5 2 7 6 2 2" xfId="45503" xr:uid="{00000000-0005-0000-0000-0000E3470000}"/>
    <cellStyle name="Normal 2 5 2 7 6 3" xfId="33070" xr:uid="{00000000-0005-0000-0000-0000E4470000}"/>
    <cellStyle name="Normal 2 5 2 7 7" xfId="11585" xr:uid="{00000000-0005-0000-0000-0000E5470000}"/>
    <cellStyle name="Normal 2 5 2 7 7 2" xfId="24019" xr:uid="{00000000-0005-0000-0000-0000E6470000}"/>
    <cellStyle name="Normal 2 5 2 7 7 2 2" xfId="48893" xr:uid="{00000000-0005-0000-0000-0000E7470000}"/>
    <cellStyle name="Normal 2 5 2 7 7 3" xfId="36460" xr:uid="{00000000-0005-0000-0000-0000E8470000}"/>
    <cellStyle name="Normal 2 5 2 7 8" xfId="6662" xr:uid="{00000000-0005-0000-0000-0000E9470000}"/>
    <cellStyle name="Normal 2 5 2 7 8 2" xfId="19111" xr:uid="{00000000-0005-0000-0000-0000EA470000}"/>
    <cellStyle name="Normal 2 5 2 7 8 2 2" xfId="43985" xr:uid="{00000000-0005-0000-0000-0000EB470000}"/>
    <cellStyle name="Normal 2 5 2 7 8 3" xfId="31552" xr:uid="{00000000-0005-0000-0000-0000EC470000}"/>
    <cellStyle name="Normal 2 5 2 7 9" xfId="3116" xr:uid="{00000000-0005-0000-0000-0000ED470000}"/>
    <cellStyle name="Normal 2 5 2 7 9 2" xfId="15622" xr:uid="{00000000-0005-0000-0000-0000EE470000}"/>
    <cellStyle name="Normal 2 5 2 7 9 2 2" xfId="40496" xr:uid="{00000000-0005-0000-0000-0000EF470000}"/>
    <cellStyle name="Normal 2 5 2 7 9 3" xfId="28055" xr:uid="{00000000-0005-0000-0000-0000F0470000}"/>
    <cellStyle name="Normal 2 5 2 7_Degree data" xfId="2252" xr:uid="{00000000-0005-0000-0000-0000F1470000}"/>
    <cellStyle name="Normal 2 5 2 8" xfId="537" xr:uid="{00000000-0005-0000-0000-0000F2470000}"/>
    <cellStyle name="Normal 2 5 2 8 2" xfId="1386" xr:uid="{00000000-0005-0000-0000-0000F3470000}"/>
    <cellStyle name="Normal 2 5 2 8 2 2" xfId="9490" xr:uid="{00000000-0005-0000-0000-0000F4470000}"/>
    <cellStyle name="Normal 2 5 2 8 2 2 2" xfId="21933" xr:uid="{00000000-0005-0000-0000-0000F5470000}"/>
    <cellStyle name="Normal 2 5 2 8 2 2 2 2" xfId="46807" xr:uid="{00000000-0005-0000-0000-0000F6470000}"/>
    <cellStyle name="Normal 2 5 2 8 2 2 3" xfId="34374" xr:uid="{00000000-0005-0000-0000-0000F7470000}"/>
    <cellStyle name="Normal 2 5 2 8 2 3" xfId="4472" xr:uid="{00000000-0005-0000-0000-0000F8470000}"/>
    <cellStyle name="Normal 2 5 2 8 2 3 2" xfId="16926" xr:uid="{00000000-0005-0000-0000-0000F9470000}"/>
    <cellStyle name="Normal 2 5 2 8 2 3 2 2" xfId="41800" xr:uid="{00000000-0005-0000-0000-0000FA470000}"/>
    <cellStyle name="Normal 2 5 2 8 2 3 3" xfId="29367" xr:uid="{00000000-0005-0000-0000-0000FB470000}"/>
    <cellStyle name="Normal 2 5 2 8 2 4" xfId="14186" xr:uid="{00000000-0005-0000-0000-0000FC470000}"/>
    <cellStyle name="Normal 2 5 2 8 2 4 2" xfId="39060" xr:uid="{00000000-0005-0000-0000-0000FD470000}"/>
    <cellStyle name="Normal 2 5 2 8 2 5" xfId="26619" xr:uid="{00000000-0005-0000-0000-0000FE470000}"/>
    <cellStyle name="Normal 2 5 2 8 3" xfId="5531" xr:uid="{00000000-0005-0000-0000-0000FF470000}"/>
    <cellStyle name="Normal 2 5 2 8 3 2" xfId="10547" xr:uid="{00000000-0005-0000-0000-000000480000}"/>
    <cellStyle name="Normal 2 5 2 8 3 2 2" xfId="22990" xr:uid="{00000000-0005-0000-0000-000001480000}"/>
    <cellStyle name="Normal 2 5 2 8 3 2 2 2" xfId="47864" xr:uid="{00000000-0005-0000-0000-000002480000}"/>
    <cellStyle name="Normal 2 5 2 8 3 2 3" xfId="35431" xr:uid="{00000000-0005-0000-0000-000003480000}"/>
    <cellStyle name="Normal 2 5 2 8 3 3" xfId="17983" xr:uid="{00000000-0005-0000-0000-000004480000}"/>
    <cellStyle name="Normal 2 5 2 8 3 3 2" xfId="42857" xr:uid="{00000000-0005-0000-0000-000005480000}"/>
    <cellStyle name="Normal 2 5 2 8 3 4" xfId="30424" xr:uid="{00000000-0005-0000-0000-000006480000}"/>
    <cellStyle name="Normal 2 5 2 8 4" xfId="8606" xr:uid="{00000000-0005-0000-0000-000007480000}"/>
    <cellStyle name="Normal 2 5 2 8 4 2" xfId="21050" xr:uid="{00000000-0005-0000-0000-000008480000}"/>
    <cellStyle name="Normal 2 5 2 8 4 2 2" xfId="45924" xr:uid="{00000000-0005-0000-0000-000009480000}"/>
    <cellStyle name="Normal 2 5 2 8 4 3" xfId="33491" xr:uid="{00000000-0005-0000-0000-00000A480000}"/>
    <cellStyle name="Normal 2 5 2 8 5" xfId="12001" xr:uid="{00000000-0005-0000-0000-00000B480000}"/>
    <cellStyle name="Normal 2 5 2 8 5 2" xfId="24435" xr:uid="{00000000-0005-0000-0000-00000C480000}"/>
    <cellStyle name="Normal 2 5 2 8 5 2 2" xfId="49309" xr:uid="{00000000-0005-0000-0000-00000D480000}"/>
    <cellStyle name="Normal 2 5 2 8 5 3" xfId="36876" xr:uid="{00000000-0005-0000-0000-00000E480000}"/>
    <cellStyle name="Normal 2 5 2 8 6" xfId="7083" xr:uid="{00000000-0005-0000-0000-00000F480000}"/>
    <cellStyle name="Normal 2 5 2 8 6 2" xfId="19532" xr:uid="{00000000-0005-0000-0000-000010480000}"/>
    <cellStyle name="Normal 2 5 2 8 6 2 2" xfId="44406" xr:uid="{00000000-0005-0000-0000-000011480000}"/>
    <cellStyle name="Normal 2 5 2 8 6 3" xfId="31973" xr:uid="{00000000-0005-0000-0000-000012480000}"/>
    <cellStyle name="Normal 2 5 2 8 7" xfId="3537" xr:uid="{00000000-0005-0000-0000-000013480000}"/>
    <cellStyle name="Normal 2 5 2 8 7 2" xfId="16043" xr:uid="{00000000-0005-0000-0000-000014480000}"/>
    <cellStyle name="Normal 2 5 2 8 7 2 2" xfId="40917" xr:uid="{00000000-0005-0000-0000-000015480000}"/>
    <cellStyle name="Normal 2 5 2 8 7 3" xfId="28476" xr:uid="{00000000-0005-0000-0000-000016480000}"/>
    <cellStyle name="Normal 2 5 2 8 8" xfId="13347" xr:uid="{00000000-0005-0000-0000-000017480000}"/>
    <cellStyle name="Normal 2 5 2 8 8 2" xfId="38221" xr:uid="{00000000-0005-0000-0000-000018480000}"/>
    <cellStyle name="Normal 2 5 2 8 9" xfId="25780" xr:uid="{00000000-0005-0000-0000-000019480000}"/>
    <cellStyle name="Normal 2 5 2 9" xfId="1734" xr:uid="{00000000-0005-0000-0000-00001A480000}"/>
    <cellStyle name="Normal 2 5 2 9 2" xfId="4729" xr:uid="{00000000-0005-0000-0000-00001B480000}"/>
    <cellStyle name="Normal 2 5 2 9 2 2" xfId="9746" xr:uid="{00000000-0005-0000-0000-00001C480000}"/>
    <cellStyle name="Normal 2 5 2 9 2 2 2" xfId="22189" xr:uid="{00000000-0005-0000-0000-00001D480000}"/>
    <cellStyle name="Normal 2 5 2 9 2 2 2 2" xfId="47063" xr:uid="{00000000-0005-0000-0000-00001E480000}"/>
    <cellStyle name="Normal 2 5 2 9 2 2 3" xfId="34630" xr:uid="{00000000-0005-0000-0000-00001F480000}"/>
    <cellStyle name="Normal 2 5 2 9 2 3" xfId="17182" xr:uid="{00000000-0005-0000-0000-000020480000}"/>
    <cellStyle name="Normal 2 5 2 9 2 3 2" xfId="42056" xr:uid="{00000000-0005-0000-0000-000021480000}"/>
    <cellStyle name="Normal 2 5 2 9 2 4" xfId="29623" xr:uid="{00000000-0005-0000-0000-000022480000}"/>
    <cellStyle name="Normal 2 5 2 9 3" xfId="5880" xr:uid="{00000000-0005-0000-0000-000023480000}"/>
    <cellStyle name="Normal 2 5 2 9 3 2" xfId="10895" xr:uid="{00000000-0005-0000-0000-000024480000}"/>
    <cellStyle name="Normal 2 5 2 9 3 2 2" xfId="23338" xr:uid="{00000000-0005-0000-0000-000025480000}"/>
    <cellStyle name="Normal 2 5 2 9 3 2 2 2" xfId="48212" xr:uid="{00000000-0005-0000-0000-000026480000}"/>
    <cellStyle name="Normal 2 5 2 9 3 2 3" xfId="35779" xr:uid="{00000000-0005-0000-0000-000027480000}"/>
    <cellStyle name="Normal 2 5 2 9 3 3" xfId="18331" xr:uid="{00000000-0005-0000-0000-000028480000}"/>
    <cellStyle name="Normal 2 5 2 9 3 3 2" xfId="43205" xr:uid="{00000000-0005-0000-0000-000029480000}"/>
    <cellStyle name="Normal 2 5 2 9 3 4" xfId="30772" xr:uid="{00000000-0005-0000-0000-00002A480000}"/>
    <cellStyle name="Normal 2 5 2 9 4" xfId="8017" xr:uid="{00000000-0005-0000-0000-00002B480000}"/>
    <cellStyle name="Normal 2 5 2 9 4 2" xfId="20463" xr:uid="{00000000-0005-0000-0000-00002C480000}"/>
    <cellStyle name="Normal 2 5 2 9 4 2 2" xfId="45337" xr:uid="{00000000-0005-0000-0000-00002D480000}"/>
    <cellStyle name="Normal 2 5 2 9 4 3" xfId="32904" xr:uid="{00000000-0005-0000-0000-00002E480000}"/>
    <cellStyle name="Normal 2 5 2 9 5" xfId="12349" xr:uid="{00000000-0005-0000-0000-00002F480000}"/>
    <cellStyle name="Normal 2 5 2 9 5 2" xfId="24783" xr:uid="{00000000-0005-0000-0000-000030480000}"/>
    <cellStyle name="Normal 2 5 2 9 5 2 2" xfId="49657" xr:uid="{00000000-0005-0000-0000-000031480000}"/>
    <cellStyle name="Normal 2 5 2 9 5 3" xfId="37224" xr:uid="{00000000-0005-0000-0000-000032480000}"/>
    <cellStyle name="Normal 2 5 2 9 6" xfId="7340" xr:uid="{00000000-0005-0000-0000-000033480000}"/>
    <cellStyle name="Normal 2 5 2 9 6 2" xfId="19788" xr:uid="{00000000-0005-0000-0000-000034480000}"/>
    <cellStyle name="Normal 2 5 2 9 6 2 2" xfId="44662" xr:uid="{00000000-0005-0000-0000-000035480000}"/>
    <cellStyle name="Normal 2 5 2 9 6 3" xfId="32229" xr:uid="{00000000-0005-0000-0000-000036480000}"/>
    <cellStyle name="Normal 2 5 2 9 7" xfId="2941" xr:uid="{00000000-0005-0000-0000-000037480000}"/>
    <cellStyle name="Normal 2 5 2 9 7 2" xfId="15456" xr:uid="{00000000-0005-0000-0000-000038480000}"/>
    <cellStyle name="Normal 2 5 2 9 7 2 2" xfId="40330" xr:uid="{00000000-0005-0000-0000-000039480000}"/>
    <cellStyle name="Normal 2 5 2 9 7 3" xfId="27889" xr:uid="{00000000-0005-0000-0000-00003A480000}"/>
    <cellStyle name="Normal 2 5 2 9 8" xfId="14534" xr:uid="{00000000-0005-0000-0000-00003B480000}"/>
    <cellStyle name="Normal 2 5 2 9 8 2" xfId="39408" xr:uid="{00000000-0005-0000-0000-00003C480000}"/>
    <cellStyle name="Normal 2 5 2 9 9" xfId="26967" xr:uid="{00000000-0005-0000-0000-00003D480000}"/>
    <cellStyle name="Normal 2 5 2_Degree data" xfId="2190" xr:uid="{00000000-0005-0000-0000-00003E480000}"/>
    <cellStyle name="Normal 2 5 20" xfId="25369" xr:uid="{00000000-0005-0000-0000-00003F480000}"/>
    <cellStyle name="Normal 2 5 3" xfId="94" xr:uid="{00000000-0005-0000-0000-000040480000}"/>
    <cellStyle name="Normal 2 5 3 10" xfId="942" xr:uid="{00000000-0005-0000-0000-000041480000}"/>
    <cellStyle name="Normal 2 5 3 10 2" xfId="11557" xr:uid="{00000000-0005-0000-0000-000042480000}"/>
    <cellStyle name="Normal 2 5 3 10 2 2" xfId="23991" xr:uid="{00000000-0005-0000-0000-000043480000}"/>
    <cellStyle name="Normal 2 5 3 10 2 2 2" xfId="48865" xr:uid="{00000000-0005-0000-0000-000044480000}"/>
    <cellStyle name="Normal 2 5 3 10 2 3" xfId="36432" xr:uid="{00000000-0005-0000-0000-000045480000}"/>
    <cellStyle name="Normal 2 5 3 10 3" xfId="10101" xr:uid="{00000000-0005-0000-0000-000046480000}"/>
    <cellStyle name="Normal 2 5 3 10 3 2" xfId="22544" xr:uid="{00000000-0005-0000-0000-000047480000}"/>
    <cellStyle name="Normal 2 5 3 10 3 2 2" xfId="47418" xr:uid="{00000000-0005-0000-0000-000048480000}"/>
    <cellStyle name="Normal 2 5 3 10 3 3" xfId="34985" xr:uid="{00000000-0005-0000-0000-000049480000}"/>
    <cellStyle name="Normal 2 5 3 10 4" xfId="5085" xr:uid="{00000000-0005-0000-0000-00004A480000}"/>
    <cellStyle name="Normal 2 5 3 10 4 2" xfId="17537" xr:uid="{00000000-0005-0000-0000-00004B480000}"/>
    <cellStyle name="Normal 2 5 3 10 4 2 2" xfId="42411" xr:uid="{00000000-0005-0000-0000-00004C480000}"/>
    <cellStyle name="Normal 2 5 3 10 4 3" xfId="29978" xr:uid="{00000000-0005-0000-0000-00004D480000}"/>
    <cellStyle name="Normal 2 5 3 10 5" xfId="13742" xr:uid="{00000000-0005-0000-0000-00004E480000}"/>
    <cellStyle name="Normal 2 5 3 10 5 2" xfId="38616" xr:uid="{00000000-0005-0000-0000-00004F480000}"/>
    <cellStyle name="Normal 2 5 3 10 6" xfId="26175" xr:uid="{00000000-0005-0000-0000-000050480000}"/>
    <cellStyle name="Normal 2 5 3 11" xfId="912" xr:uid="{00000000-0005-0000-0000-000051480000}"/>
    <cellStyle name="Normal 2 5 3 11 2" xfId="7707" xr:uid="{00000000-0005-0000-0000-000052480000}"/>
    <cellStyle name="Normal 2 5 3 11 2 2" xfId="20153" xr:uid="{00000000-0005-0000-0000-000053480000}"/>
    <cellStyle name="Normal 2 5 3 11 2 2 2" xfId="45027" xr:uid="{00000000-0005-0000-0000-000054480000}"/>
    <cellStyle name="Normal 2 5 3 11 2 3" xfId="32594" xr:uid="{00000000-0005-0000-0000-000055480000}"/>
    <cellStyle name="Normal 2 5 3 11 3" xfId="13712" xr:uid="{00000000-0005-0000-0000-000056480000}"/>
    <cellStyle name="Normal 2 5 3 11 3 2" xfId="38586" xr:uid="{00000000-0005-0000-0000-000057480000}"/>
    <cellStyle name="Normal 2 5 3 11 4" xfId="26145" xr:uid="{00000000-0005-0000-0000-000058480000}"/>
    <cellStyle name="Normal 2 5 3 12" xfId="11527" xr:uid="{00000000-0005-0000-0000-000059480000}"/>
    <cellStyle name="Normal 2 5 3 12 2" xfId="23961" xr:uid="{00000000-0005-0000-0000-00005A480000}"/>
    <cellStyle name="Normal 2 5 3 12 2 2" xfId="48835" xr:uid="{00000000-0005-0000-0000-00005B480000}"/>
    <cellStyle name="Normal 2 5 3 12 3" xfId="36402" xr:uid="{00000000-0005-0000-0000-00005C480000}"/>
    <cellStyle name="Normal 2 5 3 13" xfId="6489" xr:uid="{00000000-0005-0000-0000-00005D480000}"/>
    <cellStyle name="Normal 2 5 3 13 2" xfId="18938" xr:uid="{00000000-0005-0000-0000-00005E480000}"/>
    <cellStyle name="Normal 2 5 3 13 2 2" xfId="43812" xr:uid="{00000000-0005-0000-0000-00005F480000}"/>
    <cellStyle name="Normal 2 5 3 13 3" xfId="31379" xr:uid="{00000000-0005-0000-0000-000060480000}"/>
    <cellStyle name="Normal 2 5 3 14" xfId="2627" xr:uid="{00000000-0005-0000-0000-000061480000}"/>
    <cellStyle name="Normal 2 5 3 14 2" xfId="15146" xr:uid="{00000000-0005-0000-0000-000062480000}"/>
    <cellStyle name="Normal 2 5 3 14 2 2" xfId="40020" xr:uid="{00000000-0005-0000-0000-000063480000}"/>
    <cellStyle name="Normal 2 5 3 14 3" xfId="27579" xr:uid="{00000000-0005-0000-0000-000064480000}"/>
    <cellStyle name="Normal 2 5 3 15" xfId="12950" xr:uid="{00000000-0005-0000-0000-000065480000}"/>
    <cellStyle name="Normal 2 5 3 15 2" xfId="37824" xr:uid="{00000000-0005-0000-0000-000066480000}"/>
    <cellStyle name="Normal 2 5 3 16" xfId="25383" xr:uid="{00000000-0005-0000-0000-000067480000}"/>
    <cellStyle name="Normal 2 5 3 2" xfId="144" xr:uid="{00000000-0005-0000-0000-000068480000}"/>
    <cellStyle name="Normal 2 5 3 2 10" xfId="11659" xr:uid="{00000000-0005-0000-0000-000069480000}"/>
    <cellStyle name="Normal 2 5 3 2 10 2" xfId="24093" xr:uid="{00000000-0005-0000-0000-00006A480000}"/>
    <cellStyle name="Normal 2 5 3 2 10 2 2" xfId="48967" xr:uid="{00000000-0005-0000-0000-00006B480000}"/>
    <cellStyle name="Normal 2 5 3 2 10 3" xfId="36534" xr:uid="{00000000-0005-0000-0000-00006C480000}"/>
    <cellStyle name="Normal 2 5 3 2 11" xfId="6519" xr:uid="{00000000-0005-0000-0000-00006D480000}"/>
    <cellStyle name="Normal 2 5 3 2 11 2" xfId="18968" xr:uid="{00000000-0005-0000-0000-00006E480000}"/>
    <cellStyle name="Normal 2 5 3 2 11 2 2" xfId="43842" xr:uid="{00000000-0005-0000-0000-00006F480000}"/>
    <cellStyle name="Normal 2 5 3 2 11 3" xfId="31409" xr:uid="{00000000-0005-0000-0000-000070480000}"/>
    <cellStyle name="Normal 2 5 3 2 12" xfId="2687" xr:uid="{00000000-0005-0000-0000-000071480000}"/>
    <cellStyle name="Normal 2 5 3 2 12 2" xfId="15205" xr:uid="{00000000-0005-0000-0000-000072480000}"/>
    <cellStyle name="Normal 2 5 3 2 12 2 2" xfId="40079" xr:uid="{00000000-0005-0000-0000-000073480000}"/>
    <cellStyle name="Normal 2 5 3 2 12 3" xfId="27638" xr:uid="{00000000-0005-0000-0000-000074480000}"/>
    <cellStyle name="Normal 2 5 3 2 13" xfId="12974" xr:uid="{00000000-0005-0000-0000-000075480000}"/>
    <cellStyle name="Normal 2 5 3 2 13 2" xfId="37848" xr:uid="{00000000-0005-0000-0000-000076480000}"/>
    <cellStyle name="Normal 2 5 3 2 14" xfId="25407" xr:uid="{00000000-0005-0000-0000-000077480000}"/>
    <cellStyle name="Normal 2 5 3 2 2" xfId="497" xr:uid="{00000000-0005-0000-0000-000078480000}"/>
    <cellStyle name="Normal 2 5 3 2 2 10" xfId="2891" xr:uid="{00000000-0005-0000-0000-000079480000}"/>
    <cellStyle name="Normal 2 5 3 2 2 10 2" xfId="15409" xr:uid="{00000000-0005-0000-0000-00007A480000}"/>
    <cellStyle name="Normal 2 5 3 2 2 10 2 2" xfId="40283" xr:uid="{00000000-0005-0000-0000-00007B480000}"/>
    <cellStyle name="Normal 2 5 3 2 2 10 3" xfId="27842" xr:uid="{00000000-0005-0000-0000-00007C480000}"/>
    <cellStyle name="Normal 2 5 3 2 2 11" xfId="13310" xr:uid="{00000000-0005-0000-0000-00007D480000}"/>
    <cellStyle name="Normal 2 5 3 2 2 11 2" xfId="38184" xr:uid="{00000000-0005-0000-0000-00007E480000}"/>
    <cellStyle name="Normal 2 5 3 2 2 12" xfId="25743" xr:uid="{00000000-0005-0000-0000-00007F480000}"/>
    <cellStyle name="Normal 2 5 3 2 2 2" xfId="856" xr:uid="{00000000-0005-0000-0000-000080480000}"/>
    <cellStyle name="Normal 2 5 3 2 2 2 2" xfId="1408" xr:uid="{00000000-0005-0000-0000-000081480000}"/>
    <cellStyle name="Normal 2 5 3 2 2 2 2 2" xfId="9347" xr:uid="{00000000-0005-0000-0000-000082480000}"/>
    <cellStyle name="Normal 2 5 3 2 2 2 2 2 2" xfId="21790" xr:uid="{00000000-0005-0000-0000-000083480000}"/>
    <cellStyle name="Normal 2 5 3 2 2 2 2 2 2 2" xfId="46664" xr:uid="{00000000-0005-0000-0000-000084480000}"/>
    <cellStyle name="Normal 2 5 3 2 2 2 2 2 3" xfId="34231" xr:uid="{00000000-0005-0000-0000-000085480000}"/>
    <cellStyle name="Normal 2 5 3 2 2 2 2 3" xfId="4329" xr:uid="{00000000-0005-0000-0000-000086480000}"/>
    <cellStyle name="Normal 2 5 3 2 2 2 2 3 2" xfId="16783" xr:uid="{00000000-0005-0000-0000-000087480000}"/>
    <cellStyle name="Normal 2 5 3 2 2 2 2 3 2 2" xfId="41657" xr:uid="{00000000-0005-0000-0000-000088480000}"/>
    <cellStyle name="Normal 2 5 3 2 2 2 2 3 3" xfId="29224" xr:uid="{00000000-0005-0000-0000-000089480000}"/>
    <cellStyle name="Normal 2 5 3 2 2 2 2 4" xfId="14208" xr:uid="{00000000-0005-0000-0000-00008A480000}"/>
    <cellStyle name="Normal 2 5 3 2 2 2 2 4 2" xfId="39082" xr:uid="{00000000-0005-0000-0000-00008B480000}"/>
    <cellStyle name="Normal 2 5 3 2 2 2 2 5" xfId="26641" xr:uid="{00000000-0005-0000-0000-00008C480000}"/>
    <cellStyle name="Normal 2 5 3 2 2 2 3" xfId="5553" xr:uid="{00000000-0005-0000-0000-00008D480000}"/>
    <cellStyle name="Normal 2 5 3 2 2 2 3 2" xfId="10569" xr:uid="{00000000-0005-0000-0000-00008E480000}"/>
    <cellStyle name="Normal 2 5 3 2 2 2 3 2 2" xfId="23012" xr:uid="{00000000-0005-0000-0000-00008F480000}"/>
    <cellStyle name="Normal 2 5 3 2 2 2 3 2 2 2" xfId="47886" xr:uid="{00000000-0005-0000-0000-000090480000}"/>
    <cellStyle name="Normal 2 5 3 2 2 2 3 2 3" xfId="35453" xr:uid="{00000000-0005-0000-0000-000091480000}"/>
    <cellStyle name="Normal 2 5 3 2 2 2 3 3" xfId="18005" xr:uid="{00000000-0005-0000-0000-000092480000}"/>
    <cellStyle name="Normal 2 5 3 2 2 2 3 3 2" xfId="42879" xr:uid="{00000000-0005-0000-0000-000093480000}"/>
    <cellStyle name="Normal 2 5 3 2 2 2 3 4" xfId="30446" xr:uid="{00000000-0005-0000-0000-000094480000}"/>
    <cellStyle name="Normal 2 5 3 2 2 2 4" xfId="8463" xr:uid="{00000000-0005-0000-0000-000095480000}"/>
    <cellStyle name="Normal 2 5 3 2 2 2 4 2" xfId="20907" xr:uid="{00000000-0005-0000-0000-000096480000}"/>
    <cellStyle name="Normal 2 5 3 2 2 2 4 2 2" xfId="45781" xr:uid="{00000000-0005-0000-0000-000097480000}"/>
    <cellStyle name="Normal 2 5 3 2 2 2 4 3" xfId="33348" xr:uid="{00000000-0005-0000-0000-000098480000}"/>
    <cellStyle name="Normal 2 5 3 2 2 2 5" xfId="12023" xr:uid="{00000000-0005-0000-0000-000099480000}"/>
    <cellStyle name="Normal 2 5 3 2 2 2 5 2" xfId="24457" xr:uid="{00000000-0005-0000-0000-00009A480000}"/>
    <cellStyle name="Normal 2 5 3 2 2 2 5 2 2" xfId="49331" xr:uid="{00000000-0005-0000-0000-00009B480000}"/>
    <cellStyle name="Normal 2 5 3 2 2 2 5 3" xfId="36898" xr:uid="{00000000-0005-0000-0000-00009C480000}"/>
    <cellStyle name="Normal 2 5 3 2 2 2 6" xfId="6940" xr:uid="{00000000-0005-0000-0000-00009D480000}"/>
    <cellStyle name="Normal 2 5 3 2 2 2 6 2" xfId="19389" xr:uid="{00000000-0005-0000-0000-00009E480000}"/>
    <cellStyle name="Normal 2 5 3 2 2 2 6 2 2" xfId="44263" xr:uid="{00000000-0005-0000-0000-00009F480000}"/>
    <cellStyle name="Normal 2 5 3 2 2 2 6 3" xfId="31830" xr:uid="{00000000-0005-0000-0000-0000A0480000}"/>
    <cellStyle name="Normal 2 5 3 2 2 2 7" xfId="3394" xr:uid="{00000000-0005-0000-0000-0000A1480000}"/>
    <cellStyle name="Normal 2 5 3 2 2 2 7 2" xfId="15900" xr:uid="{00000000-0005-0000-0000-0000A2480000}"/>
    <cellStyle name="Normal 2 5 3 2 2 2 7 2 2" xfId="40774" xr:uid="{00000000-0005-0000-0000-0000A3480000}"/>
    <cellStyle name="Normal 2 5 3 2 2 2 7 3" xfId="28333" xr:uid="{00000000-0005-0000-0000-0000A4480000}"/>
    <cellStyle name="Normal 2 5 3 2 2 2 8" xfId="13657" xr:uid="{00000000-0005-0000-0000-0000A5480000}"/>
    <cellStyle name="Normal 2 5 3 2 2 2 8 2" xfId="38531" xr:uid="{00000000-0005-0000-0000-0000A6480000}"/>
    <cellStyle name="Normal 2 5 3 2 2 2 9" xfId="26090" xr:uid="{00000000-0005-0000-0000-0000A7480000}"/>
    <cellStyle name="Normal 2 5 3 2 2 3" xfId="1756" xr:uid="{00000000-0005-0000-0000-0000A8480000}"/>
    <cellStyle name="Normal 2 5 3 2 2 3 2" xfId="4494" xr:uid="{00000000-0005-0000-0000-0000A9480000}"/>
    <cellStyle name="Normal 2 5 3 2 2 3 2 2" xfId="9512" xr:uid="{00000000-0005-0000-0000-0000AA480000}"/>
    <cellStyle name="Normal 2 5 3 2 2 3 2 2 2" xfId="21955" xr:uid="{00000000-0005-0000-0000-0000AB480000}"/>
    <cellStyle name="Normal 2 5 3 2 2 3 2 2 2 2" xfId="46829" xr:uid="{00000000-0005-0000-0000-0000AC480000}"/>
    <cellStyle name="Normal 2 5 3 2 2 3 2 2 3" xfId="34396" xr:uid="{00000000-0005-0000-0000-0000AD480000}"/>
    <cellStyle name="Normal 2 5 3 2 2 3 2 3" xfId="16948" xr:uid="{00000000-0005-0000-0000-0000AE480000}"/>
    <cellStyle name="Normal 2 5 3 2 2 3 2 3 2" xfId="41822" xr:uid="{00000000-0005-0000-0000-0000AF480000}"/>
    <cellStyle name="Normal 2 5 3 2 2 3 2 4" xfId="29389" xr:uid="{00000000-0005-0000-0000-0000B0480000}"/>
    <cellStyle name="Normal 2 5 3 2 2 3 3" xfId="5902" xr:uid="{00000000-0005-0000-0000-0000B1480000}"/>
    <cellStyle name="Normal 2 5 3 2 2 3 3 2" xfId="10917" xr:uid="{00000000-0005-0000-0000-0000B2480000}"/>
    <cellStyle name="Normal 2 5 3 2 2 3 3 2 2" xfId="23360" xr:uid="{00000000-0005-0000-0000-0000B3480000}"/>
    <cellStyle name="Normal 2 5 3 2 2 3 3 2 2 2" xfId="48234" xr:uid="{00000000-0005-0000-0000-0000B4480000}"/>
    <cellStyle name="Normal 2 5 3 2 2 3 3 2 3" xfId="35801" xr:uid="{00000000-0005-0000-0000-0000B5480000}"/>
    <cellStyle name="Normal 2 5 3 2 2 3 3 3" xfId="18353" xr:uid="{00000000-0005-0000-0000-0000B6480000}"/>
    <cellStyle name="Normal 2 5 3 2 2 3 3 3 2" xfId="43227" xr:uid="{00000000-0005-0000-0000-0000B7480000}"/>
    <cellStyle name="Normal 2 5 3 2 2 3 3 4" xfId="30794" xr:uid="{00000000-0005-0000-0000-0000B8480000}"/>
    <cellStyle name="Normal 2 5 3 2 2 3 4" xfId="8628" xr:uid="{00000000-0005-0000-0000-0000B9480000}"/>
    <cellStyle name="Normal 2 5 3 2 2 3 4 2" xfId="21072" xr:uid="{00000000-0005-0000-0000-0000BA480000}"/>
    <cellStyle name="Normal 2 5 3 2 2 3 4 2 2" xfId="45946" xr:uid="{00000000-0005-0000-0000-0000BB480000}"/>
    <cellStyle name="Normal 2 5 3 2 2 3 4 3" xfId="33513" xr:uid="{00000000-0005-0000-0000-0000BC480000}"/>
    <cellStyle name="Normal 2 5 3 2 2 3 5" xfId="12371" xr:uid="{00000000-0005-0000-0000-0000BD480000}"/>
    <cellStyle name="Normal 2 5 3 2 2 3 5 2" xfId="24805" xr:uid="{00000000-0005-0000-0000-0000BE480000}"/>
    <cellStyle name="Normal 2 5 3 2 2 3 5 2 2" xfId="49679" xr:uid="{00000000-0005-0000-0000-0000BF480000}"/>
    <cellStyle name="Normal 2 5 3 2 2 3 5 3" xfId="37246" xr:uid="{00000000-0005-0000-0000-0000C0480000}"/>
    <cellStyle name="Normal 2 5 3 2 2 3 6" xfId="7105" xr:uid="{00000000-0005-0000-0000-0000C1480000}"/>
    <cellStyle name="Normal 2 5 3 2 2 3 6 2" xfId="19554" xr:uid="{00000000-0005-0000-0000-0000C2480000}"/>
    <cellStyle name="Normal 2 5 3 2 2 3 6 2 2" xfId="44428" xr:uid="{00000000-0005-0000-0000-0000C3480000}"/>
    <cellStyle name="Normal 2 5 3 2 2 3 6 3" xfId="31995" xr:uid="{00000000-0005-0000-0000-0000C4480000}"/>
    <cellStyle name="Normal 2 5 3 2 2 3 7" xfId="3559" xr:uid="{00000000-0005-0000-0000-0000C5480000}"/>
    <cellStyle name="Normal 2 5 3 2 2 3 7 2" xfId="16065" xr:uid="{00000000-0005-0000-0000-0000C6480000}"/>
    <cellStyle name="Normal 2 5 3 2 2 3 7 2 2" xfId="40939" xr:uid="{00000000-0005-0000-0000-0000C7480000}"/>
    <cellStyle name="Normal 2 5 3 2 2 3 7 3" xfId="28498" xr:uid="{00000000-0005-0000-0000-0000C8480000}"/>
    <cellStyle name="Normal 2 5 3 2 2 3 8" xfId="14556" xr:uid="{00000000-0005-0000-0000-0000C9480000}"/>
    <cellStyle name="Normal 2 5 3 2 2 3 8 2" xfId="39430" xr:uid="{00000000-0005-0000-0000-0000CA480000}"/>
    <cellStyle name="Normal 2 5 3 2 2 3 9" xfId="26989" xr:uid="{00000000-0005-0000-0000-0000CB480000}"/>
    <cellStyle name="Normal 2 5 3 2 2 4" xfId="2415" xr:uid="{00000000-0005-0000-0000-0000CC480000}"/>
    <cellStyle name="Normal 2 5 3 2 2 4 2" xfId="5039" xr:uid="{00000000-0005-0000-0000-0000CD480000}"/>
    <cellStyle name="Normal 2 5 3 2 2 4 2 2" xfId="10056" xr:uid="{00000000-0005-0000-0000-0000CE480000}"/>
    <cellStyle name="Normal 2 5 3 2 2 4 2 2 2" xfId="22499" xr:uid="{00000000-0005-0000-0000-0000CF480000}"/>
    <cellStyle name="Normal 2 5 3 2 2 4 2 2 2 2" xfId="47373" xr:uid="{00000000-0005-0000-0000-0000D0480000}"/>
    <cellStyle name="Normal 2 5 3 2 2 4 2 2 3" xfId="34940" xr:uid="{00000000-0005-0000-0000-0000D1480000}"/>
    <cellStyle name="Normal 2 5 3 2 2 4 2 3" xfId="17492" xr:uid="{00000000-0005-0000-0000-0000D2480000}"/>
    <cellStyle name="Normal 2 5 3 2 2 4 2 3 2" xfId="42366" xr:uid="{00000000-0005-0000-0000-0000D3480000}"/>
    <cellStyle name="Normal 2 5 3 2 2 4 2 4" xfId="29933" xr:uid="{00000000-0005-0000-0000-0000D4480000}"/>
    <cellStyle name="Normal 2 5 3 2 2 4 3" xfId="6437" xr:uid="{00000000-0005-0000-0000-0000D5480000}"/>
    <cellStyle name="Normal 2 5 3 2 2 4 3 2" xfId="11452" xr:uid="{00000000-0005-0000-0000-0000D6480000}"/>
    <cellStyle name="Normal 2 5 3 2 2 4 3 2 2" xfId="23895" xr:uid="{00000000-0005-0000-0000-0000D7480000}"/>
    <cellStyle name="Normal 2 5 3 2 2 4 3 2 2 2" xfId="48769" xr:uid="{00000000-0005-0000-0000-0000D8480000}"/>
    <cellStyle name="Normal 2 5 3 2 2 4 3 2 3" xfId="36336" xr:uid="{00000000-0005-0000-0000-0000D9480000}"/>
    <cellStyle name="Normal 2 5 3 2 2 4 3 3" xfId="18888" xr:uid="{00000000-0005-0000-0000-0000DA480000}"/>
    <cellStyle name="Normal 2 5 3 2 2 4 3 3 2" xfId="43762" xr:uid="{00000000-0005-0000-0000-0000DB480000}"/>
    <cellStyle name="Normal 2 5 3 2 2 4 3 4" xfId="31329" xr:uid="{00000000-0005-0000-0000-0000DC480000}"/>
    <cellStyle name="Normal 2 5 3 2 2 4 4" xfId="8144" xr:uid="{00000000-0005-0000-0000-0000DD480000}"/>
    <cellStyle name="Normal 2 5 3 2 2 4 4 2" xfId="20590" xr:uid="{00000000-0005-0000-0000-0000DE480000}"/>
    <cellStyle name="Normal 2 5 3 2 2 4 4 2 2" xfId="45464" xr:uid="{00000000-0005-0000-0000-0000DF480000}"/>
    <cellStyle name="Normal 2 5 3 2 2 4 4 3" xfId="33031" xr:uid="{00000000-0005-0000-0000-0000E0480000}"/>
    <cellStyle name="Normal 2 5 3 2 2 4 5" xfId="12906" xr:uid="{00000000-0005-0000-0000-0000E1480000}"/>
    <cellStyle name="Normal 2 5 3 2 2 4 5 2" xfId="25340" xr:uid="{00000000-0005-0000-0000-0000E2480000}"/>
    <cellStyle name="Normal 2 5 3 2 2 4 5 2 2" xfId="50214" xr:uid="{00000000-0005-0000-0000-0000E3480000}"/>
    <cellStyle name="Normal 2 5 3 2 2 4 5 3" xfId="37781" xr:uid="{00000000-0005-0000-0000-0000E4480000}"/>
    <cellStyle name="Normal 2 5 3 2 2 4 6" xfId="7650" xr:uid="{00000000-0005-0000-0000-0000E5480000}"/>
    <cellStyle name="Normal 2 5 3 2 2 4 6 2" xfId="20098" xr:uid="{00000000-0005-0000-0000-0000E6480000}"/>
    <cellStyle name="Normal 2 5 3 2 2 4 6 2 2" xfId="44972" xr:uid="{00000000-0005-0000-0000-0000E7480000}"/>
    <cellStyle name="Normal 2 5 3 2 2 4 6 3" xfId="32539" xr:uid="{00000000-0005-0000-0000-0000E8480000}"/>
    <cellStyle name="Normal 2 5 3 2 2 4 7" xfId="3074" xr:uid="{00000000-0005-0000-0000-0000E9480000}"/>
    <cellStyle name="Normal 2 5 3 2 2 4 7 2" xfId="15583" xr:uid="{00000000-0005-0000-0000-0000EA480000}"/>
    <cellStyle name="Normal 2 5 3 2 2 4 7 2 2" xfId="40457" xr:uid="{00000000-0005-0000-0000-0000EB480000}"/>
    <cellStyle name="Normal 2 5 3 2 2 4 7 3" xfId="28016" xr:uid="{00000000-0005-0000-0000-0000EC480000}"/>
    <cellStyle name="Normal 2 5 3 2 2 4 8" xfId="15091" xr:uid="{00000000-0005-0000-0000-0000ED480000}"/>
    <cellStyle name="Normal 2 5 3 2 2 4 8 2" xfId="39965" xr:uid="{00000000-0005-0000-0000-0000EE480000}"/>
    <cellStyle name="Normal 2 5 3 2 2 4 9" xfId="27524" xr:uid="{00000000-0005-0000-0000-0000EF480000}"/>
    <cellStyle name="Normal 2 5 3 2 2 5" xfId="1248" xr:uid="{00000000-0005-0000-0000-0000F0480000}"/>
    <cellStyle name="Normal 2 5 3 2 2 5 2" xfId="9030" xr:uid="{00000000-0005-0000-0000-0000F1480000}"/>
    <cellStyle name="Normal 2 5 3 2 2 5 2 2" xfId="21473" xr:uid="{00000000-0005-0000-0000-0000F2480000}"/>
    <cellStyle name="Normal 2 5 3 2 2 5 2 2 2" xfId="46347" xr:uid="{00000000-0005-0000-0000-0000F3480000}"/>
    <cellStyle name="Normal 2 5 3 2 2 5 2 3" xfId="33914" xr:uid="{00000000-0005-0000-0000-0000F4480000}"/>
    <cellStyle name="Normal 2 5 3 2 2 5 3" xfId="4012" xr:uid="{00000000-0005-0000-0000-0000F5480000}"/>
    <cellStyle name="Normal 2 5 3 2 2 5 3 2" xfId="16466" xr:uid="{00000000-0005-0000-0000-0000F6480000}"/>
    <cellStyle name="Normal 2 5 3 2 2 5 3 2 2" xfId="41340" xr:uid="{00000000-0005-0000-0000-0000F7480000}"/>
    <cellStyle name="Normal 2 5 3 2 2 5 3 3" xfId="28907" xr:uid="{00000000-0005-0000-0000-0000F8480000}"/>
    <cellStyle name="Normal 2 5 3 2 2 5 4" xfId="14048" xr:uid="{00000000-0005-0000-0000-0000F9480000}"/>
    <cellStyle name="Normal 2 5 3 2 2 5 4 2" xfId="38922" xr:uid="{00000000-0005-0000-0000-0000FA480000}"/>
    <cellStyle name="Normal 2 5 3 2 2 5 5" xfId="26481" xr:uid="{00000000-0005-0000-0000-0000FB480000}"/>
    <cellStyle name="Normal 2 5 3 2 2 6" xfId="5393" xr:uid="{00000000-0005-0000-0000-0000FC480000}"/>
    <cellStyle name="Normal 2 5 3 2 2 6 2" xfId="10409" xr:uid="{00000000-0005-0000-0000-0000FD480000}"/>
    <cellStyle name="Normal 2 5 3 2 2 6 2 2" xfId="22852" xr:uid="{00000000-0005-0000-0000-0000FE480000}"/>
    <cellStyle name="Normal 2 5 3 2 2 6 2 2 2" xfId="47726" xr:uid="{00000000-0005-0000-0000-0000FF480000}"/>
    <cellStyle name="Normal 2 5 3 2 2 6 2 3" xfId="35293" xr:uid="{00000000-0005-0000-0000-000000490000}"/>
    <cellStyle name="Normal 2 5 3 2 2 6 3" xfId="17845" xr:uid="{00000000-0005-0000-0000-000001490000}"/>
    <cellStyle name="Normal 2 5 3 2 2 6 3 2" xfId="42719" xr:uid="{00000000-0005-0000-0000-000002490000}"/>
    <cellStyle name="Normal 2 5 3 2 2 6 4" xfId="30286" xr:uid="{00000000-0005-0000-0000-000003490000}"/>
    <cellStyle name="Normal 2 5 3 2 2 7" xfId="7970" xr:uid="{00000000-0005-0000-0000-000004490000}"/>
    <cellStyle name="Normal 2 5 3 2 2 7 2" xfId="20416" xr:uid="{00000000-0005-0000-0000-000005490000}"/>
    <cellStyle name="Normal 2 5 3 2 2 7 2 2" xfId="45290" xr:uid="{00000000-0005-0000-0000-000006490000}"/>
    <cellStyle name="Normal 2 5 3 2 2 7 3" xfId="32857" xr:uid="{00000000-0005-0000-0000-000007490000}"/>
    <cellStyle name="Normal 2 5 3 2 2 8" xfId="11863" xr:uid="{00000000-0005-0000-0000-000008490000}"/>
    <cellStyle name="Normal 2 5 3 2 2 8 2" xfId="24297" xr:uid="{00000000-0005-0000-0000-000009490000}"/>
    <cellStyle name="Normal 2 5 3 2 2 8 2 2" xfId="49171" xr:uid="{00000000-0005-0000-0000-00000A490000}"/>
    <cellStyle name="Normal 2 5 3 2 2 8 3" xfId="36738" xr:uid="{00000000-0005-0000-0000-00000B490000}"/>
    <cellStyle name="Normal 2 5 3 2 2 9" xfId="6623" xr:uid="{00000000-0005-0000-0000-00000C490000}"/>
    <cellStyle name="Normal 2 5 3 2 2 9 2" xfId="19072" xr:uid="{00000000-0005-0000-0000-00000D490000}"/>
    <cellStyle name="Normal 2 5 3 2 2 9 2 2" xfId="43946" xr:uid="{00000000-0005-0000-0000-00000E490000}"/>
    <cellStyle name="Normal 2 5 3 2 2 9 3" xfId="31513" xr:uid="{00000000-0005-0000-0000-00000F490000}"/>
    <cellStyle name="Normal 2 5 3 2 2_Degree data" xfId="2071" xr:uid="{00000000-0005-0000-0000-000010490000}"/>
    <cellStyle name="Normal 2 5 3 2 3" xfId="390" xr:uid="{00000000-0005-0000-0000-000011490000}"/>
    <cellStyle name="Normal 2 5 3 2 3 10" xfId="13206" xr:uid="{00000000-0005-0000-0000-000012490000}"/>
    <cellStyle name="Normal 2 5 3 2 3 10 2" xfId="38080" xr:uid="{00000000-0005-0000-0000-000013490000}"/>
    <cellStyle name="Normal 2 5 3 2 3 11" xfId="25639" xr:uid="{00000000-0005-0000-0000-000014490000}"/>
    <cellStyle name="Normal 2 5 3 2 3 2" xfId="750" xr:uid="{00000000-0005-0000-0000-000015490000}"/>
    <cellStyle name="Normal 2 5 3 2 3 2 2" xfId="1409" xr:uid="{00000000-0005-0000-0000-000016490000}"/>
    <cellStyle name="Normal 2 5 3 2 3 2 2 2" xfId="9513" xr:uid="{00000000-0005-0000-0000-000017490000}"/>
    <cellStyle name="Normal 2 5 3 2 3 2 2 2 2" xfId="21956" xr:uid="{00000000-0005-0000-0000-000018490000}"/>
    <cellStyle name="Normal 2 5 3 2 3 2 2 2 2 2" xfId="46830" xr:uid="{00000000-0005-0000-0000-000019490000}"/>
    <cellStyle name="Normal 2 5 3 2 3 2 2 2 3" xfId="34397" xr:uid="{00000000-0005-0000-0000-00001A490000}"/>
    <cellStyle name="Normal 2 5 3 2 3 2 2 3" xfId="4495" xr:uid="{00000000-0005-0000-0000-00001B490000}"/>
    <cellStyle name="Normal 2 5 3 2 3 2 2 3 2" xfId="16949" xr:uid="{00000000-0005-0000-0000-00001C490000}"/>
    <cellStyle name="Normal 2 5 3 2 3 2 2 3 2 2" xfId="41823" xr:uid="{00000000-0005-0000-0000-00001D490000}"/>
    <cellStyle name="Normal 2 5 3 2 3 2 2 3 3" xfId="29390" xr:uid="{00000000-0005-0000-0000-00001E490000}"/>
    <cellStyle name="Normal 2 5 3 2 3 2 2 4" xfId="14209" xr:uid="{00000000-0005-0000-0000-00001F490000}"/>
    <cellStyle name="Normal 2 5 3 2 3 2 2 4 2" xfId="39083" xr:uid="{00000000-0005-0000-0000-000020490000}"/>
    <cellStyle name="Normal 2 5 3 2 3 2 2 5" xfId="26642" xr:uid="{00000000-0005-0000-0000-000021490000}"/>
    <cellStyle name="Normal 2 5 3 2 3 2 3" xfId="5554" xr:uid="{00000000-0005-0000-0000-000022490000}"/>
    <cellStyle name="Normal 2 5 3 2 3 2 3 2" xfId="10570" xr:uid="{00000000-0005-0000-0000-000023490000}"/>
    <cellStyle name="Normal 2 5 3 2 3 2 3 2 2" xfId="23013" xr:uid="{00000000-0005-0000-0000-000024490000}"/>
    <cellStyle name="Normal 2 5 3 2 3 2 3 2 2 2" xfId="47887" xr:uid="{00000000-0005-0000-0000-000025490000}"/>
    <cellStyle name="Normal 2 5 3 2 3 2 3 2 3" xfId="35454" xr:uid="{00000000-0005-0000-0000-000026490000}"/>
    <cellStyle name="Normal 2 5 3 2 3 2 3 3" xfId="18006" xr:uid="{00000000-0005-0000-0000-000027490000}"/>
    <cellStyle name="Normal 2 5 3 2 3 2 3 3 2" xfId="42880" xr:uid="{00000000-0005-0000-0000-000028490000}"/>
    <cellStyle name="Normal 2 5 3 2 3 2 3 4" xfId="30447" xr:uid="{00000000-0005-0000-0000-000029490000}"/>
    <cellStyle name="Normal 2 5 3 2 3 2 4" xfId="8629" xr:uid="{00000000-0005-0000-0000-00002A490000}"/>
    <cellStyle name="Normal 2 5 3 2 3 2 4 2" xfId="21073" xr:uid="{00000000-0005-0000-0000-00002B490000}"/>
    <cellStyle name="Normal 2 5 3 2 3 2 4 2 2" xfId="45947" xr:uid="{00000000-0005-0000-0000-00002C490000}"/>
    <cellStyle name="Normal 2 5 3 2 3 2 4 3" xfId="33514" xr:uid="{00000000-0005-0000-0000-00002D490000}"/>
    <cellStyle name="Normal 2 5 3 2 3 2 5" xfId="12024" xr:uid="{00000000-0005-0000-0000-00002E490000}"/>
    <cellStyle name="Normal 2 5 3 2 3 2 5 2" xfId="24458" xr:uid="{00000000-0005-0000-0000-00002F490000}"/>
    <cellStyle name="Normal 2 5 3 2 3 2 5 2 2" xfId="49332" xr:uid="{00000000-0005-0000-0000-000030490000}"/>
    <cellStyle name="Normal 2 5 3 2 3 2 5 3" xfId="36899" xr:uid="{00000000-0005-0000-0000-000031490000}"/>
    <cellStyle name="Normal 2 5 3 2 3 2 6" xfId="7106" xr:uid="{00000000-0005-0000-0000-000032490000}"/>
    <cellStyle name="Normal 2 5 3 2 3 2 6 2" xfId="19555" xr:uid="{00000000-0005-0000-0000-000033490000}"/>
    <cellStyle name="Normal 2 5 3 2 3 2 6 2 2" xfId="44429" xr:uid="{00000000-0005-0000-0000-000034490000}"/>
    <cellStyle name="Normal 2 5 3 2 3 2 6 3" xfId="31996" xr:uid="{00000000-0005-0000-0000-000035490000}"/>
    <cellStyle name="Normal 2 5 3 2 3 2 7" xfId="3560" xr:uid="{00000000-0005-0000-0000-000036490000}"/>
    <cellStyle name="Normal 2 5 3 2 3 2 7 2" xfId="16066" xr:uid="{00000000-0005-0000-0000-000037490000}"/>
    <cellStyle name="Normal 2 5 3 2 3 2 7 2 2" xfId="40940" xr:uid="{00000000-0005-0000-0000-000038490000}"/>
    <cellStyle name="Normal 2 5 3 2 3 2 7 3" xfId="28499" xr:uid="{00000000-0005-0000-0000-000039490000}"/>
    <cellStyle name="Normal 2 5 3 2 3 2 8" xfId="13553" xr:uid="{00000000-0005-0000-0000-00003A490000}"/>
    <cellStyle name="Normal 2 5 3 2 3 2 8 2" xfId="38427" xr:uid="{00000000-0005-0000-0000-00003B490000}"/>
    <cellStyle name="Normal 2 5 3 2 3 2 9" xfId="25986" xr:uid="{00000000-0005-0000-0000-00003C490000}"/>
    <cellStyle name="Normal 2 5 3 2 3 3" xfId="1757" xr:uid="{00000000-0005-0000-0000-00003D490000}"/>
    <cellStyle name="Normal 2 5 3 2 3 3 2" xfId="4935" xr:uid="{00000000-0005-0000-0000-00003E490000}"/>
    <cellStyle name="Normal 2 5 3 2 3 3 2 2" xfId="9952" xr:uid="{00000000-0005-0000-0000-00003F490000}"/>
    <cellStyle name="Normal 2 5 3 2 3 3 2 2 2" xfId="22395" xr:uid="{00000000-0005-0000-0000-000040490000}"/>
    <cellStyle name="Normal 2 5 3 2 3 3 2 2 2 2" xfId="47269" xr:uid="{00000000-0005-0000-0000-000041490000}"/>
    <cellStyle name="Normal 2 5 3 2 3 3 2 2 3" xfId="34836" xr:uid="{00000000-0005-0000-0000-000042490000}"/>
    <cellStyle name="Normal 2 5 3 2 3 3 2 3" xfId="17388" xr:uid="{00000000-0005-0000-0000-000043490000}"/>
    <cellStyle name="Normal 2 5 3 2 3 3 2 3 2" xfId="42262" xr:uid="{00000000-0005-0000-0000-000044490000}"/>
    <cellStyle name="Normal 2 5 3 2 3 3 2 4" xfId="29829" xr:uid="{00000000-0005-0000-0000-000045490000}"/>
    <cellStyle name="Normal 2 5 3 2 3 3 3" xfId="5903" xr:uid="{00000000-0005-0000-0000-000046490000}"/>
    <cellStyle name="Normal 2 5 3 2 3 3 3 2" xfId="10918" xr:uid="{00000000-0005-0000-0000-000047490000}"/>
    <cellStyle name="Normal 2 5 3 2 3 3 3 2 2" xfId="23361" xr:uid="{00000000-0005-0000-0000-000048490000}"/>
    <cellStyle name="Normal 2 5 3 2 3 3 3 2 2 2" xfId="48235" xr:uid="{00000000-0005-0000-0000-000049490000}"/>
    <cellStyle name="Normal 2 5 3 2 3 3 3 2 3" xfId="35802" xr:uid="{00000000-0005-0000-0000-00004A490000}"/>
    <cellStyle name="Normal 2 5 3 2 3 3 3 3" xfId="18354" xr:uid="{00000000-0005-0000-0000-00004B490000}"/>
    <cellStyle name="Normal 2 5 3 2 3 3 3 3 2" xfId="43228" xr:uid="{00000000-0005-0000-0000-00004C490000}"/>
    <cellStyle name="Normal 2 5 3 2 3 3 3 4" xfId="30795" xr:uid="{00000000-0005-0000-0000-00004D490000}"/>
    <cellStyle name="Normal 2 5 3 2 3 3 4" xfId="8359" xr:uid="{00000000-0005-0000-0000-00004E490000}"/>
    <cellStyle name="Normal 2 5 3 2 3 3 4 2" xfId="20803" xr:uid="{00000000-0005-0000-0000-00004F490000}"/>
    <cellStyle name="Normal 2 5 3 2 3 3 4 2 2" xfId="45677" xr:uid="{00000000-0005-0000-0000-000050490000}"/>
    <cellStyle name="Normal 2 5 3 2 3 3 4 3" xfId="33244" xr:uid="{00000000-0005-0000-0000-000051490000}"/>
    <cellStyle name="Normal 2 5 3 2 3 3 5" xfId="12372" xr:uid="{00000000-0005-0000-0000-000052490000}"/>
    <cellStyle name="Normal 2 5 3 2 3 3 5 2" xfId="24806" xr:uid="{00000000-0005-0000-0000-000053490000}"/>
    <cellStyle name="Normal 2 5 3 2 3 3 5 2 2" xfId="49680" xr:uid="{00000000-0005-0000-0000-000054490000}"/>
    <cellStyle name="Normal 2 5 3 2 3 3 5 3" xfId="37247" xr:uid="{00000000-0005-0000-0000-000055490000}"/>
    <cellStyle name="Normal 2 5 3 2 3 3 6" xfId="7546" xr:uid="{00000000-0005-0000-0000-000056490000}"/>
    <cellStyle name="Normal 2 5 3 2 3 3 6 2" xfId="19994" xr:uid="{00000000-0005-0000-0000-000057490000}"/>
    <cellStyle name="Normal 2 5 3 2 3 3 6 2 2" xfId="44868" xr:uid="{00000000-0005-0000-0000-000058490000}"/>
    <cellStyle name="Normal 2 5 3 2 3 3 6 3" xfId="32435" xr:uid="{00000000-0005-0000-0000-000059490000}"/>
    <cellStyle name="Normal 2 5 3 2 3 3 7" xfId="3290" xr:uid="{00000000-0005-0000-0000-00005A490000}"/>
    <cellStyle name="Normal 2 5 3 2 3 3 7 2" xfId="15796" xr:uid="{00000000-0005-0000-0000-00005B490000}"/>
    <cellStyle name="Normal 2 5 3 2 3 3 7 2 2" xfId="40670" xr:uid="{00000000-0005-0000-0000-00005C490000}"/>
    <cellStyle name="Normal 2 5 3 2 3 3 7 3" xfId="28229" xr:uid="{00000000-0005-0000-0000-00005D490000}"/>
    <cellStyle name="Normal 2 5 3 2 3 3 8" xfId="14557" xr:uid="{00000000-0005-0000-0000-00005E490000}"/>
    <cellStyle name="Normal 2 5 3 2 3 3 8 2" xfId="39431" xr:uid="{00000000-0005-0000-0000-00005F490000}"/>
    <cellStyle name="Normal 2 5 3 2 3 3 9" xfId="26990" xr:uid="{00000000-0005-0000-0000-000060490000}"/>
    <cellStyle name="Normal 2 5 3 2 3 4" xfId="2308" xr:uid="{00000000-0005-0000-0000-000061490000}"/>
    <cellStyle name="Normal 2 5 3 2 3 4 2" xfId="6333" xr:uid="{00000000-0005-0000-0000-000062490000}"/>
    <cellStyle name="Normal 2 5 3 2 3 4 2 2" xfId="11348" xr:uid="{00000000-0005-0000-0000-000063490000}"/>
    <cellStyle name="Normal 2 5 3 2 3 4 2 2 2" xfId="23791" xr:uid="{00000000-0005-0000-0000-000064490000}"/>
    <cellStyle name="Normal 2 5 3 2 3 4 2 2 2 2" xfId="48665" xr:uid="{00000000-0005-0000-0000-000065490000}"/>
    <cellStyle name="Normal 2 5 3 2 3 4 2 2 3" xfId="36232" xr:uid="{00000000-0005-0000-0000-000066490000}"/>
    <cellStyle name="Normal 2 5 3 2 3 4 2 3" xfId="18784" xr:uid="{00000000-0005-0000-0000-000067490000}"/>
    <cellStyle name="Normal 2 5 3 2 3 4 2 3 2" xfId="43658" xr:uid="{00000000-0005-0000-0000-000068490000}"/>
    <cellStyle name="Normal 2 5 3 2 3 4 2 4" xfId="31225" xr:uid="{00000000-0005-0000-0000-000069490000}"/>
    <cellStyle name="Normal 2 5 3 2 3 4 3" xfId="12802" xr:uid="{00000000-0005-0000-0000-00006A490000}"/>
    <cellStyle name="Normal 2 5 3 2 3 4 3 2" xfId="25236" xr:uid="{00000000-0005-0000-0000-00006B490000}"/>
    <cellStyle name="Normal 2 5 3 2 3 4 3 2 2" xfId="50110" xr:uid="{00000000-0005-0000-0000-00006C490000}"/>
    <cellStyle name="Normal 2 5 3 2 3 4 3 3" xfId="37677" xr:uid="{00000000-0005-0000-0000-00006D490000}"/>
    <cellStyle name="Normal 2 5 3 2 3 4 4" xfId="9243" xr:uid="{00000000-0005-0000-0000-00006E490000}"/>
    <cellStyle name="Normal 2 5 3 2 3 4 4 2" xfId="21686" xr:uid="{00000000-0005-0000-0000-00006F490000}"/>
    <cellStyle name="Normal 2 5 3 2 3 4 4 2 2" xfId="46560" xr:uid="{00000000-0005-0000-0000-000070490000}"/>
    <cellStyle name="Normal 2 5 3 2 3 4 4 3" xfId="34127" xr:uid="{00000000-0005-0000-0000-000071490000}"/>
    <cellStyle name="Normal 2 5 3 2 3 4 5" xfId="4225" xr:uid="{00000000-0005-0000-0000-000072490000}"/>
    <cellStyle name="Normal 2 5 3 2 3 4 5 2" xfId="16679" xr:uid="{00000000-0005-0000-0000-000073490000}"/>
    <cellStyle name="Normal 2 5 3 2 3 4 5 2 2" xfId="41553" xr:uid="{00000000-0005-0000-0000-000074490000}"/>
    <cellStyle name="Normal 2 5 3 2 3 4 5 3" xfId="29120" xr:uid="{00000000-0005-0000-0000-000075490000}"/>
    <cellStyle name="Normal 2 5 3 2 3 4 6" xfId="14987" xr:uid="{00000000-0005-0000-0000-000076490000}"/>
    <cellStyle name="Normal 2 5 3 2 3 4 6 2" xfId="39861" xr:uid="{00000000-0005-0000-0000-000077490000}"/>
    <cellStyle name="Normal 2 5 3 2 3 4 7" xfId="27420" xr:uid="{00000000-0005-0000-0000-000078490000}"/>
    <cellStyle name="Normal 2 5 3 2 3 5" xfId="1144" xr:uid="{00000000-0005-0000-0000-000079490000}"/>
    <cellStyle name="Normal 2 5 3 2 3 5 2" xfId="10305" xr:uid="{00000000-0005-0000-0000-00007A490000}"/>
    <cellStyle name="Normal 2 5 3 2 3 5 2 2" xfId="22748" xr:uid="{00000000-0005-0000-0000-00007B490000}"/>
    <cellStyle name="Normal 2 5 3 2 3 5 2 2 2" xfId="47622" xr:uid="{00000000-0005-0000-0000-00007C490000}"/>
    <cellStyle name="Normal 2 5 3 2 3 5 2 3" xfId="35189" xr:uid="{00000000-0005-0000-0000-00007D490000}"/>
    <cellStyle name="Normal 2 5 3 2 3 5 3" xfId="5289" xr:uid="{00000000-0005-0000-0000-00007E490000}"/>
    <cellStyle name="Normal 2 5 3 2 3 5 3 2" xfId="17741" xr:uid="{00000000-0005-0000-0000-00007F490000}"/>
    <cellStyle name="Normal 2 5 3 2 3 5 3 2 2" xfId="42615" xr:uid="{00000000-0005-0000-0000-000080490000}"/>
    <cellStyle name="Normal 2 5 3 2 3 5 3 3" xfId="30182" xr:uid="{00000000-0005-0000-0000-000081490000}"/>
    <cellStyle name="Normal 2 5 3 2 3 5 4" xfId="13944" xr:uid="{00000000-0005-0000-0000-000082490000}"/>
    <cellStyle name="Normal 2 5 3 2 3 5 4 2" xfId="38818" xr:uid="{00000000-0005-0000-0000-000083490000}"/>
    <cellStyle name="Normal 2 5 3 2 3 5 5" xfId="26377" xr:uid="{00000000-0005-0000-0000-000084490000}"/>
    <cellStyle name="Normal 2 5 3 2 3 6" xfId="7866" xr:uid="{00000000-0005-0000-0000-000085490000}"/>
    <cellStyle name="Normal 2 5 3 2 3 6 2" xfId="20312" xr:uid="{00000000-0005-0000-0000-000086490000}"/>
    <cellStyle name="Normal 2 5 3 2 3 6 2 2" xfId="45186" xr:uid="{00000000-0005-0000-0000-000087490000}"/>
    <cellStyle name="Normal 2 5 3 2 3 6 3" xfId="32753" xr:uid="{00000000-0005-0000-0000-000088490000}"/>
    <cellStyle name="Normal 2 5 3 2 3 7" xfId="11759" xr:uid="{00000000-0005-0000-0000-000089490000}"/>
    <cellStyle name="Normal 2 5 3 2 3 7 2" xfId="24193" xr:uid="{00000000-0005-0000-0000-00008A490000}"/>
    <cellStyle name="Normal 2 5 3 2 3 7 2 2" xfId="49067" xr:uid="{00000000-0005-0000-0000-00008B490000}"/>
    <cellStyle name="Normal 2 5 3 2 3 7 3" xfId="36634" xr:uid="{00000000-0005-0000-0000-00008C490000}"/>
    <cellStyle name="Normal 2 5 3 2 3 8" xfId="6836" xr:uid="{00000000-0005-0000-0000-00008D490000}"/>
    <cellStyle name="Normal 2 5 3 2 3 8 2" xfId="19285" xr:uid="{00000000-0005-0000-0000-00008E490000}"/>
    <cellStyle name="Normal 2 5 3 2 3 8 2 2" xfId="44159" xr:uid="{00000000-0005-0000-0000-00008F490000}"/>
    <cellStyle name="Normal 2 5 3 2 3 8 3" xfId="31726" xr:uid="{00000000-0005-0000-0000-000090490000}"/>
    <cellStyle name="Normal 2 5 3 2 3 9" xfId="2787" xr:uid="{00000000-0005-0000-0000-000091490000}"/>
    <cellStyle name="Normal 2 5 3 2 3 9 2" xfId="15305" xr:uid="{00000000-0005-0000-0000-000092490000}"/>
    <cellStyle name="Normal 2 5 3 2 3 9 2 2" xfId="40179" xr:uid="{00000000-0005-0000-0000-000093490000}"/>
    <cellStyle name="Normal 2 5 3 2 3 9 3" xfId="27738" xr:uid="{00000000-0005-0000-0000-000094490000}"/>
    <cellStyle name="Normal 2 5 3 2 3_Degree data" xfId="2011" xr:uid="{00000000-0005-0000-0000-000095490000}"/>
    <cellStyle name="Normal 2 5 3 2 4" xfId="287" xr:uid="{00000000-0005-0000-0000-000096490000}"/>
    <cellStyle name="Normal 2 5 3 2 4 2" xfId="1407" xr:uid="{00000000-0005-0000-0000-000097490000}"/>
    <cellStyle name="Normal 2 5 3 2 4 2 2" xfId="9143" xr:uid="{00000000-0005-0000-0000-000098490000}"/>
    <cellStyle name="Normal 2 5 3 2 4 2 2 2" xfId="21586" xr:uid="{00000000-0005-0000-0000-000099490000}"/>
    <cellStyle name="Normal 2 5 3 2 4 2 2 2 2" xfId="46460" xr:uid="{00000000-0005-0000-0000-00009A490000}"/>
    <cellStyle name="Normal 2 5 3 2 4 2 2 3" xfId="34027" xr:uid="{00000000-0005-0000-0000-00009B490000}"/>
    <cellStyle name="Normal 2 5 3 2 4 2 3" xfId="4125" xr:uid="{00000000-0005-0000-0000-00009C490000}"/>
    <cellStyle name="Normal 2 5 3 2 4 2 3 2" xfId="16579" xr:uid="{00000000-0005-0000-0000-00009D490000}"/>
    <cellStyle name="Normal 2 5 3 2 4 2 3 2 2" xfId="41453" xr:uid="{00000000-0005-0000-0000-00009E490000}"/>
    <cellStyle name="Normal 2 5 3 2 4 2 3 3" xfId="29020" xr:uid="{00000000-0005-0000-0000-00009F490000}"/>
    <cellStyle name="Normal 2 5 3 2 4 2 4" xfId="14207" xr:uid="{00000000-0005-0000-0000-0000A0490000}"/>
    <cellStyle name="Normal 2 5 3 2 4 2 4 2" xfId="39081" xr:uid="{00000000-0005-0000-0000-0000A1490000}"/>
    <cellStyle name="Normal 2 5 3 2 4 2 5" xfId="26640" xr:uid="{00000000-0005-0000-0000-0000A2490000}"/>
    <cellStyle name="Normal 2 5 3 2 4 3" xfId="5552" xr:uid="{00000000-0005-0000-0000-0000A3490000}"/>
    <cellStyle name="Normal 2 5 3 2 4 3 2" xfId="10568" xr:uid="{00000000-0005-0000-0000-0000A4490000}"/>
    <cellStyle name="Normal 2 5 3 2 4 3 2 2" xfId="23011" xr:uid="{00000000-0005-0000-0000-0000A5490000}"/>
    <cellStyle name="Normal 2 5 3 2 4 3 2 2 2" xfId="47885" xr:uid="{00000000-0005-0000-0000-0000A6490000}"/>
    <cellStyle name="Normal 2 5 3 2 4 3 2 3" xfId="35452" xr:uid="{00000000-0005-0000-0000-0000A7490000}"/>
    <cellStyle name="Normal 2 5 3 2 4 3 3" xfId="18004" xr:uid="{00000000-0005-0000-0000-0000A8490000}"/>
    <cellStyle name="Normal 2 5 3 2 4 3 3 2" xfId="42878" xr:uid="{00000000-0005-0000-0000-0000A9490000}"/>
    <cellStyle name="Normal 2 5 3 2 4 3 4" xfId="30445" xr:uid="{00000000-0005-0000-0000-0000AA490000}"/>
    <cellStyle name="Normal 2 5 3 2 4 4" xfId="8259" xr:uid="{00000000-0005-0000-0000-0000AB490000}"/>
    <cellStyle name="Normal 2 5 3 2 4 4 2" xfId="20703" xr:uid="{00000000-0005-0000-0000-0000AC490000}"/>
    <cellStyle name="Normal 2 5 3 2 4 4 2 2" xfId="45577" xr:uid="{00000000-0005-0000-0000-0000AD490000}"/>
    <cellStyle name="Normal 2 5 3 2 4 4 3" xfId="33144" xr:uid="{00000000-0005-0000-0000-0000AE490000}"/>
    <cellStyle name="Normal 2 5 3 2 4 5" xfId="12022" xr:uid="{00000000-0005-0000-0000-0000AF490000}"/>
    <cellStyle name="Normal 2 5 3 2 4 5 2" xfId="24456" xr:uid="{00000000-0005-0000-0000-0000B0490000}"/>
    <cellStyle name="Normal 2 5 3 2 4 5 2 2" xfId="49330" xr:uid="{00000000-0005-0000-0000-0000B1490000}"/>
    <cellStyle name="Normal 2 5 3 2 4 5 3" xfId="36897" xr:uid="{00000000-0005-0000-0000-0000B2490000}"/>
    <cellStyle name="Normal 2 5 3 2 4 6" xfId="6736" xr:uid="{00000000-0005-0000-0000-0000B3490000}"/>
    <cellStyle name="Normal 2 5 3 2 4 6 2" xfId="19185" xr:uid="{00000000-0005-0000-0000-0000B4490000}"/>
    <cellStyle name="Normal 2 5 3 2 4 6 2 2" xfId="44059" xr:uid="{00000000-0005-0000-0000-0000B5490000}"/>
    <cellStyle name="Normal 2 5 3 2 4 6 3" xfId="31626" xr:uid="{00000000-0005-0000-0000-0000B6490000}"/>
    <cellStyle name="Normal 2 5 3 2 4 7" xfId="3190" xr:uid="{00000000-0005-0000-0000-0000B7490000}"/>
    <cellStyle name="Normal 2 5 3 2 4 7 2" xfId="15696" xr:uid="{00000000-0005-0000-0000-0000B8490000}"/>
    <cellStyle name="Normal 2 5 3 2 4 7 2 2" xfId="40570" xr:uid="{00000000-0005-0000-0000-0000B9490000}"/>
    <cellStyle name="Normal 2 5 3 2 4 7 3" xfId="28129" xr:uid="{00000000-0005-0000-0000-0000BA490000}"/>
    <cellStyle name="Normal 2 5 3 2 4 8" xfId="13106" xr:uid="{00000000-0005-0000-0000-0000BB490000}"/>
    <cellStyle name="Normal 2 5 3 2 4 8 2" xfId="37980" xr:uid="{00000000-0005-0000-0000-0000BC490000}"/>
    <cellStyle name="Normal 2 5 3 2 4 9" xfId="25539" xr:uid="{00000000-0005-0000-0000-0000BD490000}"/>
    <cellStyle name="Normal 2 5 3 2 5" xfId="649" xr:uid="{00000000-0005-0000-0000-0000BE490000}"/>
    <cellStyle name="Normal 2 5 3 2 5 2" xfId="1755" xr:uid="{00000000-0005-0000-0000-0000BF490000}"/>
    <cellStyle name="Normal 2 5 3 2 5 2 2" xfId="9511" xr:uid="{00000000-0005-0000-0000-0000C0490000}"/>
    <cellStyle name="Normal 2 5 3 2 5 2 2 2" xfId="21954" xr:uid="{00000000-0005-0000-0000-0000C1490000}"/>
    <cellStyle name="Normal 2 5 3 2 5 2 2 2 2" xfId="46828" xr:uid="{00000000-0005-0000-0000-0000C2490000}"/>
    <cellStyle name="Normal 2 5 3 2 5 2 2 3" xfId="34395" xr:uid="{00000000-0005-0000-0000-0000C3490000}"/>
    <cellStyle name="Normal 2 5 3 2 5 2 3" xfId="4493" xr:uid="{00000000-0005-0000-0000-0000C4490000}"/>
    <cellStyle name="Normal 2 5 3 2 5 2 3 2" xfId="16947" xr:uid="{00000000-0005-0000-0000-0000C5490000}"/>
    <cellStyle name="Normal 2 5 3 2 5 2 3 2 2" xfId="41821" xr:uid="{00000000-0005-0000-0000-0000C6490000}"/>
    <cellStyle name="Normal 2 5 3 2 5 2 3 3" xfId="29388" xr:uid="{00000000-0005-0000-0000-0000C7490000}"/>
    <cellStyle name="Normal 2 5 3 2 5 2 4" xfId="14555" xr:uid="{00000000-0005-0000-0000-0000C8490000}"/>
    <cellStyle name="Normal 2 5 3 2 5 2 4 2" xfId="39429" xr:uid="{00000000-0005-0000-0000-0000C9490000}"/>
    <cellStyle name="Normal 2 5 3 2 5 2 5" xfId="26988" xr:uid="{00000000-0005-0000-0000-0000CA490000}"/>
    <cellStyle name="Normal 2 5 3 2 5 3" xfId="5901" xr:uid="{00000000-0005-0000-0000-0000CB490000}"/>
    <cellStyle name="Normal 2 5 3 2 5 3 2" xfId="10916" xr:uid="{00000000-0005-0000-0000-0000CC490000}"/>
    <cellStyle name="Normal 2 5 3 2 5 3 2 2" xfId="23359" xr:uid="{00000000-0005-0000-0000-0000CD490000}"/>
    <cellStyle name="Normal 2 5 3 2 5 3 2 2 2" xfId="48233" xr:uid="{00000000-0005-0000-0000-0000CE490000}"/>
    <cellStyle name="Normal 2 5 3 2 5 3 2 3" xfId="35800" xr:uid="{00000000-0005-0000-0000-0000CF490000}"/>
    <cellStyle name="Normal 2 5 3 2 5 3 3" xfId="18352" xr:uid="{00000000-0005-0000-0000-0000D0490000}"/>
    <cellStyle name="Normal 2 5 3 2 5 3 3 2" xfId="43226" xr:uid="{00000000-0005-0000-0000-0000D1490000}"/>
    <cellStyle name="Normal 2 5 3 2 5 3 4" xfId="30793" xr:uid="{00000000-0005-0000-0000-0000D2490000}"/>
    <cellStyle name="Normal 2 5 3 2 5 4" xfId="8627" xr:uid="{00000000-0005-0000-0000-0000D3490000}"/>
    <cellStyle name="Normal 2 5 3 2 5 4 2" xfId="21071" xr:uid="{00000000-0005-0000-0000-0000D4490000}"/>
    <cellStyle name="Normal 2 5 3 2 5 4 2 2" xfId="45945" xr:uid="{00000000-0005-0000-0000-0000D5490000}"/>
    <cellStyle name="Normal 2 5 3 2 5 4 3" xfId="33512" xr:uid="{00000000-0005-0000-0000-0000D6490000}"/>
    <cellStyle name="Normal 2 5 3 2 5 5" xfId="12370" xr:uid="{00000000-0005-0000-0000-0000D7490000}"/>
    <cellStyle name="Normal 2 5 3 2 5 5 2" xfId="24804" xr:uid="{00000000-0005-0000-0000-0000D8490000}"/>
    <cellStyle name="Normal 2 5 3 2 5 5 2 2" xfId="49678" xr:uid="{00000000-0005-0000-0000-0000D9490000}"/>
    <cellStyle name="Normal 2 5 3 2 5 5 3" xfId="37245" xr:uid="{00000000-0005-0000-0000-0000DA490000}"/>
    <cellStyle name="Normal 2 5 3 2 5 6" xfId="7104" xr:uid="{00000000-0005-0000-0000-0000DB490000}"/>
    <cellStyle name="Normal 2 5 3 2 5 6 2" xfId="19553" xr:uid="{00000000-0005-0000-0000-0000DC490000}"/>
    <cellStyle name="Normal 2 5 3 2 5 6 2 2" xfId="44427" xr:uid="{00000000-0005-0000-0000-0000DD490000}"/>
    <cellStyle name="Normal 2 5 3 2 5 6 3" xfId="31994" xr:uid="{00000000-0005-0000-0000-0000DE490000}"/>
    <cellStyle name="Normal 2 5 3 2 5 7" xfId="3558" xr:uid="{00000000-0005-0000-0000-0000DF490000}"/>
    <cellStyle name="Normal 2 5 3 2 5 7 2" xfId="16064" xr:uid="{00000000-0005-0000-0000-0000E0490000}"/>
    <cellStyle name="Normal 2 5 3 2 5 7 2 2" xfId="40938" xr:uid="{00000000-0005-0000-0000-0000E1490000}"/>
    <cellStyle name="Normal 2 5 3 2 5 7 3" xfId="28497" xr:uid="{00000000-0005-0000-0000-0000E2490000}"/>
    <cellStyle name="Normal 2 5 3 2 5 8" xfId="13453" xr:uid="{00000000-0005-0000-0000-0000E3490000}"/>
    <cellStyle name="Normal 2 5 3 2 5 8 2" xfId="38327" xr:uid="{00000000-0005-0000-0000-0000E4490000}"/>
    <cellStyle name="Normal 2 5 3 2 5 9" xfId="25886" xr:uid="{00000000-0005-0000-0000-0000E5490000}"/>
    <cellStyle name="Normal 2 5 3 2 6" xfId="2205" xr:uid="{00000000-0005-0000-0000-0000E6490000}"/>
    <cellStyle name="Normal 2 5 3 2 6 2" xfId="4835" xr:uid="{00000000-0005-0000-0000-0000E7490000}"/>
    <cellStyle name="Normal 2 5 3 2 6 2 2" xfId="9852" xr:uid="{00000000-0005-0000-0000-0000E8490000}"/>
    <cellStyle name="Normal 2 5 3 2 6 2 2 2" xfId="22295" xr:uid="{00000000-0005-0000-0000-0000E9490000}"/>
    <cellStyle name="Normal 2 5 3 2 6 2 2 2 2" xfId="47169" xr:uid="{00000000-0005-0000-0000-0000EA490000}"/>
    <cellStyle name="Normal 2 5 3 2 6 2 2 3" xfId="34736" xr:uid="{00000000-0005-0000-0000-0000EB490000}"/>
    <cellStyle name="Normal 2 5 3 2 6 2 3" xfId="17288" xr:uid="{00000000-0005-0000-0000-0000EC490000}"/>
    <cellStyle name="Normal 2 5 3 2 6 2 3 2" xfId="42162" xr:uid="{00000000-0005-0000-0000-0000ED490000}"/>
    <cellStyle name="Normal 2 5 3 2 6 2 4" xfId="29729" xr:uid="{00000000-0005-0000-0000-0000EE490000}"/>
    <cellStyle name="Normal 2 5 3 2 6 3" xfId="6233" xr:uid="{00000000-0005-0000-0000-0000EF490000}"/>
    <cellStyle name="Normal 2 5 3 2 6 3 2" xfId="11248" xr:uid="{00000000-0005-0000-0000-0000F0490000}"/>
    <cellStyle name="Normal 2 5 3 2 6 3 2 2" xfId="23691" xr:uid="{00000000-0005-0000-0000-0000F1490000}"/>
    <cellStyle name="Normal 2 5 3 2 6 3 2 2 2" xfId="48565" xr:uid="{00000000-0005-0000-0000-0000F2490000}"/>
    <cellStyle name="Normal 2 5 3 2 6 3 2 3" xfId="36132" xr:uid="{00000000-0005-0000-0000-0000F3490000}"/>
    <cellStyle name="Normal 2 5 3 2 6 3 3" xfId="18684" xr:uid="{00000000-0005-0000-0000-0000F4490000}"/>
    <cellStyle name="Normal 2 5 3 2 6 3 3 2" xfId="43558" xr:uid="{00000000-0005-0000-0000-0000F5490000}"/>
    <cellStyle name="Normal 2 5 3 2 6 3 4" xfId="31125" xr:uid="{00000000-0005-0000-0000-0000F6490000}"/>
    <cellStyle name="Normal 2 5 3 2 6 4" xfId="8039" xr:uid="{00000000-0005-0000-0000-0000F7490000}"/>
    <cellStyle name="Normal 2 5 3 2 6 4 2" xfId="20485" xr:uid="{00000000-0005-0000-0000-0000F8490000}"/>
    <cellStyle name="Normal 2 5 3 2 6 4 2 2" xfId="45359" xr:uid="{00000000-0005-0000-0000-0000F9490000}"/>
    <cellStyle name="Normal 2 5 3 2 6 4 3" xfId="32926" xr:uid="{00000000-0005-0000-0000-0000FA490000}"/>
    <cellStyle name="Normal 2 5 3 2 6 5" xfId="12702" xr:uid="{00000000-0005-0000-0000-0000FB490000}"/>
    <cellStyle name="Normal 2 5 3 2 6 5 2" xfId="25136" xr:uid="{00000000-0005-0000-0000-0000FC490000}"/>
    <cellStyle name="Normal 2 5 3 2 6 5 2 2" xfId="50010" xr:uid="{00000000-0005-0000-0000-0000FD490000}"/>
    <cellStyle name="Normal 2 5 3 2 6 5 3" xfId="37577" xr:uid="{00000000-0005-0000-0000-0000FE490000}"/>
    <cellStyle name="Normal 2 5 3 2 6 6" xfId="7446" xr:uid="{00000000-0005-0000-0000-0000FF490000}"/>
    <cellStyle name="Normal 2 5 3 2 6 6 2" xfId="19894" xr:uid="{00000000-0005-0000-0000-0000004A0000}"/>
    <cellStyle name="Normal 2 5 3 2 6 6 2 2" xfId="44768" xr:uid="{00000000-0005-0000-0000-0000014A0000}"/>
    <cellStyle name="Normal 2 5 3 2 6 6 3" xfId="32335" xr:uid="{00000000-0005-0000-0000-0000024A0000}"/>
    <cellStyle name="Normal 2 5 3 2 6 7" xfId="2966" xr:uid="{00000000-0005-0000-0000-0000034A0000}"/>
    <cellStyle name="Normal 2 5 3 2 6 7 2" xfId="15478" xr:uid="{00000000-0005-0000-0000-0000044A0000}"/>
    <cellStyle name="Normal 2 5 3 2 6 7 2 2" xfId="40352" xr:uid="{00000000-0005-0000-0000-0000054A0000}"/>
    <cellStyle name="Normal 2 5 3 2 6 7 3" xfId="27911" xr:uid="{00000000-0005-0000-0000-0000064A0000}"/>
    <cellStyle name="Normal 2 5 3 2 6 8" xfId="14887" xr:uid="{00000000-0005-0000-0000-0000074A0000}"/>
    <cellStyle name="Normal 2 5 3 2 6 8 2" xfId="39761" xr:uid="{00000000-0005-0000-0000-0000084A0000}"/>
    <cellStyle name="Normal 2 5 3 2 6 9" xfId="27320" xr:uid="{00000000-0005-0000-0000-0000094A0000}"/>
    <cellStyle name="Normal 2 5 3 2 7" xfId="1044" xr:uid="{00000000-0005-0000-0000-00000A4A0000}"/>
    <cellStyle name="Normal 2 5 3 2 7 2" xfId="8926" xr:uid="{00000000-0005-0000-0000-00000B4A0000}"/>
    <cellStyle name="Normal 2 5 3 2 7 2 2" xfId="21369" xr:uid="{00000000-0005-0000-0000-00000C4A0000}"/>
    <cellStyle name="Normal 2 5 3 2 7 2 2 2" xfId="46243" xr:uid="{00000000-0005-0000-0000-00000D4A0000}"/>
    <cellStyle name="Normal 2 5 3 2 7 2 3" xfId="33810" xr:uid="{00000000-0005-0000-0000-00000E4A0000}"/>
    <cellStyle name="Normal 2 5 3 2 7 3" xfId="3908" xr:uid="{00000000-0005-0000-0000-00000F4A0000}"/>
    <cellStyle name="Normal 2 5 3 2 7 3 2" xfId="16362" xr:uid="{00000000-0005-0000-0000-0000104A0000}"/>
    <cellStyle name="Normal 2 5 3 2 7 3 2 2" xfId="41236" xr:uid="{00000000-0005-0000-0000-0000114A0000}"/>
    <cellStyle name="Normal 2 5 3 2 7 3 3" xfId="28803" xr:uid="{00000000-0005-0000-0000-0000124A0000}"/>
    <cellStyle name="Normal 2 5 3 2 7 4" xfId="13844" xr:uid="{00000000-0005-0000-0000-0000134A0000}"/>
    <cellStyle name="Normal 2 5 3 2 7 4 2" xfId="38718" xr:uid="{00000000-0005-0000-0000-0000144A0000}"/>
    <cellStyle name="Normal 2 5 3 2 7 5" xfId="26277" xr:uid="{00000000-0005-0000-0000-0000154A0000}"/>
    <cellStyle name="Normal 2 5 3 2 8" xfId="5189" xr:uid="{00000000-0005-0000-0000-0000164A0000}"/>
    <cellStyle name="Normal 2 5 3 2 8 2" xfId="10205" xr:uid="{00000000-0005-0000-0000-0000174A0000}"/>
    <cellStyle name="Normal 2 5 3 2 8 2 2" xfId="22648" xr:uid="{00000000-0005-0000-0000-0000184A0000}"/>
    <cellStyle name="Normal 2 5 3 2 8 2 2 2" xfId="47522" xr:uid="{00000000-0005-0000-0000-0000194A0000}"/>
    <cellStyle name="Normal 2 5 3 2 8 2 3" xfId="35089" xr:uid="{00000000-0005-0000-0000-00001A4A0000}"/>
    <cellStyle name="Normal 2 5 3 2 8 3" xfId="17641" xr:uid="{00000000-0005-0000-0000-00001B4A0000}"/>
    <cellStyle name="Normal 2 5 3 2 8 3 2" xfId="42515" xr:uid="{00000000-0005-0000-0000-00001C4A0000}"/>
    <cellStyle name="Normal 2 5 3 2 8 4" xfId="30082" xr:uid="{00000000-0005-0000-0000-00001D4A0000}"/>
    <cellStyle name="Normal 2 5 3 2 9" xfId="7766" xr:uid="{00000000-0005-0000-0000-00001E4A0000}"/>
    <cellStyle name="Normal 2 5 3 2 9 2" xfId="20212" xr:uid="{00000000-0005-0000-0000-00001F4A0000}"/>
    <cellStyle name="Normal 2 5 3 2 9 2 2" xfId="45086" xr:uid="{00000000-0005-0000-0000-0000204A0000}"/>
    <cellStyle name="Normal 2 5 3 2 9 3" xfId="32653" xr:uid="{00000000-0005-0000-0000-0000214A0000}"/>
    <cellStyle name="Normal 2 5 3 2_Degree data" xfId="2139" xr:uid="{00000000-0005-0000-0000-0000224A0000}"/>
    <cellStyle name="Normal 2 5 3 3" xfId="174" xr:uid="{00000000-0005-0000-0000-0000234A0000}"/>
    <cellStyle name="Normal 2 5 3 3 10" xfId="6562" xr:uid="{00000000-0005-0000-0000-0000244A0000}"/>
    <cellStyle name="Normal 2 5 3 3 10 2" xfId="19011" xr:uid="{00000000-0005-0000-0000-0000254A0000}"/>
    <cellStyle name="Normal 2 5 3 3 10 2 2" xfId="43885" xr:uid="{00000000-0005-0000-0000-0000264A0000}"/>
    <cellStyle name="Normal 2 5 3 3 10 3" xfId="31452" xr:uid="{00000000-0005-0000-0000-0000274A0000}"/>
    <cellStyle name="Normal 2 5 3 3 11" xfId="2730" xr:uid="{00000000-0005-0000-0000-0000284A0000}"/>
    <cellStyle name="Normal 2 5 3 3 11 2" xfId="15248" xr:uid="{00000000-0005-0000-0000-0000294A0000}"/>
    <cellStyle name="Normal 2 5 3 3 11 2 2" xfId="40122" xr:uid="{00000000-0005-0000-0000-00002A4A0000}"/>
    <cellStyle name="Normal 2 5 3 3 11 3" xfId="27681" xr:uid="{00000000-0005-0000-0000-00002B4A0000}"/>
    <cellStyle name="Normal 2 5 3 3 12" xfId="13004" xr:uid="{00000000-0005-0000-0000-00002C4A0000}"/>
    <cellStyle name="Normal 2 5 3 3 12 2" xfId="37878" xr:uid="{00000000-0005-0000-0000-00002D4A0000}"/>
    <cellStyle name="Normal 2 5 3 3 13" xfId="25437" xr:uid="{00000000-0005-0000-0000-00002E4A0000}"/>
    <cellStyle name="Normal 2 5 3 3 2" xfId="434" xr:uid="{00000000-0005-0000-0000-00002F4A0000}"/>
    <cellStyle name="Normal 2 5 3 3 2 10" xfId="13249" xr:uid="{00000000-0005-0000-0000-0000304A0000}"/>
    <cellStyle name="Normal 2 5 3 3 2 10 2" xfId="38123" xr:uid="{00000000-0005-0000-0000-0000314A0000}"/>
    <cellStyle name="Normal 2 5 3 3 2 11" xfId="25682" xr:uid="{00000000-0005-0000-0000-0000324A0000}"/>
    <cellStyle name="Normal 2 5 3 3 2 2" xfId="794" xr:uid="{00000000-0005-0000-0000-0000334A0000}"/>
    <cellStyle name="Normal 2 5 3 3 2 2 2" xfId="1411" xr:uid="{00000000-0005-0000-0000-0000344A0000}"/>
    <cellStyle name="Normal 2 5 3 3 2 2 2 2" xfId="9515" xr:uid="{00000000-0005-0000-0000-0000354A0000}"/>
    <cellStyle name="Normal 2 5 3 3 2 2 2 2 2" xfId="21958" xr:uid="{00000000-0005-0000-0000-0000364A0000}"/>
    <cellStyle name="Normal 2 5 3 3 2 2 2 2 2 2" xfId="46832" xr:uid="{00000000-0005-0000-0000-0000374A0000}"/>
    <cellStyle name="Normal 2 5 3 3 2 2 2 2 3" xfId="34399" xr:uid="{00000000-0005-0000-0000-0000384A0000}"/>
    <cellStyle name="Normal 2 5 3 3 2 2 2 3" xfId="4497" xr:uid="{00000000-0005-0000-0000-0000394A0000}"/>
    <cellStyle name="Normal 2 5 3 3 2 2 2 3 2" xfId="16951" xr:uid="{00000000-0005-0000-0000-00003A4A0000}"/>
    <cellStyle name="Normal 2 5 3 3 2 2 2 3 2 2" xfId="41825" xr:uid="{00000000-0005-0000-0000-00003B4A0000}"/>
    <cellStyle name="Normal 2 5 3 3 2 2 2 3 3" xfId="29392" xr:uid="{00000000-0005-0000-0000-00003C4A0000}"/>
    <cellStyle name="Normal 2 5 3 3 2 2 2 4" xfId="14211" xr:uid="{00000000-0005-0000-0000-00003D4A0000}"/>
    <cellStyle name="Normal 2 5 3 3 2 2 2 4 2" xfId="39085" xr:uid="{00000000-0005-0000-0000-00003E4A0000}"/>
    <cellStyle name="Normal 2 5 3 3 2 2 2 5" xfId="26644" xr:uid="{00000000-0005-0000-0000-00003F4A0000}"/>
    <cellStyle name="Normal 2 5 3 3 2 2 3" xfId="5556" xr:uid="{00000000-0005-0000-0000-0000404A0000}"/>
    <cellStyle name="Normal 2 5 3 3 2 2 3 2" xfId="10572" xr:uid="{00000000-0005-0000-0000-0000414A0000}"/>
    <cellStyle name="Normal 2 5 3 3 2 2 3 2 2" xfId="23015" xr:uid="{00000000-0005-0000-0000-0000424A0000}"/>
    <cellStyle name="Normal 2 5 3 3 2 2 3 2 2 2" xfId="47889" xr:uid="{00000000-0005-0000-0000-0000434A0000}"/>
    <cellStyle name="Normal 2 5 3 3 2 2 3 2 3" xfId="35456" xr:uid="{00000000-0005-0000-0000-0000444A0000}"/>
    <cellStyle name="Normal 2 5 3 3 2 2 3 3" xfId="18008" xr:uid="{00000000-0005-0000-0000-0000454A0000}"/>
    <cellStyle name="Normal 2 5 3 3 2 2 3 3 2" xfId="42882" xr:uid="{00000000-0005-0000-0000-0000464A0000}"/>
    <cellStyle name="Normal 2 5 3 3 2 2 3 4" xfId="30449" xr:uid="{00000000-0005-0000-0000-0000474A0000}"/>
    <cellStyle name="Normal 2 5 3 3 2 2 4" xfId="8631" xr:uid="{00000000-0005-0000-0000-0000484A0000}"/>
    <cellStyle name="Normal 2 5 3 3 2 2 4 2" xfId="21075" xr:uid="{00000000-0005-0000-0000-0000494A0000}"/>
    <cellStyle name="Normal 2 5 3 3 2 2 4 2 2" xfId="45949" xr:uid="{00000000-0005-0000-0000-00004A4A0000}"/>
    <cellStyle name="Normal 2 5 3 3 2 2 4 3" xfId="33516" xr:uid="{00000000-0005-0000-0000-00004B4A0000}"/>
    <cellStyle name="Normal 2 5 3 3 2 2 5" xfId="12026" xr:uid="{00000000-0005-0000-0000-00004C4A0000}"/>
    <cellStyle name="Normal 2 5 3 3 2 2 5 2" xfId="24460" xr:uid="{00000000-0005-0000-0000-00004D4A0000}"/>
    <cellStyle name="Normal 2 5 3 3 2 2 5 2 2" xfId="49334" xr:uid="{00000000-0005-0000-0000-00004E4A0000}"/>
    <cellStyle name="Normal 2 5 3 3 2 2 5 3" xfId="36901" xr:uid="{00000000-0005-0000-0000-00004F4A0000}"/>
    <cellStyle name="Normal 2 5 3 3 2 2 6" xfId="7108" xr:uid="{00000000-0005-0000-0000-0000504A0000}"/>
    <cellStyle name="Normal 2 5 3 3 2 2 6 2" xfId="19557" xr:uid="{00000000-0005-0000-0000-0000514A0000}"/>
    <cellStyle name="Normal 2 5 3 3 2 2 6 2 2" xfId="44431" xr:uid="{00000000-0005-0000-0000-0000524A0000}"/>
    <cellStyle name="Normal 2 5 3 3 2 2 6 3" xfId="31998" xr:uid="{00000000-0005-0000-0000-0000534A0000}"/>
    <cellStyle name="Normal 2 5 3 3 2 2 7" xfId="3562" xr:uid="{00000000-0005-0000-0000-0000544A0000}"/>
    <cellStyle name="Normal 2 5 3 3 2 2 7 2" xfId="16068" xr:uid="{00000000-0005-0000-0000-0000554A0000}"/>
    <cellStyle name="Normal 2 5 3 3 2 2 7 2 2" xfId="40942" xr:uid="{00000000-0005-0000-0000-0000564A0000}"/>
    <cellStyle name="Normal 2 5 3 3 2 2 7 3" xfId="28501" xr:uid="{00000000-0005-0000-0000-0000574A0000}"/>
    <cellStyle name="Normal 2 5 3 3 2 2 8" xfId="13596" xr:uid="{00000000-0005-0000-0000-0000584A0000}"/>
    <cellStyle name="Normal 2 5 3 3 2 2 8 2" xfId="38470" xr:uid="{00000000-0005-0000-0000-0000594A0000}"/>
    <cellStyle name="Normal 2 5 3 3 2 2 9" xfId="26029" xr:uid="{00000000-0005-0000-0000-00005A4A0000}"/>
    <cellStyle name="Normal 2 5 3 3 2 3" xfId="1759" xr:uid="{00000000-0005-0000-0000-00005B4A0000}"/>
    <cellStyle name="Normal 2 5 3 3 2 3 2" xfId="4978" xr:uid="{00000000-0005-0000-0000-00005C4A0000}"/>
    <cellStyle name="Normal 2 5 3 3 2 3 2 2" xfId="9995" xr:uid="{00000000-0005-0000-0000-00005D4A0000}"/>
    <cellStyle name="Normal 2 5 3 3 2 3 2 2 2" xfId="22438" xr:uid="{00000000-0005-0000-0000-00005E4A0000}"/>
    <cellStyle name="Normal 2 5 3 3 2 3 2 2 2 2" xfId="47312" xr:uid="{00000000-0005-0000-0000-00005F4A0000}"/>
    <cellStyle name="Normal 2 5 3 3 2 3 2 2 3" xfId="34879" xr:uid="{00000000-0005-0000-0000-0000604A0000}"/>
    <cellStyle name="Normal 2 5 3 3 2 3 2 3" xfId="17431" xr:uid="{00000000-0005-0000-0000-0000614A0000}"/>
    <cellStyle name="Normal 2 5 3 3 2 3 2 3 2" xfId="42305" xr:uid="{00000000-0005-0000-0000-0000624A0000}"/>
    <cellStyle name="Normal 2 5 3 3 2 3 2 4" xfId="29872" xr:uid="{00000000-0005-0000-0000-0000634A0000}"/>
    <cellStyle name="Normal 2 5 3 3 2 3 3" xfId="5905" xr:uid="{00000000-0005-0000-0000-0000644A0000}"/>
    <cellStyle name="Normal 2 5 3 3 2 3 3 2" xfId="10920" xr:uid="{00000000-0005-0000-0000-0000654A0000}"/>
    <cellStyle name="Normal 2 5 3 3 2 3 3 2 2" xfId="23363" xr:uid="{00000000-0005-0000-0000-0000664A0000}"/>
    <cellStyle name="Normal 2 5 3 3 2 3 3 2 2 2" xfId="48237" xr:uid="{00000000-0005-0000-0000-0000674A0000}"/>
    <cellStyle name="Normal 2 5 3 3 2 3 3 2 3" xfId="35804" xr:uid="{00000000-0005-0000-0000-0000684A0000}"/>
    <cellStyle name="Normal 2 5 3 3 2 3 3 3" xfId="18356" xr:uid="{00000000-0005-0000-0000-0000694A0000}"/>
    <cellStyle name="Normal 2 5 3 3 2 3 3 3 2" xfId="43230" xr:uid="{00000000-0005-0000-0000-00006A4A0000}"/>
    <cellStyle name="Normal 2 5 3 3 2 3 3 4" xfId="30797" xr:uid="{00000000-0005-0000-0000-00006B4A0000}"/>
    <cellStyle name="Normal 2 5 3 3 2 3 4" xfId="8402" xr:uid="{00000000-0005-0000-0000-00006C4A0000}"/>
    <cellStyle name="Normal 2 5 3 3 2 3 4 2" xfId="20846" xr:uid="{00000000-0005-0000-0000-00006D4A0000}"/>
    <cellStyle name="Normal 2 5 3 3 2 3 4 2 2" xfId="45720" xr:uid="{00000000-0005-0000-0000-00006E4A0000}"/>
    <cellStyle name="Normal 2 5 3 3 2 3 4 3" xfId="33287" xr:uid="{00000000-0005-0000-0000-00006F4A0000}"/>
    <cellStyle name="Normal 2 5 3 3 2 3 5" xfId="12374" xr:uid="{00000000-0005-0000-0000-0000704A0000}"/>
    <cellStyle name="Normal 2 5 3 3 2 3 5 2" xfId="24808" xr:uid="{00000000-0005-0000-0000-0000714A0000}"/>
    <cellStyle name="Normal 2 5 3 3 2 3 5 2 2" xfId="49682" xr:uid="{00000000-0005-0000-0000-0000724A0000}"/>
    <cellStyle name="Normal 2 5 3 3 2 3 5 3" xfId="37249" xr:uid="{00000000-0005-0000-0000-0000734A0000}"/>
    <cellStyle name="Normal 2 5 3 3 2 3 6" xfId="7589" xr:uid="{00000000-0005-0000-0000-0000744A0000}"/>
    <cellStyle name="Normal 2 5 3 3 2 3 6 2" xfId="20037" xr:uid="{00000000-0005-0000-0000-0000754A0000}"/>
    <cellStyle name="Normal 2 5 3 3 2 3 6 2 2" xfId="44911" xr:uid="{00000000-0005-0000-0000-0000764A0000}"/>
    <cellStyle name="Normal 2 5 3 3 2 3 6 3" xfId="32478" xr:uid="{00000000-0005-0000-0000-0000774A0000}"/>
    <cellStyle name="Normal 2 5 3 3 2 3 7" xfId="3333" xr:uid="{00000000-0005-0000-0000-0000784A0000}"/>
    <cellStyle name="Normal 2 5 3 3 2 3 7 2" xfId="15839" xr:uid="{00000000-0005-0000-0000-0000794A0000}"/>
    <cellStyle name="Normal 2 5 3 3 2 3 7 2 2" xfId="40713" xr:uid="{00000000-0005-0000-0000-00007A4A0000}"/>
    <cellStyle name="Normal 2 5 3 3 2 3 7 3" xfId="28272" xr:uid="{00000000-0005-0000-0000-00007B4A0000}"/>
    <cellStyle name="Normal 2 5 3 3 2 3 8" xfId="14559" xr:uid="{00000000-0005-0000-0000-00007C4A0000}"/>
    <cellStyle name="Normal 2 5 3 3 2 3 8 2" xfId="39433" xr:uid="{00000000-0005-0000-0000-00007D4A0000}"/>
    <cellStyle name="Normal 2 5 3 3 2 3 9" xfId="26992" xr:uid="{00000000-0005-0000-0000-00007E4A0000}"/>
    <cellStyle name="Normal 2 5 3 3 2 4" xfId="2352" xr:uid="{00000000-0005-0000-0000-00007F4A0000}"/>
    <cellStyle name="Normal 2 5 3 3 2 4 2" xfId="6376" xr:uid="{00000000-0005-0000-0000-0000804A0000}"/>
    <cellStyle name="Normal 2 5 3 3 2 4 2 2" xfId="11391" xr:uid="{00000000-0005-0000-0000-0000814A0000}"/>
    <cellStyle name="Normal 2 5 3 3 2 4 2 2 2" xfId="23834" xr:uid="{00000000-0005-0000-0000-0000824A0000}"/>
    <cellStyle name="Normal 2 5 3 3 2 4 2 2 2 2" xfId="48708" xr:uid="{00000000-0005-0000-0000-0000834A0000}"/>
    <cellStyle name="Normal 2 5 3 3 2 4 2 2 3" xfId="36275" xr:uid="{00000000-0005-0000-0000-0000844A0000}"/>
    <cellStyle name="Normal 2 5 3 3 2 4 2 3" xfId="18827" xr:uid="{00000000-0005-0000-0000-0000854A0000}"/>
    <cellStyle name="Normal 2 5 3 3 2 4 2 3 2" xfId="43701" xr:uid="{00000000-0005-0000-0000-0000864A0000}"/>
    <cellStyle name="Normal 2 5 3 3 2 4 2 4" xfId="31268" xr:uid="{00000000-0005-0000-0000-0000874A0000}"/>
    <cellStyle name="Normal 2 5 3 3 2 4 3" xfId="12845" xr:uid="{00000000-0005-0000-0000-0000884A0000}"/>
    <cellStyle name="Normal 2 5 3 3 2 4 3 2" xfId="25279" xr:uid="{00000000-0005-0000-0000-0000894A0000}"/>
    <cellStyle name="Normal 2 5 3 3 2 4 3 2 2" xfId="50153" xr:uid="{00000000-0005-0000-0000-00008A4A0000}"/>
    <cellStyle name="Normal 2 5 3 3 2 4 3 3" xfId="37720" xr:uid="{00000000-0005-0000-0000-00008B4A0000}"/>
    <cellStyle name="Normal 2 5 3 3 2 4 4" xfId="9286" xr:uid="{00000000-0005-0000-0000-00008C4A0000}"/>
    <cellStyle name="Normal 2 5 3 3 2 4 4 2" xfId="21729" xr:uid="{00000000-0005-0000-0000-00008D4A0000}"/>
    <cellStyle name="Normal 2 5 3 3 2 4 4 2 2" xfId="46603" xr:uid="{00000000-0005-0000-0000-00008E4A0000}"/>
    <cellStyle name="Normal 2 5 3 3 2 4 4 3" xfId="34170" xr:uid="{00000000-0005-0000-0000-00008F4A0000}"/>
    <cellStyle name="Normal 2 5 3 3 2 4 5" xfId="4268" xr:uid="{00000000-0005-0000-0000-0000904A0000}"/>
    <cellStyle name="Normal 2 5 3 3 2 4 5 2" xfId="16722" xr:uid="{00000000-0005-0000-0000-0000914A0000}"/>
    <cellStyle name="Normal 2 5 3 3 2 4 5 2 2" xfId="41596" xr:uid="{00000000-0005-0000-0000-0000924A0000}"/>
    <cellStyle name="Normal 2 5 3 3 2 4 5 3" xfId="29163" xr:uid="{00000000-0005-0000-0000-0000934A0000}"/>
    <cellStyle name="Normal 2 5 3 3 2 4 6" xfId="15030" xr:uid="{00000000-0005-0000-0000-0000944A0000}"/>
    <cellStyle name="Normal 2 5 3 3 2 4 6 2" xfId="39904" xr:uid="{00000000-0005-0000-0000-0000954A0000}"/>
    <cellStyle name="Normal 2 5 3 3 2 4 7" xfId="27463" xr:uid="{00000000-0005-0000-0000-0000964A0000}"/>
    <cellStyle name="Normal 2 5 3 3 2 5" xfId="1187" xr:uid="{00000000-0005-0000-0000-0000974A0000}"/>
    <cellStyle name="Normal 2 5 3 3 2 5 2" xfId="10348" xr:uid="{00000000-0005-0000-0000-0000984A0000}"/>
    <cellStyle name="Normal 2 5 3 3 2 5 2 2" xfId="22791" xr:uid="{00000000-0005-0000-0000-0000994A0000}"/>
    <cellStyle name="Normal 2 5 3 3 2 5 2 2 2" xfId="47665" xr:uid="{00000000-0005-0000-0000-00009A4A0000}"/>
    <cellStyle name="Normal 2 5 3 3 2 5 2 3" xfId="35232" xr:uid="{00000000-0005-0000-0000-00009B4A0000}"/>
    <cellStyle name="Normal 2 5 3 3 2 5 3" xfId="5332" xr:uid="{00000000-0005-0000-0000-00009C4A0000}"/>
    <cellStyle name="Normal 2 5 3 3 2 5 3 2" xfId="17784" xr:uid="{00000000-0005-0000-0000-00009D4A0000}"/>
    <cellStyle name="Normal 2 5 3 3 2 5 3 2 2" xfId="42658" xr:uid="{00000000-0005-0000-0000-00009E4A0000}"/>
    <cellStyle name="Normal 2 5 3 3 2 5 3 3" xfId="30225" xr:uid="{00000000-0005-0000-0000-00009F4A0000}"/>
    <cellStyle name="Normal 2 5 3 3 2 5 4" xfId="13987" xr:uid="{00000000-0005-0000-0000-0000A04A0000}"/>
    <cellStyle name="Normal 2 5 3 3 2 5 4 2" xfId="38861" xr:uid="{00000000-0005-0000-0000-0000A14A0000}"/>
    <cellStyle name="Normal 2 5 3 3 2 5 5" xfId="26420" xr:uid="{00000000-0005-0000-0000-0000A24A0000}"/>
    <cellStyle name="Normal 2 5 3 3 2 6" xfId="7909" xr:uid="{00000000-0005-0000-0000-0000A34A0000}"/>
    <cellStyle name="Normal 2 5 3 3 2 6 2" xfId="20355" xr:uid="{00000000-0005-0000-0000-0000A44A0000}"/>
    <cellStyle name="Normal 2 5 3 3 2 6 2 2" xfId="45229" xr:uid="{00000000-0005-0000-0000-0000A54A0000}"/>
    <cellStyle name="Normal 2 5 3 3 2 6 3" xfId="32796" xr:uid="{00000000-0005-0000-0000-0000A64A0000}"/>
    <cellStyle name="Normal 2 5 3 3 2 7" xfId="11802" xr:uid="{00000000-0005-0000-0000-0000A74A0000}"/>
    <cellStyle name="Normal 2 5 3 3 2 7 2" xfId="24236" xr:uid="{00000000-0005-0000-0000-0000A84A0000}"/>
    <cellStyle name="Normal 2 5 3 3 2 7 2 2" xfId="49110" xr:uid="{00000000-0005-0000-0000-0000A94A0000}"/>
    <cellStyle name="Normal 2 5 3 3 2 7 3" xfId="36677" xr:uid="{00000000-0005-0000-0000-0000AA4A0000}"/>
    <cellStyle name="Normal 2 5 3 3 2 8" xfId="6879" xr:uid="{00000000-0005-0000-0000-0000AB4A0000}"/>
    <cellStyle name="Normal 2 5 3 3 2 8 2" xfId="19328" xr:uid="{00000000-0005-0000-0000-0000AC4A0000}"/>
    <cellStyle name="Normal 2 5 3 3 2 8 2 2" xfId="44202" xr:uid="{00000000-0005-0000-0000-0000AD4A0000}"/>
    <cellStyle name="Normal 2 5 3 3 2 8 3" xfId="31769" xr:uid="{00000000-0005-0000-0000-0000AE4A0000}"/>
    <cellStyle name="Normal 2 5 3 3 2 9" xfId="2830" xr:uid="{00000000-0005-0000-0000-0000AF4A0000}"/>
    <cellStyle name="Normal 2 5 3 3 2 9 2" xfId="15348" xr:uid="{00000000-0005-0000-0000-0000B04A0000}"/>
    <cellStyle name="Normal 2 5 3 3 2 9 2 2" xfId="40222" xr:uid="{00000000-0005-0000-0000-0000B14A0000}"/>
    <cellStyle name="Normal 2 5 3 3 2 9 3" xfId="27781" xr:uid="{00000000-0005-0000-0000-0000B24A0000}"/>
    <cellStyle name="Normal 2 5 3 3 2_Degree data" xfId="2001" xr:uid="{00000000-0005-0000-0000-0000B34A0000}"/>
    <cellStyle name="Normal 2 5 3 3 3" xfId="332" xr:uid="{00000000-0005-0000-0000-0000B44A0000}"/>
    <cellStyle name="Normal 2 5 3 3 3 2" xfId="1410" xr:uid="{00000000-0005-0000-0000-0000B54A0000}"/>
    <cellStyle name="Normal 2 5 3 3 3 2 2" xfId="9186" xr:uid="{00000000-0005-0000-0000-0000B64A0000}"/>
    <cellStyle name="Normal 2 5 3 3 3 2 2 2" xfId="21629" xr:uid="{00000000-0005-0000-0000-0000B74A0000}"/>
    <cellStyle name="Normal 2 5 3 3 3 2 2 2 2" xfId="46503" xr:uid="{00000000-0005-0000-0000-0000B84A0000}"/>
    <cellStyle name="Normal 2 5 3 3 3 2 2 3" xfId="34070" xr:uid="{00000000-0005-0000-0000-0000B94A0000}"/>
    <cellStyle name="Normal 2 5 3 3 3 2 3" xfId="4168" xr:uid="{00000000-0005-0000-0000-0000BA4A0000}"/>
    <cellStyle name="Normal 2 5 3 3 3 2 3 2" xfId="16622" xr:uid="{00000000-0005-0000-0000-0000BB4A0000}"/>
    <cellStyle name="Normal 2 5 3 3 3 2 3 2 2" xfId="41496" xr:uid="{00000000-0005-0000-0000-0000BC4A0000}"/>
    <cellStyle name="Normal 2 5 3 3 3 2 3 3" xfId="29063" xr:uid="{00000000-0005-0000-0000-0000BD4A0000}"/>
    <cellStyle name="Normal 2 5 3 3 3 2 4" xfId="14210" xr:uid="{00000000-0005-0000-0000-0000BE4A0000}"/>
    <cellStyle name="Normal 2 5 3 3 3 2 4 2" xfId="39084" xr:uid="{00000000-0005-0000-0000-0000BF4A0000}"/>
    <cellStyle name="Normal 2 5 3 3 3 2 5" xfId="26643" xr:uid="{00000000-0005-0000-0000-0000C04A0000}"/>
    <cellStyle name="Normal 2 5 3 3 3 3" xfId="5555" xr:uid="{00000000-0005-0000-0000-0000C14A0000}"/>
    <cellStyle name="Normal 2 5 3 3 3 3 2" xfId="10571" xr:uid="{00000000-0005-0000-0000-0000C24A0000}"/>
    <cellStyle name="Normal 2 5 3 3 3 3 2 2" xfId="23014" xr:uid="{00000000-0005-0000-0000-0000C34A0000}"/>
    <cellStyle name="Normal 2 5 3 3 3 3 2 2 2" xfId="47888" xr:uid="{00000000-0005-0000-0000-0000C44A0000}"/>
    <cellStyle name="Normal 2 5 3 3 3 3 2 3" xfId="35455" xr:uid="{00000000-0005-0000-0000-0000C54A0000}"/>
    <cellStyle name="Normal 2 5 3 3 3 3 3" xfId="18007" xr:uid="{00000000-0005-0000-0000-0000C64A0000}"/>
    <cellStyle name="Normal 2 5 3 3 3 3 3 2" xfId="42881" xr:uid="{00000000-0005-0000-0000-0000C74A0000}"/>
    <cellStyle name="Normal 2 5 3 3 3 3 4" xfId="30448" xr:uid="{00000000-0005-0000-0000-0000C84A0000}"/>
    <cellStyle name="Normal 2 5 3 3 3 4" xfId="8302" xr:uid="{00000000-0005-0000-0000-0000C94A0000}"/>
    <cellStyle name="Normal 2 5 3 3 3 4 2" xfId="20746" xr:uid="{00000000-0005-0000-0000-0000CA4A0000}"/>
    <cellStyle name="Normal 2 5 3 3 3 4 2 2" xfId="45620" xr:uid="{00000000-0005-0000-0000-0000CB4A0000}"/>
    <cellStyle name="Normal 2 5 3 3 3 4 3" xfId="33187" xr:uid="{00000000-0005-0000-0000-0000CC4A0000}"/>
    <cellStyle name="Normal 2 5 3 3 3 5" xfId="12025" xr:uid="{00000000-0005-0000-0000-0000CD4A0000}"/>
    <cellStyle name="Normal 2 5 3 3 3 5 2" xfId="24459" xr:uid="{00000000-0005-0000-0000-0000CE4A0000}"/>
    <cellStyle name="Normal 2 5 3 3 3 5 2 2" xfId="49333" xr:uid="{00000000-0005-0000-0000-0000CF4A0000}"/>
    <cellStyle name="Normal 2 5 3 3 3 5 3" xfId="36900" xr:uid="{00000000-0005-0000-0000-0000D04A0000}"/>
    <cellStyle name="Normal 2 5 3 3 3 6" xfId="6779" xr:uid="{00000000-0005-0000-0000-0000D14A0000}"/>
    <cellStyle name="Normal 2 5 3 3 3 6 2" xfId="19228" xr:uid="{00000000-0005-0000-0000-0000D24A0000}"/>
    <cellStyle name="Normal 2 5 3 3 3 6 2 2" xfId="44102" xr:uid="{00000000-0005-0000-0000-0000D34A0000}"/>
    <cellStyle name="Normal 2 5 3 3 3 6 3" xfId="31669" xr:uid="{00000000-0005-0000-0000-0000D44A0000}"/>
    <cellStyle name="Normal 2 5 3 3 3 7" xfId="3233" xr:uid="{00000000-0005-0000-0000-0000D54A0000}"/>
    <cellStyle name="Normal 2 5 3 3 3 7 2" xfId="15739" xr:uid="{00000000-0005-0000-0000-0000D64A0000}"/>
    <cellStyle name="Normal 2 5 3 3 3 7 2 2" xfId="40613" xr:uid="{00000000-0005-0000-0000-0000D74A0000}"/>
    <cellStyle name="Normal 2 5 3 3 3 7 3" xfId="28172" xr:uid="{00000000-0005-0000-0000-0000D84A0000}"/>
    <cellStyle name="Normal 2 5 3 3 3 8" xfId="13149" xr:uid="{00000000-0005-0000-0000-0000D94A0000}"/>
    <cellStyle name="Normal 2 5 3 3 3 8 2" xfId="38023" xr:uid="{00000000-0005-0000-0000-0000DA4A0000}"/>
    <cellStyle name="Normal 2 5 3 3 3 9" xfId="25582" xr:uid="{00000000-0005-0000-0000-0000DB4A0000}"/>
    <cellStyle name="Normal 2 5 3 3 4" xfId="693" xr:uid="{00000000-0005-0000-0000-0000DC4A0000}"/>
    <cellStyle name="Normal 2 5 3 3 4 2" xfId="1758" xr:uid="{00000000-0005-0000-0000-0000DD4A0000}"/>
    <cellStyle name="Normal 2 5 3 3 4 2 2" xfId="9514" xr:uid="{00000000-0005-0000-0000-0000DE4A0000}"/>
    <cellStyle name="Normal 2 5 3 3 4 2 2 2" xfId="21957" xr:uid="{00000000-0005-0000-0000-0000DF4A0000}"/>
    <cellStyle name="Normal 2 5 3 3 4 2 2 2 2" xfId="46831" xr:uid="{00000000-0005-0000-0000-0000E04A0000}"/>
    <cellStyle name="Normal 2 5 3 3 4 2 2 3" xfId="34398" xr:uid="{00000000-0005-0000-0000-0000E14A0000}"/>
    <cellStyle name="Normal 2 5 3 3 4 2 3" xfId="4496" xr:uid="{00000000-0005-0000-0000-0000E24A0000}"/>
    <cellStyle name="Normal 2 5 3 3 4 2 3 2" xfId="16950" xr:uid="{00000000-0005-0000-0000-0000E34A0000}"/>
    <cellStyle name="Normal 2 5 3 3 4 2 3 2 2" xfId="41824" xr:uid="{00000000-0005-0000-0000-0000E44A0000}"/>
    <cellStyle name="Normal 2 5 3 3 4 2 3 3" xfId="29391" xr:uid="{00000000-0005-0000-0000-0000E54A0000}"/>
    <cellStyle name="Normal 2 5 3 3 4 2 4" xfId="14558" xr:uid="{00000000-0005-0000-0000-0000E64A0000}"/>
    <cellStyle name="Normal 2 5 3 3 4 2 4 2" xfId="39432" xr:uid="{00000000-0005-0000-0000-0000E74A0000}"/>
    <cellStyle name="Normal 2 5 3 3 4 2 5" xfId="26991" xr:uid="{00000000-0005-0000-0000-0000E84A0000}"/>
    <cellStyle name="Normal 2 5 3 3 4 3" xfId="5904" xr:uid="{00000000-0005-0000-0000-0000E94A0000}"/>
    <cellStyle name="Normal 2 5 3 3 4 3 2" xfId="10919" xr:uid="{00000000-0005-0000-0000-0000EA4A0000}"/>
    <cellStyle name="Normal 2 5 3 3 4 3 2 2" xfId="23362" xr:uid="{00000000-0005-0000-0000-0000EB4A0000}"/>
    <cellStyle name="Normal 2 5 3 3 4 3 2 2 2" xfId="48236" xr:uid="{00000000-0005-0000-0000-0000EC4A0000}"/>
    <cellStyle name="Normal 2 5 3 3 4 3 2 3" xfId="35803" xr:uid="{00000000-0005-0000-0000-0000ED4A0000}"/>
    <cellStyle name="Normal 2 5 3 3 4 3 3" xfId="18355" xr:uid="{00000000-0005-0000-0000-0000EE4A0000}"/>
    <cellStyle name="Normal 2 5 3 3 4 3 3 2" xfId="43229" xr:uid="{00000000-0005-0000-0000-0000EF4A0000}"/>
    <cellStyle name="Normal 2 5 3 3 4 3 4" xfId="30796" xr:uid="{00000000-0005-0000-0000-0000F04A0000}"/>
    <cellStyle name="Normal 2 5 3 3 4 4" xfId="8630" xr:uid="{00000000-0005-0000-0000-0000F14A0000}"/>
    <cellStyle name="Normal 2 5 3 3 4 4 2" xfId="21074" xr:uid="{00000000-0005-0000-0000-0000F24A0000}"/>
    <cellStyle name="Normal 2 5 3 3 4 4 2 2" xfId="45948" xr:uid="{00000000-0005-0000-0000-0000F34A0000}"/>
    <cellStyle name="Normal 2 5 3 3 4 4 3" xfId="33515" xr:uid="{00000000-0005-0000-0000-0000F44A0000}"/>
    <cellStyle name="Normal 2 5 3 3 4 5" xfId="12373" xr:uid="{00000000-0005-0000-0000-0000F54A0000}"/>
    <cellStyle name="Normal 2 5 3 3 4 5 2" xfId="24807" xr:uid="{00000000-0005-0000-0000-0000F64A0000}"/>
    <cellStyle name="Normal 2 5 3 3 4 5 2 2" xfId="49681" xr:uid="{00000000-0005-0000-0000-0000F74A0000}"/>
    <cellStyle name="Normal 2 5 3 3 4 5 3" xfId="37248" xr:uid="{00000000-0005-0000-0000-0000F84A0000}"/>
    <cellStyle name="Normal 2 5 3 3 4 6" xfId="7107" xr:uid="{00000000-0005-0000-0000-0000F94A0000}"/>
    <cellStyle name="Normal 2 5 3 3 4 6 2" xfId="19556" xr:uid="{00000000-0005-0000-0000-0000FA4A0000}"/>
    <cellStyle name="Normal 2 5 3 3 4 6 2 2" xfId="44430" xr:uid="{00000000-0005-0000-0000-0000FB4A0000}"/>
    <cellStyle name="Normal 2 5 3 3 4 6 3" xfId="31997" xr:uid="{00000000-0005-0000-0000-0000FC4A0000}"/>
    <cellStyle name="Normal 2 5 3 3 4 7" xfId="3561" xr:uid="{00000000-0005-0000-0000-0000FD4A0000}"/>
    <cellStyle name="Normal 2 5 3 3 4 7 2" xfId="16067" xr:uid="{00000000-0005-0000-0000-0000FE4A0000}"/>
    <cellStyle name="Normal 2 5 3 3 4 7 2 2" xfId="40941" xr:uid="{00000000-0005-0000-0000-0000FF4A0000}"/>
    <cellStyle name="Normal 2 5 3 3 4 7 3" xfId="28500" xr:uid="{00000000-0005-0000-0000-0000004B0000}"/>
    <cellStyle name="Normal 2 5 3 3 4 8" xfId="13496" xr:uid="{00000000-0005-0000-0000-0000014B0000}"/>
    <cellStyle name="Normal 2 5 3 3 4 8 2" xfId="38370" xr:uid="{00000000-0005-0000-0000-0000024B0000}"/>
    <cellStyle name="Normal 2 5 3 3 4 9" xfId="25929" xr:uid="{00000000-0005-0000-0000-0000034B0000}"/>
    <cellStyle name="Normal 2 5 3 3 5" xfId="2250" xr:uid="{00000000-0005-0000-0000-0000044B0000}"/>
    <cellStyle name="Normal 2 5 3 3 5 2" xfId="4878" xr:uid="{00000000-0005-0000-0000-0000054B0000}"/>
    <cellStyle name="Normal 2 5 3 3 5 2 2" xfId="9895" xr:uid="{00000000-0005-0000-0000-0000064B0000}"/>
    <cellStyle name="Normal 2 5 3 3 5 2 2 2" xfId="22338" xr:uid="{00000000-0005-0000-0000-0000074B0000}"/>
    <cellStyle name="Normal 2 5 3 3 5 2 2 2 2" xfId="47212" xr:uid="{00000000-0005-0000-0000-0000084B0000}"/>
    <cellStyle name="Normal 2 5 3 3 5 2 2 3" xfId="34779" xr:uid="{00000000-0005-0000-0000-0000094B0000}"/>
    <cellStyle name="Normal 2 5 3 3 5 2 3" xfId="17331" xr:uid="{00000000-0005-0000-0000-00000A4B0000}"/>
    <cellStyle name="Normal 2 5 3 3 5 2 3 2" xfId="42205" xr:uid="{00000000-0005-0000-0000-00000B4B0000}"/>
    <cellStyle name="Normal 2 5 3 3 5 2 4" xfId="29772" xr:uid="{00000000-0005-0000-0000-00000C4B0000}"/>
    <cellStyle name="Normal 2 5 3 3 5 3" xfId="6276" xr:uid="{00000000-0005-0000-0000-00000D4B0000}"/>
    <cellStyle name="Normal 2 5 3 3 5 3 2" xfId="11291" xr:uid="{00000000-0005-0000-0000-00000E4B0000}"/>
    <cellStyle name="Normal 2 5 3 3 5 3 2 2" xfId="23734" xr:uid="{00000000-0005-0000-0000-00000F4B0000}"/>
    <cellStyle name="Normal 2 5 3 3 5 3 2 2 2" xfId="48608" xr:uid="{00000000-0005-0000-0000-0000104B0000}"/>
    <cellStyle name="Normal 2 5 3 3 5 3 2 3" xfId="36175" xr:uid="{00000000-0005-0000-0000-0000114B0000}"/>
    <cellStyle name="Normal 2 5 3 3 5 3 3" xfId="18727" xr:uid="{00000000-0005-0000-0000-0000124B0000}"/>
    <cellStyle name="Normal 2 5 3 3 5 3 3 2" xfId="43601" xr:uid="{00000000-0005-0000-0000-0000134B0000}"/>
    <cellStyle name="Normal 2 5 3 3 5 3 4" xfId="31168" xr:uid="{00000000-0005-0000-0000-0000144B0000}"/>
    <cellStyle name="Normal 2 5 3 3 5 4" xfId="8083" xr:uid="{00000000-0005-0000-0000-0000154B0000}"/>
    <cellStyle name="Normal 2 5 3 3 5 4 2" xfId="20529" xr:uid="{00000000-0005-0000-0000-0000164B0000}"/>
    <cellStyle name="Normal 2 5 3 3 5 4 2 2" xfId="45403" xr:uid="{00000000-0005-0000-0000-0000174B0000}"/>
    <cellStyle name="Normal 2 5 3 3 5 4 3" xfId="32970" xr:uid="{00000000-0005-0000-0000-0000184B0000}"/>
    <cellStyle name="Normal 2 5 3 3 5 5" xfId="12745" xr:uid="{00000000-0005-0000-0000-0000194B0000}"/>
    <cellStyle name="Normal 2 5 3 3 5 5 2" xfId="25179" xr:uid="{00000000-0005-0000-0000-00001A4B0000}"/>
    <cellStyle name="Normal 2 5 3 3 5 5 2 2" xfId="50053" xr:uid="{00000000-0005-0000-0000-00001B4B0000}"/>
    <cellStyle name="Normal 2 5 3 3 5 5 3" xfId="37620" xr:uid="{00000000-0005-0000-0000-00001C4B0000}"/>
    <cellStyle name="Normal 2 5 3 3 5 6" xfId="7489" xr:uid="{00000000-0005-0000-0000-00001D4B0000}"/>
    <cellStyle name="Normal 2 5 3 3 5 6 2" xfId="19937" xr:uid="{00000000-0005-0000-0000-00001E4B0000}"/>
    <cellStyle name="Normal 2 5 3 3 5 6 2 2" xfId="44811" xr:uid="{00000000-0005-0000-0000-00001F4B0000}"/>
    <cellStyle name="Normal 2 5 3 3 5 6 3" xfId="32378" xr:uid="{00000000-0005-0000-0000-0000204B0000}"/>
    <cellStyle name="Normal 2 5 3 3 5 7" xfId="3012" xr:uid="{00000000-0005-0000-0000-0000214B0000}"/>
    <cellStyle name="Normal 2 5 3 3 5 7 2" xfId="15522" xr:uid="{00000000-0005-0000-0000-0000224B0000}"/>
    <cellStyle name="Normal 2 5 3 3 5 7 2 2" xfId="40396" xr:uid="{00000000-0005-0000-0000-0000234B0000}"/>
    <cellStyle name="Normal 2 5 3 3 5 7 3" xfId="27955" xr:uid="{00000000-0005-0000-0000-0000244B0000}"/>
    <cellStyle name="Normal 2 5 3 3 5 8" xfId="14930" xr:uid="{00000000-0005-0000-0000-0000254B0000}"/>
    <cellStyle name="Normal 2 5 3 3 5 8 2" xfId="39804" xr:uid="{00000000-0005-0000-0000-0000264B0000}"/>
    <cellStyle name="Normal 2 5 3 3 5 9" xfId="27363" xr:uid="{00000000-0005-0000-0000-0000274B0000}"/>
    <cellStyle name="Normal 2 5 3 3 6" xfId="1087" xr:uid="{00000000-0005-0000-0000-0000284B0000}"/>
    <cellStyle name="Normal 2 5 3 3 6 2" xfId="8969" xr:uid="{00000000-0005-0000-0000-0000294B0000}"/>
    <cellStyle name="Normal 2 5 3 3 6 2 2" xfId="21412" xr:uid="{00000000-0005-0000-0000-00002A4B0000}"/>
    <cellStyle name="Normal 2 5 3 3 6 2 2 2" xfId="46286" xr:uid="{00000000-0005-0000-0000-00002B4B0000}"/>
    <cellStyle name="Normal 2 5 3 3 6 2 3" xfId="33853" xr:uid="{00000000-0005-0000-0000-00002C4B0000}"/>
    <cellStyle name="Normal 2 5 3 3 6 3" xfId="3951" xr:uid="{00000000-0005-0000-0000-00002D4B0000}"/>
    <cellStyle name="Normal 2 5 3 3 6 3 2" xfId="16405" xr:uid="{00000000-0005-0000-0000-00002E4B0000}"/>
    <cellStyle name="Normal 2 5 3 3 6 3 2 2" xfId="41279" xr:uid="{00000000-0005-0000-0000-00002F4B0000}"/>
    <cellStyle name="Normal 2 5 3 3 6 3 3" xfId="28846" xr:uid="{00000000-0005-0000-0000-0000304B0000}"/>
    <cellStyle name="Normal 2 5 3 3 6 4" xfId="13887" xr:uid="{00000000-0005-0000-0000-0000314B0000}"/>
    <cellStyle name="Normal 2 5 3 3 6 4 2" xfId="38761" xr:uid="{00000000-0005-0000-0000-0000324B0000}"/>
    <cellStyle name="Normal 2 5 3 3 6 5" xfId="26320" xr:uid="{00000000-0005-0000-0000-0000334B0000}"/>
    <cellStyle name="Normal 2 5 3 3 7" xfId="5232" xr:uid="{00000000-0005-0000-0000-0000344B0000}"/>
    <cellStyle name="Normal 2 5 3 3 7 2" xfId="10248" xr:uid="{00000000-0005-0000-0000-0000354B0000}"/>
    <cellStyle name="Normal 2 5 3 3 7 2 2" xfId="22691" xr:uid="{00000000-0005-0000-0000-0000364B0000}"/>
    <cellStyle name="Normal 2 5 3 3 7 2 2 2" xfId="47565" xr:uid="{00000000-0005-0000-0000-0000374B0000}"/>
    <cellStyle name="Normal 2 5 3 3 7 2 3" xfId="35132" xr:uid="{00000000-0005-0000-0000-0000384B0000}"/>
    <cellStyle name="Normal 2 5 3 3 7 3" xfId="17684" xr:uid="{00000000-0005-0000-0000-0000394B0000}"/>
    <cellStyle name="Normal 2 5 3 3 7 3 2" xfId="42558" xr:uid="{00000000-0005-0000-0000-00003A4B0000}"/>
    <cellStyle name="Normal 2 5 3 3 7 4" xfId="30125" xr:uid="{00000000-0005-0000-0000-00003B4B0000}"/>
    <cellStyle name="Normal 2 5 3 3 8" xfId="7809" xr:uid="{00000000-0005-0000-0000-00003C4B0000}"/>
    <cellStyle name="Normal 2 5 3 3 8 2" xfId="20255" xr:uid="{00000000-0005-0000-0000-00003D4B0000}"/>
    <cellStyle name="Normal 2 5 3 3 8 2 2" xfId="45129" xr:uid="{00000000-0005-0000-0000-00003E4B0000}"/>
    <cellStyle name="Normal 2 5 3 3 8 3" xfId="32696" xr:uid="{00000000-0005-0000-0000-00003F4B0000}"/>
    <cellStyle name="Normal 2 5 3 3 9" xfId="11702" xr:uid="{00000000-0005-0000-0000-0000404B0000}"/>
    <cellStyle name="Normal 2 5 3 3 9 2" xfId="24136" xr:uid="{00000000-0005-0000-0000-0000414B0000}"/>
    <cellStyle name="Normal 2 5 3 3 9 2 2" xfId="49010" xr:uid="{00000000-0005-0000-0000-0000424B0000}"/>
    <cellStyle name="Normal 2 5 3 3 9 3" xfId="36577" xr:uid="{00000000-0005-0000-0000-0000434B0000}"/>
    <cellStyle name="Normal 2 5 3 3_Degree data" xfId="2002" xr:uid="{00000000-0005-0000-0000-0000444B0000}"/>
    <cellStyle name="Normal 2 5 3 4" xfId="254" xr:uid="{00000000-0005-0000-0000-0000454B0000}"/>
    <cellStyle name="Normal 2 5 3 4 10" xfId="6594" xr:uid="{00000000-0005-0000-0000-0000464B0000}"/>
    <cellStyle name="Normal 2 5 3 4 10 2" xfId="19043" xr:uid="{00000000-0005-0000-0000-0000474B0000}"/>
    <cellStyle name="Normal 2 5 3 4 10 2 2" xfId="43917" xr:uid="{00000000-0005-0000-0000-0000484B0000}"/>
    <cellStyle name="Normal 2 5 3 4 10 3" xfId="31484" xr:uid="{00000000-0005-0000-0000-0000494B0000}"/>
    <cellStyle name="Normal 2 5 3 4 11" xfId="2657" xr:uid="{00000000-0005-0000-0000-00004A4B0000}"/>
    <cellStyle name="Normal 2 5 3 4 11 2" xfId="15175" xr:uid="{00000000-0005-0000-0000-00004B4B0000}"/>
    <cellStyle name="Normal 2 5 3 4 11 2 2" xfId="40049" xr:uid="{00000000-0005-0000-0000-00004C4B0000}"/>
    <cellStyle name="Normal 2 5 3 4 11 3" xfId="27608" xr:uid="{00000000-0005-0000-0000-00004D4B0000}"/>
    <cellStyle name="Normal 2 5 3 4 12" xfId="13076" xr:uid="{00000000-0005-0000-0000-00004E4B0000}"/>
    <cellStyle name="Normal 2 5 3 4 12 2" xfId="37950" xr:uid="{00000000-0005-0000-0000-00004F4B0000}"/>
    <cellStyle name="Normal 2 5 3 4 13" xfId="25509" xr:uid="{00000000-0005-0000-0000-0000504B0000}"/>
    <cellStyle name="Normal 2 5 3 4 2" xfId="468" xr:uid="{00000000-0005-0000-0000-0000514B0000}"/>
    <cellStyle name="Normal 2 5 3 4 2 10" xfId="13281" xr:uid="{00000000-0005-0000-0000-0000524B0000}"/>
    <cellStyle name="Normal 2 5 3 4 2 10 2" xfId="38155" xr:uid="{00000000-0005-0000-0000-0000534B0000}"/>
    <cellStyle name="Normal 2 5 3 4 2 11" xfId="25714" xr:uid="{00000000-0005-0000-0000-0000544B0000}"/>
    <cellStyle name="Normal 2 5 3 4 2 2" xfId="827" xr:uid="{00000000-0005-0000-0000-0000554B0000}"/>
    <cellStyle name="Normal 2 5 3 4 2 2 2" xfId="1413" xr:uid="{00000000-0005-0000-0000-0000564B0000}"/>
    <cellStyle name="Normal 2 5 3 4 2 2 2 2" xfId="9517" xr:uid="{00000000-0005-0000-0000-0000574B0000}"/>
    <cellStyle name="Normal 2 5 3 4 2 2 2 2 2" xfId="21960" xr:uid="{00000000-0005-0000-0000-0000584B0000}"/>
    <cellStyle name="Normal 2 5 3 4 2 2 2 2 2 2" xfId="46834" xr:uid="{00000000-0005-0000-0000-0000594B0000}"/>
    <cellStyle name="Normal 2 5 3 4 2 2 2 2 3" xfId="34401" xr:uid="{00000000-0005-0000-0000-00005A4B0000}"/>
    <cellStyle name="Normal 2 5 3 4 2 2 2 3" xfId="4499" xr:uid="{00000000-0005-0000-0000-00005B4B0000}"/>
    <cellStyle name="Normal 2 5 3 4 2 2 2 3 2" xfId="16953" xr:uid="{00000000-0005-0000-0000-00005C4B0000}"/>
    <cellStyle name="Normal 2 5 3 4 2 2 2 3 2 2" xfId="41827" xr:uid="{00000000-0005-0000-0000-00005D4B0000}"/>
    <cellStyle name="Normal 2 5 3 4 2 2 2 3 3" xfId="29394" xr:uid="{00000000-0005-0000-0000-00005E4B0000}"/>
    <cellStyle name="Normal 2 5 3 4 2 2 2 4" xfId="14213" xr:uid="{00000000-0005-0000-0000-00005F4B0000}"/>
    <cellStyle name="Normal 2 5 3 4 2 2 2 4 2" xfId="39087" xr:uid="{00000000-0005-0000-0000-0000604B0000}"/>
    <cellStyle name="Normal 2 5 3 4 2 2 2 5" xfId="26646" xr:uid="{00000000-0005-0000-0000-0000614B0000}"/>
    <cellStyle name="Normal 2 5 3 4 2 2 3" xfId="5558" xr:uid="{00000000-0005-0000-0000-0000624B0000}"/>
    <cellStyle name="Normal 2 5 3 4 2 2 3 2" xfId="10574" xr:uid="{00000000-0005-0000-0000-0000634B0000}"/>
    <cellStyle name="Normal 2 5 3 4 2 2 3 2 2" xfId="23017" xr:uid="{00000000-0005-0000-0000-0000644B0000}"/>
    <cellStyle name="Normal 2 5 3 4 2 2 3 2 2 2" xfId="47891" xr:uid="{00000000-0005-0000-0000-0000654B0000}"/>
    <cellStyle name="Normal 2 5 3 4 2 2 3 2 3" xfId="35458" xr:uid="{00000000-0005-0000-0000-0000664B0000}"/>
    <cellStyle name="Normal 2 5 3 4 2 2 3 3" xfId="18010" xr:uid="{00000000-0005-0000-0000-0000674B0000}"/>
    <cellStyle name="Normal 2 5 3 4 2 2 3 3 2" xfId="42884" xr:uid="{00000000-0005-0000-0000-0000684B0000}"/>
    <cellStyle name="Normal 2 5 3 4 2 2 3 4" xfId="30451" xr:uid="{00000000-0005-0000-0000-0000694B0000}"/>
    <cellStyle name="Normal 2 5 3 4 2 2 4" xfId="8633" xr:uid="{00000000-0005-0000-0000-00006A4B0000}"/>
    <cellStyle name="Normal 2 5 3 4 2 2 4 2" xfId="21077" xr:uid="{00000000-0005-0000-0000-00006B4B0000}"/>
    <cellStyle name="Normal 2 5 3 4 2 2 4 2 2" xfId="45951" xr:uid="{00000000-0005-0000-0000-00006C4B0000}"/>
    <cellStyle name="Normal 2 5 3 4 2 2 4 3" xfId="33518" xr:uid="{00000000-0005-0000-0000-00006D4B0000}"/>
    <cellStyle name="Normal 2 5 3 4 2 2 5" xfId="12028" xr:uid="{00000000-0005-0000-0000-00006E4B0000}"/>
    <cellStyle name="Normal 2 5 3 4 2 2 5 2" xfId="24462" xr:uid="{00000000-0005-0000-0000-00006F4B0000}"/>
    <cellStyle name="Normal 2 5 3 4 2 2 5 2 2" xfId="49336" xr:uid="{00000000-0005-0000-0000-0000704B0000}"/>
    <cellStyle name="Normal 2 5 3 4 2 2 5 3" xfId="36903" xr:uid="{00000000-0005-0000-0000-0000714B0000}"/>
    <cellStyle name="Normal 2 5 3 4 2 2 6" xfId="7110" xr:uid="{00000000-0005-0000-0000-0000724B0000}"/>
    <cellStyle name="Normal 2 5 3 4 2 2 6 2" xfId="19559" xr:uid="{00000000-0005-0000-0000-0000734B0000}"/>
    <cellStyle name="Normal 2 5 3 4 2 2 6 2 2" xfId="44433" xr:uid="{00000000-0005-0000-0000-0000744B0000}"/>
    <cellStyle name="Normal 2 5 3 4 2 2 6 3" xfId="32000" xr:uid="{00000000-0005-0000-0000-0000754B0000}"/>
    <cellStyle name="Normal 2 5 3 4 2 2 7" xfId="3564" xr:uid="{00000000-0005-0000-0000-0000764B0000}"/>
    <cellStyle name="Normal 2 5 3 4 2 2 7 2" xfId="16070" xr:uid="{00000000-0005-0000-0000-0000774B0000}"/>
    <cellStyle name="Normal 2 5 3 4 2 2 7 2 2" xfId="40944" xr:uid="{00000000-0005-0000-0000-0000784B0000}"/>
    <cellStyle name="Normal 2 5 3 4 2 2 7 3" xfId="28503" xr:uid="{00000000-0005-0000-0000-0000794B0000}"/>
    <cellStyle name="Normal 2 5 3 4 2 2 8" xfId="13628" xr:uid="{00000000-0005-0000-0000-00007A4B0000}"/>
    <cellStyle name="Normal 2 5 3 4 2 2 8 2" xfId="38502" xr:uid="{00000000-0005-0000-0000-00007B4B0000}"/>
    <cellStyle name="Normal 2 5 3 4 2 2 9" xfId="26061" xr:uid="{00000000-0005-0000-0000-00007C4B0000}"/>
    <cellStyle name="Normal 2 5 3 4 2 3" xfId="1761" xr:uid="{00000000-0005-0000-0000-00007D4B0000}"/>
    <cellStyle name="Normal 2 5 3 4 2 3 2" xfId="5010" xr:uid="{00000000-0005-0000-0000-00007E4B0000}"/>
    <cellStyle name="Normal 2 5 3 4 2 3 2 2" xfId="10027" xr:uid="{00000000-0005-0000-0000-00007F4B0000}"/>
    <cellStyle name="Normal 2 5 3 4 2 3 2 2 2" xfId="22470" xr:uid="{00000000-0005-0000-0000-0000804B0000}"/>
    <cellStyle name="Normal 2 5 3 4 2 3 2 2 2 2" xfId="47344" xr:uid="{00000000-0005-0000-0000-0000814B0000}"/>
    <cellStyle name="Normal 2 5 3 4 2 3 2 2 3" xfId="34911" xr:uid="{00000000-0005-0000-0000-0000824B0000}"/>
    <cellStyle name="Normal 2 5 3 4 2 3 2 3" xfId="17463" xr:uid="{00000000-0005-0000-0000-0000834B0000}"/>
    <cellStyle name="Normal 2 5 3 4 2 3 2 3 2" xfId="42337" xr:uid="{00000000-0005-0000-0000-0000844B0000}"/>
    <cellStyle name="Normal 2 5 3 4 2 3 2 4" xfId="29904" xr:uid="{00000000-0005-0000-0000-0000854B0000}"/>
    <cellStyle name="Normal 2 5 3 4 2 3 3" xfId="5907" xr:uid="{00000000-0005-0000-0000-0000864B0000}"/>
    <cellStyle name="Normal 2 5 3 4 2 3 3 2" xfId="10922" xr:uid="{00000000-0005-0000-0000-0000874B0000}"/>
    <cellStyle name="Normal 2 5 3 4 2 3 3 2 2" xfId="23365" xr:uid="{00000000-0005-0000-0000-0000884B0000}"/>
    <cellStyle name="Normal 2 5 3 4 2 3 3 2 2 2" xfId="48239" xr:uid="{00000000-0005-0000-0000-0000894B0000}"/>
    <cellStyle name="Normal 2 5 3 4 2 3 3 2 3" xfId="35806" xr:uid="{00000000-0005-0000-0000-00008A4B0000}"/>
    <cellStyle name="Normal 2 5 3 4 2 3 3 3" xfId="18358" xr:uid="{00000000-0005-0000-0000-00008B4B0000}"/>
    <cellStyle name="Normal 2 5 3 4 2 3 3 3 2" xfId="43232" xr:uid="{00000000-0005-0000-0000-00008C4B0000}"/>
    <cellStyle name="Normal 2 5 3 4 2 3 3 4" xfId="30799" xr:uid="{00000000-0005-0000-0000-00008D4B0000}"/>
    <cellStyle name="Normal 2 5 3 4 2 3 4" xfId="8434" xr:uid="{00000000-0005-0000-0000-00008E4B0000}"/>
    <cellStyle name="Normal 2 5 3 4 2 3 4 2" xfId="20878" xr:uid="{00000000-0005-0000-0000-00008F4B0000}"/>
    <cellStyle name="Normal 2 5 3 4 2 3 4 2 2" xfId="45752" xr:uid="{00000000-0005-0000-0000-0000904B0000}"/>
    <cellStyle name="Normal 2 5 3 4 2 3 4 3" xfId="33319" xr:uid="{00000000-0005-0000-0000-0000914B0000}"/>
    <cellStyle name="Normal 2 5 3 4 2 3 5" xfId="12376" xr:uid="{00000000-0005-0000-0000-0000924B0000}"/>
    <cellStyle name="Normal 2 5 3 4 2 3 5 2" xfId="24810" xr:uid="{00000000-0005-0000-0000-0000934B0000}"/>
    <cellStyle name="Normal 2 5 3 4 2 3 5 2 2" xfId="49684" xr:uid="{00000000-0005-0000-0000-0000944B0000}"/>
    <cellStyle name="Normal 2 5 3 4 2 3 5 3" xfId="37251" xr:uid="{00000000-0005-0000-0000-0000954B0000}"/>
    <cellStyle name="Normal 2 5 3 4 2 3 6" xfId="7621" xr:uid="{00000000-0005-0000-0000-0000964B0000}"/>
    <cellStyle name="Normal 2 5 3 4 2 3 6 2" xfId="20069" xr:uid="{00000000-0005-0000-0000-0000974B0000}"/>
    <cellStyle name="Normal 2 5 3 4 2 3 6 2 2" xfId="44943" xr:uid="{00000000-0005-0000-0000-0000984B0000}"/>
    <cellStyle name="Normal 2 5 3 4 2 3 6 3" xfId="32510" xr:uid="{00000000-0005-0000-0000-0000994B0000}"/>
    <cellStyle name="Normal 2 5 3 4 2 3 7" xfId="3365" xr:uid="{00000000-0005-0000-0000-00009A4B0000}"/>
    <cellStyle name="Normal 2 5 3 4 2 3 7 2" xfId="15871" xr:uid="{00000000-0005-0000-0000-00009B4B0000}"/>
    <cellStyle name="Normal 2 5 3 4 2 3 7 2 2" xfId="40745" xr:uid="{00000000-0005-0000-0000-00009C4B0000}"/>
    <cellStyle name="Normal 2 5 3 4 2 3 7 3" xfId="28304" xr:uid="{00000000-0005-0000-0000-00009D4B0000}"/>
    <cellStyle name="Normal 2 5 3 4 2 3 8" xfId="14561" xr:uid="{00000000-0005-0000-0000-00009E4B0000}"/>
    <cellStyle name="Normal 2 5 3 4 2 3 8 2" xfId="39435" xr:uid="{00000000-0005-0000-0000-00009F4B0000}"/>
    <cellStyle name="Normal 2 5 3 4 2 3 9" xfId="26994" xr:uid="{00000000-0005-0000-0000-0000A04B0000}"/>
    <cellStyle name="Normal 2 5 3 4 2 4" xfId="2386" xr:uid="{00000000-0005-0000-0000-0000A14B0000}"/>
    <cellStyle name="Normal 2 5 3 4 2 4 2" xfId="6408" xr:uid="{00000000-0005-0000-0000-0000A24B0000}"/>
    <cellStyle name="Normal 2 5 3 4 2 4 2 2" xfId="11423" xr:uid="{00000000-0005-0000-0000-0000A34B0000}"/>
    <cellStyle name="Normal 2 5 3 4 2 4 2 2 2" xfId="23866" xr:uid="{00000000-0005-0000-0000-0000A44B0000}"/>
    <cellStyle name="Normal 2 5 3 4 2 4 2 2 2 2" xfId="48740" xr:uid="{00000000-0005-0000-0000-0000A54B0000}"/>
    <cellStyle name="Normal 2 5 3 4 2 4 2 2 3" xfId="36307" xr:uid="{00000000-0005-0000-0000-0000A64B0000}"/>
    <cellStyle name="Normal 2 5 3 4 2 4 2 3" xfId="18859" xr:uid="{00000000-0005-0000-0000-0000A74B0000}"/>
    <cellStyle name="Normal 2 5 3 4 2 4 2 3 2" xfId="43733" xr:uid="{00000000-0005-0000-0000-0000A84B0000}"/>
    <cellStyle name="Normal 2 5 3 4 2 4 2 4" xfId="31300" xr:uid="{00000000-0005-0000-0000-0000A94B0000}"/>
    <cellStyle name="Normal 2 5 3 4 2 4 3" xfId="12877" xr:uid="{00000000-0005-0000-0000-0000AA4B0000}"/>
    <cellStyle name="Normal 2 5 3 4 2 4 3 2" xfId="25311" xr:uid="{00000000-0005-0000-0000-0000AB4B0000}"/>
    <cellStyle name="Normal 2 5 3 4 2 4 3 2 2" xfId="50185" xr:uid="{00000000-0005-0000-0000-0000AC4B0000}"/>
    <cellStyle name="Normal 2 5 3 4 2 4 3 3" xfId="37752" xr:uid="{00000000-0005-0000-0000-0000AD4B0000}"/>
    <cellStyle name="Normal 2 5 3 4 2 4 4" xfId="9318" xr:uid="{00000000-0005-0000-0000-0000AE4B0000}"/>
    <cellStyle name="Normal 2 5 3 4 2 4 4 2" xfId="21761" xr:uid="{00000000-0005-0000-0000-0000AF4B0000}"/>
    <cellStyle name="Normal 2 5 3 4 2 4 4 2 2" xfId="46635" xr:uid="{00000000-0005-0000-0000-0000B04B0000}"/>
    <cellStyle name="Normal 2 5 3 4 2 4 4 3" xfId="34202" xr:uid="{00000000-0005-0000-0000-0000B14B0000}"/>
    <cellStyle name="Normal 2 5 3 4 2 4 5" xfId="4300" xr:uid="{00000000-0005-0000-0000-0000B24B0000}"/>
    <cellStyle name="Normal 2 5 3 4 2 4 5 2" xfId="16754" xr:uid="{00000000-0005-0000-0000-0000B34B0000}"/>
    <cellStyle name="Normal 2 5 3 4 2 4 5 2 2" xfId="41628" xr:uid="{00000000-0005-0000-0000-0000B44B0000}"/>
    <cellStyle name="Normal 2 5 3 4 2 4 5 3" xfId="29195" xr:uid="{00000000-0005-0000-0000-0000B54B0000}"/>
    <cellStyle name="Normal 2 5 3 4 2 4 6" xfId="15062" xr:uid="{00000000-0005-0000-0000-0000B64B0000}"/>
    <cellStyle name="Normal 2 5 3 4 2 4 6 2" xfId="39936" xr:uid="{00000000-0005-0000-0000-0000B74B0000}"/>
    <cellStyle name="Normal 2 5 3 4 2 4 7" xfId="27495" xr:uid="{00000000-0005-0000-0000-0000B84B0000}"/>
    <cellStyle name="Normal 2 5 3 4 2 5" xfId="1219" xr:uid="{00000000-0005-0000-0000-0000B94B0000}"/>
    <cellStyle name="Normal 2 5 3 4 2 5 2" xfId="10380" xr:uid="{00000000-0005-0000-0000-0000BA4B0000}"/>
    <cellStyle name="Normal 2 5 3 4 2 5 2 2" xfId="22823" xr:uid="{00000000-0005-0000-0000-0000BB4B0000}"/>
    <cellStyle name="Normal 2 5 3 4 2 5 2 2 2" xfId="47697" xr:uid="{00000000-0005-0000-0000-0000BC4B0000}"/>
    <cellStyle name="Normal 2 5 3 4 2 5 2 3" xfId="35264" xr:uid="{00000000-0005-0000-0000-0000BD4B0000}"/>
    <cellStyle name="Normal 2 5 3 4 2 5 3" xfId="5364" xr:uid="{00000000-0005-0000-0000-0000BE4B0000}"/>
    <cellStyle name="Normal 2 5 3 4 2 5 3 2" xfId="17816" xr:uid="{00000000-0005-0000-0000-0000BF4B0000}"/>
    <cellStyle name="Normal 2 5 3 4 2 5 3 2 2" xfId="42690" xr:uid="{00000000-0005-0000-0000-0000C04B0000}"/>
    <cellStyle name="Normal 2 5 3 4 2 5 3 3" xfId="30257" xr:uid="{00000000-0005-0000-0000-0000C14B0000}"/>
    <cellStyle name="Normal 2 5 3 4 2 5 4" xfId="14019" xr:uid="{00000000-0005-0000-0000-0000C24B0000}"/>
    <cellStyle name="Normal 2 5 3 4 2 5 4 2" xfId="38893" xr:uid="{00000000-0005-0000-0000-0000C34B0000}"/>
    <cellStyle name="Normal 2 5 3 4 2 5 5" xfId="26452" xr:uid="{00000000-0005-0000-0000-0000C44B0000}"/>
    <cellStyle name="Normal 2 5 3 4 2 6" xfId="7941" xr:uid="{00000000-0005-0000-0000-0000C54B0000}"/>
    <cellStyle name="Normal 2 5 3 4 2 6 2" xfId="20387" xr:uid="{00000000-0005-0000-0000-0000C64B0000}"/>
    <cellStyle name="Normal 2 5 3 4 2 6 2 2" xfId="45261" xr:uid="{00000000-0005-0000-0000-0000C74B0000}"/>
    <cellStyle name="Normal 2 5 3 4 2 6 3" xfId="32828" xr:uid="{00000000-0005-0000-0000-0000C84B0000}"/>
    <cellStyle name="Normal 2 5 3 4 2 7" xfId="11834" xr:uid="{00000000-0005-0000-0000-0000C94B0000}"/>
    <cellStyle name="Normal 2 5 3 4 2 7 2" xfId="24268" xr:uid="{00000000-0005-0000-0000-0000CA4B0000}"/>
    <cellStyle name="Normal 2 5 3 4 2 7 2 2" xfId="49142" xr:uid="{00000000-0005-0000-0000-0000CB4B0000}"/>
    <cellStyle name="Normal 2 5 3 4 2 7 3" xfId="36709" xr:uid="{00000000-0005-0000-0000-0000CC4B0000}"/>
    <cellStyle name="Normal 2 5 3 4 2 8" xfId="6911" xr:uid="{00000000-0005-0000-0000-0000CD4B0000}"/>
    <cellStyle name="Normal 2 5 3 4 2 8 2" xfId="19360" xr:uid="{00000000-0005-0000-0000-0000CE4B0000}"/>
    <cellStyle name="Normal 2 5 3 4 2 8 2 2" xfId="44234" xr:uid="{00000000-0005-0000-0000-0000CF4B0000}"/>
    <cellStyle name="Normal 2 5 3 4 2 8 3" xfId="31801" xr:uid="{00000000-0005-0000-0000-0000D04B0000}"/>
    <cellStyle name="Normal 2 5 3 4 2 9" xfId="2862" xr:uid="{00000000-0005-0000-0000-0000D14B0000}"/>
    <cellStyle name="Normal 2 5 3 4 2 9 2" xfId="15380" xr:uid="{00000000-0005-0000-0000-0000D24B0000}"/>
    <cellStyle name="Normal 2 5 3 4 2 9 2 2" xfId="40254" xr:uid="{00000000-0005-0000-0000-0000D34B0000}"/>
    <cellStyle name="Normal 2 5 3 4 2 9 3" xfId="27813" xr:uid="{00000000-0005-0000-0000-0000D44B0000}"/>
    <cellStyle name="Normal 2 5 3 4 2_Degree data" xfId="1999" xr:uid="{00000000-0005-0000-0000-0000D54B0000}"/>
    <cellStyle name="Normal 2 5 3 4 3" xfId="616" xr:uid="{00000000-0005-0000-0000-0000D64B0000}"/>
    <cellStyle name="Normal 2 5 3 4 3 2" xfId="1412" xr:uid="{00000000-0005-0000-0000-0000D74B0000}"/>
    <cellStyle name="Normal 2 5 3 4 3 2 2" xfId="9113" xr:uid="{00000000-0005-0000-0000-0000D84B0000}"/>
    <cellStyle name="Normal 2 5 3 4 3 2 2 2" xfId="21556" xr:uid="{00000000-0005-0000-0000-0000D94B0000}"/>
    <cellStyle name="Normal 2 5 3 4 3 2 2 2 2" xfId="46430" xr:uid="{00000000-0005-0000-0000-0000DA4B0000}"/>
    <cellStyle name="Normal 2 5 3 4 3 2 2 3" xfId="33997" xr:uid="{00000000-0005-0000-0000-0000DB4B0000}"/>
    <cellStyle name="Normal 2 5 3 4 3 2 3" xfId="4095" xr:uid="{00000000-0005-0000-0000-0000DC4B0000}"/>
    <cellStyle name="Normal 2 5 3 4 3 2 3 2" xfId="16549" xr:uid="{00000000-0005-0000-0000-0000DD4B0000}"/>
    <cellStyle name="Normal 2 5 3 4 3 2 3 2 2" xfId="41423" xr:uid="{00000000-0005-0000-0000-0000DE4B0000}"/>
    <cellStyle name="Normal 2 5 3 4 3 2 3 3" xfId="28990" xr:uid="{00000000-0005-0000-0000-0000DF4B0000}"/>
    <cellStyle name="Normal 2 5 3 4 3 2 4" xfId="14212" xr:uid="{00000000-0005-0000-0000-0000E04B0000}"/>
    <cellStyle name="Normal 2 5 3 4 3 2 4 2" xfId="39086" xr:uid="{00000000-0005-0000-0000-0000E14B0000}"/>
    <cellStyle name="Normal 2 5 3 4 3 2 5" xfId="26645" xr:uid="{00000000-0005-0000-0000-0000E24B0000}"/>
    <cellStyle name="Normal 2 5 3 4 3 3" xfId="5557" xr:uid="{00000000-0005-0000-0000-0000E34B0000}"/>
    <cellStyle name="Normal 2 5 3 4 3 3 2" xfId="10573" xr:uid="{00000000-0005-0000-0000-0000E44B0000}"/>
    <cellStyle name="Normal 2 5 3 4 3 3 2 2" xfId="23016" xr:uid="{00000000-0005-0000-0000-0000E54B0000}"/>
    <cellStyle name="Normal 2 5 3 4 3 3 2 2 2" xfId="47890" xr:uid="{00000000-0005-0000-0000-0000E64B0000}"/>
    <cellStyle name="Normal 2 5 3 4 3 3 2 3" xfId="35457" xr:uid="{00000000-0005-0000-0000-0000E74B0000}"/>
    <cellStyle name="Normal 2 5 3 4 3 3 3" xfId="18009" xr:uid="{00000000-0005-0000-0000-0000E84B0000}"/>
    <cellStyle name="Normal 2 5 3 4 3 3 3 2" xfId="42883" xr:uid="{00000000-0005-0000-0000-0000E94B0000}"/>
    <cellStyle name="Normal 2 5 3 4 3 3 4" xfId="30450" xr:uid="{00000000-0005-0000-0000-0000EA4B0000}"/>
    <cellStyle name="Normal 2 5 3 4 3 4" xfId="8229" xr:uid="{00000000-0005-0000-0000-0000EB4B0000}"/>
    <cellStyle name="Normal 2 5 3 4 3 4 2" xfId="20673" xr:uid="{00000000-0005-0000-0000-0000EC4B0000}"/>
    <cellStyle name="Normal 2 5 3 4 3 4 2 2" xfId="45547" xr:uid="{00000000-0005-0000-0000-0000ED4B0000}"/>
    <cellStyle name="Normal 2 5 3 4 3 4 3" xfId="33114" xr:uid="{00000000-0005-0000-0000-0000EE4B0000}"/>
    <cellStyle name="Normal 2 5 3 4 3 5" xfId="12027" xr:uid="{00000000-0005-0000-0000-0000EF4B0000}"/>
    <cellStyle name="Normal 2 5 3 4 3 5 2" xfId="24461" xr:uid="{00000000-0005-0000-0000-0000F04B0000}"/>
    <cellStyle name="Normal 2 5 3 4 3 5 2 2" xfId="49335" xr:uid="{00000000-0005-0000-0000-0000F14B0000}"/>
    <cellStyle name="Normal 2 5 3 4 3 5 3" xfId="36902" xr:uid="{00000000-0005-0000-0000-0000F24B0000}"/>
    <cellStyle name="Normal 2 5 3 4 3 6" xfId="6706" xr:uid="{00000000-0005-0000-0000-0000F34B0000}"/>
    <cellStyle name="Normal 2 5 3 4 3 6 2" xfId="19155" xr:uid="{00000000-0005-0000-0000-0000F44B0000}"/>
    <cellStyle name="Normal 2 5 3 4 3 6 2 2" xfId="44029" xr:uid="{00000000-0005-0000-0000-0000F54B0000}"/>
    <cellStyle name="Normal 2 5 3 4 3 6 3" xfId="31596" xr:uid="{00000000-0005-0000-0000-0000F64B0000}"/>
    <cellStyle name="Normal 2 5 3 4 3 7" xfId="3160" xr:uid="{00000000-0005-0000-0000-0000F74B0000}"/>
    <cellStyle name="Normal 2 5 3 4 3 7 2" xfId="15666" xr:uid="{00000000-0005-0000-0000-0000F84B0000}"/>
    <cellStyle name="Normal 2 5 3 4 3 7 2 2" xfId="40540" xr:uid="{00000000-0005-0000-0000-0000F94B0000}"/>
    <cellStyle name="Normal 2 5 3 4 3 7 3" xfId="28099" xr:uid="{00000000-0005-0000-0000-0000FA4B0000}"/>
    <cellStyle name="Normal 2 5 3 4 3 8" xfId="13423" xr:uid="{00000000-0005-0000-0000-0000FB4B0000}"/>
    <cellStyle name="Normal 2 5 3 4 3 8 2" xfId="38297" xr:uid="{00000000-0005-0000-0000-0000FC4B0000}"/>
    <cellStyle name="Normal 2 5 3 4 3 9" xfId="25856" xr:uid="{00000000-0005-0000-0000-0000FD4B0000}"/>
    <cellStyle name="Normal 2 5 3 4 4" xfId="1760" xr:uid="{00000000-0005-0000-0000-0000FE4B0000}"/>
    <cellStyle name="Normal 2 5 3 4 4 2" xfId="4498" xr:uid="{00000000-0005-0000-0000-0000FF4B0000}"/>
    <cellStyle name="Normal 2 5 3 4 4 2 2" xfId="9516" xr:uid="{00000000-0005-0000-0000-0000004C0000}"/>
    <cellStyle name="Normal 2 5 3 4 4 2 2 2" xfId="21959" xr:uid="{00000000-0005-0000-0000-0000014C0000}"/>
    <cellStyle name="Normal 2 5 3 4 4 2 2 2 2" xfId="46833" xr:uid="{00000000-0005-0000-0000-0000024C0000}"/>
    <cellStyle name="Normal 2 5 3 4 4 2 2 3" xfId="34400" xr:uid="{00000000-0005-0000-0000-0000034C0000}"/>
    <cellStyle name="Normal 2 5 3 4 4 2 3" xfId="16952" xr:uid="{00000000-0005-0000-0000-0000044C0000}"/>
    <cellStyle name="Normal 2 5 3 4 4 2 3 2" xfId="41826" xr:uid="{00000000-0005-0000-0000-0000054C0000}"/>
    <cellStyle name="Normal 2 5 3 4 4 2 4" xfId="29393" xr:uid="{00000000-0005-0000-0000-0000064C0000}"/>
    <cellStyle name="Normal 2 5 3 4 4 3" xfId="5906" xr:uid="{00000000-0005-0000-0000-0000074C0000}"/>
    <cellStyle name="Normal 2 5 3 4 4 3 2" xfId="10921" xr:uid="{00000000-0005-0000-0000-0000084C0000}"/>
    <cellStyle name="Normal 2 5 3 4 4 3 2 2" xfId="23364" xr:uid="{00000000-0005-0000-0000-0000094C0000}"/>
    <cellStyle name="Normal 2 5 3 4 4 3 2 2 2" xfId="48238" xr:uid="{00000000-0005-0000-0000-00000A4C0000}"/>
    <cellStyle name="Normal 2 5 3 4 4 3 2 3" xfId="35805" xr:uid="{00000000-0005-0000-0000-00000B4C0000}"/>
    <cellStyle name="Normal 2 5 3 4 4 3 3" xfId="18357" xr:uid="{00000000-0005-0000-0000-00000C4C0000}"/>
    <cellStyle name="Normal 2 5 3 4 4 3 3 2" xfId="43231" xr:uid="{00000000-0005-0000-0000-00000D4C0000}"/>
    <cellStyle name="Normal 2 5 3 4 4 3 4" xfId="30798" xr:uid="{00000000-0005-0000-0000-00000E4C0000}"/>
    <cellStyle name="Normal 2 5 3 4 4 4" xfId="8632" xr:uid="{00000000-0005-0000-0000-00000F4C0000}"/>
    <cellStyle name="Normal 2 5 3 4 4 4 2" xfId="21076" xr:uid="{00000000-0005-0000-0000-0000104C0000}"/>
    <cellStyle name="Normal 2 5 3 4 4 4 2 2" xfId="45950" xr:uid="{00000000-0005-0000-0000-0000114C0000}"/>
    <cellStyle name="Normal 2 5 3 4 4 4 3" xfId="33517" xr:uid="{00000000-0005-0000-0000-0000124C0000}"/>
    <cellStyle name="Normal 2 5 3 4 4 5" xfId="12375" xr:uid="{00000000-0005-0000-0000-0000134C0000}"/>
    <cellStyle name="Normal 2 5 3 4 4 5 2" xfId="24809" xr:uid="{00000000-0005-0000-0000-0000144C0000}"/>
    <cellStyle name="Normal 2 5 3 4 4 5 2 2" xfId="49683" xr:uid="{00000000-0005-0000-0000-0000154C0000}"/>
    <cellStyle name="Normal 2 5 3 4 4 5 3" xfId="37250" xr:uid="{00000000-0005-0000-0000-0000164C0000}"/>
    <cellStyle name="Normal 2 5 3 4 4 6" xfId="7109" xr:uid="{00000000-0005-0000-0000-0000174C0000}"/>
    <cellStyle name="Normal 2 5 3 4 4 6 2" xfId="19558" xr:uid="{00000000-0005-0000-0000-0000184C0000}"/>
    <cellStyle name="Normal 2 5 3 4 4 6 2 2" xfId="44432" xr:uid="{00000000-0005-0000-0000-0000194C0000}"/>
    <cellStyle name="Normal 2 5 3 4 4 6 3" xfId="31999" xr:uid="{00000000-0005-0000-0000-00001A4C0000}"/>
    <cellStyle name="Normal 2 5 3 4 4 7" xfId="3563" xr:uid="{00000000-0005-0000-0000-00001B4C0000}"/>
    <cellStyle name="Normal 2 5 3 4 4 7 2" xfId="16069" xr:uid="{00000000-0005-0000-0000-00001C4C0000}"/>
    <cellStyle name="Normal 2 5 3 4 4 7 2 2" xfId="40943" xr:uid="{00000000-0005-0000-0000-00001D4C0000}"/>
    <cellStyle name="Normal 2 5 3 4 4 7 3" xfId="28502" xr:uid="{00000000-0005-0000-0000-00001E4C0000}"/>
    <cellStyle name="Normal 2 5 3 4 4 8" xfId="14560" xr:uid="{00000000-0005-0000-0000-00001F4C0000}"/>
    <cellStyle name="Normal 2 5 3 4 4 8 2" xfId="39434" xr:uid="{00000000-0005-0000-0000-0000204C0000}"/>
    <cellStyle name="Normal 2 5 3 4 4 9" xfId="26993" xr:uid="{00000000-0005-0000-0000-0000214C0000}"/>
    <cellStyle name="Normal 2 5 3 4 5" xfId="2172" xr:uid="{00000000-0005-0000-0000-0000224C0000}"/>
    <cellStyle name="Normal 2 5 3 4 5 2" xfId="4805" xr:uid="{00000000-0005-0000-0000-0000234C0000}"/>
    <cellStyle name="Normal 2 5 3 4 5 2 2" xfId="9822" xr:uid="{00000000-0005-0000-0000-0000244C0000}"/>
    <cellStyle name="Normal 2 5 3 4 5 2 2 2" xfId="22265" xr:uid="{00000000-0005-0000-0000-0000254C0000}"/>
    <cellStyle name="Normal 2 5 3 4 5 2 2 2 2" xfId="47139" xr:uid="{00000000-0005-0000-0000-0000264C0000}"/>
    <cellStyle name="Normal 2 5 3 4 5 2 2 3" xfId="34706" xr:uid="{00000000-0005-0000-0000-0000274C0000}"/>
    <cellStyle name="Normal 2 5 3 4 5 2 3" xfId="17258" xr:uid="{00000000-0005-0000-0000-0000284C0000}"/>
    <cellStyle name="Normal 2 5 3 4 5 2 3 2" xfId="42132" xr:uid="{00000000-0005-0000-0000-0000294C0000}"/>
    <cellStyle name="Normal 2 5 3 4 5 2 4" xfId="29699" xr:uid="{00000000-0005-0000-0000-00002A4C0000}"/>
    <cellStyle name="Normal 2 5 3 4 5 3" xfId="6203" xr:uid="{00000000-0005-0000-0000-00002B4C0000}"/>
    <cellStyle name="Normal 2 5 3 4 5 3 2" xfId="11218" xr:uid="{00000000-0005-0000-0000-00002C4C0000}"/>
    <cellStyle name="Normal 2 5 3 4 5 3 2 2" xfId="23661" xr:uid="{00000000-0005-0000-0000-00002D4C0000}"/>
    <cellStyle name="Normal 2 5 3 4 5 3 2 2 2" xfId="48535" xr:uid="{00000000-0005-0000-0000-00002E4C0000}"/>
    <cellStyle name="Normal 2 5 3 4 5 3 2 3" xfId="36102" xr:uid="{00000000-0005-0000-0000-00002F4C0000}"/>
    <cellStyle name="Normal 2 5 3 4 5 3 3" xfId="18654" xr:uid="{00000000-0005-0000-0000-0000304C0000}"/>
    <cellStyle name="Normal 2 5 3 4 5 3 3 2" xfId="43528" xr:uid="{00000000-0005-0000-0000-0000314C0000}"/>
    <cellStyle name="Normal 2 5 3 4 5 3 4" xfId="31095" xr:uid="{00000000-0005-0000-0000-0000324C0000}"/>
    <cellStyle name="Normal 2 5 3 4 5 4" xfId="8115" xr:uid="{00000000-0005-0000-0000-0000334C0000}"/>
    <cellStyle name="Normal 2 5 3 4 5 4 2" xfId="20561" xr:uid="{00000000-0005-0000-0000-0000344C0000}"/>
    <cellStyle name="Normal 2 5 3 4 5 4 2 2" xfId="45435" xr:uid="{00000000-0005-0000-0000-0000354C0000}"/>
    <cellStyle name="Normal 2 5 3 4 5 4 3" xfId="33002" xr:uid="{00000000-0005-0000-0000-0000364C0000}"/>
    <cellStyle name="Normal 2 5 3 4 5 5" xfId="12672" xr:uid="{00000000-0005-0000-0000-0000374C0000}"/>
    <cellStyle name="Normal 2 5 3 4 5 5 2" xfId="25106" xr:uid="{00000000-0005-0000-0000-0000384C0000}"/>
    <cellStyle name="Normal 2 5 3 4 5 5 2 2" xfId="49980" xr:uid="{00000000-0005-0000-0000-0000394C0000}"/>
    <cellStyle name="Normal 2 5 3 4 5 5 3" xfId="37547" xr:uid="{00000000-0005-0000-0000-00003A4C0000}"/>
    <cellStyle name="Normal 2 5 3 4 5 6" xfId="7416" xr:uid="{00000000-0005-0000-0000-00003B4C0000}"/>
    <cellStyle name="Normal 2 5 3 4 5 6 2" xfId="19864" xr:uid="{00000000-0005-0000-0000-00003C4C0000}"/>
    <cellStyle name="Normal 2 5 3 4 5 6 2 2" xfId="44738" xr:uid="{00000000-0005-0000-0000-00003D4C0000}"/>
    <cellStyle name="Normal 2 5 3 4 5 6 3" xfId="32305" xr:uid="{00000000-0005-0000-0000-00003E4C0000}"/>
    <cellStyle name="Normal 2 5 3 4 5 7" xfId="3045" xr:uid="{00000000-0005-0000-0000-00003F4C0000}"/>
    <cellStyle name="Normal 2 5 3 4 5 7 2" xfId="15554" xr:uid="{00000000-0005-0000-0000-0000404C0000}"/>
    <cellStyle name="Normal 2 5 3 4 5 7 2 2" xfId="40428" xr:uid="{00000000-0005-0000-0000-0000414C0000}"/>
    <cellStyle name="Normal 2 5 3 4 5 7 3" xfId="27987" xr:uid="{00000000-0005-0000-0000-0000424C0000}"/>
    <cellStyle name="Normal 2 5 3 4 5 8" xfId="14857" xr:uid="{00000000-0005-0000-0000-0000434C0000}"/>
    <cellStyle name="Normal 2 5 3 4 5 8 2" xfId="39731" xr:uid="{00000000-0005-0000-0000-0000444C0000}"/>
    <cellStyle name="Normal 2 5 3 4 5 9" xfId="27290" xr:uid="{00000000-0005-0000-0000-0000454C0000}"/>
    <cellStyle name="Normal 2 5 3 4 6" xfId="1014" xr:uid="{00000000-0005-0000-0000-0000464C0000}"/>
    <cellStyle name="Normal 2 5 3 4 6 2" xfId="9001" xr:uid="{00000000-0005-0000-0000-0000474C0000}"/>
    <cellStyle name="Normal 2 5 3 4 6 2 2" xfId="21444" xr:uid="{00000000-0005-0000-0000-0000484C0000}"/>
    <cellStyle name="Normal 2 5 3 4 6 2 2 2" xfId="46318" xr:uid="{00000000-0005-0000-0000-0000494C0000}"/>
    <cellStyle name="Normal 2 5 3 4 6 2 3" xfId="33885" xr:uid="{00000000-0005-0000-0000-00004A4C0000}"/>
    <cellStyle name="Normal 2 5 3 4 6 3" xfId="3983" xr:uid="{00000000-0005-0000-0000-00004B4C0000}"/>
    <cellStyle name="Normal 2 5 3 4 6 3 2" xfId="16437" xr:uid="{00000000-0005-0000-0000-00004C4C0000}"/>
    <cellStyle name="Normal 2 5 3 4 6 3 2 2" xfId="41311" xr:uid="{00000000-0005-0000-0000-00004D4C0000}"/>
    <cellStyle name="Normal 2 5 3 4 6 3 3" xfId="28878" xr:uid="{00000000-0005-0000-0000-00004E4C0000}"/>
    <cellStyle name="Normal 2 5 3 4 6 4" xfId="13814" xr:uid="{00000000-0005-0000-0000-00004F4C0000}"/>
    <cellStyle name="Normal 2 5 3 4 6 4 2" xfId="38688" xr:uid="{00000000-0005-0000-0000-0000504C0000}"/>
    <cellStyle name="Normal 2 5 3 4 6 5" xfId="26247" xr:uid="{00000000-0005-0000-0000-0000514C0000}"/>
    <cellStyle name="Normal 2 5 3 4 7" xfId="5159" xr:uid="{00000000-0005-0000-0000-0000524C0000}"/>
    <cellStyle name="Normal 2 5 3 4 7 2" xfId="10175" xr:uid="{00000000-0005-0000-0000-0000534C0000}"/>
    <cellStyle name="Normal 2 5 3 4 7 2 2" xfId="22618" xr:uid="{00000000-0005-0000-0000-0000544C0000}"/>
    <cellStyle name="Normal 2 5 3 4 7 2 2 2" xfId="47492" xr:uid="{00000000-0005-0000-0000-0000554C0000}"/>
    <cellStyle name="Normal 2 5 3 4 7 2 3" xfId="35059" xr:uid="{00000000-0005-0000-0000-0000564C0000}"/>
    <cellStyle name="Normal 2 5 3 4 7 3" xfId="17611" xr:uid="{00000000-0005-0000-0000-0000574C0000}"/>
    <cellStyle name="Normal 2 5 3 4 7 3 2" xfId="42485" xr:uid="{00000000-0005-0000-0000-0000584C0000}"/>
    <cellStyle name="Normal 2 5 3 4 7 4" xfId="30052" xr:uid="{00000000-0005-0000-0000-0000594C0000}"/>
    <cellStyle name="Normal 2 5 3 4 8" xfId="7736" xr:uid="{00000000-0005-0000-0000-00005A4C0000}"/>
    <cellStyle name="Normal 2 5 3 4 8 2" xfId="20182" xr:uid="{00000000-0005-0000-0000-00005B4C0000}"/>
    <cellStyle name="Normal 2 5 3 4 8 2 2" xfId="45056" xr:uid="{00000000-0005-0000-0000-00005C4C0000}"/>
    <cellStyle name="Normal 2 5 3 4 8 3" xfId="32623" xr:uid="{00000000-0005-0000-0000-00005D4C0000}"/>
    <cellStyle name="Normal 2 5 3 4 9" xfId="11629" xr:uid="{00000000-0005-0000-0000-00005E4C0000}"/>
    <cellStyle name="Normal 2 5 3 4 9 2" xfId="24063" xr:uid="{00000000-0005-0000-0000-00005F4C0000}"/>
    <cellStyle name="Normal 2 5 3 4 9 2 2" xfId="48937" xr:uid="{00000000-0005-0000-0000-0000604C0000}"/>
    <cellStyle name="Normal 2 5 3 4 9 3" xfId="36504" xr:uid="{00000000-0005-0000-0000-0000614C0000}"/>
    <cellStyle name="Normal 2 5 3 4_Degree data" xfId="2000" xr:uid="{00000000-0005-0000-0000-0000624C0000}"/>
    <cellStyle name="Normal 2 5 3 5" xfId="360" xr:uid="{00000000-0005-0000-0000-0000634C0000}"/>
    <cellStyle name="Normal 2 5 3 5 10" xfId="13176" xr:uid="{00000000-0005-0000-0000-0000644C0000}"/>
    <cellStyle name="Normal 2 5 3 5 10 2" xfId="38050" xr:uid="{00000000-0005-0000-0000-0000654C0000}"/>
    <cellStyle name="Normal 2 5 3 5 11" xfId="25609" xr:uid="{00000000-0005-0000-0000-0000664C0000}"/>
    <cellStyle name="Normal 2 5 3 5 2" xfId="720" xr:uid="{00000000-0005-0000-0000-0000674C0000}"/>
    <cellStyle name="Normal 2 5 3 5 2 2" xfId="1414" xr:uid="{00000000-0005-0000-0000-0000684C0000}"/>
    <cellStyle name="Normal 2 5 3 5 2 2 2" xfId="9518" xr:uid="{00000000-0005-0000-0000-0000694C0000}"/>
    <cellStyle name="Normal 2 5 3 5 2 2 2 2" xfId="21961" xr:uid="{00000000-0005-0000-0000-00006A4C0000}"/>
    <cellStyle name="Normal 2 5 3 5 2 2 2 2 2" xfId="46835" xr:uid="{00000000-0005-0000-0000-00006B4C0000}"/>
    <cellStyle name="Normal 2 5 3 5 2 2 2 3" xfId="34402" xr:uid="{00000000-0005-0000-0000-00006C4C0000}"/>
    <cellStyle name="Normal 2 5 3 5 2 2 3" xfId="4500" xr:uid="{00000000-0005-0000-0000-00006D4C0000}"/>
    <cellStyle name="Normal 2 5 3 5 2 2 3 2" xfId="16954" xr:uid="{00000000-0005-0000-0000-00006E4C0000}"/>
    <cellStyle name="Normal 2 5 3 5 2 2 3 2 2" xfId="41828" xr:uid="{00000000-0005-0000-0000-00006F4C0000}"/>
    <cellStyle name="Normal 2 5 3 5 2 2 3 3" xfId="29395" xr:uid="{00000000-0005-0000-0000-0000704C0000}"/>
    <cellStyle name="Normal 2 5 3 5 2 2 4" xfId="14214" xr:uid="{00000000-0005-0000-0000-0000714C0000}"/>
    <cellStyle name="Normal 2 5 3 5 2 2 4 2" xfId="39088" xr:uid="{00000000-0005-0000-0000-0000724C0000}"/>
    <cellStyle name="Normal 2 5 3 5 2 2 5" xfId="26647" xr:uid="{00000000-0005-0000-0000-0000734C0000}"/>
    <cellStyle name="Normal 2 5 3 5 2 3" xfId="5559" xr:uid="{00000000-0005-0000-0000-0000744C0000}"/>
    <cellStyle name="Normal 2 5 3 5 2 3 2" xfId="10575" xr:uid="{00000000-0005-0000-0000-0000754C0000}"/>
    <cellStyle name="Normal 2 5 3 5 2 3 2 2" xfId="23018" xr:uid="{00000000-0005-0000-0000-0000764C0000}"/>
    <cellStyle name="Normal 2 5 3 5 2 3 2 2 2" xfId="47892" xr:uid="{00000000-0005-0000-0000-0000774C0000}"/>
    <cellStyle name="Normal 2 5 3 5 2 3 2 3" xfId="35459" xr:uid="{00000000-0005-0000-0000-0000784C0000}"/>
    <cellStyle name="Normal 2 5 3 5 2 3 3" xfId="18011" xr:uid="{00000000-0005-0000-0000-0000794C0000}"/>
    <cellStyle name="Normal 2 5 3 5 2 3 3 2" xfId="42885" xr:uid="{00000000-0005-0000-0000-00007A4C0000}"/>
    <cellStyle name="Normal 2 5 3 5 2 3 4" xfId="30452" xr:uid="{00000000-0005-0000-0000-00007B4C0000}"/>
    <cellStyle name="Normal 2 5 3 5 2 4" xfId="8634" xr:uid="{00000000-0005-0000-0000-00007C4C0000}"/>
    <cellStyle name="Normal 2 5 3 5 2 4 2" xfId="21078" xr:uid="{00000000-0005-0000-0000-00007D4C0000}"/>
    <cellStyle name="Normal 2 5 3 5 2 4 2 2" xfId="45952" xr:uid="{00000000-0005-0000-0000-00007E4C0000}"/>
    <cellStyle name="Normal 2 5 3 5 2 4 3" xfId="33519" xr:uid="{00000000-0005-0000-0000-00007F4C0000}"/>
    <cellStyle name="Normal 2 5 3 5 2 5" xfId="12029" xr:uid="{00000000-0005-0000-0000-0000804C0000}"/>
    <cellStyle name="Normal 2 5 3 5 2 5 2" xfId="24463" xr:uid="{00000000-0005-0000-0000-0000814C0000}"/>
    <cellStyle name="Normal 2 5 3 5 2 5 2 2" xfId="49337" xr:uid="{00000000-0005-0000-0000-0000824C0000}"/>
    <cellStyle name="Normal 2 5 3 5 2 5 3" xfId="36904" xr:uid="{00000000-0005-0000-0000-0000834C0000}"/>
    <cellStyle name="Normal 2 5 3 5 2 6" xfId="7111" xr:uid="{00000000-0005-0000-0000-0000844C0000}"/>
    <cellStyle name="Normal 2 5 3 5 2 6 2" xfId="19560" xr:uid="{00000000-0005-0000-0000-0000854C0000}"/>
    <cellStyle name="Normal 2 5 3 5 2 6 2 2" xfId="44434" xr:uid="{00000000-0005-0000-0000-0000864C0000}"/>
    <cellStyle name="Normal 2 5 3 5 2 6 3" xfId="32001" xr:uid="{00000000-0005-0000-0000-0000874C0000}"/>
    <cellStyle name="Normal 2 5 3 5 2 7" xfId="3565" xr:uid="{00000000-0005-0000-0000-0000884C0000}"/>
    <cellStyle name="Normal 2 5 3 5 2 7 2" xfId="16071" xr:uid="{00000000-0005-0000-0000-0000894C0000}"/>
    <cellStyle name="Normal 2 5 3 5 2 7 2 2" xfId="40945" xr:uid="{00000000-0005-0000-0000-00008A4C0000}"/>
    <cellStyle name="Normal 2 5 3 5 2 7 3" xfId="28504" xr:uid="{00000000-0005-0000-0000-00008B4C0000}"/>
    <cellStyle name="Normal 2 5 3 5 2 8" xfId="13523" xr:uid="{00000000-0005-0000-0000-00008C4C0000}"/>
    <cellStyle name="Normal 2 5 3 5 2 8 2" xfId="38397" xr:uid="{00000000-0005-0000-0000-00008D4C0000}"/>
    <cellStyle name="Normal 2 5 3 5 2 9" xfId="25956" xr:uid="{00000000-0005-0000-0000-00008E4C0000}"/>
    <cellStyle name="Normal 2 5 3 5 3" xfId="1762" xr:uid="{00000000-0005-0000-0000-00008F4C0000}"/>
    <cellStyle name="Normal 2 5 3 5 3 2" xfId="4905" xr:uid="{00000000-0005-0000-0000-0000904C0000}"/>
    <cellStyle name="Normal 2 5 3 5 3 2 2" xfId="9922" xr:uid="{00000000-0005-0000-0000-0000914C0000}"/>
    <cellStyle name="Normal 2 5 3 5 3 2 2 2" xfId="22365" xr:uid="{00000000-0005-0000-0000-0000924C0000}"/>
    <cellStyle name="Normal 2 5 3 5 3 2 2 2 2" xfId="47239" xr:uid="{00000000-0005-0000-0000-0000934C0000}"/>
    <cellStyle name="Normal 2 5 3 5 3 2 2 3" xfId="34806" xr:uid="{00000000-0005-0000-0000-0000944C0000}"/>
    <cellStyle name="Normal 2 5 3 5 3 2 3" xfId="17358" xr:uid="{00000000-0005-0000-0000-0000954C0000}"/>
    <cellStyle name="Normal 2 5 3 5 3 2 3 2" xfId="42232" xr:uid="{00000000-0005-0000-0000-0000964C0000}"/>
    <cellStyle name="Normal 2 5 3 5 3 2 4" xfId="29799" xr:uid="{00000000-0005-0000-0000-0000974C0000}"/>
    <cellStyle name="Normal 2 5 3 5 3 3" xfId="5908" xr:uid="{00000000-0005-0000-0000-0000984C0000}"/>
    <cellStyle name="Normal 2 5 3 5 3 3 2" xfId="10923" xr:uid="{00000000-0005-0000-0000-0000994C0000}"/>
    <cellStyle name="Normal 2 5 3 5 3 3 2 2" xfId="23366" xr:uid="{00000000-0005-0000-0000-00009A4C0000}"/>
    <cellStyle name="Normal 2 5 3 5 3 3 2 2 2" xfId="48240" xr:uid="{00000000-0005-0000-0000-00009B4C0000}"/>
    <cellStyle name="Normal 2 5 3 5 3 3 2 3" xfId="35807" xr:uid="{00000000-0005-0000-0000-00009C4C0000}"/>
    <cellStyle name="Normal 2 5 3 5 3 3 3" xfId="18359" xr:uid="{00000000-0005-0000-0000-00009D4C0000}"/>
    <cellStyle name="Normal 2 5 3 5 3 3 3 2" xfId="43233" xr:uid="{00000000-0005-0000-0000-00009E4C0000}"/>
    <cellStyle name="Normal 2 5 3 5 3 3 4" xfId="30800" xr:uid="{00000000-0005-0000-0000-00009F4C0000}"/>
    <cellStyle name="Normal 2 5 3 5 3 4" xfId="8329" xr:uid="{00000000-0005-0000-0000-0000A04C0000}"/>
    <cellStyle name="Normal 2 5 3 5 3 4 2" xfId="20773" xr:uid="{00000000-0005-0000-0000-0000A14C0000}"/>
    <cellStyle name="Normal 2 5 3 5 3 4 2 2" xfId="45647" xr:uid="{00000000-0005-0000-0000-0000A24C0000}"/>
    <cellStyle name="Normal 2 5 3 5 3 4 3" xfId="33214" xr:uid="{00000000-0005-0000-0000-0000A34C0000}"/>
    <cellStyle name="Normal 2 5 3 5 3 5" xfId="12377" xr:uid="{00000000-0005-0000-0000-0000A44C0000}"/>
    <cellStyle name="Normal 2 5 3 5 3 5 2" xfId="24811" xr:uid="{00000000-0005-0000-0000-0000A54C0000}"/>
    <cellStyle name="Normal 2 5 3 5 3 5 2 2" xfId="49685" xr:uid="{00000000-0005-0000-0000-0000A64C0000}"/>
    <cellStyle name="Normal 2 5 3 5 3 5 3" xfId="37252" xr:uid="{00000000-0005-0000-0000-0000A74C0000}"/>
    <cellStyle name="Normal 2 5 3 5 3 6" xfId="7516" xr:uid="{00000000-0005-0000-0000-0000A84C0000}"/>
    <cellStyle name="Normal 2 5 3 5 3 6 2" xfId="19964" xr:uid="{00000000-0005-0000-0000-0000A94C0000}"/>
    <cellStyle name="Normal 2 5 3 5 3 6 2 2" xfId="44838" xr:uid="{00000000-0005-0000-0000-0000AA4C0000}"/>
    <cellStyle name="Normal 2 5 3 5 3 6 3" xfId="32405" xr:uid="{00000000-0005-0000-0000-0000AB4C0000}"/>
    <cellStyle name="Normal 2 5 3 5 3 7" xfId="3260" xr:uid="{00000000-0005-0000-0000-0000AC4C0000}"/>
    <cellStyle name="Normal 2 5 3 5 3 7 2" xfId="15766" xr:uid="{00000000-0005-0000-0000-0000AD4C0000}"/>
    <cellStyle name="Normal 2 5 3 5 3 7 2 2" xfId="40640" xr:uid="{00000000-0005-0000-0000-0000AE4C0000}"/>
    <cellStyle name="Normal 2 5 3 5 3 7 3" xfId="28199" xr:uid="{00000000-0005-0000-0000-0000AF4C0000}"/>
    <cellStyle name="Normal 2 5 3 5 3 8" xfId="14562" xr:uid="{00000000-0005-0000-0000-0000B04C0000}"/>
    <cellStyle name="Normal 2 5 3 5 3 8 2" xfId="39436" xr:uid="{00000000-0005-0000-0000-0000B14C0000}"/>
    <cellStyle name="Normal 2 5 3 5 3 9" xfId="26995" xr:uid="{00000000-0005-0000-0000-0000B24C0000}"/>
    <cellStyle name="Normal 2 5 3 5 4" xfId="2278" xr:uid="{00000000-0005-0000-0000-0000B34C0000}"/>
    <cellStyle name="Normal 2 5 3 5 4 2" xfId="6303" xr:uid="{00000000-0005-0000-0000-0000B44C0000}"/>
    <cellStyle name="Normal 2 5 3 5 4 2 2" xfId="11318" xr:uid="{00000000-0005-0000-0000-0000B54C0000}"/>
    <cellStyle name="Normal 2 5 3 5 4 2 2 2" xfId="23761" xr:uid="{00000000-0005-0000-0000-0000B64C0000}"/>
    <cellStyle name="Normal 2 5 3 5 4 2 2 2 2" xfId="48635" xr:uid="{00000000-0005-0000-0000-0000B74C0000}"/>
    <cellStyle name="Normal 2 5 3 5 4 2 2 3" xfId="36202" xr:uid="{00000000-0005-0000-0000-0000B84C0000}"/>
    <cellStyle name="Normal 2 5 3 5 4 2 3" xfId="18754" xr:uid="{00000000-0005-0000-0000-0000B94C0000}"/>
    <cellStyle name="Normal 2 5 3 5 4 2 3 2" xfId="43628" xr:uid="{00000000-0005-0000-0000-0000BA4C0000}"/>
    <cellStyle name="Normal 2 5 3 5 4 2 4" xfId="31195" xr:uid="{00000000-0005-0000-0000-0000BB4C0000}"/>
    <cellStyle name="Normal 2 5 3 5 4 3" xfId="12772" xr:uid="{00000000-0005-0000-0000-0000BC4C0000}"/>
    <cellStyle name="Normal 2 5 3 5 4 3 2" xfId="25206" xr:uid="{00000000-0005-0000-0000-0000BD4C0000}"/>
    <cellStyle name="Normal 2 5 3 5 4 3 2 2" xfId="50080" xr:uid="{00000000-0005-0000-0000-0000BE4C0000}"/>
    <cellStyle name="Normal 2 5 3 5 4 3 3" xfId="37647" xr:uid="{00000000-0005-0000-0000-0000BF4C0000}"/>
    <cellStyle name="Normal 2 5 3 5 4 4" xfId="9213" xr:uid="{00000000-0005-0000-0000-0000C04C0000}"/>
    <cellStyle name="Normal 2 5 3 5 4 4 2" xfId="21656" xr:uid="{00000000-0005-0000-0000-0000C14C0000}"/>
    <cellStyle name="Normal 2 5 3 5 4 4 2 2" xfId="46530" xr:uid="{00000000-0005-0000-0000-0000C24C0000}"/>
    <cellStyle name="Normal 2 5 3 5 4 4 3" xfId="34097" xr:uid="{00000000-0005-0000-0000-0000C34C0000}"/>
    <cellStyle name="Normal 2 5 3 5 4 5" xfId="4195" xr:uid="{00000000-0005-0000-0000-0000C44C0000}"/>
    <cellStyle name="Normal 2 5 3 5 4 5 2" xfId="16649" xr:uid="{00000000-0005-0000-0000-0000C54C0000}"/>
    <cellStyle name="Normal 2 5 3 5 4 5 2 2" xfId="41523" xr:uid="{00000000-0005-0000-0000-0000C64C0000}"/>
    <cellStyle name="Normal 2 5 3 5 4 5 3" xfId="29090" xr:uid="{00000000-0005-0000-0000-0000C74C0000}"/>
    <cellStyle name="Normal 2 5 3 5 4 6" xfId="14957" xr:uid="{00000000-0005-0000-0000-0000C84C0000}"/>
    <cellStyle name="Normal 2 5 3 5 4 6 2" xfId="39831" xr:uid="{00000000-0005-0000-0000-0000C94C0000}"/>
    <cellStyle name="Normal 2 5 3 5 4 7" xfId="27390" xr:uid="{00000000-0005-0000-0000-0000CA4C0000}"/>
    <cellStyle name="Normal 2 5 3 5 5" xfId="1114" xr:uid="{00000000-0005-0000-0000-0000CB4C0000}"/>
    <cellStyle name="Normal 2 5 3 5 5 2" xfId="10275" xr:uid="{00000000-0005-0000-0000-0000CC4C0000}"/>
    <cellStyle name="Normal 2 5 3 5 5 2 2" xfId="22718" xr:uid="{00000000-0005-0000-0000-0000CD4C0000}"/>
    <cellStyle name="Normal 2 5 3 5 5 2 2 2" xfId="47592" xr:uid="{00000000-0005-0000-0000-0000CE4C0000}"/>
    <cellStyle name="Normal 2 5 3 5 5 2 3" xfId="35159" xr:uid="{00000000-0005-0000-0000-0000CF4C0000}"/>
    <cellStyle name="Normal 2 5 3 5 5 3" xfId="5259" xr:uid="{00000000-0005-0000-0000-0000D04C0000}"/>
    <cellStyle name="Normal 2 5 3 5 5 3 2" xfId="17711" xr:uid="{00000000-0005-0000-0000-0000D14C0000}"/>
    <cellStyle name="Normal 2 5 3 5 5 3 2 2" xfId="42585" xr:uid="{00000000-0005-0000-0000-0000D24C0000}"/>
    <cellStyle name="Normal 2 5 3 5 5 3 3" xfId="30152" xr:uid="{00000000-0005-0000-0000-0000D34C0000}"/>
    <cellStyle name="Normal 2 5 3 5 5 4" xfId="13914" xr:uid="{00000000-0005-0000-0000-0000D44C0000}"/>
    <cellStyle name="Normal 2 5 3 5 5 4 2" xfId="38788" xr:uid="{00000000-0005-0000-0000-0000D54C0000}"/>
    <cellStyle name="Normal 2 5 3 5 5 5" xfId="26347" xr:uid="{00000000-0005-0000-0000-0000D64C0000}"/>
    <cellStyle name="Normal 2 5 3 5 6" xfId="7836" xr:uid="{00000000-0005-0000-0000-0000D74C0000}"/>
    <cellStyle name="Normal 2 5 3 5 6 2" xfId="20282" xr:uid="{00000000-0005-0000-0000-0000D84C0000}"/>
    <cellStyle name="Normal 2 5 3 5 6 2 2" xfId="45156" xr:uid="{00000000-0005-0000-0000-0000D94C0000}"/>
    <cellStyle name="Normal 2 5 3 5 6 3" xfId="32723" xr:uid="{00000000-0005-0000-0000-0000DA4C0000}"/>
    <cellStyle name="Normal 2 5 3 5 7" xfId="11729" xr:uid="{00000000-0005-0000-0000-0000DB4C0000}"/>
    <cellStyle name="Normal 2 5 3 5 7 2" xfId="24163" xr:uid="{00000000-0005-0000-0000-0000DC4C0000}"/>
    <cellStyle name="Normal 2 5 3 5 7 2 2" xfId="49037" xr:uid="{00000000-0005-0000-0000-0000DD4C0000}"/>
    <cellStyle name="Normal 2 5 3 5 7 3" xfId="36604" xr:uid="{00000000-0005-0000-0000-0000DE4C0000}"/>
    <cellStyle name="Normal 2 5 3 5 8" xfId="6806" xr:uid="{00000000-0005-0000-0000-0000DF4C0000}"/>
    <cellStyle name="Normal 2 5 3 5 8 2" xfId="19255" xr:uid="{00000000-0005-0000-0000-0000E04C0000}"/>
    <cellStyle name="Normal 2 5 3 5 8 2 2" xfId="44129" xr:uid="{00000000-0005-0000-0000-0000E14C0000}"/>
    <cellStyle name="Normal 2 5 3 5 8 3" xfId="31696" xr:uid="{00000000-0005-0000-0000-0000E24C0000}"/>
    <cellStyle name="Normal 2 5 3 5 9" xfId="2757" xr:uid="{00000000-0005-0000-0000-0000E34C0000}"/>
    <cellStyle name="Normal 2 5 3 5 9 2" xfId="15275" xr:uid="{00000000-0005-0000-0000-0000E44C0000}"/>
    <cellStyle name="Normal 2 5 3 5 9 2 2" xfId="40149" xr:uid="{00000000-0005-0000-0000-0000E54C0000}"/>
    <cellStyle name="Normal 2 5 3 5 9 3" xfId="27708" xr:uid="{00000000-0005-0000-0000-0000E64C0000}"/>
    <cellStyle name="Normal 2 5 3 5_Degree data" xfId="1998" xr:uid="{00000000-0005-0000-0000-0000E74C0000}"/>
    <cellStyle name="Normal 2 5 3 6" xfId="219" xr:uid="{00000000-0005-0000-0000-0000E84C0000}"/>
    <cellStyle name="Normal 2 5 3 6 10" xfId="13047" xr:uid="{00000000-0005-0000-0000-0000E94C0000}"/>
    <cellStyle name="Normal 2 5 3 6 10 2" xfId="37921" xr:uid="{00000000-0005-0000-0000-0000EA4C0000}"/>
    <cellStyle name="Normal 2 5 3 6 11" xfId="25480" xr:uid="{00000000-0005-0000-0000-0000EB4C0000}"/>
    <cellStyle name="Normal 2 5 3 6 2" xfId="585" xr:uid="{00000000-0005-0000-0000-0000EC4C0000}"/>
    <cellStyle name="Normal 2 5 3 6 2 2" xfId="1415" xr:uid="{00000000-0005-0000-0000-0000ED4C0000}"/>
    <cellStyle name="Normal 2 5 3 6 2 2 2" xfId="9519" xr:uid="{00000000-0005-0000-0000-0000EE4C0000}"/>
    <cellStyle name="Normal 2 5 3 6 2 2 2 2" xfId="21962" xr:uid="{00000000-0005-0000-0000-0000EF4C0000}"/>
    <cellStyle name="Normal 2 5 3 6 2 2 2 2 2" xfId="46836" xr:uid="{00000000-0005-0000-0000-0000F04C0000}"/>
    <cellStyle name="Normal 2 5 3 6 2 2 2 3" xfId="34403" xr:uid="{00000000-0005-0000-0000-0000F14C0000}"/>
    <cellStyle name="Normal 2 5 3 6 2 2 3" xfId="4501" xr:uid="{00000000-0005-0000-0000-0000F24C0000}"/>
    <cellStyle name="Normal 2 5 3 6 2 2 3 2" xfId="16955" xr:uid="{00000000-0005-0000-0000-0000F34C0000}"/>
    <cellStyle name="Normal 2 5 3 6 2 2 3 2 2" xfId="41829" xr:uid="{00000000-0005-0000-0000-0000F44C0000}"/>
    <cellStyle name="Normal 2 5 3 6 2 2 3 3" xfId="29396" xr:uid="{00000000-0005-0000-0000-0000F54C0000}"/>
    <cellStyle name="Normal 2 5 3 6 2 2 4" xfId="14215" xr:uid="{00000000-0005-0000-0000-0000F64C0000}"/>
    <cellStyle name="Normal 2 5 3 6 2 2 4 2" xfId="39089" xr:uid="{00000000-0005-0000-0000-0000F74C0000}"/>
    <cellStyle name="Normal 2 5 3 6 2 2 5" xfId="26648" xr:uid="{00000000-0005-0000-0000-0000F84C0000}"/>
    <cellStyle name="Normal 2 5 3 6 2 3" xfId="5560" xr:uid="{00000000-0005-0000-0000-0000F94C0000}"/>
    <cellStyle name="Normal 2 5 3 6 2 3 2" xfId="10576" xr:uid="{00000000-0005-0000-0000-0000FA4C0000}"/>
    <cellStyle name="Normal 2 5 3 6 2 3 2 2" xfId="23019" xr:uid="{00000000-0005-0000-0000-0000FB4C0000}"/>
    <cellStyle name="Normal 2 5 3 6 2 3 2 2 2" xfId="47893" xr:uid="{00000000-0005-0000-0000-0000FC4C0000}"/>
    <cellStyle name="Normal 2 5 3 6 2 3 2 3" xfId="35460" xr:uid="{00000000-0005-0000-0000-0000FD4C0000}"/>
    <cellStyle name="Normal 2 5 3 6 2 3 3" xfId="18012" xr:uid="{00000000-0005-0000-0000-0000FE4C0000}"/>
    <cellStyle name="Normal 2 5 3 6 2 3 3 2" xfId="42886" xr:uid="{00000000-0005-0000-0000-0000FF4C0000}"/>
    <cellStyle name="Normal 2 5 3 6 2 3 4" xfId="30453" xr:uid="{00000000-0005-0000-0000-0000004D0000}"/>
    <cellStyle name="Normal 2 5 3 6 2 4" xfId="8635" xr:uid="{00000000-0005-0000-0000-0000014D0000}"/>
    <cellStyle name="Normal 2 5 3 6 2 4 2" xfId="21079" xr:uid="{00000000-0005-0000-0000-0000024D0000}"/>
    <cellStyle name="Normal 2 5 3 6 2 4 2 2" xfId="45953" xr:uid="{00000000-0005-0000-0000-0000034D0000}"/>
    <cellStyle name="Normal 2 5 3 6 2 4 3" xfId="33520" xr:uid="{00000000-0005-0000-0000-0000044D0000}"/>
    <cellStyle name="Normal 2 5 3 6 2 5" xfId="12030" xr:uid="{00000000-0005-0000-0000-0000054D0000}"/>
    <cellStyle name="Normal 2 5 3 6 2 5 2" xfId="24464" xr:uid="{00000000-0005-0000-0000-0000064D0000}"/>
    <cellStyle name="Normal 2 5 3 6 2 5 2 2" xfId="49338" xr:uid="{00000000-0005-0000-0000-0000074D0000}"/>
    <cellStyle name="Normal 2 5 3 6 2 5 3" xfId="36905" xr:uid="{00000000-0005-0000-0000-0000084D0000}"/>
    <cellStyle name="Normal 2 5 3 6 2 6" xfId="7112" xr:uid="{00000000-0005-0000-0000-0000094D0000}"/>
    <cellStyle name="Normal 2 5 3 6 2 6 2" xfId="19561" xr:uid="{00000000-0005-0000-0000-00000A4D0000}"/>
    <cellStyle name="Normal 2 5 3 6 2 6 2 2" xfId="44435" xr:uid="{00000000-0005-0000-0000-00000B4D0000}"/>
    <cellStyle name="Normal 2 5 3 6 2 6 3" xfId="32002" xr:uid="{00000000-0005-0000-0000-00000C4D0000}"/>
    <cellStyle name="Normal 2 5 3 6 2 7" xfId="3566" xr:uid="{00000000-0005-0000-0000-00000D4D0000}"/>
    <cellStyle name="Normal 2 5 3 6 2 7 2" xfId="16072" xr:uid="{00000000-0005-0000-0000-00000E4D0000}"/>
    <cellStyle name="Normal 2 5 3 6 2 7 2 2" xfId="40946" xr:uid="{00000000-0005-0000-0000-00000F4D0000}"/>
    <cellStyle name="Normal 2 5 3 6 2 7 3" xfId="28505" xr:uid="{00000000-0005-0000-0000-0000104D0000}"/>
    <cellStyle name="Normal 2 5 3 6 2 8" xfId="13394" xr:uid="{00000000-0005-0000-0000-0000114D0000}"/>
    <cellStyle name="Normal 2 5 3 6 2 8 2" xfId="38268" xr:uid="{00000000-0005-0000-0000-0000124D0000}"/>
    <cellStyle name="Normal 2 5 3 6 2 9" xfId="25827" xr:uid="{00000000-0005-0000-0000-0000134D0000}"/>
    <cellStyle name="Normal 2 5 3 6 3" xfId="1763" xr:uid="{00000000-0005-0000-0000-0000144D0000}"/>
    <cellStyle name="Normal 2 5 3 6 3 2" xfId="4776" xr:uid="{00000000-0005-0000-0000-0000154D0000}"/>
    <cellStyle name="Normal 2 5 3 6 3 2 2" xfId="9793" xr:uid="{00000000-0005-0000-0000-0000164D0000}"/>
    <cellStyle name="Normal 2 5 3 6 3 2 2 2" xfId="22236" xr:uid="{00000000-0005-0000-0000-0000174D0000}"/>
    <cellStyle name="Normal 2 5 3 6 3 2 2 2 2" xfId="47110" xr:uid="{00000000-0005-0000-0000-0000184D0000}"/>
    <cellStyle name="Normal 2 5 3 6 3 2 2 3" xfId="34677" xr:uid="{00000000-0005-0000-0000-0000194D0000}"/>
    <cellStyle name="Normal 2 5 3 6 3 2 3" xfId="17229" xr:uid="{00000000-0005-0000-0000-00001A4D0000}"/>
    <cellStyle name="Normal 2 5 3 6 3 2 3 2" xfId="42103" xr:uid="{00000000-0005-0000-0000-00001B4D0000}"/>
    <cellStyle name="Normal 2 5 3 6 3 2 4" xfId="29670" xr:uid="{00000000-0005-0000-0000-00001C4D0000}"/>
    <cellStyle name="Normal 2 5 3 6 3 3" xfId="5909" xr:uid="{00000000-0005-0000-0000-00001D4D0000}"/>
    <cellStyle name="Normal 2 5 3 6 3 3 2" xfId="10924" xr:uid="{00000000-0005-0000-0000-00001E4D0000}"/>
    <cellStyle name="Normal 2 5 3 6 3 3 2 2" xfId="23367" xr:uid="{00000000-0005-0000-0000-00001F4D0000}"/>
    <cellStyle name="Normal 2 5 3 6 3 3 2 2 2" xfId="48241" xr:uid="{00000000-0005-0000-0000-0000204D0000}"/>
    <cellStyle name="Normal 2 5 3 6 3 3 2 3" xfId="35808" xr:uid="{00000000-0005-0000-0000-0000214D0000}"/>
    <cellStyle name="Normal 2 5 3 6 3 3 3" xfId="18360" xr:uid="{00000000-0005-0000-0000-0000224D0000}"/>
    <cellStyle name="Normal 2 5 3 6 3 3 3 2" xfId="43234" xr:uid="{00000000-0005-0000-0000-0000234D0000}"/>
    <cellStyle name="Normal 2 5 3 6 3 3 4" xfId="30801" xr:uid="{00000000-0005-0000-0000-0000244D0000}"/>
    <cellStyle name="Normal 2 5 3 6 3 4" xfId="8870" xr:uid="{00000000-0005-0000-0000-0000254D0000}"/>
    <cellStyle name="Normal 2 5 3 6 3 4 2" xfId="21313" xr:uid="{00000000-0005-0000-0000-0000264D0000}"/>
    <cellStyle name="Normal 2 5 3 6 3 4 2 2" xfId="46187" xr:uid="{00000000-0005-0000-0000-0000274D0000}"/>
    <cellStyle name="Normal 2 5 3 6 3 4 3" xfId="33754" xr:uid="{00000000-0005-0000-0000-0000284D0000}"/>
    <cellStyle name="Normal 2 5 3 6 3 5" xfId="12378" xr:uid="{00000000-0005-0000-0000-0000294D0000}"/>
    <cellStyle name="Normal 2 5 3 6 3 5 2" xfId="24812" xr:uid="{00000000-0005-0000-0000-00002A4D0000}"/>
    <cellStyle name="Normal 2 5 3 6 3 5 2 2" xfId="49686" xr:uid="{00000000-0005-0000-0000-00002B4D0000}"/>
    <cellStyle name="Normal 2 5 3 6 3 5 3" xfId="37253" xr:uid="{00000000-0005-0000-0000-00002C4D0000}"/>
    <cellStyle name="Normal 2 5 3 6 3 6" xfId="7387" xr:uid="{00000000-0005-0000-0000-00002D4D0000}"/>
    <cellStyle name="Normal 2 5 3 6 3 6 2" xfId="19835" xr:uid="{00000000-0005-0000-0000-00002E4D0000}"/>
    <cellStyle name="Normal 2 5 3 6 3 6 2 2" xfId="44709" xr:uid="{00000000-0005-0000-0000-00002F4D0000}"/>
    <cellStyle name="Normal 2 5 3 6 3 6 3" xfId="32276" xr:uid="{00000000-0005-0000-0000-0000304D0000}"/>
    <cellStyle name="Normal 2 5 3 6 3 7" xfId="3852" xr:uid="{00000000-0005-0000-0000-0000314D0000}"/>
    <cellStyle name="Normal 2 5 3 6 3 7 2" xfId="16306" xr:uid="{00000000-0005-0000-0000-0000324D0000}"/>
    <cellStyle name="Normal 2 5 3 6 3 7 2 2" xfId="41180" xr:uid="{00000000-0005-0000-0000-0000334D0000}"/>
    <cellStyle name="Normal 2 5 3 6 3 7 3" xfId="28747" xr:uid="{00000000-0005-0000-0000-0000344D0000}"/>
    <cellStyle name="Normal 2 5 3 6 3 8" xfId="14563" xr:uid="{00000000-0005-0000-0000-0000354D0000}"/>
    <cellStyle name="Normal 2 5 3 6 3 8 2" xfId="39437" xr:uid="{00000000-0005-0000-0000-0000364D0000}"/>
    <cellStyle name="Normal 2 5 3 6 3 9" xfId="26996" xr:uid="{00000000-0005-0000-0000-0000374D0000}"/>
    <cellStyle name="Normal 2 5 3 6 4" xfId="2137" xr:uid="{00000000-0005-0000-0000-0000384D0000}"/>
    <cellStyle name="Normal 2 5 3 6 4 2" xfId="6174" xr:uid="{00000000-0005-0000-0000-0000394D0000}"/>
    <cellStyle name="Normal 2 5 3 6 4 2 2" xfId="11189" xr:uid="{00000000-0005-0000-0000-00003A4D0000}"/>
    <cellStyle name="Normal 2 5 3 6 4 2 2 2" xfId="23632" xr:uid="{00000000-0005-0000-0000-00003B4D0000}"/>
    <cellStyle name="Normal 2 5 3 6 4 2 2 2 2" xfId="48506" xr:uid="{00000000-0005-0000-0000-00003C4D0000}"/>
    <cellStyle name="Normal 2 5 3 6 4 2 2 3" xfId="36073" xr:uid="{00000000-0005-0000-0000-00003D4D0000}"/>
    <cellStyle name="Normal 2 5 3 6 4 2 3" xfId="18625" xr:uid="{00000000-0005-0000-0000-00003E4D0000}"/>
    <cellStyle name="Normal 2 5 3 6 4 2 3 2" xfId="43499" xr:uid="{00000000-0005-0000-0000-00003F4D0000}"/>
    <cellStyle name="Normal 2 5 3 6 4 2 4" xfId="31066" xr:uid="{00000000-0005-0000-0000-0000404D0000}"/>
    <cellStyle name="Normal 2 5 3 6 4 3" xfId="12643" xr:uid="{00000000-0005-0000-0000-0000414D0000}"/>
    <cellStyle name="Normal 2 5 3 6 4 3 2" xfId="25077" xr:uid="{00000000-0005-0000-0000-0000424D0000}"/>
    <cellStyle name="Normal 2 5 3 6 4 3 2 2" xfId="49951" xr:uid="{00000000-0005-0000-0000-0000434D0000}"/>
    <cellStyle name="Normal 2 5 3 6 4 3 3" xfId="37518" xr:uid="{00000000-0005-0000-0000-0000444D0000}"/>
    <cellStyle name="Normal 2 5 3 6 4 4" xfId="9084" xr:uid="{00000000-0005-0000-0000-0000454D0000}"/>
    <cellStyle name="Normal 2 5 3 6 4 4 2" xfId="21527" xr:uid="{00000000-0005-0000-0000-0000464D0000}"/>
    <cellStyle name="Normal 2 5 3 6 4 4 2 2" xfId="46401" xr:uid="{00000000-0005-0000-0000-0000474D0000}"/>
    <cellStyle name="Normal 2 5 3 6 4 4 3" xfId="33968" xr:uid="{00000000-0005-0000-0000-0000484D0000}"/>
    <cellStyle name="Normal 2 5 3 6 4 5" xfId="4066" xr:uid="{00000000-0005-0000-0000-0000494D0000}"/>
    <cellStyle name="Normal 2 5 3 6 4 5 2" xfId="16520" xr:uid="{00000000-0005-0000-0000-00004A4D0000}"/>
    <cellStyle name="Normal 2 5 3 6 4 5 2 2" xfId="41394" xr:uid="{00000000-0005-0000-0000-00004B4D0000}"/>
    <cellStyle name="Normal 2 5 3 6 4 5 3" xfId="28961" xr:uid="{00000000-0005-0000-0000-00004C4D0000}"/>
    <cellStyle name="Normal 2 5 3 6 4 6" xfId="14828" xr:uid="{00000000-0005-0000-0000-00004D4D0000}"/>
    <cellStyle name="Normal 2 5 3 6 4 6 2" xfId="39702" xr:uid="{00000000-0005-0000-0000-00004E4D0000}"/>
    <cellStyle name="Normal 2 5 3 6 4 7" xfId="27261" xr:uid="{00000000-0005-0000-0000-00004F4D0000}"/>
    <cellStyle name="Normal 2 5 3 6 5" xfId="985" xr:uid="{00000000-0005-0000-0000-0000504D0000}"/>
    <cellStyle name="Normal 2 5 3 6 5 2" xfId="10144" xr:uid="{00000000-0005-0000-0000-0000514D0000}"/>
    <cellStyle name="Normal 2 5 3 6 5 2 2" xfId="22587" xr:uid="{00000000-0005-0000-0000-0000524D0000}"/>
    <cellStyle name="Normal 2 5 3 6 5 2 2 2" xfId="47461" xr:uid="{00000000-0005-0000-0000-0000534D0000}"/>
    <cellStyle name="Normal 2 5 3 6 5 2 3" xfId="35028" xr:uid="{00000000-0005-0000-0000-0000544D0000}"/>
    <cellStyle name="Normal 2 5 3 6 5 3" xfId="5128" xr:uid="{00000000-0005-0000-0000-0000554D0000}"/>
    <cellStyle name="Normal 2 5 3 6 5 3 2" xfId="17580" xr:uid="{00000000-0005-0000-0000-0000564D0000}"/>
    <cellStyle name="Normal 2 5 3 6 5 3 2 2" xfId="42454" xr:uid="{00000000-0005-0000-0000-0000574D0000}"/>
    <cellStyle name="Normal 2 5 3 6 5 3 3" xfId="30021" xr:uid="{00000000-0005-0000-0000-0000584D0000}"/>
    <cellStyle name="Normal 2 5 3 6 5 4" xfId="13785" xr:uid="{00000000-0005-0000-0000-0000594D0000}"/>
    <cellStyle name="Normal 2 5 3 6 5 4 2" xfId="38659" xr:uid="{00000000-0005-0000-0000-00005A4D0000}"/>
    <cellStyle name="Normal 2 5 3 6 5 5" xfId="26218" xr:uid="{00000000-0005-0000-0000-00005B4D0000}"/>
    <cellStyle name="Normal 2 5 3 6 6" xfId="8200" xr:uid="{00000000-0005-0000-0000-00005C4D0000}"/>
    <cellStyle name="Normal 2 5 3 6 6 2" xfId="20644" xr:uid="{00000000-0005-0000-0000-00005D4D0000}"/>
    <cellStyle name="Normal 2 5 3 6 6 2 2" xfId="45518" xr:uid="{00000000-0005-0000-0000-00005E4D0000}"/>
    <cellStyle name="Normal 2 5 3 6 6 3" xfId="33085" xr:uid="{00000000-0005-0000-0000-00005F4D0000}"/>
    <cellStyle name="Normal 2 5 3 6 7" xfId="11600" xr:uid="{00000000-0005-0000-0000-0000604D0000}"/>
    <cellStyle name="Normal 2 5 3 6 7 2" xfId="24034" xr:uid="{00000000-0005-0000-0000-0000614D0000}"/>
    <cellStyle name="Normal 2 5 3 6 7 2 2" xfId="48908" xr:uid="{00000000-0005-0000-0000-0000624D0000}"/>
    <cellStyle name="Normal 2 5 3 6 7 3" xfId="36475" xr:uid="{00000000-0005-0000-0000-0000634D0000}"/>
    <cellStyle name="Normal 2 5 3 6 8" xfId="6677" xr:uid="{00000000-0005-0000-0000-0000644D0000}"/>
    <cellStyle name="Normal 2 5 3 6 8 2" xfId="19126" xr:uid="{00000000-0005-0000-0000-0000654D0000}"/>
    <cellStyle name="Normal 2 5 3 6 8 2 2" xfId="44000" xr:uid="{00000000-0005-0000-0000-0000664D0000}"/>
    <cellStyle name="Normal 2 5 3 6 8 3" xfId="31567" xr:uid="{00000000-0005-0000-0000-0000674D0000}"/>
    <cellStyle name="Normal 2 5 3 6 9" xfId="3131" xr:uid="{00000000-0005-0000-0000-0000684D0000}"/>
    <cellStyle name="Normal 2 5 3 6 9 2" xfId="15637" xr:uid="{00000000-0005-0000-0000-0000694D0000}"/>
    <cellStyle name="Normal 2 5 3 6 9 2 2" xfId="40511" xr:uid="{00000000-0005-0000-0000-00006A4D0000}"/>
    <cellStyle name="Normal 2 5 3 6 9 3" xfId="28070" xr:uid="{00000000-0005-0000-0000-00006B4D0000}"/>
    <cellStyle name="Normal 2 5 3 6_Degree data" xfId="1997" xr:uid="{00000000-0005-0000-0000-00006C4D0000}"/>
    <cellStyle name="Normal 2 5 3 7" xfId="541" xr:uid="{00000000-0005-0000-0000-00006D4D0000}"/>
    <cellStyle name="Normal 2 5 3 7 2" xfId="1406" xr:uid="{00000000-0005-0000-0000-00006E4D0000}"/>
    <cellStyle name="Normal 2 5 3 7 2 2" xfId="9510" xr:uid="{00000000-0005-0000-0000-00006F4D0000}"/>
    <cellStyle name="Normal 2 5 3 7 2 2 2" xfId="21953" xr:uid="{00000000-0005-0000-0000-0000704D0000}"/>
    <cellStyle name="Normal 2 5 3 7 2 2 2 2" xfId="46827" xr:uid="{00000000-0005-0000-0000-0000714D0000}"/>
    <cellStyle name="Normal 2 5 3 7 2 2 3" xfId="34394" xr:uid="{00000000-0005-0000-0000-0000724D0000}"/>
    <cellStyle name="Normal 2 5 3 7 2 3" xfId="4492" xr:uid="{00000000-0005-0000-0000-0000734D0000}"/>
    <cellStyle name="Normal 2 5 3 7 2 3 2" xfId="16946" xr:uid="{00000000-0005-0000-0000-0000744D0000}"/>
    <cellStyle name="Normal 2 5 3 7 2 3 2 2" xfId="41820" xr:uid="{00000000-0005-0000-0000-0000754D0000}"/>
    <cellStyle name="Normal 2 5 3 7 2 3 3" xfId="29387" xr:uid="{00000000-0005-0000-0000-0000764D0000}"/>
    <cellStyle name="Normal 2 5 3 7 2 4" xfId="14206" xr:uid="{00000000-0005-0000-0000-0000774D0000}"/>
    <cellStyle name="Normal 2 5 3 7 2 4 2" xfId="39080" xr:uid="{00000000-0005-0000-0000-0000784D0000}"/>
    <cellStyle name="Normal 2 5 3 7 2 5" xfId="26639" xr:uid="{00000000-0005-0000-0000-0000794D0000}"/>
    <cellStyle name="Normal 2 5 3 7 3" xfId="5551" xr:uid="{00000000-0005-0000-0000-00007A4D0000}"/>
    <cellStyle name="Normal 2 5 3 7 3 2" xfId="10567" xr:uid="{00000000-0005-0000-0000-00007B4D0000}"/>
    <cellStyle name="Normal 2 5 3 7 3 2 2" xfId="23010" xr:uid="{00000000-0005-0000-0000-00007C4D0000}"/>
    <cellStyle name="Normal 2 5 3 7 3 2 2 2" xfId="47884" xr:uid="{00000000-0005-0000-0000-00007D4D0000}"/>
    <cellStyle name="Normal 2 5 3 7 3 2 3" xfId="35451" xr:uid="{00000000-0005-0000-0000-00007E4D0000}"/>
    <cellStyle name="Normal 2 5 3 7 3 3" xfId="18003" xr:uid="{00000000-0005-0000-0000-00007F4D0000}"/>
    <cellStyle name="Normal 2 5 3 7 3 3 2" xfId="42877" xr:uid="{00000000-0005-0000-0000-0000804D0000}"/>
    <cellStyle name="Normal 2 5 3 7 3 4" xfId="30444" xr:uid="{00000000-0005-0000-0000-0000814D0000}"/>
    <cellStyle name="Normal 2 5 3 7 4" xfId="8626" xr:uid="{00000000-0005-0000-0000-0000824D0000}"/>
    <cellStyle name="Normal 2 5 3 7 4 2" xfId="21070" xr:uid="{00000000-0005-0000-0000-0000834D0000}"/>
    <cellStyle name="Normal 2 5 3 7 4 2 2" xfId="45944" xr:uid="{00000000-0005-0000-0000-0000844D0000}"/>
    <cellStyle name="Normal 2 5 3 7 4 3" xfId="33511" xr:uid="{00000000-0005-0000-0000-0000854D0000}"/>
    <cellStyle name="Normal 2 5 3 7 5" xfId="12021" xr:uid="{00000000-0005-0000-0000-0000864D0000}"/>
    <cellStyle name="Normal 2 5 3 7 5 2" xfId="24455" xr:uid="{00000000-0005-0000-0000-0000874D0000}"/>
    <cellStyle name="Normal 2 5 3 7 5 2 2" xfId="49329" xr:uid="{00000000-0005-0000-0000-0000884D0000}"/>
    <cellStyle name="Normal 2 5 3 7 5 3" xfId="36896" xr:uid="{00000000-0005-0000-0000-0000894D0000}"/>
    <cellStyle name="Normal 2 5 3 7 6" xfId="7103" xr:uid="{00000000-0005-0000-0000-00008A4D0000}"/>
    <cellStyle name="Normal 2 5 3 7 6 2" xfId="19552" xr:uid="{00000000-0005-0000-0000-00008B4D0000}"/>
    <cellStyle name="Normal 2 5 3 7 6 2 2" xfId="44426" xr:uid="{00000000-0005-0000-0000-00008C4D0000}"/>
    <cellStyle name="Normal 2 5 3 7 6 3" xfId="31993" xr:uid="{00000000-0005-0000-0000-00008D4D0000}"/>
    <cellStyle name="Normal 2 5 3 7 7" xfId="3557" xr:uid="{00000000-0005-0000-0000-00008E4D0000}"/>
    <cellStyle name="Normal 2 5 3 7 7 2" xfId="16063" xr:uid="{00000000-0005-0000-0000-00008F4D0000}"/>
    <cellStyle name="Normal 2 5 3 7 7 2 2" xfId="40937" xr:uid="{00000000-0005-0000-0000-0000904D0000}"/>
    <cellStyle name="Normal 2 5 3 7 7 3" xfId="28496" xr:uid="{00000000-0005-0000-0000-0000914D0000}"/>
    <cellStyle name="Normal 2 5 3 7 8" xfId="13351" xr:uid="{00000000-0005-0000-0000-0000924D0000}"/>
    <cellStyle name="Normal 2 5 3 7 8 2" xfId="38225" xr:uid="{00000000-0005-0000-0000-0000934D0000}"/>
    <cellStyle name="Normal 2 5 3 7 9" xfId="25784" xr:uid="{00000000-0005-0000-0000-0000944D0000}"/>
    <cellStyle name="Normal 2 5 3 8" xfId="1754" xr:uid="{00000000-0005-0000-0000-0000954D0000}"/>
    <cellStyle name="Normal 2 5 3 8 2" xfId="4733" xr:uid="{00000000-0005-0000-0000-0000964D0000}"/>
    <cellStyle name="Normal 2 5 3 8 2 2" xfId="9750" xr:uid="{00000000-0005-0000-0000-0000974D0000}"/>
    <cellStyle name="Normal 2 5 3 8 2 2 2" xfId="22193" xr:uid="{00000000-0005-0000-0000-0000984D0000}"/>
    <cellStyle name="Normal 2 5 3 8 2 2 2 2" xfId="47067" xr:uid="{00000000-0005-0000-0000-0000994D0000}"/>
    <cellStyle name="Normal 2 5 3 8 2 2 3" xfId="34634" xr:uid="{00000000-0005-0000-0000-00009A4D0000}"/>
    <cellStyle name="Normal 2 5 3 8 2 3" xfId="17186" xr:uid="{00000000-0005-0000-0000-00009B4D0000}"/>
    <cellStyle name="Normal 2 5 3 8 2 3 2" xfId="42060" xr:uid="{00000000-0005-0000-0000-00009C4D0000}"/>
    <cellStyle name="Normal 2 5 3 8 2 4" xfId="29627" xr:uid="{00000000-0005-0000-0000-00009D4D0000}"/>
    <cellStyle name="Normal 2 5 3 8 3" xfId="5900" xr:uid="{00000000-0005-0000-0000-00009E4D0000}"/>
    <cellStyle name="Normal 2 5 3 8 3 2" xfId="10915" xr:uid="{00000000-0005-0000-0000-00009F4D0000}"/>
    <cellStyle name="Normal 2 5 3 8 3 2 2" xfId="23358" xr:uid="{00000000-0005-0000-0000-0000A04D0000}"/>
    <cellStyle name="Normal 2 5 3 8 3 2 2 2" xfId="48232" xr:uid="{00000000-0005-0000-0000-0000A14D0000}"/>
    <cellStyle name="Normal 2 5 3 8 3 2 3" xfId="35799" xr:uid="{00000000-0005-0000-0000-0000A24D0000}"/>
    <cellStyle name="Normal 2 5 3 8 3 3" xfId="18351" xr:uid="{00000000-0005-0000-0000-0000A34D0000}"/>
    <cellStyle name="Normal 2 5 3 8 3 3 2" xfId="43225" xr:uid="{00000000-0005-0000-0000-0000A44D0000}"/>
    <cellStyle name="Normal 2 5 3 8 3 4" xfId="30792" xr:uid="{00000000-0005-0000-0000-0000A54D0000}"/>
    <cellStyle name="Normal 2 5 3 8 4" xfId="8009" xr:uid="{00000000-0005-0000-0000-0000A64D0000}"/>
    <cellStyle name="Normal 2 5 3 8 4 2" xfId="20455" xr:uid="{00000000-0005-0000-0000-0000A74D0000}"/>
    <cellStyle name="Normal 2 5 3 8 4 2 2" xfId="45329" xr:uid="{00000000-0005-0000-0000-0000A84D0000}"/>
    <cellStyle name="Normal 2 5 3 8 4 3" xfId="32896" xr:uid="{00000000-0005-0000-0000-0000A94D0000}"/>
    <cellStyle name="Normal 2 5 3 8 5" xfId="12369" xr:uid="{00000000-0005-0000-0000-0000AA4D0000}"/>
    <cellStyle name="Normal 2 5 3 8 5 2" xfId="24803" xr:uid="{00000000-0005-0000-0000-0000AB4D0000}"/>
    <cellStyle name="Normal 2 5 3 8 5 2 2" xfId="49677" xr:uid="{00000000-0005-0000-0000-0000AC4D0000}"/>
    <cellStyle name="Normal 2 5 3 8 5 3" xfId="37244" xr:uid="{00000000-0005-0000-0000-0000AD4D0000}"/>
    <cellStyle name="Normal 2 5 3 8 6" xfId="7344" xr:uid="{00000000-0005-0000-0000-0000AE4D0000}"/>
    <cellStyle name="Normal 2 5 3 8 6 2" xfId="19792" xr:uid="{00000000-0005-0000-0000-0000AF4D0000}"/>
    <cellStyle name="Normal 2 5 3 8 6 2 2" xfId="44666" xr:uid="{00000000-0005-0000-0000-0000B04D0000}"/>
    <cellStyle name="Normal 2 5 3 8 6 3" xfId="32233" xr:uid="{00000000-0005-0000-0000-0000B14D0000}"/>
    <cellStyle name="Normal 2 5 3 8 7" xfId="2933" xr:uid="{00000000-0005-0000-0000-0000B24D0000}"/>
    <cellStyle name="Normal 2 5 3 8 7 2" xfId="15448" xr:uid="{00000000-0005-0000-0000-0000B34D0000}"/>
    <cellStyle name="Normal 2 5 3 8 7 2 2" xfId="40322" xr:uid="{00000000-0005-0000-0000-0000B44D0000}"/>
    <cellStyle name="Normal 2 5 3 8 7 3" xfId="27881" xr:uid="{00000000-0005-0000-0000-0000B54D0000}"/>
    <cellStyle name="Normal 2 5 3 8 8" xfId="14554" xr:uid="{00000000-0005-0000-0000-0000B64D0000}"/>
    <cellStyle name="Normal 2 5 3 8 8 2" xfId="39428" xr:uid="{00000000-0005-0000-0000-0000B74D0000}"/>
    <cellStyle name="Normal 2 5 3 8 9" xfId="26987" xr:uid="{00000000-0005-0000-0000-0000B84D0000}"/>
    <cellStyle name="Normal 2 5 3 9" xfId="2066" xr:uid="{00000000-0005-0000-0000-0000B94D0000}"/>
    <cellStyle name="Normal 2 5 3 9 2" xfId="6131" xr:uid="{00000000-0005-0000-0000-0000BA4D0000}"/>
    <cellStyle name="Normal 2 5 3 9 2 2" xfId="11146" xr:uid="{00000000-0005-0000-0000-0000BB4D0000}"/>
    <cellStyle name="Normal 2 5 3 9 2 2 2" xfId="23589" xr:uid="{00000000-0005-0000-0000-0000BC4D0000}"/>
    <cellStyle name="Normal 2 5 3 9 2 2 2 2" xfId="48463" xr:uid="{00000000-0005-0000-0000-0000BD4D0000}"/>
    <cellStyle name="Normal 2 5 3 9 2 2 3" xfId="36030" xr:uid="{00000000-0005-0000-0000-0000BE4D0000}"/>
    <cellStyle name="Normal 2 5 3 9 2 3" xfId="18582" xr:uid="{00000000-0005-0000-0000-0000BF4D0000}"/>
    <cellStyle name="Normal 2 5 3 9 2 3 2" xfId="43456" xr:uid="{00000000-0005-0000-0000-0000C04D0000}"/>
    <cellStyle name="Normal 2 5 3 9 2 4" xfId="31023" xr:uid="{00000000-0005-0000-0000-0000C14D0000}"/>
    <cellStyle name="Normal 2 5 3 9 3" xfId="12600" xr:uid="{00000000-0005-0000-0000-0000C24D0000}"/>
    <cellStyle name="Normal 2 5 3 9 3 2" xfId="25034" xr:uid="{00000000-0005-0000-0000-0000C34D0000}"/>
    <cellStyle name="Normal 2 5 3 9 3 2 2" xfId="49908" xr:uid="{00000000-0005-0000-0000-0000C44D0000}"/>
    <cellStyle name="Normal 2 5 3 9 3 3" xfId="37475" xr:uid="{00000000-0005-0000-0000-0000C54D0000}"/>
    <cellStyle name="Normal 2 5 3 9 4" xfId="8895" xr:uid="{00000000-0005-0000-0000-0000C64D0000}"/>
    <cellStyle name="Normal 2 5 3 9 4 2" xfId="21338" xr:uid="{00000000-0005-0000-0000-0000C74D0000}"/>
    <cellStyle name="Normal 2 5 3 9 4 2 2" xfId="46212" xr:uid="{00000000-0005-0000-0000-0000C84D0000}"/>
    <cellStyle name="Normal 2 5 3 9 4 3" xfId="33779" xr:uid="{00000000-0005-0000-0000-0000C94D0000}"/>
    <cellStyle name="Normal 2 5 3 9 5" xfId="3877" xr:uid="{00000000-0005-0000-0000-0000CA4D0000}"/>
    <cellStyle name="Normal 2 5 3 9 5 2" xfId="16331" xr:uid="{00000000-0005-0000-0000-0000CB4D0000}"/>
    <cellStyle name="Normal 2 5 3 9 5 2 2" xfId="41205" xr:uid="{00000000-0005-0000-0000-0000CC4D0000}"/>
    <cellStyle name="Normal 2 5 3 9 5 3" xfId="28772" xr:uid="{00000000-0005-0000-0000-0000CD4D0000}"/>
    <cellStyle name="Normal 2 5 3 9 6" xfId="14785" xr:uid="{00000000-0005-0000-0000-0000CE4D0000}"/>
    <cellStyle name="Normal 2 5 3 9 6 2" xfId="39659" xr:uid="{00000000-0005-0000-0000-0000CF4D0000}"/>
    <cellStyle name="Normal 2 5 3 9 7" xfId="27218" xr:uid="{00000000-0005-0000-0000-0000D04D0000}"/>
    <cellStyle name="Normal 2 5 3_Degree data" xfId="2371" xr:uid="{00000000-0005-0000-0000-0000D14D0000}"/>
    <cellStyle name="Normal 2 5 4" xfId="56" xr:uid="{00000000-0005-0000-0000-0000D24D0000}"/>
    <cellStyle name="Normal 2 5 4 10" xfId="958" xr:uid="{00000000-0005-0000-0000-0000D34D0000}"/>
    <cellStyle name="Normal 2 5 4 10 2" xfId="11573" xr:uid="{00000000-0005-0000-0000-0000D44D0000}"/>
    <cellStyle name="Normal 2 5 4 10 2 2" xfId="24007" xr:uid="{00000000-0005-0000-0000-0000D54D0000}"/>
    <cellStyle name="Normal 2 5 4 10 2 2 2" xfId="48881" xr:uid="{00000000-0005-0000-0000-0000D64D0000}"/>
    <cellStyle name="Normal 2 5 4 10 2 3" xfId="36448" xr:uid="{00000000-0005-0000-0000-0000D74D0000}"/>
    <cellStyle name="Normal 2 5 4 10 3" xfId="10117" xr:uid="{00000000-0005-0000-0000-0000D84D0000}"/>
    <cellStyle name="Normal 2 5 4 10 3 2" xfId="22560" xr:uid="{00000000-0005-0000-0000-0000D94D0000}"/>
    <cellStyle name="Normal 2 5 4 10 3 2 2" xfId="47434" xr:uid="{00000000-0005-0000-0000-0000DA4D0000}"/>
    <cellStyle name="Normal 2 5 4 10 3 3" xfId="35001" xr:uid="{00000000-0005-0000-0000-0000DB4D0000}"/>
    <cellStyle name="Normal 2 5 4 10 4" xfId="5101" xr:uid="{00000000-0005-0000-0000-0000DC4D0000}"/>
    <cellStyle name="Normal 2 5 4 10 4 2" xfId="17553" xr:uid="{00000000-0005-0000-0000-0000DD4D0000}"/>
    <cellStyle name="Normal 2 5 4 10 4 2 2" xfId="42427" xr:uid="{00000000-0005-0000-0000-0000DE4D0000}"/>
    <cellStyle name="Normal 2 5 4 10 4 3" xfId="29994" xr:uid="{00000000-0005-0000-0000-0000DF4D0000}"/>
    <cellStyle name="Normal 2 5 4 10 5" xfId="13758" xr:uid="{00000000-0005-0000-0000-0000E04D0000}"/>
    <cellStyle name="Normal 2 5 4 10 5 2" xfId="38632" xr:uid="{00000000-0005-0000-0000-0000E14D0000}"/>
    <cellStyle name="Normal 2 5 4 10 6" xfId="26191" xr:uid="{00000000-0005-0000-0000-0000E24D0000}"/>
    <cellStyle name="Normal 2 5 4 11" xfId="928" xr:uid="{00000000-0005-0000-0000-0000E34D0000}"/>
    <cellStyle name="Normal 2 5 4 11 2" xfId="7725" xr:uid="{00000000-0005-0000-0000-0000E44D0000}"/>
    <cellStyle name="Normal 2 5 4 11 2 2" xfId="20171" xr:uid="{00000000-0005-0000-0000-0000E54D0000}"/>
    <cellStyle name="Normal 2 5 4 11 2 2 2" xfId="45045" xr:uid="{00000000-0005-0000-0000-0000E64D0000}"/>
    <cellStyle name="Normal 2 5 4 11 2 3" xfId="32612" xr:uid="{00000000-0005-0000-0000-0000E74D0000}"/>
    <cellStyle name="Normal 2 5 4 11 3" xfId="13728" xr:uid="{00000000-0005-0000-0000-0000E84D0000}"/>
    <cellStyle name="Normal 2 5 4 11 3 2" xfId="38602" xr:uid="{00000000-0005-0000-0000-0000E94D0000}"/>
    <cellStyle name="Normal 2 5 4 11 4" xfId="26161" xr:uid="{00000000-0005-0000-0000-0000EA4D0000}"/>
    <cellStyle name="Normal 2 5 4 12" xfId="11543" xr:uid="{00000000-0005-0000-0000-0000EB4D0000}"/>
    <cellStyle name="Normal 2 5 4 12 2" xfId="23977" xr:uid="{00000000-0005-0000-0000-0000EC4D0000}"/>
    <cellStyle name="Normal 2 5 4 12 2 2" xfId="48851" xr:uid="{00000000-0005-0000-0000-0000ED4D0000}"/>
    <cellStyle name="Normal 2 5 4 12 3" xfId="36418" xr:uid="{00000000-0005-0000-0000-0000EE4D0000}"/>
    <cellStyle name="Normal 2 5 4 13" xfId="6502" xr:uid="{00000000-0005-0000-0000-0000EF4D0000}"/>
    <cellStyle name="Normal 2 5 4 13 2" xfId="18951" xr:uid="{00000000-0005-0000-0000-0000F04D0000}"/>
    <cellStyle name="Normal 2 5 4 13 2 2" xfId="43825" xr:uid="{00000000-0005-0000-0000-0000F14D0000}"/>
    <cellStyle name="Normal 2 5 4 13 3" xfId="31392" xr:uid="{00000000-0005-0000-0000-0000F24D0000}"/>
    <cellStyle name="Normal 2 5 4 14" xfId="2646" xr:uid="{00000000-0005-0000-0000-0000F34D0000}"/>
    <cellStyle name="Normal 2 5 4 14 2" xfId="15164" xr:uid="{00000000-0005-0000-0000-0000F44D0000}"/>
    <cellStyle name="Normal 2 5 4 14 2 2" xfId="40038" xr:uid="{00000000-0005-0000-0000-0000F54D0000}"/>
    <cellStyle name="Normal 2 5 4 14 3" xfId="27597" xr:uid="{00000000-0005-0000-0000-0000F64D0000}"/>
    <cellStyle name="Normal 2 5 4 15" xfId="12938" xr:uid="{00000000-0005-0000-0000-0000F74D0000}"/>
    <cellStyle name="Normal 2 5 4 15 2" xfId="37812" xr:uid="{00000000-0005-0000-0000-0000F84D0000}"/>
    <cellStyle name="Normal 2 5 4 16" xfId="25371" xr:uid="{00000000-0005-0000-0000-0000F94D0000}"/>
    <cellStyle name="Normal 2 5 4 2" xfId="160" xr:uid="{00000000-0005-0000-0000-0000FA4D0000}"/>
    <cellStyle name="Normal 2 5 4 2 10" xfId="11675" xr:uid="{00000000-0005-0000-0000-0000FB4D0000}"/>
    <cellStyle name="Normal 2 5 4 2 10 2" xfId="24109" xr:uid="{00000000-0005-0000-0000-0000FC4D0000}"/>
    <cellStyle name="Normal 2 5 4 2 10 2 2" xfId="48983" xr:uid="{00000000-0005-0000-0000-0000FD4D0000}"/>
    <cellStyle name="Normal 2 5 4 2 10 3" xfId="36550" xr:uid="{00000000-0005-0000-0000-0000FE4D0000}"/>
    <cellStyle name="Normal 2 5 4 2 11" xfId="6535" xr:uid="{00000000-0005-0000-0000-0000FF4D0000}"/>
    <cellStyle name="Normal 2 5 4 2 11 2" xfId="18984" xr:uid="{00000000-0005-0000-0000-0000004E0000}"/>
    <cellStyle name="Normal 2 5 4 2 11 2 2" xfId="43858" xr:uid="{00000000-0005-0000-0000-0000014E0000}"/>
    <cellStyle name="Normal 2 5 4 2 11 3" xfId="31425" xr:uid="{00000000-0005-0000-0000-0000024E0000}"/>
    <cellStyle name="Normal 2 5 4 2 12" xfId="2703" xr:uid="{00000000-0005-0000-0000-0000034E0000}"/>
    <cellStyle name="Normal 2 5 4 2 12 2" xfId="15221" xr:uid="{00000000-0005-0000-0000-0000044E0000}"/>
    <cellStyle name="Normal 2 5 4 2 12 2 2" xfId="40095" xr:uid="{00000000-0005-0000-0000-0000054E0000}"/>
    <cellStyle name="Normal 2 5 4 2 12 3" xfId="27654" xr:uid="{00000000-0005-0000-0000-0000064E0000}"/>
    <cellStyle name="Normal 2 5 4 2 13" xfId="12990" xr:uid="{00000000-0005-0000-0000-0000074E0000}"/>
    <cellStyle name="Normal 2 5 4 2 13 2" xfId="37864" xr:uid="{00000000-0005-0000-0000-0000084E0000}"/>
    <cellStyle name="Normal 2 5 4 2 14" xfId="25423" xr:uid="{00000000-0005-0000-0000-0000094E0000}"/>
    <cellStyle name="Normal 2 5 4 2 2" xfId="513" xr:uid="{00000000-0005-0000-0000-00000A4E0000}"/>
    <cellStyle name="Normal 2 5 4 2 2 10" xfId="2907" xr:uid="{00000000-0005-0000-0000-00000B4E0000}"/>
    <cellStyle name="Normal 2 5 4 2 2 10 2" xfId="15425" xr:uid="{00000000-0005-0000-0000-00000C4E0000}"/>
    <cellStyle name="Normal 2 5 4 2 2 10 2 2" xfId="40299" xr:uid="{00000000-0005-0000-0000-00000D4E0000}"/>
    <cellStyle name="Normal 2 5 4 2 2 10 3" xfId="27858" xr:uid="{00000000-0005-0000-0000-00000E4E0000}"/>
    <cellStyle name="Normal 2 5 4 2 2 11" xfId="13326" xr:uid="{00000000-0005-0000-0000-00000F4E0000}"/>
    <cellStyle name="Normal 2 5 4 2 2 11 2" xfId="38200" xr:uid="{00000000-0005-0000-0000-0000104E0000}"/>
    <cellStyle name="Normal 2 5 4 2 2 12" xfId="25759" xr:uid="{00000000-0005-0000-0000-0000114E0000}"/>
    <cellStyle name="Normal 2 5 4 2 2 2" xfId="872" xr:uid="{00000000-0005-0000-0000-0000124E0000}"/>
    <cellStyle name="Normal 2 5 4 2 2 2 2" xfId="1418" xr:uid="{00000000-0005-0000-0000-0000134E0000}"/>
    <cellStyle name="Normal 2 5 4 2 2 2 2 2" xfId="9363" xr:uid="{00000000-0005-0000-0000-0000144E0000}"/>
    <cellStyle name="Normal 2 5 4 2 2 2 2 2 2" xfId="21806" xr:uid="{00000000-0005-0000-0000-0000154E0000}"/>
    <cellStyle name="Normal 2 5 4 2 2 2 2 2 2 2" xfId="46680" xr:uid="{00000000-0005-0000-0000-0000164E0000}"/>
    <cellStyle name="Normal 2 5 4 2 2 2 2 2 3" xfId="34247" xr:uid="{00000000-0005-0000-0000-0000174E0000}"/>
    <cellStyle name="Normal 2 5 4 2 2 2 2 3" xfId="4345" xr:uid="{00000000-0005-0000-0000-0000184E0000}"/>
    <cellStyle name="Normal 2 5 4 2 2 2 2 3 2" xfId="16799" xr:uid="{00000000-0005-0000-0000-0000194E0000}"/>
    <cellStyle name="Normal 2 5 4 2 2 2 2 3 2 2" xfId="41673" xr:uid="{00000000-0005-0000-0000-00001A4E0000}"/>
    <cellStyle name="Normal 2 5 4 2 2 2 2 3 3" xfId="29240" xr:uid="{00000000-0005-0000-0000-00001B4E0000}"/>
    <cellStyle name="Normal 2 5 4 2 2 2 2 4" xfId="14218" xr:uid="{00000000-0005-0000-0000-00001C4E0000}"/>
    <cellStyle name="Normal 2 5 4 2 2 2 2 4 2" xfId="39092" xr:uid="{00000000-0005-0000-0000-00001D4E0000}"/>
    <cellStyle name="Normal 2 5 4 2 2 2 2 5" xfId="26651" xr:uid="{00000000-0005-0000-0000-00001E4E0000}"/>
    <cellStyle name="Normal 2 5 4 2 2 2 3" xfId="5563" xr:uid="{00000000-0005-0000-0000-00001F4E0000}"/>
    <cellStyle name="Normal 2 5 4 2 2 2 3 2" xfId="10579" xr:uid="{00000000-0005-0000-0000-0000204E0000}"/>
    <cellStyle name="Normal 2 5 4 2 2 2 3 2 2" xfId="23022" xr:uid="{00000000-0005-0000-0000-0000214E0000}"/>
    <cellStyle name="Normal 2 5 4 2 2 2 3 2 2 2" xfId="47896" xr:uid="{00000000-0005-0000-0000-0000224E0000}"/>
    <cellStyle name="Normal 2 5 4 2 2 2 3 2 3" xfId="35463" xr:uid="{00000000-0005-0000-0000-0000234E0000}"/>
    <cellStyle name="Normal 2 5 4 2 2 2 3 3" xfId="18015" xr:uid="{00000000-0005-0000-0000-0000244E0000}"/>
    <cellStyle name="Normal 2 5 4 2 2 2 3 3 2" xfId="42889" xr:uid="{00000000-0005-0000-0000-0000254E0000}"/>
    <cellStyle name="Normal 2 5 4 2 2 2 3 4" xfId="30456" xr:uid="{00000000-0005-0000-0000-0000264E0000}"/>
    <cellStyle name="Normal 2 5 4 2 2 2 4" xfId="8479" xr:uid="{00000000-0005-0000-0000-0000274E0000}"/>
    <cellStyle name="Normal 2 5 4 2 2 2 4 2" xfId="20923" xr:uid="{00000000-0005-0000-0000-0000284E0000}"/>
    <cellStyle name="Normal 2 5 4 2 2 2 4 2 2" xfId="45797" xr:uid="{00000000-0005-0000-0000-0000294E0000}"/>
    <cellStyle name="Normal 2 5 4 2 2 2 4 3" xfId="33364" xr:uid="{00000000-0005-0000-0000-00002A4E0000}"/>
    <cellStyle name="Normal 2 5 4 2 2 2 5" xfId="12033" xr:uid="{00000000-0005-0000-0000-00002B4E0000}"/>
    <cellStyle name="Normal 2 5 4 2 2 2 5 2" xfId="24467" xr:uid="{00000000-0005-0000-0000-00002C4E0000}"/>
    <cellStyle name="Normal 2 5 4 2 2 2 5 2 2" xfId="49341" xr:uid="{00000000-0005-0000-0000-00002D4E0000}"/>
    <cellStyle name="Normal 2 5 4 2 2 2 5 3" xfId="36908" xr:uid="{00000000-0005-0000-0000-00002E4E0000}"/>
    <cellStyle name="Normal 2 5 4 2 2 2 6" xfId="6956" xr:uid="{00000000-0005-0000-0000-00002F4E0000}"/>
    <cellStyle name="Normal 2 5 4 2 2 2 6 2" xfId="19405" xr:uid="{00000000-0005-0000-0000-0000304E0000}"/>
    <cellStyle name="Normal 2 5 4 2 2 2 6 2 2" xfId="44279" xr:uid="{00000000-0005-0000-0000-0000314E0000}"/>
    <cellStyle name="Normal 2 5 4 2 2 2 6 3" xfId="31846" xr:uid="{00000000-0005-0000-0000-0000324E0000}"/>
    <cellStyle name="Normal 2 5 4 2 2 2 7" xfId="3410" xr:uid="{00000000-0005-0000-0000-0000334E0000}"/>
    <cellStyle name="Normal 2 5 4 2 2 2 7 2" xfId="15916" xr:uid="{00000000-0005-0000-0000-0000344E0000}"/>
    <cellStyle name="Normal 2 5 4 2 2 2 7 2 2" xfId="40790" xr:uid="{00000000-0005-0000-0000-0000354E0000}"/>
    <cellStyle name="Normal 2 5 4 2 2 2 7 3" xfId="28349" xr:uid="{00000000-0005-0000-0000-0000364E0000}"/>
    <cellStyle name="Normal 2 5 4 2 2 2 8" xfId="13673" xr:uid="{00000000-0005-0000-0000-0000374E0000}"/>
    <cellStyle name="Normal 2 5 4 2 2 2 8 2" xfId="38547" xr:uid="{00000000-0005-0000-0000-0000384E0000}"/>
    <cellStyle name="Normal 2 5 4 2 2 2 9" xfId="26106" xr:uid="{00000000-0005-0000-0000-0000394E0000}"/>
    <cellStyle name="Normal 2 5 4 2 2 3" xfId="1766" xr:uid="{00000000-0005-0000-0000-00003A4E0000}"/>
    <cellStyle name="Normal 2 5 4 2 2 3 2" xfId="4504" xr:uid="{00000000-0005-0000-0000-00003B4E0000}"/>
    <cellStyle name="Normal 2 5 4 2 2 3 2 2" xfId="9522" xr:uid="{00000000-0005-0000-0000-00003C4E0000}"/>
    <cellStyle name="Normal 2 5 4 2 2 3 2 2 2" xfId="21965" xr:uid="{00000000-0005-0000-0000-00003D4E0000}"/>
    <cellStyle name="Normal 2 5 4 2 2 3 2 2 2 2" xfId="46839" xr:uid="{00000000-0005-0000-0000-00003E4E0000}"/>
    <cellStyle name="Normal 2 5 4 2 2 3 2 2 3" xfId="34406" xr:uid="{00000000-0005-0000-0000-00003F4E0000}"/>
    <cellStyle name="Normal 2 5 4 2 2 3 2 3" xfId="16958" xr:uid="{00000000-0005-0000-0000-0000404E0000}"/>
    <cellStyle name="Normal 2 5 4 2 2 3 2 3 2" xfId="41832" xr:uid="{00000000-0005-0000-0000-0000414E0000}"/>
    <cellStyle name="Normal 2 5 4 2 2 3 2 4" xfId="29399" xr:uid="{00000000-0005-0000-0000-0000424E0000}"/>
    <cellStyle name="Normal 2 5 4 2 2 3 3" xfId="5912" xr:uid="{00000000-0005-0000-0000-0000434E0000}"/>
    <cellStyle name="Normal 2 5 4 2 2 3 3 2" xfId="10927" xr:uid="{00000000-0005-0000-0000-0000444E0000}"/>
    <cellStyle name="Normal 2 5 4 2 2 3 3 2 2" xfId="23370" xr:uid="{00000000-0005-0000-0000-0000454E0000}"/>
    <cellStyle name="Normal 2 5 4 2 2 3 3 2 2 2" xfId="48244" xr:uid="{00000000-0005-0000-0000-0000464E0000}"/>
    <cellStyle name="Normal 2 5 4 2 2 3 3 2 3" xfId="35811" xr:uid="{00000000-0005-0000-0000-0000474E0000}"/>
    <cellStyle name="Normal 2 5 4 2 2 3 3 3" xfId="18363" xr:uid="{00000000-0005-0000-0000-0000484E0000}"/>
    <cellStyle name="Normal 2 5 4 2 2 3 3 3 2" xfId="43237" xr:uid="{00000000-0005-0000-0000-0000494E0000}"/>
    <cellStyle name="Normal 2 5 4 2 2 3 3 4" xfId="30804" xr:uid="{00000000-0005-0000-0000-00004A4E0000}"/>
    <cellStyle name="Normal 2 5 4 2 2 3 4" xfId="8638" xr:uid="{00000000-0005-0000-0000-00004B4E0000}"/>
    <cellStyle name="Normal 2 5 4 2 2 3 4 2" xfId="21082" xr:uid="{00000000-0005-0000-0000-00004C4E0000}"/>
    <cellStyle name="Normal 2 5 4 2 2 3 4 2 2" xfId="45956" xr:uid="{00000000-0005-0000-0000-00004D4E0000}"/>
    <cellStyle name="Normal 2 5 4 2 2 3 4 3" xfId="33523" xr:uid="{00000000-0005-0000-0000-00004E4E0000}"/>
    <cellStyle name="Normal 2 5 4 2 2 3 5" xfId="12381" xr:uid="{00000000-0005-0000-0000-00004F4E0000}"/>
    <cellStyle name="Normal 2 5 4 2 2 3 5 2" xfId="24815" xr:uid="{00000000-0005-0000-0000-0000504E0000}"/>
    <cellStyle name="Normal 2 5 4 2 2 3 5 2 2" xfId="49689" xr:uid="{00000000-0005-0000-0000-0000514E0000}"/>
    <cellStyle name="Normal 2 5 4 2 2 3 5 3" xfId="37256" xr:uid="{00000000-0005-0000-0000-0000524E0000}"/>
    <cellStyle name="Normal 2 5 4 2 2 3 6" xfId="7115" xr:uid="{00000000-0005-0000-0000-0000534E0000}"/>
    <cellStyle name="Normal 2 5 4 2 2 3 6 2" xfId="19564" xr:uid="{00000000-0005-0000-0000-0000544E0000}"/>
    <cellStyle name="Normal 2 5 4 2 2 3 6 2 2" xfId="44438" xr:uid="{00000000-0005-0000-0000-0000554E0000}"/>
    <cellStyle name="Normal 2 5 4 2 2 3 6 3" xfId="32005" xr:uid="{00000000-0005-0000-0000-0000564E0000}"/>
    <cellStyle name="Normal 2 5 4 2 2 3 7" xfId="3569" xr:uid="{00000000-0005-0000-0000-0000574E0000}"/>
    <cellStyle name="Normal 2 5 4 2 2 3 7 2" xfId="16075" xr:uid="{00000000-0005-0000-0000-0000584E0000}"/>
    <cellStyle name="Normal 2 5 4 2 2 3 7 2 2" xfId="40949" xr:uid="{00000000-0005-0000-0000-0000594E0000}"/>
    <cellStyle name="Normal 2 5 4 2 2 3 7 3" xfId="28508" xr:uid="{00000000-0005-0000-0000-00005A4E0000}"/>
    <cellStyle name="Normal 2 5 4 2 2 3 8" xfId="14566" xr:uid="{00000000-0005-0000-0000-00005B4E0000}"/>
    <cellStyle name="Normal 2 5 4 2 2 3 8 2" xfId="39440" xr:uid="{00000000-0005-0000-0000-00005C4E0000}"/>
    <cellStyle name="Normal 2 5 4 2 2 3 9" xfId="26999" xr:uid="{00000000-0005-0000-0000-00005D4E0000}"/>
    <cellStyle name="Normal 2 5 4 2 2 4" xfId="2431" xr:uid="{00000000-0005-0000-0000-00005E4E0000}"/>
    <cellStyle name="Normal 2 5 4 2 2 4 2" xfId="5055" xr:uid="{00000000-0005-0000-0000-00005F4E0000}"/>
    <cellStyle name="Normal 2 5 4 2 2 4 2 2" xfId="10072" xr:uid="{00000000-0005-0000-0000-0000604E0000}"/>
    <cellStyle name="Normal 2 5 4 2 2 4 2 2 2" xfId="22515" xr:uid="{00000000-0005-0000-0000-0000614E0000}"/>
    <cellStyle name="Normal 2 5 4 2 2 4 2 2 2 2" xfId="47389" xr:uid="{00000000-0005-0000-0000-0000624E0000}"/>
    <cellStyle name="Normal 2 5 4 2 2 4 2 2 3" xfId="34956" xr:uid="{00000000-0005-0000-0000-0000634E0000}"/>
    <cellStyle name="Normal 2 5 4 2 2 4 2 3" xfId="17508" xr:uid="{00000000-0005-0000-0000-0000644E0000}"/>
    <cellStyle name="Normal 2 5 4 2 2 4 2 3 2" xfId="42382" xr:uid="{00000000-0005-0000-0000-0000654E0000}"/>
    <cellStyle name="Normal 2 5 4 2 2 4 2 4" xfId="29949" xr:uid="{00000000-0005-0000-0000-0000664E0000}"/>
    <cellStyle name="Normal 2 5 4 2 2 4 3" xfId="6453" xr:uid="{00000000-0005-0000-0000-0000674E0000}"/>
    <cellStyle name="Normal 2 5 4 2 2 4 3 2" xfId="11468" xr:uid="{00000000-0005-0000-0000-0000684E0000}"/>
    <cellStyle name="Normal 2 5 4 2 2 4 3 2 2" xfId="23911" xr:uid="{00000000-0005-0000-0000-0000694E0000}"/>
    <cellStyle name="Normal 2 5 4 2 2 4 3 2 2 2" xfId="48785" xr:uid="{00000000-0005-0000-0000-00006A4E0000}"/>
    <cellStyle name="Normal 2 5 4 2 2 4 3 2 3" xfId="36352" xr:uid="{00000000-0005-0000-0000-00006B4E0000}"/>
    <cellStyle name="Normal 2 5 4 2 2 4 3 3" xfId="18904" xr:uid="{00000000-0005-0000-0000-00006C4E0000}"/>
    <cellStyle name="Normal 2 5 4 2 2 4 3 3 2" xfId="43778" xr:uid="{00000000-0005-0000-0000-00006D4E0000}"/>
    <cellStyle name="Normal 2 5 4 2 2 4 3 4" xfId="31345" xr:uid="{00000000-0005-0000-0000-00006E4E0000}"/>
    <cellStyle name="Normal 2 5 4 2 2 4 4" xfId="8160" xr:uid="{00000000-0005-0000-0000-00006F4E0000}"/>
    <cellStyle name="Normal 2 5 4 2 2 4 4 2" xfId="20606" xr:uid="{00000000-0005-0000-0000-0000704E0000}"/>
    <cellStyle name="Normal 2 5 4 2 2 4 4 2 2" xfId="45480" xr:uid="{00000000-0005-0000-0000-0000714E0000}"/>
    <cellStyle name="Normal 2 5 4 2 2 4 4 3" xfId="33047" xr:uid="{00000000-0005-0000-0000-0000724E0000}"/>
    <cellStyle name="Normal 2 5 4 2 2 4 5" xfId="12922" xr:uid="{00000000-0005-0000-0000-0000734E0000}"/>
    <cellStyle name="Normal 2 5 4 2 2 4 5 2" xfId="25356" xr:uid="{00000000-0005-0000-0000-0000744E0000}"/>
    <cellStyle name="Normal 2 5 4 2 2 4 5 2 2" xfId="50230" xr:uid="{00000000-0005-0000-0000-0000754E0000}"/>
    <cellStyle name="Normal 2 5 4 2 2 4 5 3" xfId="37797" xr:uid="{00000000-0005-0000-0000-0000764E0000}"/>
    <cellStyle name="Normal 2 5 4 2 2 4 6" xfId="7666" xr:uid="{00000000-0005-0000-0000-0000774E0000}"/>
    <cellStyle name="Normal 2 5 4 2 2 4 6 2" xfId="20114" xr:uid="{00000000-0005-0000-0000-0000784E0000}"/>
    <cellStyle name="Normal 2 5 4 2 2 4 6 2 2" xfId="44988" xr:uid="{00000000-0005-0000-0000-0000794E0000}"/>
    <cellStyle name="Normal 2 5 4 2 2 4 6 3" xfId="32555" xr:uid="{00000000-0005-0000-0000-00007A4E0000}"/>
    <cellStyle name="Normal 2 5 4 2 2 4 7" xfId="3090" xr:uid="{00000000-0005-0000-0000-00007B4E0000}"/>
    <cellStyle name="Normal 2 5 4 2 2 4 7 2" xfId="15599" xr:uid="{00000000-0005-0000-0000-00007C4E0000}"/>
    <cellStyle name="Normal 2 5 4 2 2 4 7 2 2" xfId="40473" xr:uid="{00000000-0005-0000-0000-00007D4E0000}"/>
    <cellStyle name="Normal 2 5 4 2 2 4 7 3" xfId="28032" xr:uid="{00000000-0005-0000-0000-00007E4E0000}"/>
    <cellStyle name="Normal 2 5 4 2 2 4 8" xfId="15107" xr:uid="{00000000-0005-0000-0000-00007F4E0000}"/>
    <cellStyle name="Normal 2 5 4 2 2 4 8 2" xfId="39981" xr:uid="{00000000-0005-0000-0000-0000804E0000}"/>
    <cellStyle name="Normal 2 5 4 2 2 4 9" xfId="27540" xr:uid="{00000000-0005-0000-0000-0000814E0000}"/>
    <cellStyle name="Normal 2 5 4 2 2 5" xfId="1264" xr:uid="{00000000-0005-0000-0000-0000824E0000}"/>
    <cellStyle name="Normal 2 5 4 2 2 5 2" xfId="9046" xr:uid="{00000000-0005-0000-0000-0000834E0000}"/>
    <cellStyle name="Normal 2 5 4 2 2 5 2 2" xfId="21489" xr:uid="{00000000-0005-0000-0000-0000844E0000}"/>
    <cellStyle name="Normal 2 5 4 2 2 5 2 2 2" xfId="46363" xr:uid="{00000000-0005-0000-0000-0000854E0000}"/>
    <cellStyle name="Normal 2 5 4 2 2 5 2 3" xfId="33930" xr:uid="{00000000-0005-0000-0000-0000864E0000}"/>
    <cellStyle name="Normal 2 5 4 2 2 5 3" xfId="4028" xr:uid="{00000000-0005-0000-0000-0000874E0000}"/>
    <cellStyle name="Normal 2 5 4 2 2 5 3 2" xfId="16482" xr:uid="{00000000-0005-0000-0000-0000884E0000}"/>
    <cellStyle name="Normal 2 5 4 2 2 5 3 2 2" xfId="41356" xr:uid="{00000000-0005-0000-0000-0000894E0000}"/>
    <cellStyle name="Normal 2 5 4 2 2 5 3 3" xfId="28923" xr:uid="{00000000-0005-0000-0000-00008A4E0000}"/>
    <cellStyle name="Normal 2 5 4 2 2 5 4" xfId="14064" xr:uid="{00000000-0005-0000-0000-00008B4E0000}"/>
    <cellStyle name="Normal 2 5 4 2 2 5 4 2" xfId="38938" xr:uid="{00000000-0005-0000-0000-00008C4E0000}"/>
    <cellStyle name="Normal 2 5 4 2 2 5 5" xfId="26497" xr:uid="{00000000-0005-0000-0000-00008D4E0000}"/>
    <cellStyle name="Normal 2 5 4 2 2 6" xfId="5409" xr:uid="{00000000-0005-0000-0000-00008E4E0000}"/>
    <cellStyle name="Normal 2 5 4 2 2 6 2" xfId="10425" xr:uid="{00000000-0005-0000-0000-00008F4E0000}"/>
    <cellStyle name="Normal 2 5 4 2 2 6 2 2" xfId="22868" xr:uid="{00000000-0005-0000-0000-0000904E0000}"/>
    <cellStyle name="Normal 2 5 4 2 2 6 2 2 2" xfId="47742" xr:uid="{00000000-0005-0000-0000-0000914E0000}"/>
    <cellStyle name="Normal 2 5 4 2 2 6 2 3" xfId="35309" xr:uid="{00000000-0005-0000-0000-0000924E0000}"/>
    <cellStyle name="Normal 2 5 4 2 2 6 3" xfId="17861" xr:uid="{00000000-0005-0000-0000-0000934E0000}"/>
    <cellStyle name="Normal 2 5 4 2 2 6 3 2" xfId="42735" xr:uid="{00000000-0005-0000-0000-0000944E0000}"/>
    <cellStyle name="Normal 2 5 4 2 2 6 4" xfId="30302" xr:uid="{00000000-0005-0000-0000-0000954E0000}"/>
    <cellStyle name="Normal 2 5 4 2 2 7" xfId="7986" xr:uid="{00000000-0005-0000-0000-0000964E0000}"/>
    <cellStyle name="Normal 2 5 4 2 2 7 2" xfId="20432" xr:uid="{00000000-0005-0000-0000-0000974E0000}"/>
    <cellStyle name="Normal 2 5 4 2 2 7 2 2" xfId="45306" xr:uid="{00000000-0005-0000-0000-0000984E0000}"/>
    <cellStyle name="Normal 2 5 4 2 2 7 3" xfId="32873" xr:uid="{00000000-0005-0000-0000-0000994E0000}"/>
    <cellStyle name="Normal 2 5 4 2 2 8" xfId="11879" xr:uid="{00000000-0005-0000-0000-00009A4E0000}"/>
    <cellStyle name="Normal 2 5 4 2 2 8 2" xfId="24313" xr:uid="{00000000-0005-0000-0000-00009B4E0000}"/>
    <cellStyle name="Normal 2 5 4 2 2 8 2 2" xfId="49187" xr:uid="{00000000-0005-0000-0000-00009C4E0000}"/>
    <cellStyle name="Normal 2 5 4 2 2 8 3" xfId="36754" xr:uid="{00000000-0005-0000-0000-00009D4E0000}"/>
    <cellStyle name="Normal 2 5 4 2 2 9" xfId="6639" xr:uid="{00000000-0005-0000-0000-00009E4E0000}"/>
    <cellStyle name="Normal 2 5 4 2 2 9 2" xfId="19088" xr:uid="{00000000-0005-0000-0000-00009F4E0000}"/>
    <cellStyle name="Normal 2 5 4 2 2 9 2 2" xfId="43962" xr:uid="{00000000-0005-0000-0000-0000A04E0000}"/>
    <cellStyle name="Normal 2 5 4 2 2 9 3" xfId="31529" xr:uid="{00000000-0005-0000-0000-0000A14E0000}"/>
    <cellStyle name="Normal 2 5 4 2 2_Degree data" xfId="1994" xr:uid="{00000000-0005-0000-0000-0000A24E0000}"/>
    <cellStyle name="Normal 2 5 4 2 3" xfId="406" xr:uid="{00000000-0005-0000-0000-0000A34E0000}"/>
    <cellStyle name="Normal 2 5 4 2 3 10" xfId="13222" xr:uid="{00000000-0005-0000-0000-0000A44E0000}"/>
    <cellStyle name="Normal 2 5 4 2 3 10 2" xfId="38096" xr:uid="{00000000-0005-0000-0000-0000A54E0000}"/>
    <cellStyle name="Normal 2 5 4 2 3 11" xfId="25655" xr:uid="{00000000-0005-0000-0000-0000A64E0000}"/>
    <cellStyle name="Normal 2 5 4 2 3 2" xfId="766" xr:uid="{00000000-0005-0000-0000-0000A74E0000}"/>
    <cellStyle name="Normal 2 5 4 2 3 2 2" xfId="1419" xr:uid="{00000000-0005-0000-0000-0000A84E0000}"/>
    <cellStyle name="Normal 2 5 4 2 3 2 2 2" xfId="9523" xr:uid="{00000000-0005-0000-0000-0000A94E0000}"/>
    <cellStyle name="Normal 2 5 4 2 3 2 2 2 2" xfId="21966" xr:uid="{00000000-0005-0000-0000-0000AA4E0000}"/>
    <cellStyle name="Normal 2 5 4 2 3 2 2 2 2 2" xfId="46840" xr:uid="{00000000-0005-0000-0000-0000AB4E0000}"/>
    <cellStyle name="Normal 2 5 4 2 3 2 2 2 3" xfId="34407" xr:uid="{00000000-0005-0000-0000-0000AC4E0000}"/>
    <cellStyle name="Normal 2 5 4 2 3 2 2 3" xfId="4505" xr:uid="{00000000-0005-0000-0000-0000AD4E0000}"/>
    <cellStyle name="Normal 2 5 4 2 3 2 2 3 2" xfId="16959" xr:uid="{00000000-0005-0000-0000-0000AE4E0000}"/>
    <cellStyle name="Normal 2 5 4 2 3 2 2 3 2 2" xfId="41833" xr:uid="{00000000-0005-0000-0000-0000AF4E0000}"/>
    <cellStyle name="Normal 2 5 4 2 3 2 2 3 3" xfId="29400" xr:uid="{00000000-0005-0000-0000-0000B04E0000}"/>
    <cellStyle name="Normal 2 5 4 2 3 2 2 4" xfId="14219" xr:uid="{00000000-0005-0000-0000-0000B14E0000}"/>
    <cellStyle name="Normal 2 5 4 2 3 2 2 4 2" xfId="39093" xr:uid="{00000000-0005-0000-0000-0000B24E0000}"/>
    <cellStyle name="Normal 2 5 4 2 3 2 2 5" xfId="26652" xr:uid="{00000000-0005-0000-0000-0000B34E0000}"/>
    <cellStyle name="Normal 2 5 4 2 3 2 3" xfId="5564" xr:uid="{00000000-0005-0000-0000-0000B44E0000}"/>
    <cellStyle name="Normal 2 5 4 2 3 2 3 2" xfId="10580" xr:uid="{00000000-0005-0000-0000-0000B54E0000}"/>
    <cellStyle name="Normal 2 5 4 2 3 2 3 2 2" xfId="23023" xr:uid="{00000000-0005-0000-0000-0000B64E0000}"/>
    <cellStyle name="Normal 2 5 4 2 3 2 3 2 2 2" xfId="47897" xr:uid="{00000000-0005-0000-0000-0000B74E0000}"/>
    <cellStyle name="Normal 2 5 4 2 3 2 3 2 3" xfId="35464" xr:uid="{00000000-0005-0000-0000-0000B84E0000}"/>
    <cellStyle name="Normal 2 5 4 2 3 2 3 3" xfId="18016" xr:uid="{00000000-0005-0000-0000-0000B94E0000}"/>
    <cellStyle name="Normal 2 5 4 2 3 2 3 3 2" xfId="42890" xr:uid="{00000000-0005-0000-0000-0000BA4E0000}"/>
    <cellStyle name="Normal 2 5 4 2 3 2 3 4" xfId="30457" xr:uid="{00000000-0005-0000-0000-0000BB4E0000}"/>
    <cellStyle name="Normal 2 5 4 2 3 2 4" xfId="8639" xr:uid="{00000000-0005-0000-0000-0000BC4E0000}"/>
    <cellStyle name="Normal 2 5 4 2 3 2 4 2" xfId="21083" xr:uid="{00000000-0005-0000-0000-0000BD4E0000}"/>
    <cellStyle name="Normal 2 5 4 2 3 2 4 2 2" xfId="45957" xr:uid="{00000000-0005-0000-0000-0000BE4E0000}"/>
    <cellStyle name="Normal 2 5 4 2 3 2 4 3" xfId="33524" xr:uid="{00000000-0005-0000-0000-0000BF4E0000}"/>
    <cellStyle name="Normal 2 5 4 2 3 2 5" xfId="12034" xr:uid="{00000000-0005-0000-0000-0000C04E0000}"/>
    <cellStyle name="Normal 2 5 4 2 3 2 5 2" xfId="24468" xr:uid="{00000000-0005-0000-0000-0000C14E0000}"/>
    <cellStyle name="Normal 2 5 4 2 3 2 5 2 2" xfId="49342" xr:uid="{00000000-0005-0000-0000-0000C24E0000}"/>
    <cellStyle name="Normal 2 5 4 2 3 2 5 3" xfId="36909" xr:uid="{00000000-0005-0000-0000-0000C34E0000}"/>
    <cellStyle name="Normal 2 5 4 2 3 2 6" xfId="7116" xr:uid="{00000000-0005-0000-0000-0000C44E0000}"/>
    <cellStyle name="Normal 2 5 4 2 3 2 6 2" xfId="19565" xr:uid="{00000000-0005-0000-0000-0000C54E0000}"/>
    <cellStyle name="Normal 2 5 4 2 3 2 6 2 2" xfId="44439" xr:uid="{00000000-0005-0000-0000-0000C64E0000}"/>
    <cellStyle name="Normal 2 5 4 2 3 2 6 3" xfId="32006" xr:uid="{00000000-0005-0000-0000-0000C74E0000}"/>
    <cellStyle name="Normal 2 5 4 2 3 2 7" xfId="3570" xr:uid="{00000000-0005-0000-0000-0000C84E0000}"/>
    <cellStyle name="Normal 2 5 4 2 3 2 7 2" xfId="16076" xr:uid="{00000000-0005-0000-0000-0000C94E0000}"/>
    <cellStyle name="Normal 2 5 4 2 3 2 7 2 2" xfId="40950" xr:uid="{00000000-0005-0000-0000-0000CA4E0000}"/>
    <cellStyle name="Normal 2 5 4 2 3 2 7 3" xfId="28509" xr:uid="{00000000-0005-0000-0000-0000CB4E0000}"/>
    <cellStyle name="Normal 2 5 4 2 3 2 8" xfId="13569" xr:uid="{00000000-0005-0000-0000-0000CC4E0000}"/>
    <cellStyle name="Normal 2 5 4 2 3 2 8 2" xfId="38443" xr:uid="{00000000-0005-0000-0000-0000CD4E0000}"/>
    <cellStyle name="Normal 2 5 4 2 3 2 9" xfId="26002" xr:uid="{00000000-0005-0000-0000-0000CE4E0000}"/>
    <cellStyle name="Normal 2 5 4 2 3 3" xfId="1767" xr:uid="{00000000-0005-0000-0000-0000CF4E0000}"/>
    <cellStyle name="Normal 2 5 4 2 3 3 2" xfId="4951" xr:uid="{00000000-0005-0000-0000-0000D04E0000}"/>
    <cellStyle name="Normal 2 5 4 2 3 3 2 2" xfId="9968" xr:uid="{00000000-0005-0000-0000-0000D14E0000}"/>
    <cellStyle name="Normal 2 5 4 2 3 3 2 2 2" xfId="22411" xr:uid="{00000000-0005-0000-0000-0000D24E0000}"/>
    <cellStyle name="Normal 2 5 4 2 3 3 2 2 2 2" xfId="47285" xr:uid="{00000000-0005-0000-0000-0000D34E0000}"/>
    <cellStyle name="Normal 2 5 4 2 3 3 2 2 3" xfId="34852" xr:uid="{00000000-0005-0000-0000-0000D44E0000}"/>
    <cellStyle name="Normal 2 5 4 2 3 3 2 3" xfId="17404" xr:uid="{00000000-0005-0000-0000-0000D54E0000}"/>
    <cellStyle name="Normal 2 5 4 2 3 3 2 3 2" xfId="42278" xr:uid="{00000000-0005-0000-0000-0000D64E0000}"/>
    <cellStyle name="Normal 2 5 4 2 3 3 2 4" xfId="29845" xr:uid="{00000000-0005-0000-0000-0000D74E0000}"/>
    <cellStyle name="Normal 2 5 4 2 3 3 3" xfId="5913" xr:uid="{00000000-0005-0000-0000-0000D84E0000}"/>
    <cellStyle name="Normal 2 5 4 2 3 3 3 2" xfId="10928" xr:uid="{00000000-0005-0000-0000-0000D94E0000}"/>
    <cellStyle name="Normal 2 5 4 2 3 3 3 2 2" xfId="23371" xr:uid="{00000000-0005-0000-0000-0000DA4E0000}"/>
    <cellStyle name="Normal 2 5 4 2 3 3 3 2 2 2" xfId="48245" xr:uid="{00000000-0005-0000-0000-0000DB4E0000}"/>
    <cellStyle name="Normal 2 5 4 2 3 3 3 2 3" xfId="35812" xr:uid="{00000000-0005-0000-0000-0000DC4E0000}"/>
    <cellStyle name="Normal 2 5 4 2 3 3 3 3" xfId="18364" xr:uid="{00000000-0005-0000-0000-0000DD4E0000}"/>
    <cellStyle name="Normal 2 5 4 2 3 3 3 3 2" xfId="43238" xr:uid="{00000000-0005-0000-0000-0000DE4E0000}"/>
    <cellStyle name="Normal 2 5 4 2 3 3 3 4" xfId="30805" xr:uid="{00000000-0005-0000-0000-0000DF4E0000}"/>
    <cellStyle name="Normal 2 5 4 2 3 3 4" xfId="8375" xr:uid="{00000000-0005-0000-0000-0000E04E0000}"/>
    <cellStyle name="Normal 2 5 4 2 3 3 4 2" xfId="20819" xr:uid="{00000000-0005-0000-0000-0000E14E0000}"/>
    <cellStyle name="Normal 2 5 4 2 3 3 4 2 2" xfId="45693" xr:uid="{00000000-0005-0000-0000-0000E24E0000}"/>
    <cellStyle name="Normal 2 5 4 2 3 3 4 3" xfId="33260" xr:uid="{00000000-0005-0000-0000-0000E34E0000}"/>
    <cellStyle name="Normal 2 5 4 2 3 3 5" xfId="12382" xr:uid="{00000000-0005-0000-0000-0000E44E0000}"/>
    <cellStyle name="Normal 2 5 4 2 3 3 5 2" xfId="24816" xr:uid="{00000000-0005-0000-0000-0000E54E0000}"/>
    <cellStyle name="Normal 2 5 4 2 3 3 5 2 2" xfId="49690" xr:uid="{00000000-0005-0000-0000-0000E64E0000}"/>
    <cellStyle name="Normal 2 5 4 2 3 3 5 3" xfId="37257" xr:uid="{00000000-0005-0000-0000-0000E74E0000}"/>
    <cellStyle name="Normal 2 5 4 2 3 3 6" xfId="7562" xr:uid="{00000000-0005-0000-0000-0000E84E0000}"/>
    <cellStyle name="Normal 2 5 4 2 3 3 6 2" xfId="20010" xr:uid="{00000000-0005-0000-0000-0000E94E0000}"/>
    <cellStyle name="Normal 2 5 4 2 3 3 6 2 2" xfId="44884" xr:uid="{00000000-0005-0000-0000-0000EA4E0000}"/>
    <cellStyle name="Normal 2 5 4 2 3 3 6 3" xfId="32451" xr:uid="{00000000-0005-0000-0000-0000EB4E0000}"/>
    <cellStyle name="Normal 2 5 4 2 3 3 7" xfId="3306" xr:uid="{00000000-0005-0000-0000-0000EC4E0000}"/>
    <cellStyle name="Normal 2 5 4 2 3 3 7 2" xfId="15812" xr:uid="{00000000-0005-0000-0000-0000ED4E0000}"/>
    <cellStyle name="Normal 2 5 4 2 3 3 7 2 2" xfId="40686" xr:uid="{00000000-0005-0000-0000-0000EE4E0000}"/>
    <cellStyle name="Normal 2 5 4 2 3 3 7 3" xfId="28245" xr:uid="{00000000-0005-0000-0000-0000EF4E0000}"/>
    <cellStyle name="Normal 2 5 4 2 3 3 8" xfId="14567" xr:uid="{00000000-0005-0000-0000-0000F04E0000}"/>
    <cellStyle name="Normal 2 5 4 2 3 3 8 2" xfId="39441" xr:uid="{00000000-0005-0000-0000-0000F14E0000}"/>
    <cellStyle name="Normal 2 5 4 2 3 3 9" xfId="27000" xr:uid="{00000000-0005-0000-0000-0000F24E0000}"/>
    <cellStyle name="Normal 2 5 4 2 3 4" xfId="2324" xr:uid="{00000000-0005-0000-0000-0000F34E0000}"/>
    <cellStyle name="Normal 2 5 4 2 3 4 2" xfId="6349" xr:uid="{00000000-0005-0000-0000-0000F44E0000}"/>
    <cellStyle name="Normal 2 5 4 2 3 4 2 2" xfId="11364" xr:uid="{00000000-0005-0000-0000-0000F54E0000}"/>
    <cellStyle name="Normal 2 5 4 2 3 4 2 2 2" xfId="23807" xr:uid="{00000000-0005-0000-0000-0000F64E0000}"/>
    <cellStyle name="Normal 2 5 4 2 3 4 2 2 2 2" xfId="48681" xr:uid="{00000000-0005-0000-0000-0000F74E0000}"/>
    <cellStyle name="Normal 2 5 4 2 3 4 2 2 3" xfId="36248" xr:uid="{00000000-0005-0000-0000-0000F84E0000}"/>
    <cellStyle name="Normal 2 5 4 2 3 4 2 3" xfId="18800" xr:uid="{00000000-0005-0000-0000-0000F94E0000}"/>
    <cellStyle name="Normal 2 5 4 2 3 4 2 3 2" xfId="43674" xr:uid="{00000000-0005-0000-0000-0000FA4E0000}"/>
    <cellStyle name="Normal 2 5 4 2 3 4 2 4" xfId="31241" xr:uid="{00000000-0005-0000-0000-0000FB4E0000}"/>
    <cellStyle name="Normal 2 5 4 2 3 4 3" xfId="12818" xr:uid="{00000000-0005-0000-0000-0000FC4E0000}"/>
    <cellStyle name="Normal 2 5 4 2 3 4 3 2" xfId="25252" xr:uid="{00000000-0005-0000-0000-0000FD4E0000}"/>
    <cellStyle name="Normal 2 5 4 2 3 4 3 2 2" xfId="50126" xr:uid="{00000000-0005-0000-0000-0000FE4E0000}"/>
    <cellStyle name="Normal 2 5 4 2 3 4 3 3" xfId="37693" xr:uid="{00000000-0005-0000-0000-0000FF4E0000}"/>
    <cellStyle name="Normal 2 5 4 2 3 4 4" xfId="9259" xr:uid="{00000000-0005-0000-0000-0000004F0000}"/>
    <cellStyle name="Normal 2 5 4 2 3 4 4 2" xfId="21702" xr:uid="{00000000-0005-0000-0000-0000014F0000}"/>
    <cellStyle name="Normal 2 5 4 2 3 4 4 2 2" xfId="46576" xr:uid="{00000000-0005-0000-0000-0000024F0000}"/>
    <cellStyle name="Normal 2 5 4 2 3 4 4 3" xfId="34143" xr:uid="{00000000-0005-0000-0000-0000034F0000}"/>
    <cellStyle name="Normal 2 5 4 2 3 4 5" xfId="4241" xr:uid="{00000000-0005-0000-0000-0000044F0000}"/>
    <cellStyle name="Normal 2 5 4 2 3 4 5 2" xfId="16695" xr:uid="{00000000-0005-0000-0000-0000054F0000}"/>
    <cellStyle name="Normal 2 5 4 2 3 4 5 2 2" xfId="41569" xr:uid="{00000000-0005-0000-0000-0000064F0000}"/>
    <cellStyle name="Normal 2 5 4 2 3 4 5 3" xfId="29136" xr:uid="{00000000-0005-0000-0000-0000074F0000}"/>
    <cellStyle name="Normal 2 5 4 2 3 4 6" xfId="15003" xr:uid="{00000000-0005-0000-0000-0000084F0000}"/>
    <cellStyle name="Normal 2 5 4 2 3 4 6 2" xfId="39877" xr:uid="{00000000-0005-0000-0000-0000094F0000}"/>
    <cellStyle name="Normal 2 5 4 2 3 4 7" xfId="27436" xr:uid="{00000000-0005-0000-0000-00000A4F0000}"/>
    <cellStyle name="Normal 2 5 4 2 3 5" xfId="1160" xr:uid="{00000000-0005-0000-0000-00000B4F0000}"/>
    <cellStyle name="Normal 2 5 4 2 3 5 2" xfId="10321" xr:uid="{00000000-0005-0000-0000-00000C4F0000}"/>
    <cellStyle name="Normal 2 5 4 2 3 5 2 2" xfId="22764" xr:uid="{00000000-0005-0000-0000-00000D4F0000}"/>
    <cellStyle name="Normal 2 5 4 2 3 5 2 2 2" xfId="47638" xr:uid="{00000000-0005-0000-0000-00000E4F0000}"/>
    <cellStyle name="Normal 2 5 4 2 3 5 2 3" xfId="35205" xr:uid="{00000000-0005-0000-0000-00000F4F0000}"/>
    <cellStyle name="Normal 2 5 4 2 3 5 3" xfId="5305" xr:uid="{00000000-0005-0000-0000-0000104F0000}"/>
    <cellStyle name="Normal 2 5 4 2 3 5 3 2" xfId="17757" xr:uid="{00000000-0005-0000-0000-0000114F0000}"/>
    <cellStyle name="Normal 2 5 4 2 3 5 3 2 2" xfId="42631" xr:uid="{00000000-0005-0000-0000-0000124F0000}"/>
    <cellStyle name="Normal 2 5 4 2 3 5 3 3" xfId="30198" xr:uid="{00000000-0005-0000-0000-0000134F0000}"/>
    <cellStyle name="Normal 2 5 4 2 3 5 4" xfId="13960" xr:uid="{00000000-0005-0000-0000-0000144F0000}"/>
    <cellStyle name="Normal 2 5 4 2 3 5 4 2" xfId="38834" xr:uid="{00000000-0005-0000-0000-0000154F0000}"/>
    <cellStyle name="Normal 2 5 4 2 3 5 5" xfId="26393" xr:uid="{00000000-0005-0000-0000-0000164F0000}"/>
    <cellStyle name="Normal 2 5 4 2 3 6" xfId="7882" xr:uid="{00000000-0005-0000-0000-0000174F0000}"/>
    <cellStyle name="Normal 2 5 4 2 3 6 2" xfId="20328" xr:uid="{00000000-0005-0000-0000-0000184F0000}"/>
    <cellStyle name="Normal 2 5 4 2 3 6 2 2" xfId="45202" xr:uid="{00000000-0005-0000-0000-0000194F0000}"/>
    <cellStyle name="Normal 2 5 4 2 3 6 3" xfId="32769" xr:uid="{00000000-0005-0000-0000-00001A4F0000}"/>
    <cellStyle name="Normal 2 5 4 2 3 7" xfId="11775" xr:uid="{00000000-0005-0000-0000-00001B4F0000}"/>
    <cellStyle name="Normal 2 5 4 2 3 7 2" xfId="24209" xr:uid="{00000000-0005-0000-0000-00001C4F0000}"/>
    <cellStyle name="Normal 2 5 4 2 3 7 2 2" xfId="49083" xr:uid="{00000000-0005-0000-0000-00001D4F0000}"/>
    <cellStyle name="Normal 2 5 4 2 3 7 3" xfId="36650" xr:uid="{00000000-0005-0000-0000-00001E4F0000}"/>
    <cellStyle name="Normal 2 5 4 2 3 8" xfId="6852" xr:uid="{00000000-0005-0000-0000-00001F4F0000}"/>
    <cellStyle name="Normal 2 5 4 2 3 8 2" xfId="19301" xr:uid="{00000000-0005-0000-0000-0000204F0000}"/>
    <cellStyle name="Normal 2 5 4 2 3 8 2 2" xfId="44175" xr:uid="{00000000-0005-0000-0000-0000214F0000}"/>
    <cellStyle name="Normal 2 5 4 2 3 8 3" xfId="31742" xr:uid="{00000000-0005-0000-0000-0000224F0000}"/>
    <cellStyle name="Normal 2 5 4 2 3 9" xfId="2803" xr:uid="{00000000-0005-0000-0000-0000234F0000}"/>
    <cellStyle name="Normal 2 5 4 2 3 9 2" xfId="15321" xr:uid="{00000000-0005-0000-0000-0000244F0000}"/>
    <cellStyle name="Normal 2 5 4 2 3 9 2 2" xfId="40195" xr:uid="{00000000-0005-0000-0000-0000254F0000}"/>
    <cellStyle name="Normal 2 5 4 2 3 9 3" xfId="27754" xr:uid="{00000000-0005-0000-0000-0000264F0000}"/>
    <cellStyle name="Normal 2 5 4 2 3_Degree data" xfId="2044" xr:uid="{00000000-0005-0000-0000-0000274F0000}"/>
    <cellStyle name="Normal 2 5 4 2 4" xfId="304" xr:uid="{00000000-0005-0000-0000-0000284F0000}"/>
    <cellStyle name="Normal 2 5 4 2 4 2" xfId="1417" xr:uid="{00000000-0005-0000-0000-0000294F0000}"/>
    <cellStyle name="Normal 2 5 4 2 4 2 2" xfId="9159" xr:uid="{00000000-0005-0000-0000-00002A4F0000}"/>
    <cellStyle name="Normal 2 5 4 2 4 2 2 2" xfId="21602" xr:uid="{00000000-0005-0000-0000-00002B4F0000}"/>
    <cellStyle name="Normal 2 5 4 2 4 2 2 2 2" xfId="46476" xr:uid="{00000000-0005-0000-0000-00002C4F0000}"/>
    <cellStyle name="Normal 2 5 4 2 4 2 2 3" xfId="34043" xr:uid="{00000000-0005-0000-0000-00002D4F0000}"/>
    <cellStyle name="Normal 2 5 4 2 4 2 3" xfId="4141" xr:uid="{00000000-0005-0000-0000-00002E4F0000}"/>
    <cellStyle name="Normal 2 5 4 2 4 2 3 2" xfId="16595" xr:uid="{00000000-0005-0000-0000-00002F4F0000}"/>
    <cellStyle name="Normal 2 5 4 2 4 2 3 2 2" xfId="41469" xr:uid="{00000000-0005-0000-0000-0000304F0000}"/>
    <cellStyle name="Normal 2 5 4 2 4 2 3 3" xfId="29036" xr:uid="{00000000-0005-0000-0000-0000314F0000}"/>
    <cellStyle name="Normal 2 5 4 2 4 2 4" xfId="14217" xr:uid="{00000000-0005-0000-0000-0000324F0000}"/>
    <cellStyle name="Normal 2 5 4 2 4 2 4 2" xfId="39091" xr:uid="{00000000-0005-0000-0000-0000334F0000}"/>
    <cellStyle name="Normal 2 5 4 2 4 2 5" xfId="26650" xr:uid="{00000000-0005-0000-0000-0000344F0000}"/>
    <cellStyle name="Normal 2 5 4 2 4 3" xfId="5562" xr:uid="{00000000-0005-0000-0000-0000354F0000}"/>
    <cellStyle name="Normal 2 5 4 2 4 3 2" xfId="10578" xr:uid="{00000000-0005-0000-0000-0000364F0000}"/>
    <cellStyle name="Normal 2 5 4 2 4 3 2 2" xfId="23021" xr:uid="{00000000-0005-0000-0000-0000374F0000}"/>
    <cellStyle name="Normal 2 5 4 2 4 3 2 2 2" xfId="47895" xr:uid="{00000000-0005-0000-0000-0000384F0000}"/>
    <cellStyle name="Normal 2 5 4 2 4 3 2 3" xfId="35462" xr:uid="{00000000-0005-0000-0000-0000394F0000}"/>
    <cellStyle name="Normal 2 5 4 2 4 3 3" xfId="18014" xr:uid="{00000000-0005-0000-0000-00003A4F0000}"/>
    <cellStyle name="Normal 2 5 4 2 4 3 3 2" xfId="42888" xr:uid="{00000000-0005-0000-0000-00003B4F0000}"/>
    <cellStyle name="Normal 2 5 4 2 4 3 4" xfId="30455" xr:uid="{00000000-0005-0000-0000-00003C4F0000}"/>
    <cellStyle name="Normal 2 5 4 2 4 4" xfId="8275" xr:uid="{00000000-0005-0000-0000-00003D4F0000}"/>
    <cellStyle name="Normal 2 5 4 2 4 4 2" xfId="20719" xr:uid="{00000000-0005-0000-0000-00003E4F0000}"/>
    <cellStyle name="Normal 2 5 4 2 4 4 2 2" xfId="45593" xr:uid="{00000000-0005-0000-0000-00003F4F0000}"/>
    <cellStyle name="Normal 2 5 4 2 4 4 3" xfId="33160" xr:uid="{00000000-0005-0000-0000-0000404F0000}"/>
    <cellStyle name="Normal 2 5 4 2 4 5" xfId="12032" xr:uid="{00000000-0005-0000-0000-0000414F0000}"/>
    <cellStyle name="Normal 2 5 4 2 4 5 2" xfId="24466" xr:uid="{00000000-0005-0000-0000-0000424F0000}"/>
    <cellStyle name="Normal 2 5 4 2 4 5 2 2" xfId="49340" xr:uid="{00000000-0005-0000-0000-0000434F0000}"/>
    <cellStyle name="Normal 2 5 4 2 4 5 3" xfId="36907" xr:uid="{00000000-0005-0000-0000-0000444F0000}"/>
    <cellStyle name="Normal 2 5 4 2 4 6" xfId="6752" xr:uid="{00000000-0005-0000-0000-0000454F0000}"/>
    <cellStyle name="Normal 2 5 4 2 4 6 2" xfId="19201" xr:uid="{00000000-0005-0000-0000-0000464F0000}"/>
    <cellStyle name="Normal 2 5 4 2 4 6 2 2" xfId="44075" xr:uid="{00000000-0005-0000-0000-0000474F0000}"/>
    <cellStyle name="Normal 2 5 4 2 4 6 3" xfId="31642" xr:uid="{00000000-0005-0000-0000-0000484F0000}"/>
    <cellStyle name="Normal 2 5 4 2 4 7" xfId="3206" xr:uid="{00000000-0005-0000-0000-0000494F0000}"/>
    <cellStyle name="Normal 2 5 4 2 4 7 2" xfId="15712" xr:uid="{00000000-0005-0000-0000-00004A4F0000}"/>
    <cellStyle name="Normal 2 5 4 2 4 7 2 2" xfId="40586" xr:uid="{00000000-0005-0000-0000-00004B4F0000}"/>
    <cellStyle name="Normal 2 5 4 2 4 7 3" xfId="28145" xr:uid="{00000000-0005-0000-0000-00004C4F0000}"/>
    <cellStyle name="Normal 2 5 4 2 4 8" xfId="13122" xr:uid="{00000000-0005-0000-0000-00004D4F0000}"/>
    <cellStyle name="Normal 2 5 4 2 4 8 2" xfId="37996" xr:uid="{00000000-0005-0000-0000-00004E4F0000}"/>
    <cellStyle name="Normal 2 5 4 2 4 9" xfId="25555" xr:uid="{00000000-0005-0000-0000-00004F4F0000}"/>
    <cellStyle name="Normal 2 5 4 2 5" xfId="665" xr:uid="{00000000-0005-0000-0000-0000504F0000}"/>
    <cellStyle name="Normal 2 5 4 2 5 2" xfId="1765" xr:uid="{00000000-0005-0000-0000-0000514F0000}"/>
    <cellStyle name="Normal 2 5 4 2 5 2 2" xfId="9521" xr:uid="{00000000-0005-0000-0000-0000524F0000}"/>
    <cellStyle name="Normal 2 5 4 2 5 2 2 2" xfId="21964" xr:uid="{00000000-0005-0000-0000-0000534F0000}"/>
    <cellStyle name="Normal 2 5 4 2 5 2 2 2 2" xfId="46838" xr:uid="{00000000-0005-0000-0000-0000544F0000}"/>
    <cellStyle name="Normal 2 5 4 2 5 2 2 3" xfId="34405" xr:uid="{00000000-0005-0000-0000-0000554F0000}"/>
    <cellStyle name="Normal 2 5 4 2 5 2 3" xfId="4503" xr:uid="{00000000-0005-0000-0000-0000564F0000}"/>
    <cellStyle name="Normal 2 5 4 2 5 2 3 2" xfId="16957" xr:uid="{00000000-0005-0000-0000-0000574F0000}"/>
    <cellStyle name="Normal 2 5 4 2 5 2 3 2 2" xfId="41831" xr:uid="{00000000-0005-0000-0000-0000584F0000}"/>
    <cellStyle name="Normal 2 5 4 2 5 2 3 3" xfId="29398" xr:uid="{00000000-0005-0000-0000-0000594F0000}"/>
    <cellStyle name="Normal 2 5 4 2 5 2 4" xfId="14565" xr:uid="{00000000-0005-0000-0000-00005A4F0000}"/>
    <cellStyle name="Normal 2 5 4 2 5 2 4 2" xfId="39439" xr:uid="{00000000-0005-0000-0000-00005B4F0000}"/>
    <cellStyle name="Normal 2 5 4 2 5 2 5" xfId="26998" xr:uid="{00000000-0005-0000-0000-00005C4F0000}"/>
    <cellStyle name="Normal 2 5 4 2 5 3" xfId="5911" xr:uid="{00000000-0005-0000-0000-00005D4F0000}"/>
    <cellStyle name="Normal 2 5 4 2 5 3 2" xfId="10926" xr:uid="{00000000-0005-0000-0000-00005E4F0000}"/>
    <cellStyle name="Normal 2 5 4 2 5 3 2 2" xfId="23369" xr:uid="{00000000-0005-0000-0000-00005F4F0000}"/>
    <cellStyle name="Normal 2 5 4 2 5 3 2 2 2" xfId="48243" xr:uid="{00000000-0005-0000-0000-0000604F0000}"/>
    <cellStyle name="Normal 2 5 4 2 5 3 2 3" xfId="35810" xr:uid="{00000000-0005-0000-0000-0000614F0000}"/>
    <cellStyle name="Normal 2 5 4 2 5 3 3" xfId="18362" xr:uid="{00000000-0005-0000-0000-0000624F0000}"/>
    <cellStyle name="Normal 2 5 4 2 5 3 3 2" xfId="43236" xr:uid="{00000000-0005-0000-0000-0000634F0000}"/>
    <cellStyle name="Normal 2 5 4 2 5 3 4" xfId="30803" xr:uid="{00000000-0005-0000-0000-0000644F0000}"/>
    <cellStyle name="Normal 2 5 4 2 5 4" xfId="8637" xr:uid="{00000000-0005-0000-0000-0000654F0000}"/>
    <cellStyle name="Normal 2 5 4 2 5 4 2" xfId="21081" xr:uid="{00000000-0005-0000-0000-0000664F0000}"/>
    <cellStyle name="Normal 2 5 4 2 5 4 2 2" xfId="45955" xr:uid="{00000000-0005-0000-0000-0000674F0000}"/>
    <cellStyle name="Normal 2 5 4 2 5 4 3" xfId="33522" xr:uid="{00000000-0005-0000-0000-0000684F0000}"/>
    <cellStyle name="Normal 2 5 4 2 5 5" xfId="12380" xr:uid="{00000000-0005-0000-0000-0000694F0000}"/>
    <cellStyle name="Normal 2 5 4 2 5 5 2" xfId="24814" xr:uid="{00000000-0005-0000-0000-00006A4F0000}"/>
    <cellStyle name="Normal 2 5 4 2 5 5 2 2" xfId="49688" xr:uid="{00000000-0005-0000-0000-00006B4F0000}"/>
    <cellStyle name="Normal 2 5 4 2 5 5 3" xfId="37255" xr:uid="{00000000-0005-0000-0000-00006C4F0000}"/>
    <cellStyle name="Normal 2 5 4 2 5 6" xfId="7114" xr:uid="{00000000-0005-0000-0000-00006D4F0000}"/>
    <cellStyle name="Normal 2 5 4 2 5 6 2" xfId="19563" xr:uid="{00000000-0005-0000-0000-00006E4F0000}"/>
    <cellStyle name="Normal 2 5 4 2 5 6 2 2" xfId="44437" xr:uid="{00000000-0005-0000-0000-00006F4F0000}"/>
    <cellStyle name="Normal 2 5 4 2 5 6 3" xfId="32004" xr:uid="{00000000-0005-0000-0000-0000704F0000}"/>
    <cellStyle name="Normal 2 5 4 2 5 7" xfId="3568" xr:uid="{00000000-0005-0000-0000-0000714F0000}"/>
    <cellStyle name="Normal 2 5 4 2 5 7 2" xfId="16074" xr:uid="{00000000-0005-0000-0000-0000724F0000}"/>
    <cellStyle name="Normal 2 5 4 2 5 7 2 2" xfId="40948" xr:uid="{00000000-0005-0000-0000-0000734F0000}"/>
    <cellStyle name="Normal 2 5 4 2 5 7 3" xfId="28507" xr:uid="{00000000-0005-0000-0000-0000744F0000}"/>
    <cellStyle name="Normal 2 5 4 2 5 8" xfId="13469" xr:uid="{00000000-0005-0000-0000-0000754F0000}"/>
    <cellStyle name="Normal 2 5 4 2 5 8 2" xfId="38343" xr:uid="{00000000-0005-0000-0000-0000764F0000}"/>
    <cellStyle name="Normal 2 5 4 2 5 9" xfId="25902" xr:uid="{00000000-0005-0000-0000-0000774F0000}"/>
    <cellStyle name="Normal 2 5 4 2 6" xfId="2222" xr:uid="{00000000-0005-0000-0000-0000784F0000}"/>
    <cellStyle name="Normal 2 5 4 2 6 2" xfId="4851" xr:uid="{00000000-0005-0000-0000-0000794F0000}"/>
    <cellStyle name="Normal 2 5 4 2 6 2 2" xfId="9868" xr:uid="{00000000-0005-0000-0000-00007A4F0000}"/>
    <cellStyle name="Normal 2 5 4 2 6 2 2 2" xfId="22311" xr:uid="{00000000-0005-0000-0000-00007B4F0000}"/>
    <cellStyle name="Normal 2 5 4 2 6 2 2 2 2" xfId="47185" xr:uid="{00000000-0005-0000-0000-00007C4F0000}"/>
    <cellStyle name="Normal 2 5 4 2 6 2 2 3" xfId="34752" xr:uid="{00000000-0005-0000-0000-00007D4F0000}"/>
    <cellStyle name="Normal 2 5 4 2 6 2 3" xfId="17304" xr:uid="{00000000-0005-0000-0000-00007E4F0000}"/>
    <cellStyle name="Normal 2 5 4 2 6 2 3 2" xfId="42178" xr:uid="{00000000-0005-0000-0000-00007F4F0000}"/>
    <cellStyle name="Normal 2 5 4 2 6 2 4" xfId="29745" xr:uid="{00000000-0005-0000-0000-0000804F0000}"/>
    <cellStyle name="Normal 2 5 4 2 6 3" xfId="6249" xr:uid="{00000000-0005-0000-0000-0000814F0000}"/>
    <cellStyle name="Normal 2 5 4 2 6 3 2" xfId="11264" xr:uid="{00000000-0005-0000-0000-0000824F0000}"/>
    <cellStyle name="Normal 2 5 4 2 6 3 2 2" xfId="23707" xr:uid="{00000000-0005-0000-0000-0000834F0000}"/>
    <cellStyle name="Normal 2 5 4 2 6 3 2 2 2" xfId="48581" xr:uid="{00000000-0005-0000-0000-0000844F0000}"/>
    <cellStyle name="Normal 2 5 4 2 6 3 2 3" xfId="36148" xr:uid="{00000000-0005-0000-0000-0000854F0000}"/>
    <cellStyle name="Normal 2 5 4 2 6 3 3" xfId="18700" xr:uid="{00000000-0005-0000-0000-0000864F0000}"/>
    <cellStyle name="Normal 2 5 4 2 6 3 3 2" xfId="43574" xr:uid="{00000000-0005-0000-0000-0000874F0000}"/>
    <cellStyle name="Normal 2 5 4 2 6 3 4" xfId="31141" xr:uid="{00000000-0005-0000-0000-0000884F0000}"/>
    <cellStyle name="Normal 2 5 4 2 6 4" xfId="8056" xr:uid="{00000000-0005-0000-0000-0000894F0000}"/>
    <cellStyle name="Normal 2 5 4 2 6 4 2" xfId="20502" xr:uid="{00000000-0005-0000-0000-00008A4F0000}"/>
    <cellStyle name="Normal 2 5 4 2 6 4 2 2" xfId="45376" xr:uid="{00000000-0005-0000-0000-00008B4F0000}"/>
    <cellStyle name="Normal 2 5 4 2 6 4 3" xfId="32943" xr:uid="{00000000-0005-0000-0000-00008C4F0000}"/>
    <cellStyle name="Normal 2 5 4 2 6 5" xfId="12718" xr:uid="{00000000-0005-0000-0000-00008D4F0000}"/>
    <cellStyle name="Normal 2 5 4 2 6 5 2" xfId="25152" xr:uid="{00000000-0005-0000-0000-00008E4F0000}"/>
    <cellStyle name="Normal 2 5 4 2 6 5 2 2" xfId="50026" xr:uid="{00000000-0005-0000-0000-00008F4F0000}"/>
    <cellStyle name="Normal 2 5 4 2 6 5 3" xfId="37593" xr:uid="{00000000-0005-0000-0000-0000904F0000}"/>
    <cellStyle name="Normal 2 5 4 2 6 6" xfId="7462" xr:uid="{00000000-0005-0000-0000-0000914F0000}"/>
    <cellStyle name="Normal 2 5 4 2 6 6 2" xfId="19910" xr:uid="{00000000-0005-0000-0000-0000924F0000}"/>
    <cellStyle name="Normal 2 5 4 2 6 6 2 2" xfId="44784" xr:uid="{00000000-0005-0000-0000-0000934F0000}"/>
    <cellStyle name="Normal 2 5 4 2 6 6 3" xfId="32351" xr:uid="{00000000-0005-0000-0000-0000944F0000}"/>
    <cellStyle name="Normal 2 5 4 2 6 7" xfId="2983" xr:uid="{00000000-0005-0000-0000-0000954F0000}"/>
    <cellStyle name="Normal 2 5 4 2 6 7 2" xfId="15495" xr:uid="{00000000-0005-0000-0000-0000964F0000}"/>
    <cellStyle name="Normal 2 5 4 2 6 7 2 2" xfId="40369" xr:uid="{00000000-0005-0000-0000-0000974F0000}"/>
    <cellStyle name="Normal 2 5 4 2 6 7 3" xfId="27928" xr:uid="{00000000-0005-0000-0000-0000984F0000}"/>
    <cellStyle name="Normal 2 5 4 2 6 8" xfId="14903" xr:uid="{00000000-0005-0000-0000-0000994F0000}"/>
    <cellStyle name="Normal 2 5 4 2 6 8 2" xfId="39777" xr:uid="{00000000-0005-0000-0000-00009A4F0000}"/>
    <cellStyle name="Normal 2 5 4 2 6 9" xfId="27336" xr:uid="{00000000-0005-0000-0000-00009B4F0000}"/>
    <cellStyle name="Normal 2 5 4 2 7" xfId="1060" xr:uid="{00000000-0005-0000-0000-00009C4F0000}"/>
    <cellStyle name="Normal 2 5 4 2 7 2" xfId="8942" xr:uid="{00000000-0005-0000-0000-00009D4F0000}"/>
    <cellStyle name="Normal 2 5 4 2 7 2 2" xfId="21385" xr:uid="{00000000-0005-0000-0000-00009E4F0000}"/>
    <cellStyle name="Normal 2 5 4 2 7 2 2 2" xfId="46259" xr:uid="{00000000-0005-0000-0000-00009F4F0000}"/>
    <cellStyle name="Normal 2 5 4 2 7 2 3" xfId="33826" xr:uid="{00000000-0005-0000-0000-0000A04F0000}"/>
    <cellStyle name="Normal 2 5 4 2 7 3" xfId="3924" xr:uid="{00000000-0005-0000-0000-0000A14F0000}"/>
    <cellStyle name="Normal 2 5 4 2 7 3 2" xfId="16378" xr:uid="{00000000-0005-0000-0000-0000A24F0000}"/>
    <cellStyle name="Normal 2 5 4 2 7 3 2 2" xfId="41252" xr:uid="{00000000-0005-0000-0000-0000A34F0000}"/>
    <cellStyle name="Normal 2 5 4 2 7 3 3" xfId="28819" xr:uid="{00000000-0005-0000-0000-0000A44F0000}"/>
    <cellStyle name="Normal 2 5 4 2 7 4" xfId="13860" xr:uid="{00000000-0005-0000-0000-0000A54F0000}"/>
    <cellStyle name="Normal 2 5 4 2 7 4 2" xfId="38734" xr:uid="{00000000-0005-0000-0000-0000A64F0000}"/>
    <cellStyle name="Normal 2 5 4 2 7 5" xfId="26293" xr:uid="{00000000-0005-0000-0000-0000A74F0000}"/>
    <cellStyle name="Normal 2 5 4 2 8" xfId="5205" xr:uid="{00000000-0005-0000-0000-0000A84F0000}"/>
    <cellStyle name="Normal 2 5 4 2 8 2" xfId="10221" xr:uid="{00000000-0005-0000-0000-0000A94F0000}"/>
    <cellStyle name="Normal 2 5 4 2 8 2 2" xfId="22664" xr:uid="{00000000-0005-0000-0000-0000AA4F0000}"/>
    <cellStyle name="Normal 2 5 4 2 8 2 2 2" xfId="47538" xr:uid="{00000000-0005-0000-0000-0000AB4F0000}"/>
    <cellStyle name="Normal 2 5 4 2 8 2 3" xfId="35105" xr:uid="{00000000-0005-0000-0000-0000AC4F0000}"/>
    <cellStyle name="Normal 2 5 4 2 8 3" xfId="17657" xr:uid="{00000000-0005-0000-0000-0000AD4F0000}"/>
    <cellStyle name="Normal 2 5 4 2 8 3 2" xfId="42531" xr:uid="{00000000-0005-0000-0000-0000AE4F0000}"/>
    <cellStyle name="Normal 2 5 4 2 8 4" xfId="30098" xr:uid="{00000000-0005-0000-0000-0000AF4F0000}"/>
    <cellStyle name="Normal 2 5 4 2 9" xfId="7782" xr:uid="{00000000-0005-0000-0000-0000B04F0000}"/>
    <cellStyle name="Normal 2 5 4 2 9 2" xfId="20228" xr:uid="{00000000-0005-0000-0000-0000B14F0000}"/>
    <cellStyle name="Normal 2 5 4 2 9 2 2" xfId="45102" xr:uid="{00000000-0005-0000-0000-0000B24F0000}"/>
    <cellStyle name="Normal 2 5 4 2 9 3" xfId="32669" xr:uid="{00000000-0005-0000-0000-0000B34F0000}"/>
    <cellStyle name="Normal 2 5 4 2_Degree data" xfId="1995" xr:uid="{00000000-0005-0000-0000-0000B44F0000}"/>
    <cellStyle name="Normal 2 5 4 3" xfId="190" xr:uid="{00000000-0005-0000-0000-0000B54F0000}"/>
    <cellStyle name="Normal 2 5 4 3 10" xfId="6578" xr:uid="{00000000-0005-0000-0000-0000B64F0000}"/>
    <cellStyle name="Normal 2 5 4 3 10 2" xfId="19027" xr:uid="{00000000-0005-0000-0000-0000B74F0000}"/>
    <cellStyle name="Normal 2 5 4 3 10 2 2" xfId="43901" xr:uid="{00000000-0005-0000-0000-0000B84F0000}"/>
    <cellStyle name="Normal 2 5 4 3 10 3" xfId="31468" xr:uid="{00000000-0005-0000-0000-0000B94F0000}"/>
    <cellStyle name="Normal 2 5 4 3 11" xfId="2746" xr:uid="{00000000-0005-0000-0000-0000BA4F0000}"/>
    <cellStyle name="Normal 2 5 4 3 11 2" xfId="15264" xr:uid="{00000000-0005-0000-0000-0000BB4F0000}"/>
    <cellStyle name="Normal 2 5 4 3 11 2 2" xfId="40138" xr:uid="{00000000-0005-0000-0000-0000BC4F0000}"/>
    <cellStyle name="Normal 2 5 4 3 11 3" xfId="27697" xr:uid="{00000000-0005-0000-0000-0000BD4F0000}"/>
    <cellStyle name="Normal 2 5 4 3 12" xfId="13020" xr:uid="{00000000-0005-0000-0000-0000BE4F0000}"/>
    <cellStyle name="Normal 2 5 4 3 12 2" xfId="37894" xr:uid="{00000000-0005-0000-0000-0000BF4F0000}"/>
    <cellStyle name="Normal 2 5 4 3 13" xfId="25453" xr:uid="{00000000-0005-0000-0000-0000C04F0000}"/>
    <cellStyle name="Normal 2 5 4 3 2" xfId="451" xr:uid="{00000000-0005-0000-0000-0000C14F0000}"/>
    <cellStyle name="Normal 2 5 4 3 2 10" xfId="13265" xr:uid="{00000000-0005-0000-0000-0000C24F0000}"/>
    <cellStyle name="Normal 2 5 4 3 2 10 2" xfId="38139" xr:uid="{00000000-0005-0000-0000-0000C34F0000}"/>
    <cellStyle name="Normal 2 5 4 3 2 11" xfId="25698" xr:uid="{00000000-0005-0000-0000-0000C44F0000}"/>
    <cellStyle name="Normal 2 5 4 3 2 2" xfId="811" xr:uid="{00000000-0005-0000-0000-0000C54F0000}"/>
    <cellStyle name="Normal 2 5 4 3 2 2 2" xfId="1421" xr:uid="{00000000-0005-0000-0000-0000C64F0000}"/>
    <cellStyle name="Normal 2 5 4 3 2 2 2 2" xfId="9525" xr:uid="{00000000-0005-0000-0000-0000C74F0000}"/>
    <cellStyle name="Normal 2 5 4 3 2 2 2 2 2" xfId="21968" xr:uid="{00000000-0005-0000-0000-0000C84F0000}"/>
    <cellStyle name="Normal 2 5 4 3 2 2 2 2 2 2" xfId="46842" xr:uid="{00000000-0005-0000-0000-0000C94F0000}"/>
    <cellStyle name="Normal 2 5 4 3 2 2 2 2 3" xfId="34409" xr:uid="{00000000-0005-0000-0000-0000CA4F0000}"/>
    <cellStyle name="Normal 2 5 4 3 2 2 2 3" xfId="4507" xr:uid="{00000000-0005-0000-0000-0000CB4F0000}"/>
    <cellStyle name="Normal 2 5 4 3 2 2 2 3 2" xfId="16961" xr:uid="{00000000-0005-0000-0000-0000CC4F0000}"/>
    <cellStyle name="Normal 2 5 4 3 2 2 2 3 2 2" xfId="41835" xr:uid="{00000000-0005-0000-0000-0000CD4F0000}"/>
    <cellStyle name="Normal 2 5 4 3 2 2 2 3 3" xfId="29402" xr:uid="{00000000-0005-0000-0000-0000CE4F0000}"/>
    <cellStyle name="Normal 2 5 4 3 2 2 2 4" xfId="14221" xr:uid="{00000000-0005-0000-0000-0000CF4F0000}"/>
    <cellStyle name="Normal 2 5 4 3 2 2 2 4 2" xfId="39095" xr:uid="{00000000-0005-0000-0000-0000D04F0000}"/>
    <cellStyle name="Normal 2 5 4 3 2 2 2 5" xfId="26654" xr:uid="{00000000-0005-0000-0000-0000D14F0000}"/>
    <cellStyle name="Normal 2 5 4 3 2 2 3" xfId="5566" xr:uid="{00000000-0005-0000-0000-0000D24F0000}"/>
    <cellStyle name="Normal 2 5 4 3 2 2 3 2" xfId="10582" xr:uid="{00000000-0005-0000-0000-0000D34F0000}"/>
    <cellStyle name="Normal 2 5 4 3 2 2 3 2 2" xfId="23025" xr:uid="{00000000-0005-0000-0000-0000D44F0000}"/>
    <cellStyle name="Normal 2 5 4 3 2 2 3 2 2 2" xfId="47899" xr:uid="{00000000-0005-0000-0000-0000D54F0000}"/>
    <cellStyle name="Normal 2 5 4 3 2 2 3 2 3" xfId="35466" xr:uid="{00000000-0005-0000-0000-0000D64F0000}"/>
    <cellStyle name="Normal 2 5 4 3 2 2 3 3" xfId="18018" xr:uid="{00000000-0005-0000-0000-0000D74F0000}"/>
    <cellStyle name="Normal 2 5 4 3 2 2 3 3 2" xfId="42892" xr:uid="{00000000-0005-0000-0000-0000D84F0000}"/>
    <cellStyle name="Normal 2 5 4 3 2 2 3 4" xfId="30459" xr:uid="{00000000-0005-0000-0000-0000D94F0000}"/>
    <cellStyle name="Normal 2 5 4 3 2 2 4" xfId="8641" xr:uid="{00000000-0005-0000-0000-0000DA4F0000}"/>
    <cellStyle name="Normal 2 5 4 3 2 2 4 2" xfId="21085" xr:uid="{00000000-0005-0000-0000-0000DB4F0000}"/>
    <cellStyle name="Normal 2 5 4 3 2 2 4 2 2" xfId="45959" xr:uid="{00000000-0005-0000-0000-0000DC4F0000}"/>
    <cellStyle name="Normal 2 5 4 3 2 2 4 3" xfId="33526" xr:uid="{00000000-0005-0000-0000-0000DD4F0000}"/>
    <cellStyle name="Normal 2 5 4 3 2 2 5" xfId="12036" xr:uid="{00000000-0005-0000-0000-0000DE4F0000}"/>
    <cellStyle name="Normal 2 5 4 3 2 2 5 2" xfId="24470" xr:uid="{00000000-0005-0000-0000-0000DF4F0000}"/>
    <cellStyle name="Normal 2 5 4 3 2 2 5 2 2" xfId="49344" xr:uid="{00000000-0005-0000-0000-0000E04F0000}"/>
    <cellStyle name="Normal 2 5 4 3 2 2 5 3" xfId="36911" xr:uid="{00000000-0005-0000-0000-0000E14F0000}"/>
    <cellStyle name="Normal 2 5 4 3 2 2 6" xfId="7118" xr:uid="{00000000-0005-0000-0000-0000E24F0000}"/>
    <cellStyle name="Normal 2 5 4 3 2 2 6 2" xfId="19567" xr:uid="{00000000-0005-0000-0000-0000E34F0000}"/>
    <cellStyle name="Normal 2 5 4 3 2 2 6 2 2" xfId="44441" xr:uid="{00000000-0005-0000-0000-0000E44F0000}"/>
    <cellStyle name="Normal 2 5 4 3 2 2 6 3" xfId="32008" xr:uid="{00000000-0005-0000-0000-0000E54F0000}"/>
    <cellStyle name="Normal 2 5 4 3 2 2 7" xfId="3572" xr:uid="{00000000-0005-0000-0000-0000E64F0000}"/>
    <cellStyle name="Normal 2 5 4 3 2 2 7 2" xfId="16078" xr:uid="{00000000-0005-0000-0000-0000E74F0000}"/>
    <cellStyle name="Normal 2 5 4 3 2 2 7 2 2" xfId="40952" xr:uid="{00000000-0005-0000-0000-0000E84F0000}"/>
    <cellStyle name="Normal 2 5 4 3 2 2 7 3" xfId="28511" xr:uid="{00000000-0005-0000-0000-0000E94F0000}"/>
    <cellStyle name="Normal 2 5 4 3 2 2 8" xfId="13612" xr:uid="{00000000-0005-0000-0000-0000EA4F0000}"/>
    <cellStyle name="Normal 2 5 4 3 2 2 8 2" xfId="38486" xr:uid="{00000000-0005-0000-0000-0000EB4F0000}"/>
    <cellStyle name="Normal 2 5 4 3 2 2 9" xfId="26045" xr:uid="{00000000-0005-0000-0000-0000EC4F0000}"/>
    <cellStyle name="Normal 2 5 4 3 2 3" xfId="1769" xr:uid="{00000000-0005-0000-0000-0000ED4F0000}"/>
    <cellStyle name="Normal 2 5 4 3 2 3 2" xfId="4994" xr:uid="{00000000-0005-0000-0000-0000EE4F0000}"/>
    <cellStyle name="Normal 2 5 4 3 2 3 2 2" xfId="10011" xr:uid="{00000000-0005-0000-0000-0000EF4F0000}"/>
    <cellStyle name="Normal 2 5 4 3 2 3 2 2 2" xfId="22454" xr:uid="{00000000-0005-0000-0000-0000F04F0000}"/>
    <cellStyle name="Normal 2 5 4 3 2 3 2 2 2 2" xfId="47328" xr:uid="{00000000-0005-0000-0000-0000F14F0000}"/>
    <cellStyle name="Normal 2 5 4 3 2 3 2 2 3" xfId="34895" xr:uid="{00000000-0005-0000-0000-0000F24F0000}"/>
    <cellStyle name="Normal 2 5 4 3 2 3 2 3" xfId="17447" xr:uid="{00000000-0005-0000-0000-0000F34F0000}"/>
    <cellStyle name="Normal 2 5 4 3 2 3 2 3 2" xfId="42321" xr:uid="{00000000-0005-0000-0000-0000F44F0000}"/>
    <cellStyle name="Normal 2 5 4 3 2 3 2 4" xfId="29888" xr:uid="{00000000-0005-0000-0000-0000F54F0000}"/>
    <cellStyle name="Normal 2 5 4 3 2 3 3" xfId="5915" xr:uid="{00000000-0005-0000-0000-0000F64F0000}"/>
    <cellStyle name="Normal 2 5 4 3 2 3 3 2" xfId="10930" xr:uid="{00000000-0005-0000-0000-0000F74F0000}"/>
    <cellStyle name="Normal 2 5 4 3 2 3 3 2 2" xfId="23373" xr:uid="{00000000-0005-0000-0000-0000F84F0000}"/>
    <cellStyle name="Normal 2 5 4 3 2 3 3 2 2 2" xfId="48247" xr:uid="{00000000-0005-0000-0000-0000F94F0000}"/>
    <cellStyle name="Normal 2 5 4 3 2 3 3 2 3" xfId="35814" xr:uid="{00000000-0005-0000-0000-0000FA4F0000}"/>
    <cellStyle name="Normal 2 5 4 3 2 3 3 3" xfId="18366" xr:uid="{00000000-0005-0000-0000-0000FB4F0000}"/>
    <cellStyle name="Normal 2 5 4 3 2 3 3 3 2" xfId="43240" xr:uid="{00000000-0005-0000-0000-0000FC4F0000}"/>
    <cellStyle name="Normal 2 5 4 3 2 3 3 4" xfId="30807" xr:uid="{00000000-0005-0000-0000-0000FD4F0000}"/>
    <cellStyle name="Normal 2 5 4 3 2 3 4" xfId="8418" xr:uid="{00000000-0005-0000-0000-0000FE4F0000}"/>
    <cellStyle name="Normal 2 5 4 3 2 3 4 2" xfId="20862" xr:uid="{00000000-0005-0000-0000-0000FF4F0000}"/>
    <cellStyle name="Normal 2 5 4 3 2 3 4 2 2" xfId="45736" xr:uid="{00000000-0005-0000-0000-000000500000}"/>
    <cellStyle name="Normal 2 5 4 3 2 3 4 3" xfId="33303" xr:uid="{00000000-0005-0000-0000-000001500000}"/>
    <cellStyle name="Normal 2 5 4 3 2 3 5" xfId="12384" xr:uid="{00000000-0005-0000-0000-000002500000}"/>
    <cellStyle name="Normal 2 5 4 3 2 3 5 2" xfId="24818" xr:uid="{00000000-0005-0000-0000-000003500000}"/>
    <cellStyle name="Normal 2 5 4 3 2 3 5 2 2" xfId="49692" xr:uid="{00000000-0005-0000-0000-000004500000}"/>
    <cellStyle name="Normal 2 5 4 3 2 3 5 3" xfId="37259" xr:uid="{00000000-0005-0000-0000-000005500000}"/>
    <cellStyle name="Normal 2 5 4 3 2 3 6" xfId="7605" xr:uid="{00000000-0005-0000-0000-000006500000}"/>
    <cellStyle name="Normal 2 5 4 3 2 3 6 2" xfId="20053" xr:uid="{00000000-0005-0000-0000-000007500000}"/>
    <cellStyle name="Normal 2 5 4 3 2 3 6 2 2" xfId="44927" xr:uid="{00000000-0005-0000-0000-000008500000}"/>
    <cellStyle name="Normal 2 5 4 3 2 3 6 3" xfId="32494" xr:uid="{00000000-0005-0000-0000-000009500000}"/>
    <cellStyle name="Normal 2 5 4 3 2 3 7" xfId="3349" xr:uid="{00000000-0005-0000-0000-00000A500000}"/>
    <cellStyle name="Normal 2 5 4 3 2 3 7 2" xfId="15855" xr:uid="{00000000-0005-0000-0000-00000B500000}"/>
    <cellStyle name="Normal 2 5 4 3 2 3 7 2 2" xfId="40729" xr:uid="{00000000-0005-0000-0000-00000C500000}"/>
    <cellStyle name="Normal 2 5 4 3 2 3 7 3" xfId="28288" xr:uid="{00000000-0005-0000-0000-00000D500000}"/>
    <cellStyle name="Normal 2 5 4 3 2 3 8" xfId="14569" xr:uid="{00000000-0005-0000-0000-00000E500000}"/>
    <cellStyle name="Normal 2 5 4 3 2 3 8 2" xfId="39443" xr:uid="{00000000-0005-0000-0000-00000F500000}"/>
    <cellStyle name="Normal 2 5 4 3 2 3 9" xfId="27002" xr:uid="{00000000-0005-0000-0000-000010500000}"/>
    <cellStyle name="Normal 2 5 4 3 2 4" xfId="2369" xr:uid="{00000000-0005-0000-0000-000011500000}"/>
    <cellStyle name="Normal 2 5 4 3 2 4 2" xfId="6392" xr:uid="{00000000-0005-0000-0000-000012500000}"/>
    <cellStyle name="Normal 2 5 4 3 2 4 2 2" xfId="11407" xr:uid="{00000000-0005-0000-0000-000013500000}"/>
    <cellStyle name="Normal 2 5 4 3 2 4 2 2 2" xfId="23850" xr:uid="{00000000-0005-0000-0000-000014500000}"/>
    <cellStyle name="Normal 2 5 4 3 2 4 2 2 2 2" xfId="48724" xr:uid="{00000000-0005-0000-0000-000015500000}"/>
    <cellStyle name="Normal 2 5 4 3 2 4 2 2 3" xfId="36291" xr:uid="{00000000-0005-0000-0000-000016500000}"/>
    <cellStyle name="Normal 2 5 4 3 2 4 2 3" xfId="18843" xr:uid="{00000000-0005-0000-0000-000017500000}"/>
    <cellStyle name="Normal 2 5 4 3 2 4 2 3 2" xfId="43717" xr:uid="{00000000-0005-0000-0000-000018500000}"/>
    <cellStyle name="Normal 2 5 4 3 2 4 2 4" xfId="31284" xr:uid="{00000000-0005-0000-0000-000019500000}"/>
    <cellStyle name="Normal 2 5 4 3 2 4 3" xfId="12861" xr:uid="{00000000-0005-0000-0000-00001A500000}"/>
    <cellStyle name="Normal 2 5 4 3 2 4 3 2" xfId="25295" xr:uid="{00000000-0005-0000-0000-00001B500000}"/>
    <cellStyle name="Normal 2 5 4 3 2 4 3 2 2" xfId="50169" xr:uid="{00000000-0005-0000-0000-00001C500000}"/>
    <cellStyle name="Normal 2 5 4 3 2 4 3 3" xfId="37736" xr:uid="{00000000-0005-0000-0000-00001D500000}"/>
    <cellStyle name="Normal 2 5 4 3 2 4 4" xfId="9302" xr:uid="{00000000-0005-0000-0000-00001E500000}"/>
    <cellStyle name="Normal 2 5 4 3 2 4 4 2" xfId="21745" xr:uid="{00000000-0005-0000-0000-00001F500000}"/>
    <cellStyle name="Normal 2 5 4 3 2 4 4 2 2" xfId="46619" xr:uid="{00000000-0005-0000-0000-000020500000}"/>
    <cellStyle name="Normal 2 5 4 3 2 4 4 3" xfId="34186" xr:uid="{00000000-0005-0000-0000-000021500000}"/>
    <cellStyle name="Normal 2 5 4 3 2 4 5" xfId="4284" xr:uid="{00000000-0005-0000-0000-000022500000}"/>
    <cellStyle name="Normal 2 5 4 3 2 4 5 2" xfId="16738" xr:uid="{00000000-0005-0000-0000-000023500000}"/>
    <cellStyle name="Normal 2 5 4 3 2 4 5 2 2" xfId="41612" xr:uid="{00000000-0005-0000-0000-000024500000}"/>
    <cellStyle name="Normal 2 5 4 3 2 4 5 3" xfId="29179" xr:uid="{00000000-0005-0000-0000-000025500000}"/>
    <cellStyle name="Normal 2 5 4 3 2 4 6" xfId="15046" xr:uid="{00000000-0005-0000-0000-000026500000}"/>
    <cellStyle name="Normal 2 5 4 3 2 4 6 2" xfId="39920" xr:uid="{00000000-0005-0000-0000-000027500000}"/>
    <cellStyle name="Normal 2 5 4 3 2 4 7" xfId="27479" xr:uid="{00000000-0005-0000-0000-000028500000}"/>
    <cellStyle name="Normal 2 5 4 3 2 5" xfId="1203" xr:uid="{00000000-0005-0000-0000-000029500000}"/>
    <cellStyle name="Normal 2 5 4 3 2 5 2" xfId="10364" xr:uid="{00000000-0005-0000-0000-00002A500000}"/>
    <cellStyle name="Normal 2 5 4 3 2 5 2 2" xfId="22807" xr:uid="{00000000-0005-0000-0000-00002B500000}"/>
    <cellStyle name="Normal 2 5 4 3 2 5 2 2 2" xfId="47681" xr:uid="{00000000-0005-0000-0000-00002C500000}"/>
    <cellStyle name="Normal 2 5 4 3 2 5 2 3" xfId="35248" xr:uid="{00000000-0005-0000-0000-00002D500000}"/>
    <cellStyle name="Normal 2 5 4 3 2 5 3" xfId="5348" xr:uid="{00000000-0005-0000-0000-00002E500000}"/>
    <cellStyle name="Normal 2 5 4 3 2 5 3 2" xfId="17800" xr:uid="{00000000-0005-0000-0000-00002F500000}"/>
    <cellStyle name="Normal 2 5 4 3 2 5 3 2 2" xfId="42674" xr:uid="{00000000-0005-0000-0000-000030500000}"/>
    <cellStyle name="Normal 2 5 4 3 2 5 3 3" xfId="30241" xr:uid="{00000000-0005-0000-0000-000031500000}"/>
    <cellStyle name="Normal 2 5 4 3 2 5 4" xfId="14003" xr:uid="{00000000-0005-0000-0000-000032500000}"/>
    <cellStyle name="Normal 2 5 4 3 2 5 4 2" xfId="38877" xr:uid="{00000000-0005-0000-0000-000033500000}"/>
    <cellStyle name="Normal 2 5 4 3 2 5 5" xfId="26436" xr:uid="{00000000-0005-0000-0000-000034500000}"/>
    <cellStyle name="Normal 2 5 4 3 2 6" xfId="7925" xr:uid="{00000000-0005-0000-0000-000035500000}"/>
    <cellStyle name="Normal 2 5 4 3 2 6 2" xfId="20371" xr:uid="{00000000-0005-0000-0000-000036500000}"/>
    <cellStyle name="Normal 2 5 4 3 2 6 2 2" xfId="45245" xr:uid="{00000000-0005-0000-0000-000037500000}"/>
    <cellStyle name="Normal 2 5 4 3 2 6 3" xfId="32812" xr:uid="{00000000-0005-0000-0000-000038500000}"/>
    <cellStyle name="Normal 2 5 4 3 2 7" xfId="11818" xr:uid="{00000000-0005-0000-0000-000039500000}"/>
    <cellStyle name="Normal 2 5 4 3 2 7 2" xfId="24252" xr:uid="{00000000-0005-0000-0000-00003A500000}"/>
    <cellStyle name="Normal 2 5 4 3 2 7 2 2" xfId="49126" xr:uid="{00000000-0005-0000-0000-00003B500000}"/>
    <cellStyle name="Normal 2 5 4 3 2 7 3" xfId="36693" xr:uid="{00000000-0005-0000-0000-00003C500000}"/>
    <cellStyle name="Normal 2 5 4 3 2 8" xfId="6895" xr:uid="{00000000-0005-0000-0000-00003D500000}"/>
    <cellStyle name="Normal 2 5 4 3 2 8 2" xfId="19344" xr:uid="{00000000-0005-0000-0000-00003E500000}"/>
    <cellStyle name="Normal 2 5 4 3 2 8 2 2" xfId="44218" xr:uid="{00000000-0005-0000-0000-00003F500000}"/>
    <cellStyle name="Normal 2 5 4 3 2 8 3" xfId="31785" xr:uid="{00000000-0005-0000-0000-000040500000}"/>
    <cellStyle name="Normal 2 5 4 3 2 9" xfId="2846" xr:uid="{00000000-0005-0000-0000-000041500000}"/>
    <cellStyle name="Normal 2 5 4 3 2 9 2" xfId="15364" xr:uid="{00000000-0005-0000-0000-000042500000}"/>
    <cellStyle name="Normal 2 5 4 3 2 9 2 2" xfId="40238" xr:uid="{00000000-0005-0000-0000-000043500000}"/>
    <cellStyle name="Normal 2 5 4 3 2 9 3" xfId="27797" xr:uid="{00000000-0005-0000-0000-000044500000}"/>
    <cellStyle name="Normal 2 5 4 3 2_Degree data" xfId="2099" xr:uid="{00000000-0005-0000-0000-000045500000}"/>
    <cellStyle name="Normal 2 5 4 3 3" xfId="349" xr:uid="{00000000-0005-0000-0000-000046500000}"/>
    <cellStyle name="Normal 2 5 4 3 3 2" xfId="1420" xr:uid="{00000000-0005-0000-0000-000047500000}"/>
    <cellStyle name="Normal 2 5 4 3 3 2 2" xfId="9202" xr:uid="{00000000-0005-0000-0000-000048500000}"/>
    <cellStyle name="Normal 2 5 4 3 3 2 2 2" xfId="21645" xr:uid="{00000000-0005-0000-0000-000049500000}"/>
    <cellStyle name="Normal 2 5 4 3 3 2 2 2 2" xfId="46519" xr:uid="{00000000-0005-0000-0000-00004A500000}"/>
    <cellStyle name="Normal 2 5 4 3 3 2 2 3" xfId="34086" xr:uid="{00000000-0005-0000-0000-00004B500000}"/>
    <cellStyle name="Normal 2 5 4 3 3 2 3" xfId="4184" xr:uid="{00000000-0005-0000-0000-00004C500000}"/>
    <cellStyle name="Normal 2 5 4 3 3 2 3 2" xfId="16638" xr:uid="{00000000-0005-0000-0000-00004D500000}"/>
    <cellStyle name="Normal 2 5 4 3 3 2 3 2 2" xfId="41512" xr:uid="{00000000-0005-0000-0000-00004E500000}"/>
    <cellStyle name="Normal 2 5 4 3 3 2 3 3" xfId="29079" xr:uid="{00000000-0005-0000-0000-00004F500000}"/>
    <cellStyle name="Normal 2 5 4 3 3 2 4" xfId="14220" xr:uid="{00000000-0005-0000-0000-000050500000}"/>
    <cellStyle name="Normal 2 5 4 3 3 2 4 2" xfId="39094" xr:uid="{00000000-0005-0000-0000-000051500000}"/>
    <cellStyle name="Normal 2 5 4 3 3 2 5" xfId="26653" xr:uid="{00000000-0005-0000-0000-000052500000}"/>
    <cellStyle name="Normal 2 5 4 3 3 3" xfId="5565" xr:uid="{00000000-0005-0000-0000-000053500000}"/>
    <cellStyle name="Normal 2 5 4 3 3 3 2" xfId="10581" xr:uid="{00000000-0005-0000-0000-000054500000}"/>
    <cellStyle name="Normal 2 5 4 3 3 3 2 2" xfId="23024" xr:uid="{00000000-0005-0000-0000-000055500000}"/>
    <cellStyle name="Normal 2 5 4 3 3 3 2 2 2" xfId="47898" xr:uid="{00000000-0005-0000-0000-000056500000}"/>
    <cellStyle name="Normal 2 5 4 3 3 3 2 3" xfId="35465" xr:uid="{00000000-0005-0000-0000-000057500000}"/>
    <cellStyle name="Normal 2 5 4 3 3 3 3" xfId="18017" xr:uid="{00000000-0005-0000-0000-000058500000}"/>
    <cellStyle name="Normal 2 5 4 3 3 3 3 2" xfId="42891" xr:uid="{00000000-0005-0000-0000-000059500000}"/>
    <cellStyle name="Normal 2 5 4 3 3 3 4" xfId="30458" xr:uid="{00000000-0005-0000-0000-00005A500000}"/>
    <cellStyle name="Normal 2 5 4 3 3 4" xfId="8318" xr:uid="{00000000-0005-0000-0000-00005B500000}"/>
    <cellStyle name="Normal 2 5 4 3 3 4 2" xfId="20762" xr:uid="{00000000-0005-0000-0000-00005C500000}"/>
    <cellStyle name="Normal 2 5 4 3 3 4 2 2" xfId="45636" xr:uid="{00000000-0005-0000-0000-00005D500000}"/>
    <cellStyle name="Normal 2 5 4 3 3 4 3" xfId="33203" xr:uid="{00000000-0005-0000-0000-00005E500000}"/>
    <cellStyle name="Normal 2 5 4 3 3 5" xfId="12035" xr:uid="{00000000-0005-0000-0000-00005F500000}"/>
    <cellStyle name="Normal 2 5 4 3 3 5 2" xfId="24469" xr:uid="{00000000-0005-0000-0000-000060500000}"/>
    <cellStyle name="Normal 2 5 4 3 3 5 2 2" xfId="49343" xr:uid="{00000000-0005-0000-0000-000061500000}"/>
    <cellStyle name="Normal 2 5 4 3 3 5 3" xfId="36910" xr:uid="{00000000-0005-0000-0000-000062500000}"/>
    <cellStyle name="Normal 2 5 4 3 3 6" xfId="6795" xr:uid="{00000000-0005-0000-0000-000063500000}"/>
    <cellStyle name="Normal 2 5 4 3 3 6 2" xfId="19244" xr:uid="{00000000-0005-0000-0000-000064500000}"/>
    <cellStyle name="Normal 2 5 4 3 3 6 2 2" xfId="44118" xr:uid="{00000000-0005-0000-0000-000065500000}"/>
    <cellStyle name="Normal 2 5 4 3 3 6 3" xfId="31685" xr:uid="{00000000-0005-0000-0000-000066500000}"/>
    <cellStyle name="Normal 2 5 4 3 3 7" xfId="3249" xr:uid="{00000000-0005-0000-0000-000067500000}"/>
    <cellStyle name="Normal 2 5 4 3 3 7 2" xfId="15755" xr:uid="{00000000-0005-0000-0000-000068500000}"/>
    <cellStyle name="Normal 2 5 4 3 3 7 2 2" xfId="40629" xr:uid="{00000000-0005-0000-0000-000069500000}"/>
    <cellStyle name="Normal 2 5 4 3 3 7 3" xfId="28188" xr:uid="{00000000-0005-0000-0000-00006A500000}"/>
    <cellStyle name="Normal 2 5 4 3 3 8" xfId="13165" xr:uid="{00000000-0005-0000-0000-00006B500000}"/>
    <cellStyle name="Normal 2 5 4 3 3 8 2" xfId="38039" xr:uid="{00000000-0005-0000-0000-00006C500000}"/>
    <cellStyle name="Normal 2 5 4 3 3 9" xfId="25598" xr:uid="{00000000-0005-0000-0000-00006D500000}"/>
    <cellStyle name="Normal 2 5 4 3 4" xfId="709" xr:uid="{00000000-0005-0000-0000-00006E500000}"/>
    <cellStyle name="Normal 2 5 4 3 4 2" xfId="1768" xr:uid="{00000000-0005-0000-0000-00006F500000}"/>
    <cellStyle name="Normal 2 5 4 3 4 2 2" xfId="9524" xr:uid="{00000000-0005-0000-0000-000070500000}"/>
    <cellStyle name="Normal 2 5 4 3 4 2 2 2" xfId="21967" xr:uid="{00000000-0005-0000-0000-000071500000}"/>
    <cellStyle name="Normal 2 5 4 3 4 2 2 2 2" xfId="46841" xr:uid="{00000000-0005-0000-0000-000072500000}"/>
    <cellStyle name="Normal 2 5 4 3 4 2 2 3" xfId="34408" xr:uid="{00000000-0005-0000-0000-000073500000}"/>
    <cellStyle name="Normal 2 5 4 3 4 2 3" xfId="4506" xr:uid="{00000000-0005-0000-0000-000074500000}"/>
    <cellStyle name="Normal 2 5 4 3 4 2 3 2" xfId="16960" xr:uid="{00000000-0005-0000-0000-000075500000}"/>
    <cellStyle name="Normal 2 5 4 3 4 2 3 2 2" xfId="41834" xr:uid="{00000000-0005-0000-0000-000076500000}"/>
    <cellStyle name="Normal 2 5 4 3 4 2 3 3" xfId="29401" xr:uid="{00000000-0005-0000-0000-000077500000}"/>
    <cellStyle name="Normal 2 5 4 3 4 2 4" xfId="14568" xr:uid="{00000000-0005-0000-0000-000078500000}"/>
    <cellStyle name="Normal 2 5 4 3 4 2 4 2" xfId="39442" xr:uid="{00000000-0005-0000-0000-000079500000}"/>
    <cellStyle name="Normal 2 5 4 3 4 2 5" xfId="27001" xr:uid="{00000000-0005-0000-0000-00007A500000}"/>
    <cellStyle name="Normal 2 5 4 3 4 3" xfId="5914" xr:uid="{00000000-0005-0000-0000-00007B500000}"/>
    <cellStyle name="Normal 2 5 4 3 4 3 2" xfId="10929" xr:uid="{00000000-0005-0000-0000-00007C500000}"/>
    <cellStyle name="Normal 2 5 4 3 4 3 2 2" xfId="23372" xr:uid="{00000000-0005-0000-0000-00007D500000}"/>
    <cellStyle name="Normal 2 5 4 3 4 3 2 2 2" xfId="48246" xr:uid="{00000000-0005-0000-0000-00007E500000}"/>
    <cellStyle name="Normal 2 5 4 3 4 3 2 3" xfId="35813" xr:uid="{00000000-0005-0000-0000-00007F500000}"/>
    <cellStyle name="Normal 2 5 4 3 4 3 3" xfId="18365" xr:uid="{00000000-0005-0000-0000-000080500000}"/>
    <cellStyle name="Normal 2 5 4 3 4 3 3 2" xfId="43239" xr:uid="{00000000-0005-0000-0000-000081500000}"/>
    <cellStyle name="Normal 2 5 4 3 4 3 4" xfId="30806" xr:uid="{00000000-0005-0000-0000-000082500000}"/>
    <cellStyle name="Normal 2 5 4 3 4 4" xfId="8640" xr:uid="{00000000-0005-0000-0000-000083500000}"/>
    <cellStyle name="Normal 2 5 4 3 4 4 2" xfId="21084" xr:uid="{00000000-0005-0000-0000-000084500000}"/>
    <cellStyle name="Normal 2 5 4 3 4 4 2 2" xfId="45958" xr:uid="{00000000-0005-0000-0000-000085500000}"/>
    <cellStyle name="Normal 2 5 4 3 4 4 3" xfId="33525" xr:uid="{00000000-0005-0000-0000-000086500000}"/>
    <cellStyle name="Normal 2 5 4 3 4 5" xfId="12383" xr:uid="{00000000-0005-0000-0000-000087500000}"/>
    <cellStyle name="Normal 2 5 4 3 4 5 2" xfId="24817" xr:uid="{00000000-0005-0000-0000-000088500000}"/>
    <cellStyle name="Normal 2 5 4 3 4 5 2 2" xfId="49691" xr:uid="{00000000-0005-0000-0000-000089500000}"/>
    <cellStyle name="Normal 2 5 4 3 4 5 3" xfId="37258" xr:uid="{00000000-0005-0000-0000-00008A500000}"/>
    <cellStyle name="Normal 2 5 4 3 4 6" xfId="7117" xr:uid="{00000000-0005-0000-0000-00008B500000}"/>
    <cellStyle name="Normal 2 5 4 3 4 6 2" xfId="19566" xr:uid="{00000000-0005-0000-0000-00008C500000}"/>
    <cellStyle name="Normal 2 5 4 3 4 6 2 2" xfId="44440" xr:uid="{00000000-0005-0000-0000-00008D500000}"/>
    <cellStyle name="Normal 2 5 4 3 4 6 3" xfId="32007" xr:uid="{00000000-0005-0000-0000-00008E500000}"/>
    <cellStyle name="Normal 2 5 4 3 4 7" xfId="3571" xr:uid="{00000000-0005-0000-0000-00008F500000}"/>
    <cellStyle name="Normal 2 5 4 3 4 7 2" xfId="16077" xr:uid="{00000000-0005-0000-0000-000090500000}"/>
    <cellStyle name="Normal 2 5 4 3 4 7 2 2" xfId="40951" xr:uid="{00000000-0005-0000-0000-000091500000}"/>
    <cellStyle name="Normal 2 5 4 3 4 7 3" xfId="28510" xr:uid="{00000000-0005-0000-0000-000092500000}"/>
    <cellStyle name="Normal 2 5 4 3 4 8" xfId="13512" xr:uid="{00000000-0005-0000-0000-000093500000}"/>
    <cellStyle name="Normal 2 5 4 3 4 8 2" xfId="38386" xr:uid="{00000000-0005-0000-0000-000094500000}"/>
    <cellStyle name="Normal 2 5 4 3 4 9" xfId="25945" xr:uid="{00000000-0005-0000-0000-000095500000}"/>
    <cellStyle name="Normal 2 5 4 3 5" xfId="2267" xr:uid="{00000000-0005-0000-0000-000096500000}"/>
    <cellStyle name="Normal 2 5 4 3 5 2" xfId="4894" xr:uid="{00000000-0005-0000-0000-000097500000}"/>
    <cellStyle name="Normal 2 5 4 3 5 2 2" xfId="9911" xr:uid="{00000000-0005-0000-0000-000098500000}"/>
    <cellStyle name="Normal 2 5 4 3 5 2 2 2" xfId="22354" xr:uid="{00000000-0005-0000-0000-000099500000}"/>
    <cellStyle name="Normal 2 5 4 3 5 2 2 2 2" xfId="47228" xr:uid="{00000000-0005-0000-0000-00009A500000}"/>
    <cellStyle name="Normal 2 5 4 3 5 2 2 3" xfId="34795" xr:uid="{00000000-0005-0000-0000-00009B500000}"/>
    <cellStyle name="Normal 2 5 4 3 5 2 3" xfId="17347" xr:uid="{00000000-0005-0000-0000-00009C500000}"/>
    <cellStyle name="Normal 2 5 4 3 5 2 3 2" xfId="42221" xr:uid="{00000000-0005-0000-0000-00009D500000}"/>
    <cellStyle name="Normal 2 5 4 3 5 2 4" xfId="29788" xr:uid="{00000000-0005-0000-0000-00009E500000}"/>
    <cellStyle name="Normal 2 5 4 3 5 3" xfId="6292" xr:uid="{00000000-0005-0000-0000-00009F500000}"/>
    <cellStyle name="Normal 2 5 4 3 5 3 2" xfId="11307" xr:uid="{00000000-0005-0000-0000-0000A0500000}"/>
    <cellStyle name="Normal 2 5 4 3 5 3 2 2" xfId="23750" xr:uid="{00000000-0005-0000-0000-0000A1500000}"/>
    <cellStyle name="Normal 2 5 4 3 5 3 2 2 2" xfId="48624" xr:uid="{00000000-0005-0000-0000-0000A2500000}"/>
    <cellStyle name="Normal 2 5 4 3 5 3 2 3" xfId="36191" xr:uid="{00000000-0005-0000-0000-0000A3500000}"/>
    <cellStyle name="Normal 2 5 4 3 5 3 3" xfId="18743" xr:uid="{00000000-0005-0000-0000-0000A4500000}"/>
    <cellStyle name="Normal 2 5 4 3 5 3 3 2" xfId="43617" xr:uid="{00000000-0005-0000-0000-0000A5500000}"/>
    <cellStyle name="Normal 2 5 4 3 5 3 4" xfId="31184" xr:uid="{00000000-0005-0000-0000-0000A6500000}"/>
    <cellStyle name="Normal 2 5 4 3 5 4" xfId="8099" xr:uid="{00000000-0005-0000-0000-0000A7500000}"/>
    <cellStyle name="Normal 2 5 4 3 5 4 2" xfId="20545" xr:uid="{00000000-0005-0000-0000-0000A8500000}"/>
    <cellStyle name="Normal 2 5 4 3 5 4 2 2" xfId="45419" xr:uid="{00000000-0005-0000-0000-0000A9500000}"/>
    <cellStyle name="Normal 2 5 4 3 5 4 3" xfId="32986" xr:uid="{00000000-0005-0000-0000-0000AA500000}"/>
    <cellStyle name="Normal 2 5 4 3 5 5" xfId="12761" xr:uid="{00000000-0005-0000-0000-0000AB500000}"/>
    <cellStyle name="Normal 2 5 4 3 5 5 2" xfId="25195" xr:uid="{00000000-0005-0000-0000-0000AC500000}"/>
    <cellStyle name="Normal 2 5 4 3 5 5 2 2" xfId="50069" xr:uid="{00000000-0005-0000-0000-0000AD500000}"/>
    <cellStyle name="Normal 2 5 4 3 5 5 3" xfId="37636" xr:uid="{00000000-0005-0000-0000-0000AE500000}"/>
    <cellStyle name="Normal 2 5 4 3 5 6" xfId="7505" xr:uid="{00000000-0005-0000-0000-0000AF500000}"/>
    <cellStyle name="Normal 2 5 4 3 5 6 2" xfId="19953" xr:uid="{00000000-0005-0000-0000-0000B0500000}"/>
    <cellStyle name="Normal 2 5 4 3 5 6 2 2" xfId="44827" xr:uid="{00000000-0005-0000-0000-0000B1500000}"/>
    <cellStyle name="Normal 2 5 4 3 5 6 3" xfId="32394" xr:uid="{00000000-0005-0000-0000-0000B2500000}"/>
    <cellStyle name="Normal 2 5 4 3 5 7" xfId="3029" xr:uid="{00000000-0005-0000-0000-0000B3500000}"/>
    <cellStyle name="Normal 2 5 4 3 5 7 2" xfId="15538" xr:uid="{00000000-0005-0000-0000-0000B4500000}"/>
    <cellStyle name="Normal 2 5 4 3 5 7 2 2" xfId="40412" xr:uid="{00000000-0005-0000-0000-0000B5500000}"/>
    <cellStyle name="Normal 2 5 4 3 5 7 3" xfId="27971" xr:uid="{00000000-0005-0000-0000-0000B6500000}"/>
    <cellStyle name="Normal 2 5 4 3 5 8" xfId="14946" xr:uid="{00000000-0005-0000-0000-0000B7500000}"/>
    <cellStyle name="Normal 2 5 4 3 5 8 2" xfId="39820" xr:uid="{00000000-0005-0000-0000-0000B8500000}"/>
    <cellStyle name="Normal 2 5 4 3 5 9" xfId="27379" xr:uid="{00000000-0005-0000-0000-0000B9500000}"/>
    <cellStyle name="Normal 2 5 4 3 6" xfId="1103" xr:uid="{00000000-0005-0000-0000-0000BA500000}"/>
    <cellStyle name="Normal 2 5 4 3 6 2" xfId="8985" xr:uid="{00000000-0005-0000-0000-0000BB500000}"/>
    <cellStyle name="Normal 2 5 4 3 6 2 2" xfId="21428" xr:uid="{00000000-0005-0000-0000-0000BC500000}"/>
    <cellStyle name="Normal 2 5 4 3 6 2 2 2" xfId="46302" xr:uid="{00000000-0005-0000-0000-0000BD500000}"/>
    <cellStyle name="Normal 2 5 4 3 6 2 3" xfId="33869" xr:uid="{00000000-0005-0000-0000-0000BE500000}"/>
    <cellStyle name="Normal 2 5 4 3 6 3" xfId="3967" xr:uid="{00000000-0005-0000-0000-0000BF500000}"/>
    <cellStyle name="Normal 2 5 4 3 6 3 2" xfId="16421" xr:uid="{00000000-0005-0000-0000-0000C0500000}"/>
    <cellStyle name="Normal 2 5 4 3 6 3 2 2" xfId="41295" xr:uid="{00000000-0005-0000-0000-0000C1500000}"/>
    <cellStyle name="Normal 2 5 4 3 6 3 3" xfId="28862" xr:uid="{00000000-0005-0000-0000-0000C2500000}"/>
    <cellStyle name="Normal 2 5 4 3 6 4" xfId="13903" xr:uid="{00000000-0005-0000-0000-0000C3500000}"/>
    <cellStyle name="Normal 2 5 4 3 6 4 2" xfId="38777" xr:uid="{00000000-0005-0000-0000-0000C4500000}"/>
    <cellStyle name="Normal 2 5 4 3 6 5" xfId="26336" xr:uid="{00000000-0005-0000-0000-0000C5500000}"/>
    <cellStyle name="Normal 2 5 4 3 7" xfId="5248" xr:uid="{00000000-0005-0000-0000-0000C6500000}"/>
    <cellStyle name="Normal 2 5 4 3 7 2" xfId="10264" xr:uid="{00000000-0005-0000-0000-0000C7500000}"/>
    <cellStyle name="Normal 2 5 4 3 7 2 2" xfId="22707" xr:uid="{00000000-0005-0000-0000-0000C8500000}"/>
    <cellStyle name="Normal 2 5 4 3 7 2 2 2" xfId="47581" xr:uid="{00000000-0005-0000-0000-0000C9500000}"/>
    <cellStyle name="Normal 2 5 4 3 7 2 3" xfId="35148" xr:uid="{00000000-0005-0000-0000-0000CA500000}"/>
    <cellStyle name="Normal 2 5 4 3 7 3" xfId="17700" xr:uid="{00000000-0005-0000-0000-0000CB500000}"/>
    <cellStyle name="Normal 2 5 4 3 7 3 2" xfId="42574" xr:uid="{00000000-0005-0000-0000-0000CC500000}"/>
    <cellStyle name="Normal 2 5 4 3 7 4" xfId="30141" xr:uid="{00000000-0005-0000-0000-0000CD500000}"/>
    <cellStyle name="Normal 2 5 4 3 8" xfId="7825" xr:uid="{00000000-0005-0000-0000-0000CE500000}"/>
    <cellStyle name="Normal 2 5 4 3 8 2" xfId="20271" xr:uid="{00000000-0005-0000-0000-0000CF500000}"/>
    <cellStyle name="Normal 2 5 4 3 8 2 2" xfId="45145" xr:uid="{00000000-0005-0000-0000-0000D0500000}"/>
    <cellStyle name="Normal 2 5 4 3 8 3" xfId="32712" xr:uid="{00000000-0005-0000-0000-0000D1500000}"/>
    <cellStyle name="Normal 2 5 4 3 9" xfId="11718" xr:uid="{00000000-0005-0000-0000-0000D2500000}"/>
    <cellStyle name="Normal 2 5 4 3 9 2" xfId="24152" xr:uid="{00000000-0005-0000-0000-0000D3500000}"/>
    <cellStyle name="Normal 2 5 4 3 9 2 2" xfId="49026" xr:uid="{00000000-0005-0000-0000-0000D4500000}"/>
    <cellStyle name="Normal 2 5 4 3 9 3" xfId="36593" xr:uid="{00000000-0005-0000-0000-0000D5500000}"/>
    <cellStyle name="Normal 2 5 4 3_Degree data" xfId="2443" xr:uid="{00000000-0005-0000-0000-0000D6500000}"/>
    <cellStyle name="Normal 2 5 4 4" xfId="267" xr:uid="{00000000-0005-0000-0000-0000D7500000}"/>
    <cellStyle name="Normal 2 5 4 4 10" xfId="6607" xr:uid="{00000000-0005-0000-0000-0000D8500000}"/>
    <cellStyle name="Normal 2 5 4 4 10 2" xfId="19056" xr:uid="{00000000-0005-0000-0000-0000D9500000}"/>
    <cellStyle name="Normal 2 5 4 4 10 2 2" xfId="43930" xr:uid="{00000000-0005-0000-0000-0000DA500000}"/>
    <cellStyle name="Normal 2 5 4 4 10 3" xfId="31497" xr:uid="{00000000-0005-0000-0000-0000DB500000}"/>
    <cellStyle name="Normal 2 5 4 4 11" xfId="2670" xr:uid="{00000000-0005-0000-0000-0000DC500000}"/>
    <cellStyle name="Normal 2 5 4 4 11 2" xfId="15188" xr:uid="{00000000-0005-0000-0000-0000DD500000}"/>
    <cellStyle name="Normal 2 5 4 4 11 2 2" xfId="40062" xr:uid="{00000000-0005-0000-0000-0000DE500000}"/>
    <cellStyle name="Normal 2 5 4 4 11 3" xfId="27621" xr:uid="{00000000-0005-0000-0000-0000DF500000}"/>
    <cellStyle name="Normal 2 5 4 4 12" xfId="13089" xr:uid="{00000000-0005-0000-0000-0000E0500000}"/>
    <cellStyle name="Normal 2 5 4 4 12 2" xfId="37963" xr:uid="{00000000-0005-0000-0000-0000E1500000}"/>
    <cellStyle name="Normal 2 5 4 4 13" xfId="25522" xr:uid="{00000000-0005-0000-0000-0000E2500000}"/>
    <cellStyle name="Normal 2 5 4 4 2" xfId="481" xr:uid="{00000000-0005-0000-0000-0000E3500000}"/>
    <cellStyle name="Normal 2 5 4 4 2 10" xfId="13294" xr:uid="{00000000-0005-0000-0000-0000E4500000}"/>
    <cellStyle name="Normal 2 5 4 4 2 10 2" xfId="38168" xr:uid="{00000000-0005-0000-0000-0000E5500000}"/>
    <cellStyle name="Normal 2 5 4 4 2 11" xfId="25727" xr:uid="{00000000-0005-0000-0000-0000E6500000}"/>
    <cellStyle name="Normal 2 5 4 4 2 2" xfId="840" xr:uid="{00000000-0005-0000-0000-0000E7500000}"/>
    <cellStyle name="Normal 2 5 4 4 2 2 2" xfId="1423" xr:uid="{00000000-0005-0000-0000-0000E8500000}"/>
    <cellStyle name="Normal 2 5 4 4 2 2 2 2" xfId="9527" xr:uid="{00000000-0005-0000-0000-0000E9500000}"/>
    <cellStyle name="Normal 2 5 4 4 2 2 2 2 2" xfId="21970" xr:uid="{00000000-0005-0000-0000-0000EA500000}"/>
    <cellStyle name="Normal 2 5 4 4 2 2 2 2 2 2" xfId="46844" xr:uid="{00000000-0005-0000-0000-0000EB500000}"/>
    <cellStyle name="Normal 2 5 4 4 2 2 2 2 3" xfId="34411" xr:uid="{00000000-0005-0000-0000-0000EC500000}"/>
    <cellStyle name="Normal 2 5 4 4 2 2 2 3" xfId="4509" xr:uid="{00000000-0005-0000-0000-0000ED500000}"/>
    <cellStyle name="Normal 2 5 4 4 2 2 2 3 2" xfId="16963" xr:uid="{00000000-0005-0000-0000-0000EE500000}"/>
    <cellStyle name="Normal 2 5 4 4 2 2 2 3 2 2" xfId="41837" xr:uid="{00000000-0005-0000-0000-0000EF500000}"/>
    <cellStyle name="Normal 2 5 4 4 2 2 2 3 3" xfId="29404" xr:uid="{00000000-0005-0000-0000-0000F0500000}"/>
    <cellStyle name="Normal 2 5 4 4 2 2 2 4" xfId="14223" xr:uid="{00000000-0005-0000-0000-0000F1500000}"/>
    <cellStyle name="Normal 2 5 4 4 2 2 2 4 2" xfId="39097" xr:uid="{00000000-0005-0000-0000-0000F2500000}"/>
    <cellStyle name="Normal 2 5 4 4 2 2 2 5" xfId="26656" xr:uid="{00000000-0005-0000-0000-0000F3500000}"/>
    <cellStyle name="Normal 2 5 4 4 2 2 3" xfId="5568" xr:uid="{00000000-0005-0000-0000-0000F4500000}"/>
    <cellStyle name="Normal 2 5 4 4 2 2 3 2" xfId="10584" xr:uid="{00000000-0005-0000-0000-0000F5500000}"/>
    <cellStyle name="Normal 2 5 4 4 2 2 3 2 2" xfId="23027" xr:uid="{00000000-0005-0000-0000-0000F6500000}"/>
    <cellStyle name="Normal 2 5 4 4 2 2 3 2 2 2" xfId="47901" xr:uid="{00000000-0005-0000-0000-0000F7500000}"/>
    <cellStyle name="Normal 2 5 4 4 2 2 3 2 3" xfId="35468" xr:uid="{00000000-0005-0000-0000-0000F8500000}"/>
    <cellStyle name="Normal 2 5 4 4 2 2 3 3" xfId="18020" xr:uid="{00000000-0005-0000-0000-0000F9500000}"/>
    <cellStyle name="Normal 2 5 4 4 2 2 3 3 2" xfId="42894" xr:uid="{00000000-0005-0000-0000-0000FA500000}"/>
    <cellStyle name="Normal 2 5 4 4 2 2 3 4" xfId="30461" xr:uid="{00000000-0005-0000-0000-0000FB500000}"/>
    <cellStyle name="Normal 2 5 4 4 2 2 4" xfId="8643" xr:uid="{00000000-0005-0000-0000-0000FC500000}"/>
    <cellStyle name="Normal 2 5 4 4 2 2 4 2" xfId="21087" xr:uid="{00000000-0005-0000-0000-0000FD500000}"/>
    <cellStyle name="Normal 2 5 4 4 2 2 4 2 2" xfId="45961" xr:uid="{00000000-0005-0000-0000-0000FE500000}"/>
    <cellStyle name="Normal 2 5 4 4 2 2 4 3" xfId="33528" xr:uid="{00000000-0005-0000-0000-0000FF500000}"/>
    <cellStyle name="Normal 2 5 4 4 2 2 5" xfId="12038" xr:uid="{00000000-0005-0000-0000-000000510000}"/>
    <cellStyle name="Normal 2 5 4 4 2 2 5 2" xfId="24472" xr:uid="{00000000-0005-0000-0000-000001510000}"/>
    <cellStyle name="Normal 2 5 4 4 2 2 5 2 2" xfId="49346" xr:uid="{00000000-0005-0000-0000-000002510000}"/>
    <cellStyle name="Normal 2 5 4 4 2 2 5 3" xfId="36913" xr:uid="{00000000-0005-0000-0000-000003510000}"/>
    <cellStyle name="Normal 2 5 4 4 2 2 6" xfId="7120" xr:uid="{00000000-0005-0000-0000-000004510000}"/>
    <cellStyle name="Normal 2 5 4 4 2 2 6 2" xfId="19569" xr:uid="{00000000-0005-0000-0000-000005510000}"/>
    <cellStyle name="Normal 2 5 4 4 2 2 6 2 2" xfId="44443" xr:uid="{00000000-0005-0000-0000-000006510000}"/>
    <cellStyle name="Normal 2 5 4 4 2 2 6 3" xfId="32010" xr:uid="{00000000-0005-0000-0000-000007510000}"/>
    <cellStyle name="Normal 2 5 4 4 2 2 7" xfId="3574" xr:uid="{00000000-0005-0000-0000-000008510000}"/>
    <cellStyle name="Normal 2 5 4 4 2 2 7 2" xfId="16080" xr:uid="{00000000-0005-0000-0000-000009510000}"/>
    <cellStyle name="Normal 2 5 4 4 2 2 7 2 2" xfId="40954" xr:uid="{00000000-0005-0000-0000-00000A510000}"/>
    <cellStyle name="Normal 2 5 4 4 2 2 7 3" xfId="28513" xr:uid="{00000000-0005-0000-0000-00000B510000}"/>
    <cellStyle name="Normal 2 5 4 4 2 2 8" xfId="13641" xr:uid="{00000000-0005-0000-0000-00000C510000}"/>
    <cellStyle name="Normal 2 5 4 4 2 2 8 2" xfId="38515" xr:uid="{00000000-0005-0000-0000-00000D510000}"/>
    <cellStyle name="Normal 2 5 4 4 2 2 9" xfId="26074" xr:uid="{00000000-0005-0000-0000-00000E510000}"/>
    <cellStyle name="Normal 2 5 4 4 2 3" xfId="1771" xr:uid="{00000000-0005-0000-0000-00000F510000}"/>
    <cellStyle name="Normal 2 5 4 4 2 3 2" xfId="5023" xr:uid="{00000000-0005-0000-0000-000010510000}"/>
    <cellStyle name="Normal 2 5 4 4 2 3 2 2" xfId="10040" xr:uid="{00000000-0005-0000-0000-000011510000}"/>
    <cellStyle name="Normal 2 5 4 4 2 3 2 2 2" xfId="22483" xr:uid="{00000000-0005-0000-0000-000012510000}"/>
    <cellStyle name="Normal 2 5 4 4 2 3 2 2 2 2" xfId="47357" xr:uid="{00000000-0005-0000-0000-000013510000}"/>
    <cellStyle name="Normal 2 5 4 4 2 3 2 2 3" xfId="34924" xr:uid="{00000000-0005-0000-0000-000014510000}"/>
    <cellStyle name="Normal 2 5 4 4 2 3 2 3" xfId="17476" xr:uid="{00000000-0005-0000-0000-000015510000}"/>
    <cellStyle name="Normal 2 5 4 4 2 3 2 3 2" xfId="42350" xr:uid="{00000000-0005-0000-0000-000016510000}"/>
    <cellStyle name="Normal 2 5 4 4 2 3 2 4" xfId="29917" xr:uid="{00000000-0005-0000-0000-000017510000}"/>
    <cellStyle name="Normal 2 5 4 4 2 3 3" xfId="5917" xr:uid="{00000000-0005-0000-0000-000018510000}"/>
    <cellStyle name="Normal 2 5 4 4 2 3 3 2" xfId="10932" xr:uid="{00000000-0005-0000-0000-000019510000}"/>
    <cellStyle name="Normal 2 5 4 4 2 3 3 2 2" xfId="23375" xr:uid="{00000000-0005-0000-0000-00001A510000}"/>
    <cellStyle name="Normal 2 5 4 4 2 3 3 2 2 2" xfId="48249" xr:uid="{00000000-0005-0000-0000-00001B510000}"/>
    <cellStyle name="Normal 2 5 4 4 2 3 3 2 3" xfId="35816" xr:uid="{00000000-0005-0000-0000-00001C510000}"/>
    <cellStyle name="Normal 2 5 4 4 2 3 3 3" xfId="18368" xr:uid="{00000000-0005-0000-0000-00001D510000}"/>
    <cellStyle name="Normal 2 5 4 4 2 3 3 3 2" xfId="43242" xr:uid="{00000000-0005-0000-0000-00001E510000}"/>
    <cellStyle name="Normal 2 5 4 4 2 3 3 4" xfId="30809" xr:uid="{00000000-0005-0000-0000-00001F510000}"/>
    <cellStyle name="Normal 2 5 4 4 2 3 4" xfId="8447" xr:uid="{00000000-0005-0000-0000-000020510000}"/>
    <cellStyle name="Normal 2 5 4 4 2 3 4 2" xfId="20891" xr:uid="{00000000-0005-0000-0000-000021510000}"/>
    <cellStyle name="Normal 2 5 4 4 2 3 4 2 2" xfId="45765" xr:uid="{00000000-0005-0000-0000-000022510000}"/>
    <cellStyle name="Normal 2 5 4 4 2 3 4 3" xfId="33332" xr:uid="{00000000-0005-0000-0000-000023510000}"/>
    <cellStyle name="Normal 2 5 4 4 2 3 5" xfId="12386" xr:uid="{00000000-0005-0000-0000-000024510000}"/>
    <cellStyle name="Normal 2 5 4 4 2 3 5 2" xfId="24820" xr:uid="{00000000-0005-0000-0000-000025510000}"/>
    <cellStyle name="Normal 2 5 4 4 2 3 5 2 2" xfId="49694" xr:uid="{00000000-0005-0000-0000-000026510000}"/>
    <cellStyle name="Normal 2 5 4 4 2 3 5 3" xfId="37261" xr:uid="{00000000-0005-0000-0000-000027510000}"/>
    <cellStyle name="Normal 2 5 4 4 2 3 6" xfId="7634" xr:uid="{00000000-0005-0000-0000-000028510000}"/>
    <cellStyle name="Normal 2 5 4 4 2 3 6 2" xfId="20082" xr:uid="{00000000-0005-0000-0000-000029510000}"/>
    <cellStyle name="Normal 2 5 4 4 2 3 6 2 2" xfId="44956" xr:uid="{00000000-0005-0000-0000-00002A510000}"/>
    <cellStyle name="Normal 2 5 4 4 2 3 6 3" xfId="32523" xr:uid="{00000000-0005-0000-0000-00002B510000}"/>
    <cellStyle name="Normal 2 5 4 4 2 3 7" xfId="3378" xr:uid="{00000000-0005-0000-0000-00002C510000}"/>
    <cellStyle name="Normal 2 5 4 4 2 3 7 2" xfId="15884" xr:uid="{00000000-0005-0000-0000-00002D510000}"/>
    <cellStyle name="Normal 2 5 4 4 2 3 7 2 2" xfId="40758" xr:uid="{00000000-0005-0000-0000-00002E510000}"/>
    <cellStyle name="Normal 2 5 4 4 2 3 7 3" xfId="28317" xr:uid="{00000000-0005-0000-0000-00002F510000}"/>
    <cellStyle name="Normal 2 5 4 4 2 3 8" xfId="14571" xr:uid="{00000000-0005-0000-0000-000030510000}"/>
    <cellStyle name="Normal 2 5 4 4 2 3 8 2" xfId="39445" xr:uid="{00000000-0005-0000-0000-000031510000}"/>
    <cellStyle name="Normal 2 5 4 4 2 3 9" xfId="27004" xr:uid="{00000000-0005-0000-0000-000032510000}"/>
    <cellStyle name="Normal 2 5 4 4 2 4" xfId="2399" xr:uid="{00000000-0005-0000-0000-000033510000}"/>
    <cellStyle name="Normal 2 5 4 4 2 4 2" xfId="6421" xr:uid="{00000000-0005-0000-0000-000034510000}"/>
    <cellStyle name="Normal 2 5 4 4 2 4 2 2" xfId="11436" xr:uid="{00000000-0005-0000-0000-000035510000}"/>
    <cellStyle name="Normal 2 5 4 4 2 4 2 2 2" xfId="23879" xr:uid="{00000000-0005-0000-0000-000036510000}"/>
    <cellStyle name="Normal 2 5 4 4 2 4 2 2 2 2" xfId="48753" xr:uid="{00000000-0005-0000-0000-000037510000}"/>
    <cellStyle name="Normal 2 5 4 4 2 4 2 2 3" xfId="36320" xr:uid="{00000000-0005-0000-0000-000038510000}"/>
    <cellStyle name="Normal 2 5 4 4 2 4 2 3" xfId="18872" xr:uid="{00000000-0005-0000-0000-000039510000}"/>
    <cellStyle name="Normal 2 5 4 4 2 4 2 3 2" xfId="43746" xr:uid="{00000000-0005-0000-0000-00003A510000}"/>
    <cellStyle name="Normal 2 5 4 4 2 4 2 4" xfId="31313" xr:uid="{00000000-0005-0000-0000-00003B510000}"/>
    <cellStyle name="Normal 2 5 4 4 2 4 3" xfId="12890" xr:uid="{00000000-0005-0000-0000-00003C510000}"/>
    <cellStyle name="Normal 2 5 4 4 2 4 3 2" xfId="25324" xr:uid="{00000000-0005-0000-0000-00003D510000}"/>
    <cellStyle name="Normal 2 5 4 4 2 4 3 2 2" xfId="50198" xr:uid="{00000000-0005-0000-0000-00003E510000}"/>
    <cellStyle name="Normal 2 5 4 4 2 4 3 3" xfId="37765" xr:uid="{00000000-0005-0000-0000-00003F510000}"/>
    <cellStyle name="Normal 2 5 4 4 2 4 4" xfId="9331" xr:uid="{00000000-0005-0000-0000-000040510000}"/>
    <cellStyle name="Normal 2 5 4 4 2 4 4 2" xfId="21774" xr:uid="{00000000-0005-0000-0000-000041510000}"/>
    <cellStyle name="Normal 2 5 4 4 2 4 4 2 2" xfId="46648" xr:uid="{00000000-0005-0000-0000-000042510000}"/>
    <cellStyle name="Normal 2 5 4 4 2 4 4 3" xfId="34215" xr:uid="{00000000-0005-0000-0000-000043510000}"/>
    <cellStyle name="Normal 2 5 4 4 2 4 5" xfId="4313" xr:uid="{00000000-0005-0000-0000-000044510000}"/>
    <cellStyle name="Normal 2 5 4 4 2 4 5 2" xfId="16767" xr:uid="{00000000-0005-0000-0000-000045510000}"/>
    <cellStyle name="Normal 2 5 4 4 2 4 5 2 2" xfId="41641" xr:uid="{00000000-0005-0000-0000-000046510000}"/>
    <cellStyle name="Normal 2 5 4 4 2 4 5 3" xfId="29208" xr:uid="{00000000-0005-0000-0000-000047510000}"/>
    <cellStyle name="Normal 2 5 4 4 2 4 6" xfId="15075" xr:uid="{00000000-0005-0000-0000-000048510000}"/>
    <cellStyle name="Normal 2 5 4 4 2 4 6 2" xfId="39949" xr:uid="{00000000-0005-0000-0000-000049510000}"/>
    <cellStyle name="Normal 2 5 4 4 2 4 7" xfId="27508" xr:uid="{00000000-0005-0000-0000-00004A510000}"/>
    <cellStyle name="Normal 2 5 4 4 2 5" xfId="1232" xr:uid="{00000000-0005-0000-0000-00004B510000}"/>
    <cellStyle name="Normal 2 5 4 4 2 5 2" xfId="10393" xr:uid="{00000000-0005-0000-0000-00004C510000}"/>
    <cellStyle name="Normal 2 5 4 4 2 5 2 2" xfId="22836" xr:uid="{00000000-0005-0000-0000-00004D510000}"/>
    <cellStyle name="Normal 2 5 4 4 2 5 2 2 2" xfId="47710" xr:uid="{00000000-0005-0000-0000-00004E510000}"/>
    <cellStyle name="Normal 2 5 4 4 2 5 2 3" xfId="35277" xr:uid="{00000000-0005-0000-0000-00004F510000}"/>
    <cellStyle name="Normal 2 5 4 4 2 5 3" xfId="5377" xr:uid="{00000000-0005-0000-0000-000050510000}"/>
    <cellStyle name="Normal 2 5 4 4 2 5 3 2" xfId="17829" xr:uid="{00000000-0005-0000-0000-000051510000}"/>
    <cellStyle name="Normal 2 5 4 4 2 5 3 2 2" xfId="42703" xr:uid="{00000000-0005-0000-0000-000052510000}"/>
    <cellStyle name="Normal 2 5 4 4 2 5 3 3" xfId="30270" xr:uid="{00000000-0005-0000-0000-000053510000}"/>
    <cellStyle name="Normal 2 5 4 4 2 5 4" xfId="14032" xr:uid="{00000000-0005-0000-0000-000054510000}"/>
    <cellStyle name="Normal 2 5 4 4 2 5 4 2" xfId="38906" xr:uid="{00000000-0005-0000-0000-000055510000}"/>
    <cellStyle name="Normal 2 5 4 4 2 5 5" xfId="26465" xr:uid="{00000000-0005-0000-0000-000056510000}"/>
    <cellStyle name="Normal 2 5 4 4 2 6" xfId="7954" xr:uid="{00000000-0005-0000-0000-000057510000}"/>
    <cellStyle name="Normal 2 5 4 4 2 6 2" xfId="20400" xr:uid="{00000000-0005-0000-0000-000058510000}"/>
    <cellStyle name="Normal 2 5 4 4 2 6 2 2" xfId="45274" xr:uid="{00000000-0005-0000-0000-000059510000}"/>
    <cellStyle name="Normal 2 5 4 4 2 6 3" xfId="32841" xr:uid="{00000000-0005-0000-0000-00005A510000}"/>
    <cellStyle name="Normal 2 5 4 4 2 7" xfId="11847" xr:uid="{00000000-0005-0000-0000-00005B510000}"/>
    <cellStyle name="Normal 2 5 4 4 2 7 2" xfId="24281" xr:uid="{00000000-0005-0000-0000-00005C510000}"/>
    <cellStyle name="Normal 2 5 4 4 2 7 2 2" xfId="49155" xr:uid="{00000000-0005-0000-0000-00005D510000}"/>
    <cellStyle name="Normal 2 5 4 4 2 7 3" xfId="36722" xr:uid="{00000000-0005-0000-0000-00005E510000}"/>
    <cellStyle name="Normal 2 5 4 4 2 8" xfId="6924" xr:uid="{00000000-0005-0000-0000-00005F510000}"/>
    <cellStyle name="Normal 2 5 4 4 2 8 2" xfId="19373" xr:uid="{00000000-0005-0000-0000-000060510000}"/>
    <cellStyle name="Normal 2 5 4 4 2 8 2 2" xfId="44247" xr:uid="{00000000-0005-0000-0000-000061510000}"/>
    <cellStyle name="Normal 2 5 4 4 2 8 3" xfId="31814" xr:uid="{00000000-0005-0000-0000-000062510000}"/>
    <cellStyle name="Normal 2 5 4 4 2 9" xfId="2875" xr:uid="{00000000-0005-0000-0000-000063510000}"/>
    <cellStyle name="Normal 2 5 4 4 2 9 2" xfId="15393" xr:uid="{00000000-0005-0000-0000-000064510000}"/>
    <cellStyle name="Normal 2 5 4 4 2 9 2 2" xfId="40267" xr:uid="{00000000-0005-0000-0000-000065510000}"/>
    <cellStyle name="Normal 2 5 4 4 2 9 3" xfId="27826" xr:uid="{00000000-0005-0000-0000-000066510000}"/>
    <cellStyle name="Normal 2 5 4 4 2_Degree data" xfId="1993" xr:uid="{00000000-0005-0000-0000-000067510000}"/>
    <cellStyle name="Normal 2 5 4 4 3" xfId="629" xr:uid="{00000000-0005-0000-0000-000068510000}"/>
    <cellStyle name="Normal 2 5 4 4 3 2" xfId="1422" xr:uid="{00000000-0005-0000-0000-000069510000}"/>
    <cellStyle name="Normal 2 5 4 4 3 2 2" xfId="9126" xr:uid="{00000000-0005-0000-0000-00006A510000}"/>
    <cellStyle name="Normal 2 5 4 4 3 2 2 2" xfId="21569" xr:uid="{00000000-0005-0000-0000-00006B510000}"/>
    <cellStyle name="Normal 2 5 4 4 3 2 2 2 2" xfId="46443" xr:uid="{00000000-0005-0000-0000-00006C510000}"/>
    <cellStyle name="Normal 2 5 4 4 3 2 2 3" xfId="34010" xr:uid="{00000000-0005-0000-0000-00006D510000}"/>
    <cellStyle name="Normal 2 5 4 4 3 2 3" xfId="4108" xr:uid="{00000000-0005-0000-0000-00006E510000}"/>
    <cellStyle name="Normal 2 5 4 4 3 2 3 2" xfId="16562" xr:uid="{00000000-0005-0000-0000-00006F510000}"/>
    <cellStyle name="Normal 2 5 4 4 3 2 3 2 2" xfId="41436" xr:uid="{00000000-0005-0000-0000-000070510000}"/>
    <cellStyle name="Normal 2 5 4 4 3 2 3 3" xfId="29003" xr:uid="{00000000-0005-0000-0000-000071510000}"/>
    <cellStyle name="Normal 2 5 4 4 3 2 4" xfId="14222" xr:uid="{00000000-0005-0000-0000-000072510000}"/>
    <cellStyle name="Normal 2 5 4 4 3 2 4 2" xfId="39096" xr:uid="{00000000-0005-0000-0000-000073510000}"/>
    <cellStyle name="Normal 2 5 4 4 3 2 5" xfId="26655" xr:uid="{00000000-0005-0000-0000-000074510000}"/>
    <cellStyle name="Normal 2 5 4 4 3 3" xfId="5567" xr:uid="{00000000-0005-0000-0000-000075510000}"/>
    <cellStyle name="Normal 2 5 4 4 3 3 2" xfId="10583" xr:uid="{00000000-0005-0000-0000-000076510000}"/>
    <cellStyle name="Normal 2 5 4 4 3 3 2 2" xfId="23026" xr:uid="{00000000-0005-0000-0000-000077510000}"/>
    <cellStyle name="Normal 2 5 4 4 3 3 2 2 2" xfId="47900" xr:uid="{00000000-0005-0000-0000-000078510000}"/>
    <cellStyle name="Normal 2 5 4 4 3 3 2 3" xfId="35467" xr:uid="{00000000-0005-0000-0000-000079510000}"/>
    <cellStyle name="Normal 2 5 4 4 3 3 3" xfId="18019" xr:uid="{00000000-0005-0000-0000-00007A510000}"/>
    <cellStyle name="Normal 2 5 4 4 3 3 3 2" xfId="42893" xr:uid="{00000000-0005-0000-0000-00007B510000}"/>
    <cellStyle name="Normal 2 5 4 4 3 3 4" xfId="30460" xr:uid="{00000000-0005-0000-0000-00007C510000}"/>
    <cellStyle name="Normal 2 5 4 4 3 4" xfId="8242" xr:uid="{00000000-0005-0000-0000-00007D510000}"/>
    <cellStyle name="Normal 2 5 4 4 3 4 2" xfId="20686" xr:uid="{00000000-0005-0000-0000-00007E510000}"/>
    <cellStyle name="Normal 2 5 4 4 3 4 2 2" xfId="45560" xr:uid="{00000000-0005-0000-0000-00007F510000}"/>
    <cellStyle name="Normal 2 5 4 4 3 4 3" xfId="33127" xr:uid="{00000000-0005-0000-0000-000080510000}"/>
    <cellStyle name="Normal 2 5 4 4 3 5" xfId="12037" xr:uid="{00000000-0005-0000-0000-000081510000}"/>
    <cellStyle name="Normal 2 5 4 4 3 5 2" xfId="24471" xr:uid="{00000000-0005-0000-0000-000082510000}"/>
    <cellStyle name="Normal 2 5 4 4 3 5 2 2" xfId="49345" xr:uid="{00000000-0005-0000-0000-000083510000}"/>
    <cellStyle name="Normal 2 5 4 4 3 5 3" xfId="36912" xr:uid="{00000000-0005-0000-0000-000084510000}"/>
    <cellStyle name="Normal 2 5 4 4 3 6" xfId="6719" xr:uid="{00000000-0005-0000-0000-000085510000}"/>
    <cellStyle name="Normal 2 5 4 4 3 6 2" xfId="19168" xr:uid="{00000000-0005-0000-0000-000086510000}"/>
    <cellStyle name="Normal 2 5 4 4 3 6 2 2" xfId="44042" xr:uid="{00000000-0005-0000-0000-000087510000}"/>
    <cellStyle name="Normal 2 5 4 4 3 6 3" xfId="31609" xr:uid="{00000000-0005-0000-0000-000088510000}"/>
    <cellStyle name="Normal 2 5 4 4 3 7" xfId="3173" xr:uid="{00000000-0005-0000-0000-000089510000}"/>
    <cellStyle name="Normal 2 5 4 4 3 7 2" xfId="15679" xr:uid="{00000000-0005-0000-0000-00008A510000}"/>
    <cellStyle name="Normal 2 5 4 4 3 7 2 2" xfId="40553" xr:uid="{00000000-0005-0000-0000-00008B510000}"/>
    <cellStyle name="Normal 2 5 4 4 3 7 3" xfId="28112" xr:uid="{00000000-0005-0000-0000-00008C510000}"/>
    <cellStyle name="Normal 2 5 4 4 3 8" xfId="13436" xr:uid="{00000000-0005-0000-0000-00008D510000}"/>
    <cellStyle name="Normal 2 5 4 4 3 8 2" xfId="38310" xr:uid="{00000000-0005-0000-0000-00008E510000}"/>
    <cellStyle name="Normal 2 5 4 4 3 9" xfId="25869" xr:uid="{00000000-0005-0000-0000-00008F510000}"/>
    <cellStyle name="Normal 2 5 4 4 4" xfId="1770" xr:uid="{00000000-0005-0000-0000-000090510000}"/>
    <cellStyle name="Normal 2 5 4 4 4 2" xfId="4508" xr:uid="{00000000-0005-0000-0000-000091510000}"/>
    <cellStyle name="Normal 2 5 4 4 4 2 2" xfId="9526" xr:uid="{00000000-0005-0000-0000-000092510000}"/>
    <cellStyle name="Normal 2 5 4 4 4 2 2 2" xfId="21969" xr:uid="{00000000-0005-0000-0000-000093510000}"/>
    <cellStyle name="Normal 2 5 4 4 4 2 2 2 2" xfId="46843" xr:uid="{00000000-0005-0000-0000-000094510000}"/>
    <cellStyle name="Normal 2 5 4 4 4 2 2 3" xfId="34410" xr:uid="{00000000-0005-0000-0000-000095510000}"/>
    <cellStyle name="Normal 2 5 4 4 4 2 3" xfId="16962" xr:uid="{00000000-0005-0000-0000-000096510000}"/>
    <cellStyle name="Normal 2 5 4 4 4 2 3 2" xfId="41836" xr:uid="{00000000-0005-0000-0000-000097510000}"/>
    <cellStyle name="Normal 2 5 4 4 4 2 4" xfId="29403" xr:uid="{00000000-0005-0000-0000-000098510000}"/>
    <cellStyle name="Normal 2 5 4 4 4 3" xfId="5916" xr:uid="{00000000-0005-0000-0000-000099510000}"/>
    <cellStyle name="Normal 2 5 4 4 4 3 2" xfId="10931" xr:uid="{00000000-0005-0000-0000-00009A510000}"/>
    <cellStyle name="Normal 2 5 4 4 4 3 2 2" xfId="23374" xr:uid="{00000000-0005-0000-0000-00009B510000}"/>
    <cellStyle name="Normal 2 5 4 4 4 3 2 2 2" xfId="48248" xr:uid="{00000000-0005-0000-0000-00009C510000}"/>
    <cellStyle name="Normal 2 5 4 4 4 3 2 3" xfId="35815" xr:uid="{00000000-0005-0000-0000-00009D510000}"/>
    <cellStyle name="Normal 2 5 4 4 4 3 3" xfId="18367" xr:uid="{00000000-0005-0000-0000-00009E510000}"/>
    <cellStyle name="Normal 2 5 4 4 4 3 3 2" xfId="43241" xr:uid="{00000000-0005-0000-0000-00009F510000}"/>
    <cellStyle name="Normal 2 5 4 4 4 3 4" xfId="30808" xr:uid="{00000000-0005-0000-0000-0000A0510000}"/>
    <cellStyle name="Normal 2 5 4 4 4 4" xfId="8642" xr:uid="{00000000-0005-0000-0000-0000A1510000}"/>
    <cellStyle name="Normal 2 5 4 4 4 4 2" xfId="21086" xr:uid="{00000000-0005-0000-0000-0000A2510000}"/>
    <cellStyle name="Normal 2 5 4 4 4 4 2 2" xfId="45960" xr:uid="{00000000-0005-0000-0000-0000A3510000}"/>
    <cellStyle name="Normal 2 5 4 4 4 4 3" xfId="33527" xr:uid="{00000000-0005-0000-0000-0000A4510000}"/>
    <cellStyle name="Normal 2 5 4 4 4 5" xfId="12385" xr:uid="{00000000-0005-0000-0000-0000A5510000}"/>
    <cellStyle name="Normal 2 5 4 4 4 5 2" xfId="24819" xr:uid="{00000000-0005-0000-0000-0000A6510000}"/>
    <cellStyle name="Normal 2 5 4 4 4 5 2 2" xfId="49693" xr:uid="{00000000-0005-0000-0000-0000A7510000}"/>
    <cellStyle name="Normal 2 5 4 4 4 5 3" xfId="37260" xr:uid="{00000000-0005-0000-0000-0000A8510000}"/>
    <cellStyle name="Normal 2 5 4 4 4 6" xfId="7119" xr:uid="{00000000-0005-0000-0000-0000A9510000}"/>
    <cellStyle name="Normal 2 5 4 4 4 6 2" xfId="19568" xr:uid="{00000000-0005-0000-0000-0000AA510000}"/>
    <cellStyle name="Normal 2 5 4 4 4 6 2 2" xfId="44442" xr:uid="{00000000-0005-0000-0000-0000AB510000}"/>
    <cellStyle name="Normal 2 5 4 4 4 6 3" xfId="32009" xr:uid="{00000000-0005-0000-0000-0000AC510000}"/>
    <cellStyle name="Normal 2 5 4 4 4 7" xfId="3573" xr:uid="{00000000-0005-0000-0000-0000AD510000}"/>
    <cellStyle name="Normal 2 5 4 4 4 7 2" xfId="16079" xr:uid="{00000000-0005-0000-0000-0000AE510000}"/>
    <cellStyle name="Normal 2 5 4 4 4 7 2 2" xfId="40953" xr:uid="{00000000-0005-0000-0000-0000AF510000}"/>
    <cellStyle name="Normal 2 5 4 4 4 7 3" xfId="28512" xr:uid="{00000000-0005-0000-0000-0000B0510000}"/>
    <cellStyle name="Normal 2 5 4 4 4 8" xfId="14570" xr:uid="{00000000-0005-0000-0000-0000B1510000}"/>
    <cellStyle name="Normal 2 5 4 4 4 8 2" xfId="39444" xr:uid="{00000000-0005-0000-0000-0000B2510000}"/>
    <cellStyle name="Normal 2 5 4 4 4 9" xfId="27003" xr:uid="{00000000-0005-0000-0000-0000B3510000}"/>
    <cellStyle name="Normal 2 5 4 4 5" xfId="2185" xr:uid="{00000000-0005-0000-0000-0000B4510000}"/>
    <cellStyle name="Normal 2 5 4 4 5 2" xfId="4818" xr:uid="{00000000-0005-0000-0000-0000B5510000}"/>
    <cellStyle name="Normal 2 5 4 4 5 2 2" xfId="9835" xr:uid="{00000000-0005-0000-0000-0000B6510000}"/>
    <cellStyle name="Normal 2 5 4 4 5 2 2 2" xfId="22278" xr:uid="{00000000-0005-0000-0000-0000B7510000}"/>
    <cellStyle name="Normal 2 5 4 4 5 2 2 2 2" xfId="47152" xr:uid="{00000000-0005-0000-0000-0000B8510000}"/>
    <cellStyle name="Normal 2 5 4 4 5 2 2 3" xfId="34719" xr:uid="{00000000-0005-0000-0000-0000B9510000}"/>
    <cellStyle name="Normal 2 5 4 4 5 2 3" xfId="17271" xr:uid="{00000000-0005-0000-0000-0000BA510000}"/>
    <cellStyle name="Normal 2 5 4 4 5 2 3 2" xfId="42145" xr:uid="{00000000-0005-0000-0000-0000BB510000}"/>
    <cellStyle name="Normal 2 5 4 4 5 2 4" xfId="29712" xr:uid="{00000000-0005-0000-0000-0000BC510000}"/>
    <cellStyle name="Normal 2 5 4 4 5 3" xfId="6216" xr:uid="{00000000-0005-0000-0000-0000BD510000}"/>
    <cellStyle name="Normal 2 5 4 4 5 3 2" xfId="11231" xr:uid="{00000000-0005-0000-0000-0000BE510000}"/>
    <cellStyle name="Normal 2 5 4 4 5 3 2 2" xfId="23674" xr:uid="{00000000-0005-0000-0000-0000BF510000}"/>
    <cellStyle name="Normal 2 5 4 4 5 3 2 2 2" xfId="48548" xr:uid="{00000000-0005-0000-0000-0000C0510000}"/>
    <cellStyle name="Normal 2 5 4 4 5 3 2 3" xfId="36115" xr:uid="{00000000-0005-0000-0000-0000C1510000}"/>
    <cellStyle name="Normal 2 5 4 4 5 3 3" xfId="18667" xr:uid="{00000000-0005-0000-0000-0000C2510000}"/>
    <cellStyle name="Normal 2 5 4 4 5 3 3 2" xfId="43541" xr:uid="{00000000-0005-0000-0000-0000C3510000}"/>
    <cellStyle name="Normal 2 5 4 4 5 3 4" xfId="31108" xr:uid="{00000000-0005-0000-0000-0000C4510000}"/>
    <cellStyle name="Normal 2 5 4 4 5 4" xfId="8128" xr:uid="{00000000-0005-0000-0000-0000C5510000}"/>
    <cellStyle name="Normal 2 5 4 4 5 4 2" xfId="20574" xr:uid="{00000000-0005-0000-0000-0000C6510000}"/>
    <cellStyle name="Normal 2 5 4 4 5 4 2 2" xfId="45448" xr:uid="{00000000-0005-0000-0000-0000C7510000}"/>
    <cellStyle name="Normal 2 5 4 4 5 4 3" xfId="33015" xr:uid="{00000000-0005-0000-0000-0000C8510000}"/>
    <cellStyle name="Normal 2 5 4 4 5 5" xfId="12685" xr:uid="{00000000-0005-0000-0000-0000C9510000}"/>
    <cellStyle name="Normal 2 5 4 4 5 5 2" xfId="25119" xr:uid="{00000000-0005-0000-0000-0000CA510000}"/>
    <cellStyle name="Normal 2 5 4 4 5 5 2 2" xfId="49993" xr:uid="{00000000-0005-0000-0000-0000CB510000}"/>
    <cellStyle name="Normal 2 5 4 4 5 5 3" xfId="37560" xr:uid="{00000000-0005-0000-0000-0000CC510000}"/>
    <cellStyle name="Normal 2 5 4 4 5 6" xfId="7429" xr:uid="{00000000-0005-0000-0000-0000CD510000}"/>
    <cellStyle name="Normal 2 5 4 4 5 6 2" xfId="19877" xr:uid="{00000000-0005-0000-0000-0000CE510000}"/>
    <cellStyle name="Normal 2 5 4 4 5 6 2 2" xfId="44751" xr:uid="{00000000-0005-0000-0000-0000CF510000}"/>
    <cellStyle name="Normal 2 5 4 4 5 6 3" xfId="32318" xr:uid="{00000000-0005-0000-0000-0000D0510000}"/>
    <cellStyle name="Normal 2 5 4 4 5 7" xfId="3058" xr:uid="{00000000-0005-0000-0000-0000D1510000}"/>
    <cellStyle name="Normal 2 5 4 4 5 7 2" xfId="15567" xr:uid="{00000000-0005-0000-0000-0000D2510000}"/>
    <cellStyle name="Normal 2 5 4 4 5 7 2 2" xfId="40441" xr:uid="{00000000-0005-0000-0000-0000D3510000}"/>
    <cellStyle name="Normal 2 5 4 4 5 7 3" xfId="28000" xr:uid="{00000000-0005-0000-0000-0000D4510000}"/>
    <cellStyle name="Normal 2 5 4 4 5 8" xfId="14870" xr:uid="{00000000-0005-0000-0000-0000D5510000}"/>
    <cellStyle name="Normal 2 5 4 4 5 8 2" xfId="39744" xr:uid="{00000000-0005-0000-0000-0000D6510000}"/>
    <cellStyle name="Normal 2 5 4 4 5 9" xfId="27303" xr:uid="{00000000-0005-0000-0000-0000D7510000}"/>
    <cellStyle name="Normal 2 5 4 4 6" xfId="1027" xr:uid="{00000000-0005-0000-0000-0000D8510000}"/>
    <cellStyle name="Normal 2 5 4 4 6 2" xfId="9014" xr:uid="{00000000-0005-0000-0000-0000D9510000}"/>
    <cellStyle name="Normal 2 5 4 4 6 2 2" xfId="21457" xr:uid="{00000000-0005-0000-0000-0000DA510000}"/>
    <cellStyle name="Normal 2 5 4 4 6 2 2 2" xfId="46331" xr:uid="{00000000-0005-0000-0000-0000DB510000}"/>
    <cellStyle name="Normal 2 5 4 4 6 2 3" xfId="33898" xr:uid="{00000000-0005-0000-0000-0000DC510000}"/>
    <cellStyle name="Normal 2 5 4 4 6 3" xfId="3996" xr:uid="{00000000-0005-0000-0000-0000DD510000}"/>
    <cellStyle name="Normal 2 5 4 4 6 3 2" xfId="16450" xr:uid="{00000000-0005-0000-0000-0000DE510000}"/>
    <cellStyle name="Normal 2 5 4 4 6 3 2 2" xfId="41324" xr:uid="{00000000-0005-0000-0000-0000DF510000}"/>
    <cellStyle name="Normal 2 5 4 4 6 3 3" xfId="28891" xr:uid="{00000000-0005-0000-0000-0000E0510000}"/>
    <cellStyle name="Normal 2 5 4 4 6 4" xfId="13827" xr:uid="{00000000-0005-0000-0000-0000E1510000}"/>
    <cellStyle name="Normal 2 5 4 4 6 4 2" xfId="38701" xr:uid="{00000000-0005-0000-0000-0000E2510000}"/>
    <cellStyle name="Normal 2 5 4 4 6 5" xfId="26260" xr:uid="{00000000-0005-0000-0000-0000E3510000}"/>
    <cellStyle name="Normal 2 5 4 4 7" xfId="5172" xr:uid="{00000000-0005-0000-0000-0000E4510000}"/>
    <cellStyle name="Normal 2 5 4 4 7 2" xfId="10188" xr:uid="{00000000-0005-0000-0000-0000E5510000}"/>
    <cellStyle name="Normal 2 5 4 4 7 2 2" xfId="22631" xr:uid="{00000000-0005-0000-0000-0000E6510000}"/>
    <cellStyle name="Normal 2 5 4 4 7 2 2 2" xfId="47505" xr:uid="{00000000-0005-0000-0000-0000E7510000}"/>
    <cellStyle name="Normal 2 5 4 4 7 2 3" xfId="35072" xr:uid="{00000000-0005-0000-0000-0000E8510000}"/>
    <cellStyle name="Normal 2 5 4 4 7 3" xfId="17624" xr:uid="{00000000-0005-0000-0000-0000E9510000}"/>
    <cellStyle name="Normal 2 5 4 4 7 3 2" xfId="42498" xr:uid="{00000000-0005-0000-0000-0000EA510000}"/>
    <cellStyle name="Normal 2 5 4 4 7 4" xfId="30065" xr:uid="{00000000-0005-0000-0000-0000EB510000}"/>
    <cellStyle name="Normal 2 5 4 4 8" xfId="7749" xr:uid="{00000000-0005-0000-0000-0000EC510000}"/>
    <cellStyle name="Normal 2 5 4 4 8 2" xfId="20195" xr:uid="{00000000-0005-0000-0000-0000ED510000}"/>
    <cellStyle name="Normal 2 5 4 4 8 2 2" xfId="45069" xr:uid="{00000000-0005-0000-0000-0000EE510000}"/>
    <cellStyle name="Normal 2 5 4 4 8 3" xfId="32636" xr:uid="{00000000-0005-0000-0000-0000EF510000}"/>
    <cellStyle name="Normal 2 5 4 4 9" xfId="11642" xr:uid="{00000000-0005-0000-0000-0000F0510000}"/>
    <cellStyle name="Normal 2 5 4 4 9 2" xfId="24076" xr:uid="{00000000-0005-0000-0000-0000F1510000}"/>
    <cellStyle name="Normal 2 5 4 4 9 2 2" xfId="48950" xr:uid="{00000000-0005-0000-0000-0000F2510000}"/>
    <cellStyle name="Normal 2 5 4 4 9 3" xfId="36517" xr:uid="{00000000-0005-0000-0000-0000F3510000}"/>
    <cellStyle name="Normal 2 5 4 4_Degree data" xfId="2029" xr:uid="{00000000-0005-0000-0000-0000F4510000}"/>
    <cellStyle name="Normal 2 5 4 5" xfId="373" xr:uid="{00000000-0005-0000-0000-0000F5510000}"/>
    <cellStyle name="Normal 2 5 4 5 10" xfId="13189" xr:uid="{00000000-0005-0000-0000-0000F6510000}"/>
    <cellStyle name="Normal 2 5 4 5 10 2" xfId="38063" xr:uid="{00000000-0005-0000-0000-0000F7510000}"/>
    <cellStyle name="Normal 2 5 4 5 11" xfId="25622" xr:uid="{00000000-0005-0000-0000-0000F8510000}"/>
    <cellStyle name="Normal 2 5 4 5 2" xfId="733" xr:uid="{00000000-0005-0000-0000-0000F9510000}"/>
    <cellStyle name="Normal 2 5 4 5 2 2" xfId="1424" xr:uid="{00000000-0005-0000-0000-0000FA510000}"/>
    <cellStyle name="Normal 2 5 4 5 2 2 2" xfId="9528" xr:uid="{00000000-0005-0000-0000-0000FB510000}"/>
    <cellStyle name="Normal 2 5 4 5 2 2 2 2" xfId="21971" xr:uid="{00000000-0005-0000-0000-0000FC510000}"/>
    <cellStyle name="Normal 2 5 4 5 2 2 2 2 2" xfId="46845" xr:uid="{00000000-0005-0000-0000-0000FD510000}"/>
    <cellStyle name="Normal 2 5 4 5 2 2 2 3" xfId="34412" xr:uid="{00000000-0005-0000-0000-0000FE510000}"/>
    <cellStyle name="Normal 2 5 4 5 2 2 3" xfId="4510" xr:uid="{00000000-0005-0000-0000-0000FF510000}"/>
    <cellStyle name="Normal 2 5 4 5 2 2 3 2" xfId="16964" xr:uid="{00000000-0005-0000-0000-000000520000}"/>
    <cellStyle name="Normal 2 5 4 5 2 2 3 2 2" xfId="41838" xr:uid="{00000000-0005-0000-0000-000001520000}"/>
    <cellStyle name="Normal 2 5 4 5 2 2 3 3" xfId="29405" xr:uid="{00000000-0005-0000-0000-000002520000}"/>
    <cellStyle name="Normal 2 5 4 5 2 2 4" xfId="14224" xr:uid="{00000000-0005-0000-0000-000003520000}"/>
    <cellStyle name="Normal 2 5 4 5 2 2 4 2" xfId="39098" xr:uid="{00000000-0005-0000-0000-000004520000}"/>
    <cellStyle name="Normal 2 5 4 5 2 2 5" xfId="26657" xr:uid="{00000000-0005-0000-0000-000005520000}"/>
    <cellStyle name="Normal 2 5 4 5 2 3" xfId="5569" xr:uid="{00000000-0005-0000-0000-000006520000}"/>
    <cellStyle name="Normal 2 5 4 5 2 3 2" xfId="10585" xr:uid="{00000000-0005-0000-0000-000007520000}"/>
    <cellStyle name="Normal 2 5 4 5 2 3 2 2" xfId="23028" xr:uid="{00000000-0005-0000-0000-000008520000}"/>
    <cellStyle name="Normal 2 5 4 5 2 3 2 2 2" xfId="47902" xr:uid="{00000000-0005-0000-0000-000009520000}"/>
    <cellStyle name="Normal 2 5 4 5 2 3 2 3" xfId="35469" xr:uid="{00000000-0005-0000-0000-00000A520000}"/>
    <cellStyle name="Normal 2 5 4 5 2 3 3" xfId="18021" xr:uid="{00000000-0005-0000-0000-00000B520000}"/>
    <cellStyle name="Normal 2 5 4 5 2 3 3 2" xfId="42895" xr:uid="{00000000-0005-0000-0000-00000C520000}"/>
    <cellStyle name="Normal 2 5 4 5 2 3 4" xfId="30462" xr:uid="{00000000-0005-0000-0000-00000D520000}"/>
    <cellStyle name="Normal 2 5 4 5 2 4" xfId="8644" xr:uid="{00000000-0005-0000-0000-00000E520000}"/>
    <cellStyle name="Normal 2 5 4 5 2 4 2" xfId="21088" xr:uid="{00000000-0005-0000-0000-00000F520000}"/>
    <cellStyle name="Normal 2 5 4 5 2 4 2 2" xfId="45962" xr:uid="{00000000-0005-0000-0000-000010520000}"/>
    <cellStyle name="Normal 2 5 4 5 2 4 3" xfId="33529" xr:uid="{00000000-0005-0000-0000-000011520000}"/>
    <cellStyle name="Normal 2 5 4 5 2 5" xfId="12039" xr:uid="{00000000-0005-0000-0000-000012520000}"/>
    <cellStyle name="Normal 2 5 4 5 2 5 2" xfId="24473" xr:uid="{00000000-0005-0000-0000-000013520000}"/>
    <cellStyle name="Normal 2 5 4 5 2 5 2 2" xfId="49347" xr:uid="{00000000-0005-0000-0000-000014520000}"/>
    <cellStyle name="Normal 2 5 4 5 2 5 3" xfId="36914" xr:uid="{00000000-0005-0000-0000-000015520000}"/>
    <cellStyle name="Normal 2 5 4 5 2 6" xfId="7121" xr:uid="{00000000-0005-0000-0000-000016520000}"/>
    <cellStyle name="Normal 2 5 4 5 2 6 2" xfId="19570" xr:uid="{00000000-0005-0000-0000-000017520000}"/>
    <cellStyle name="Normal 2 5 4 5 2 6 2 2" xfId="44444" xr:uid="{00000000-0005-0000-0000-000018520000}"/>
    <cellStyle name="Normal 2 5 4 5 2 6 3" xfId="32011" xr:uid="{00000000-0005-0000-0000-000019520000}"/>
    <cellStyle name="Normal 2 5 4 5 2 7" xfId="3575" xr:uid="{00000000-0005-0000-0000-00001A520000}"/>
    <cellStyle name="Normal 2 5 4 5 2 7 2" xfId="16081" xr:uid="{00000000-0005-0000-0000-00001B520000}"/>
    <cellStyle name="Normal 2 5 4 5 2 7 2 2" xfId="40955" xr:uid="{00000000-0005-0000-0000-00001C520000}"/>
    <cellStyle name="Normal 2 5 4 5 2 7 3" xfId="28514" xr:uid="{00000000-0005-0000-0000-00001D520000}"/>
    <cellStyle name="Normal 2 5 4 5 2 8" xfId="13536" xr:uid="{00000000-0005-0000-0000-00001E520000}"/>
    <cellStyle name="Normal 2 5 4 5 2 8 2" xfId="38410" xr:uid="{00000000-0005-0000-0000-00001F520000}"/>
    <cellStyle name="Normal 2 5 4 5 2 9" xfId="25969" xr:uid="{00000000-0005-0000-0000-000020520000}"/>
    <cellStyle name="Normal 2 5 4 5 3" xfId="1772" xr:uid="{00000000-0005-0000-0000-000021520000}"/>
    <cellStyle name="Normal 2 5 4 5 3 2" xfId="4918" xr:uid="{00000000-0005-0000-0000-000022520000}"/>
    <cellStyle name="Normal 2 5 4 5 3 2 2" xfId="9935" xr:uid="{00000000-0005-0000-0000-000023520000}"/>
    <cellStyle name="Normal 2 5 4 5 3 2 2 2" xfId="22378" xr:uid="{00000000-0005-0000-0000-000024520000}"/>
    <cellStyle name="Normal 2 5 4 5 3 2 2 2 2" xfId="47252" xr:uid="{00000000-0005-0000-0000-000025520000}"/>
    <cellStyle name="Normal 2 5 4 5 3 2 2 3" xfId="34819" xr:uid="{00000000-0005-0000-0000-000026520000}"/>
    <cellStyle name="Normal 2 5 4 5 3 2 3" xfId="17371" xr:uid="{00000000-0005-0000-0000-000027520000}"/>
    <cellStyle name="Normal 2 5 4 5 3 2 3 2" xfId="42245" xr:uid="{00000000-0005-0000-0000-000028520000}"/>
    <cellStyle name="Normal 2 5 4 5 3 2 4" xfId="29812" xr:uid="{00000000-0005-0000-0000-000029520000}"/>
    <cellStyle name="Normal 2 5 4 5 3 3" xfId="5918" xr:uid="{00000000-0005-0000-0000-00002A520000}"/>
    <cellStyle name="Normal 2 5 4 5 3 3 2" xfId="10933" xr:uid="{00000000-0005-0000-0000-00002B520000}"/>
    <cellStyle name="Normal 2 5 4 5 3 3 2 2" xfId="23376" xr:uid="{00000000-0005-0000-0000-00002C520000}"/>
    <cellStyle name="Normal 2 5 4 5 3 3 2 2 2" xfId="48250" xr:uid="{00000000-0005-0000-0000-00002D520000}"/>
    <cellStyle name="Normal 2 5 4 5 3 3 2 3" xfId="35817" xr:uid="{00000000-0005-0000-0000-00002E520000}"/>
    <cellStyle name="Normal 2 5 4 5 3 3 3" xfId="18369" xr:uid="{00000000-0005-0000-0000-00002F520000}"/>
    <cellStyle name="Normal 2 5 4 5 3 3 3 2" xfId="43243" xr:uid="{00000000-0005-0000-0000-000030520000}"/>
    <cellStyle name="Normal 2 5 4 5 3 3 4" xfId="30810" xr:uid="{00000000-0005-0000-0000-000031520000}"/>
    <cellStyle name="Normal 2 5 4 5 3 4" xfId="8342" xr:uid="{00000000-0005-0000-0000-000032520000}"/>
    <cellStyle name="Normal 2 5 4 5 3 4 2" xfId="20786" xr:uid="{00000000-0005-0000-0000-000033520000}"/>
    <cellStyle name="Normal 2 5 4 5 3 4 2 2" xfId="45660" xr:uid="{00000000-0005-0000-0000-000034520000}"/>
    <cellStyle name="Normal 2 5 4 5 3 4 3" xfId="33227" xr:uid="{00000000-0005-0000-0000-000035520000}"/>
    <cellStyle name="Normal 2 5 4 5 3 5" xfId="12387" xr:uid="{00000000-0005-0000-0000-000036520000}"/>
    <cellStyle name="Normal 2 5 4 5 3 5 2" xfId="24821" xr:uid="{00000000-0005-0000-0000-000037520000}"/>
    <cellStyle name="Normal 2 5 4 5 3 5 2 2" xfId="49695" xr:uid="{00000000-0005-0000-0000-000038520000}"/>
    <cellStyle name="Normal 2 5 4 5 3 5 3" xfId="37262" xr:uid="{00000000-0005-0000-0000-000039520000}"/>
    <cellStyle name="Normal 2 5 4 5 3 6" xfId="7529" xr:uid="{00000000-0005-0000-0000-00003A520000}"/>
    <cellStyle name="Normal 2 5 4 5 3 6 2" xfId="19977" xr:uid="{00000000-0005-0000-0000-00003B520000}"/>
    <cellStyle name="Normal 2 5 4 5 3 6 2 2" xfId="44851" xr:uid="{00000000-0005-0000-0000-00003C520000}"/>
    <cellStyle name="Normal 2 5 4 5 3 6 3" xfId="32418" xr:uid="{00000000-0005-0000-0000-00003D520000}"/>
    <cellStyle name="Normal 2 5 4 5 3 7" xfId="3273" xr:uid="{00000000-0005-0000-0000-00003E520000}"/>
    <cellStyle name="Normal 2 5 4 5 3 7 2" xfId="15779" xr:uid="{00000000-0005-0000-0000-00003F520000}"/>
    <cellStyle name="Normal 2 5 4 5 3 7 2 2" xfId="40653" xr:uid="{00000000-0005-0000-0000-000040520000}"/>
    <cellStyle name="Normal 2 5 4 5 3 7 3" xfId="28212" xr:uid="{00000000-0005-0000-0000-000041520000}"/>
    <cellStyle name="Normal 2 5 4 5 3 8" xfId="14572" xr:uid="{00000000-0005-0000-0000-000042520000}"/>
    <cellStyle name="Normal 2 5 4 5 3 8 2" xfId="39446" xr:uid="{00000000-0005-0000-0000-000043520000}"/>
    <cellStyle name="Normal 2 5 4 5 3 9" xfId="27005" xr:uid="{00000000-0005-0000-0000-000044520000}"/>
    <cellStyle name="Normal 2 5 4 5 4" xfId="2291" xr:uid="{00000000-0005-0000-0000-000045520000}"/>
    <cellStyle name="Normal 2 5 4 5 4 2" xfId="6316" xr:uid="{00000000-0005-0000-0000-000046520000}"/>
    <cellStyle name="Normal 2 5 4 5 4 2 2" xfId="11331" xr:uid="{00000000-0005-0000-0000-000047520000}"/>
    <cellStyle name="Normal 2 5 4 5 4 2 2 2" xfId="23774" xr:uid="{00000000-0005-0000-0000-000048520000}"/>
    <cellStyle name="Normal 2 5 4 5 4 2 2 2 2" xfId="48648" xr:uid="{00000000-0005-0000-0000-000049520000}"/>
    <cellStyle name="Normal 2 5 4 5 4 2 2 3" xfId="36215" xr:uid="{00000000-0005-0000-0000-00004A520000}"/>
    <cellStyle name="Normal 2 5 4 5 4 2 3" xfId="18767" xr:uid="{00000000-0005-0000-0000-00004B520000}"/>
    <cellStyle name="Normal 2 5 4 5 4 2 3 2" xfId="43641" xr:uid="{00000000-0005-0000-0000-00004C520000}"/>
    <cellStyle name="Normal 2 5 4 5 4 2 4" xfId="31208" xr:uid="{00000000-0005-0000-0000-00004D520000}"/>
    <cellStyle name="Normal 2 5 4 5 4 3" xfId="12785" xr:uid="{00000000-0005-0000-0000-00004E520000}"/>
    <cellStyle name="Normal 2 5 4 5 4 3 2" xfId="25219" xr:uid="{00000000-0005-0000-0000-00004F520000}"/>
    <cellStyle name="Normal 2 5 4 5 4 3 2 2" xfId="50093" xr:uid="{00000000-0005-0000-0000-000050520000}"/>
    <cellStyle name="Normal 2 5 4 5 4 3 3" xfId="37660" xr:uid="{00000000-0005-0000-0000-000051520000}"/>
    <cellStyle name="Normal 2 5 4 5 4 4" xfId="9226" xr:uid="{00000000-0005-0000-0000-000052520000}"/>
    <cellStyle name="Normal 2 5 4 5 4 4 2" xfId="21669" xr:uid="{00000000-0005-0000-0000-000053520000}"/>
    <cellStyle name="Normal 2 5 4 5 4 4 2 2" xfId="46543" xr:uid="{00000000-0005-0000-0000-000054520000}"/>
    <cellStyle name="Normal 2 5 4 5 4 4 3" xfId="34110" xr:uid="{00000000-0005-0000-0000-000055520000}"/>
    <cellStyle name="Normal 2 5 4 5 4 5" xfId="4208" xr:uid="{00000000-0005-0000-0000-000056520000}"/>
    <cellStyle name="Normal 2 5 4 5 4 5 2" xfId="16662" xr:uid="{00000000-0005-0000-0000-000057520000}"/>
    <cellStyle name="Normal 2 5 4 5 4 5 2 2" xfId="41536" xr:uid="{00000000-0005-0000-0000-000058520000}"/>
    <cellStyle name="Normal 2 5 4 5 4 5 3" xfId="29103" xr:uid="{00000000-0005-0000-0000-000059520000}"/>
    <cellStyle name="Normal 2 5 4 5 4 6" xfId="14970" xr:uid="{00000000-0005-0000-0000-00005A520000}"/>
    <cellStyle name="Normal 2 5 4 5 4 6 2" xfId="39844" xr:uid="{00000000-0005-0000-0000-00005B520000}"/>
    <cellStyle name="Normal 2 5 4 5 4 7" xfId="27403" xr:uid="{00000000-0005-0000-0000-00005C520000}"/>
    <cellStyle name="Normal 2 5 4 5 5" xfId="1127" xr:uid="{00000000-0005-0000-0000-00005D520000}"/>
    <cellStyle name="Normal 2 5 4 5 5 2" xfId="10288" xr:uid="{00000000-0005-0000-0000-00005E520000}"/>
    <cellStyle name="Normal 2 5 4 5 5 2 2" xfId="22731" xr:uid="{00000000-0005-0000-0000-00005F520000}"/>
    <cellStyle name="Normal 2 5 4 5 5 2 2 2" xfId="47605" xr:uid="{00000000-0005-0000-0000-000060520000}"/>
    <cellStyle name="Normal 2 5 4 5 5 2 3" xfId="35172" xr:uid="{00000000-0005-0000-0000-000061520000}"/>
    <cellStyle name="Normal 2 5 4 5 5 3" xfId="5272" xr:uid="{00000000-0005-0000-0000-000062520000}"/>
    <cellStyle name="Normal 2 5 4 5 5 3 2" xfId="17724" xr:uid="{00000000-0005-0000-0000-000063520000}"/>
    <cellStyle name="Normal 2 5 4 5 5 3 2 2" xfId="42598" xr:uid="{00000000-0005-0000-0000-000064520000}"/>
    <cellStyle name="Normal 2 5 4 5 5 3 3" xfId="30165" xr:uid="{00000000-0005-0000-0000-000065520000}"/>
    <cellStyle name="Normal 2 5 4 5 5 4" xfId="13927" xr:uid="{00000000-0005-0000-0000-000066520000}"/>
    <cellStyle name="Normal 2 5 4 5 5 4 2" xfId="38801" xr:uid="{00000000-0005-0000-0000-000067520000}"/>
    <cellStyle name="Normal 2 5 4 5 5 5" xfId="26360" xr:uid="{00000000-0005-0000-0000-000068520000}"/>
    <cellStyle name="Normal 2 5 4 5 6" xfId="7849" xr:uid="{00000000-0005-0000-0000-000069520000}"/>
    <cellStyle name="Normal 2 5 4 5 6 2" xfId="20295" xr:uid="{00000000-0005-0000-0000-00006A520000}"/>
    <cellStyle name="Normal 2 5 4 5 6 2 2" xfId="45169" xr:uid="{00000000-0005-0000-0000-00006B520000}"/>
    <cellStyle name="Normal 2 5 4 5 6 3" xfId="32736" xr:uid="{00000000-0005-0000-0000-00006C520000}"/>
    <cellStyle name="Normal 2 5 4 5 7" xfId="11742" xr:uid="{00000000-0005-0000-0000-00006D520000}"/>
    <cellStyle name="Normal 2 5 4 5 7 2" xfId="24176" xr:uid="{00000000-0005-0000-0000-00006E520000}"/>
    <cellStyle name="Normal 2 5 4 5 7 2 2" xfId="49050" xr:uid="{00000000-0005-0000-0000-00006F520000}"/>
    <cellStyle name="Normal 2 5 4 5 7 3" xfId="36617" xr:uid="{00000000-0005-0000-0000-000070520000}"/>
    <cellStyle name="Normal 2 5 4 5 8" xfId="6819" xr:uid="{00000000-0005-0000-0000-000071520000}"/>
    <cellStyle name="Normal 2 5 4 5 8 2" xfId="19268" xr:uid="{00000000-0005-0000-0000-000072520000}"/>
    <cellStyle name="Normal 2 5 4 5 8 2 2" xfId="44142" xr:uid="{00000000-0005-0000-0000-000073520000}"/>
    <cellStyle name="Normal 2 5 4 5 8 3" xfId="31709" xr:uid="{00000000-0005-0000-0000-000074520000}"/>
    <cellStyle name="Normal 2 5 4 5 9" xfId="2770" xr:uid="{00000000-0005-0000-0000-000075520000}"/>
    <cellStyle name="Normal 2 5 4 5 9 2" xfId="15288" xr:uid="{00000000-0005-0000-0000-000076520000}"/>
    <cellStyle name="Normal 2 5 4 5 9 2 2" xfId="40162" xr:uid="{00000000-0005-0000-0000-000077520000}"/>
    <cellStyle name="Normal 2 5 4 5 9 3" xfId="27721" xr:uid="{00000000-0005-0000-0000-000078520000}"/>
    <cellStyle name="Normal 2 5 4 5_Degree data" xfId="2080" xr:uid="{00000000-0005-0000-0000-000079520000}"/>
    <cellStyle name="Normal 2 5 4 6" xfId="239" xr:uid="{00000000-0005-0000-0000-00007A520000}"/>
    <cellStyle name="Normal 2 5 4 6 10" xfId="13065" xr:uid="{00000000-0005-0000-0000-00007B520000}"/>
    <cellStyle name="Normal 2 5 4 6 10 2" xfId="37939" xr:uid="{00000000-0005-0000-0000-00007C520000}"/>
    <cellStyle name="Normal 2 5 4 6 11" xfId="25498" xr:uid="{00000000-0005-0000-0000-00007D520000}"/>
    <cellStyle name="Normal 2 5 4 6 2" xfId="603" xr:uid="{00000000-0005-0000-0000-00007E520000}"/>
    <cellStyle name="Normal 2 5 4 6 2 2" xfId="1425" xr:uid="{00000000-0005-0000-0000-00007F520000}"/>
    <cellStyle name="Normal 2 5 4 6 2 2 2" xfId="9529" xr:uid="{00000000-0005-0000-0000-000080520000}"/>
    <cellStyle name="Normal 2 5 4 6 2 2 2 2" xfId="21972" xr:uid="{00000000-0005-0000-0000-000081520000}"/>
    <cellStyle name="Normal 2 5 4 6 2 2 2 2 2" xfId="46846" xr:uid="{00000000-0005-0000-0000-000082520000}"/>
    <cellStyle name="Normal 2 5 4 6 2 2 2 3" xfId="34413" xr:uid="{00000000-0005-0000-0000-000083520000}"/>
    <cellStyle name="Normal 2 5 4 6 2 2 3" xfId="4511" xr:uid="{00000000-0005-0000-0000-000084520000}"/>
    <cellStyle name="Normal 2 5 4 6 2 2 3 2" xfId="16965" xr:uid="{00000000-0005-0000-0000-000085520000}"/>
    <cellStyle name="Normal 2 5 4 6 2 2 3 2 2" xfId="41839" xr:uid="{00000000-0005-0000-0000-000086520000}"/>
    <cellStyle name="Normal 2 5 4 6 2 2 3 3" xfId="29406" xr:uid="{00000000-0005-0000-0000-000087520000}"/>
    <cellStyle name="Normal 2 5 4 6 2 2 4" xfId="14225" xr:uid="{00000000-0005-0000-0000-000088520000}"/>
    <cellStyle name="Normal 2 5 4 6 2 2 4 2" xfId="39099" xr:uid="{00000000-0005-0000-0000-000089520000}"/>
    <cellStyle name="Normal 2 5 4 6 2 2 5" xfId="26658" xr:uid="{00000000-0005-0000-0000-00008A520000}"/>
    <cellStyle name="Normal 2 5 4 6 2 3" xfId="5570" xr:uid="{00000000-0005-0000-0000-00008B520000}"/>
    <cellStyle name="Normal 2 5 4 6 2 3 2" xfId="10586" xr:uid="{00000000-0005-0000-0000-00008C520000}"/>
    <cellStyle name="Normal 2 5 4 6 2 3 2 2" xfId="23029" xr:uid="{00000000-0005-0000-0000-00008D520000}"/>
    <cellStyle name="Normal 2 5 4 6 2 3 2 2 2" xfId="47903" xr:uid="{00000000-0005-0000-0000-00008E520000}"/>
    <cellStyle name="Normal 2 5 4 6 2 3 2 3" xfId="35470" xr:uid="{00000000-0005-0000-0000-00008F520000}"/>
    <cellStyle name="Normal 2 5 4 6 2 3 3" xfId="18022" xr:uid="{00000000-0005-0000-0000-000090520000}"/>
    <cellStyle name="Normal 2 5 4 6 2 3 3 2" xfId="42896" xr:uid="{00000000-0005-0000-0000-000091520000}"/>
    <cellStyle name="Normal 2 5 4 6 2 3 4" xfId="30463" xr:uid="{00000000-0005-0000-0000-000092520000}"/>
    <cellStyle name="Normal 2 5 4 6 2 4" xfId="8645" xr:uid="{00000000-0005-0000-0000-000093520000}"/>
    <cellStyle name="Normal 2 5 4 6 2 4 2" xfId="21089" xr:uid="{00000000-0005-0000-0000-000094520000}"/>
    <cellStyle name="Normal 2 5 4 6 2 4 2 2" xfId="45963" xr:uid="{00000000-0005-0000-0000-000095520000}"/>
    <cellStyle name="Normal 2 5 4 6 2 4 3" xfId="33530" xr:uid="{00000000-0005-0000-0000-000096520000}"/>
    <cellStyle name="Normal 2 5 4 6 2 5" xfId="12040" xr:uid="{00000000-0005-0000-0000-000097520000}"/>
    <cellStyle name="Normal 2 5 4 6 2 5 2" xfId="24474" xr:uid="{00000000-0005-0000-0000-000098520000}"/>
    <cellStyle name="Normal 2 5 4 6 2 5 2 2" xfId="49348" xr:uid="{00000000-0005-0000-0000-000099520000}"/>
    <cellStyle name="Normal 2 5 4 6 2 5 3" xfId="36915" xr:uid="{00000000-0005-0000-0000-00009A520000}"/>
    <cellStyle name="Normal 2 5 4 6 2 6" xfId="7122" xr:uid="{00000000-0005-0000-0000-00009B520000}"/>
    <cellStyle name="Normal 2 5 4 6 2 6 2" xfId="19571" xr:uid="{00000000-0005-0000-0000-00009C520000}"/>
    <cellStyle name="Normal 2 5 4 6 2 6 2 2" xfId="44445" xr:uid="{00000000-0005-0000-0000-00009D520000}"/>
    <cellStyle name="Normal 2 5 4 6 2 6 3" xfId="32012" xr:uid="{00000000-0005-0000-0000-00009E520000}"/>
    <cellStyle name="Normal 2 5 4 6 2 7" xfId="3576" xr:uid="{00000000-0005-0000-0000-00009F520000}"/>
    <cellStyle name="Normal 2 5 4 6 2 7 2" xfId="16082" xr:uid="{00000000-0005-0000-0000-0000A0520000}"/>
    <cellStyle name="Normal 2 5 4 6 2 7 2 2" xfId="40956" xr:uid="{00000000-0005-0000-0000-0000A1520000}"/>
    <cellStyle name="Normal 2 5 4 6 2 7 3" xfId="28515" xr:uid="{00000000-0005-0000-0000-0000A2520000}"/>
    <cellStyle name="Normal 2 5 4 6 2 8" xfId="13412" xr:uid="{00000000-0005-0000-0000-0000A3520000}"/>
    <cellStyle name="Normal 2 5 4 6 2 8 2" xfId="38286" xr:uid="{00000000-0005-0000-0000-0000A4520000}"/>
    <cellStyle name="Normal 2 5 4 6 2 9" xfId="25845" xr:uid="{00000000-0005-0000-0000-0000A5520000}"/>
    <cellStyle name="Normal 2 5 4 6 3" xfId="1773" xr:uid="{00000000-0005-0000-0000-0000A6520000}"/>
    <cellStyle name="Normal 2 5 4 6 3 2" xfId="4794" xr:uid="{00000000-0005-0000-0000-0000A7520000}"/>
    <cellStyle name="Normal 2 5 4 6 3 2 2" xfId="9811" xr:uid="{00000000-0005-0000-0000-0000A8520000}"/>
    <cellStyle name="Normal 2 5 4 6 3 2 2 2" xfId="22254" xr:uid="{00000000-0005-0000-0000-0000A9520000}"/>
    <cellStyle name="Normal 2 5 4 6 3 2 2 2 2" xfId="47128" xr:uid="{00000000-0005-0000-0000-0000AA520000}"/>
    <cellStyle name="Normal 2 5 4 6 3 2 2 3" xfId="34695" xr:uid="{00000000-0005-0000-0000-0000AB520000}"/>
    <cellStyle name="Normal 2 5 4 6 3 2 3" xfId="17247" xr:uid="{00000000-0005-0000-0000-0000AC520000}"/>
    <cellStyle name="Normal 2 5 4 6 3 2 3 2" xfId="42121" xr:uid="{00000000-0005-0000-0000-0000AD520000}"/>
    <cellStyle name="Normal 2 5 4 6 3 2 4" xfId="29688" xr:uid="{00000000-0005-0000-0000-0000AE520000}"/>
    <cellStyle name="Normal 2 5 4 6 3 3" xfId="5919" xr:uid="{00000000-0005-0000-0000-0000AF520000}"/>
    <cellStyle name="Normal 2 5 4 6 3 3 2" xfId="10934" xr:uid="{00000000-0005-0000-0000-0000B0520000}"/>
    <cellStyle name="Normal 2 5 4 6 3 3 2 2" xfId="23377" xr:uid="{00000000-0005-0000-0000-0000B1520000}"/>
    <cellStyle name="Normal 2 5 4 6 3 3 2 2 2" xfId="48251" xr:uid="{00000000-0005-0000-0000-0000B2520000}"/>
    <cellStyle name="Normal 2 5 4 6 3 3 2 3" xfId="35818" xr:uid="{00000000-0005-0000-0000-0000B3520000}"/>
    <cellStyle name="Normal 2 5 4 6 3 3 3" xfId="18370" xr:uid="{00000000-0005-0000-0000-0000B4520000}"/>
    <cellStyle name="Normal 2 5 4 6 3 3 3 2" xfId="43244" xr:uid="{00000000-0005-0000-0000-0000B5520000}"/>
    <cellStyle name="Normal 2 5 4 6 3 3 4" xfId="30811" xr:uid="{00000000-0005-0000-0000-0000B6520000}"/>
    <cellStyle name="Normal 2 5 4 6 3 4" xfId="8872" xr:uid="{00000000-0005-0000-0000-0000B7520000}"/>
    <cellStyle name="Normal 2 5 4 6 3 4 2" xfId="21315" xr:uid="{00000000-0005-0000-0000-0000B8520000}"/>
    <cellStyle name="Normal 2 5 4 6 3 4 2 2" xfId="46189" xr:uid="{00000000-0005-0000-0000-0000B9520000}"/>
    <cellStyle name="Normal 2 5 4 6 3 4 3" xfId="33756" xr:uid="{00000000-0005-0000-0000-0000BA520000}"/>
    <cellStyle name="Normal 2 5 4 6 3 5" xfId="12388" xr:uid="{00000000-0005-0000-0000-0000BB520000}"/>
    <cellStyle name="Normal 2 5 4 6 3 5 2" xfId="24822" xr:uid="{00000000-0005-0000-0000-0000BC520000}"/>
    <cellStyle name="Normal 2 5 4 6 3 5 2 2" xfId="49696" xr:uid="{00000000-0005-0000-0000-0000BD520000}"/>
    <cellStyle name="Normal 2 5 4 6 3 5 3" xfId="37263" xr:uid="{00000000-0005-0000-0000-0000BE520000}"/>
    <cellStyle name="Normal 2 5 4 6 3 6" xfId="7405" xr:uid="{00000000-0005-0000-0000-0000BF520000}"/>
    <cellStyle name="Normal 2 5 4 6 3 6 2" xfId="19853" xr:uid="{00000000-0005-0000-0000-0000C0520000}"/>
    <cellStyle name="Normal 2 5 4 6 3 6 2 2" xfId="44727" xr:uid="{00000000-0005-0000-0000-0000C1520000}"/>
    <cellStyle name="Normal 2 5 4 6 3 6 3" xfId="32294" xr:uid="{00000000-0005-0000-0000-0000C2520000}"/>
    <cellStyle name="Normal 2 5 4 6 3 7" xfId="3854" xr:uid="{00000000-0005-0000-0000-0000C3520000}"/>
    <cellStyle name="Normal 2 5 4 6 3 7 2" xfId="16308" xr:uid="{00000000-0005-0000-0000-0000C4520000}"/>
    <cellStyle name="Normal 2 5 4 6 3 7 2 2" xfId="41182" xr:uid="{00000000-0005-0000-0000-0000C5520000}"/>
    <cellStyle name="Normal 2 5 4 6 3 7 3" xfId="28749" xr:uid="{00000000-0005-0000-0000-0000C6520000}"/>
    <cellStyle name="Normal 2 5 4 6 3 8" xfId="14573" xr:uid="{00000000-0005-0000-0000-0000C7520000}"/>
    <cellStyle name="Normal 2 5 4 6 3 8 2" xfId="39447" xr:uid="{00000000-0005-0000-0000-0000C8520000}"/>
    <cellStyle name="Normal 2 5 4 6 3 9" xfId="27006" xr:uid="{00000000-0005-0000-0000-0000C9520000}"/>
    <cellStyle name="Normal 2 5 4 6 4" xfId="2157" xr:uid="{00000000-0005-0000-0000-0000CA520000}"/>
    <cellStyle name="Normal 2 5 4 6 4 2" xfId="6192" xr:uid="{00000000-0005-0000-0000-0000CB520000}"/>
    <cellStyle name="Normal 2 5 4 6 4 2 2" xfId="11207" xr:uid="{00000000-0005-0000-0000-0000CC520000}"/>
    <cellStyle name="Normal 2 5 4 6 4 2 2 2" xfId="23650" xr:uid="{00000000-0005-0000-0000-0000CD520000}"/>
    <cellStyle name="Normal 2 5 4 6 4 2 2 2 2" xfId="48524" xr:uid="{00000000-0005-0000-0000-0000CE520000}"/>
    <cellStyle name="Normal 2 5 4 6 4 2 2 3" xfId="36091" xr:uid="{00000000-0005-0000-0000-0000CF520000}"/>
    <cellStyle name="Normal 2 5 4 6 4 2 3" xfId="18643" xr:uid="{00000000-0005-0000-0000-0000D0520000}"/>
    <cellStyle name="Normal 2 5 4 6 4 2 3 2" xfId="43517" xr:uid="{00000000-0005-0000-0000-0000D1520000}"/>
    <cellStyle name="Normal 2 5 4 6 4 2 4" xfId="31084" xr:uid="{00000000-0005-0000-0000-0000D2520000}"/>
    <cellStyle name="Normal 2 5 4 6 4 3" xfId="12661" xr:uid="{00000000-0005-0000-0000-0000D3520000}"/>
    <cellStyle name="Normal 2 5 4 6 4 3 2" xfId="25095" xr:uid="{00000000-0005-0000-0000-0000D4520000}"/>
    <cellStyle name="Normal 2 5 4 6 4 3 2 2" xfId="49969" xr:uid="{00000000-0005-0000-0000-0000D5520000}"/>
    <cellStyle name="Normal 2 5 4 6 4 3 3" xfId="37536" xr:uid="{00000000-0005-0000-0000-0000D6520000}"/>
    <cellStyle name="Normal 2 5 4 6 4 4" xfId="9102" xr:uid="{00000000-0005-0000-0000-0000D7520000}"/>
    <cellStyle name="Normal 2 5 4 6 4 4 2" xfId="21545" xr:uid="{00000000-0005-0000-0000-0000D8520000}"/>
    <cellStyle name="Normal 2 5 4 6 4 4 2 2" xfId="46419" xr:uid="{00000000-0005-0000-0000-0000D9520000}"/>
    <cellStyle name="Normal 2 5 4 6 4 4 3" xfId="33986" xr:uid="{00000000-0005-0000-0000-0000DA520000}"/>
    <cellStyle name="Normal 2 5 4 6 4 5" xfId="4084" xr:uid="{00000000-0005-0000-0000-0000DB520000}"/>
    <cellStyle name="Normal 2 5 4 6 4 5 2" xfId="16538" xr:uid="{00000000-0005-0000-0000-0000DC520000}"/>
    <cellStyle name="Normal 2 5 4 6 4 5 2 2" xfId="41412" xr:uid="{00000000-0005-0000-0000-0000DD520000}"/>
    <cellStyle name="Normal 2 5 4 6 4 5 3" xfId="28979" xr:uid="{00000000-0005-0000-0000-0000DE520000}"/>
    <cellStyle name="Normal 2 5 4 6 4 6" xfId="14846" xr:uid="{00000000-0005-0000-0000-0000DF520000}"/>
    <cellStyle name="Normal 2 5 4 6 4 6 2" xfId="39720" xr:uid="{00000000-0005-0000-0000-0000E0520000}"/>
    <cellStyle name="Normal 2 5 4 6 4 7" xfId="27279" xr:uid="{00000000-0005-0000-0000-0000E1520000}"/>
    <cellStyle name="Normal 2 5 4 6 5" xfId="1003" xr:uid="{00000000-0005-0000-0000-0000E2520000}"/>
    <cellStyle name="Normal 2 5 4 6 5 2" xfId="10162" xr:uid="{00000000-0005-0000-0000-0000E3520000}"/>
    <cellStyle name="Normal 2 5 4 6 5 2 2" xfId="22605" xr:uid="{00000000-0005-0000-0000-0000E4520000}"/>
    <cellStyle name="Normal 2 5 4 6 5 2 2 2" xfId="47479" xr:uid="{00000000-0005-0000-0000-0000E5520000}"/>
    <cellStyle name="Normal 2 5 4 6 5 2 3" xfId="35046" xr:uid="{00000000-0005-0000-0000-0000E6520000}"/>
    <cellStyle name="Normal 2 5 4 6 5 3" xfId="5146" xr:uid="{00000000-0005-0000-0000-0000E7520000}"/>
    <cellStyle name="Normal 2 5 4 6 5 3 2" xfId="17598" xr:uid="{00000000-0005-0000-0000-0000E8520000}"/>
    <cellStyle name="Normal 2 5 4 6 5 3 2 2" xfId="42472" xr:uid="{00000000-0005-0000-0000-0000E9520000}"/>
    <cellStyle name="Normal 2 5 4 6 5 3 3" xfId="30039" xr:uid="{00000000-0005-0000-0000-0000EA520000}"/>
    <cellStyle name="Normal 2 5 4 6 5 4" xfId="13803" xr:uid="{00000000-0005-0000-0000-0000EB520000}"/>
    <cellStyle name="Normal 2 5 4 6 5 4 2" xfId="38677" xr:uid="{00000000-0005-0000-0000-0000EC520000}"/>
    <cellStyle name="Normal 2 5 4 6 5 5" xfId="26236" xr:uid="{00000000-0005-0000-0000-0000ED520000}"/>
    <cellStyle name="Normal 2 5 4 6 6" xfId="8218" xr:uid="{00000000-0005-0000-0000-0000EE520000}"/>
    <cellStyle name="Normal 2 5 4 6 6 2" xfId="20662" xr:uid="{00000000-0005-0000-0000-0000EF520000}"/>
    <cellStyle name="Normal 2 5 4 6 6 2 2" xfId="45536" xr:uid="{00000000-0005-0000-0000-0000F0520000}"/>
    <cellStyle name="Normal 2 5 4 6 6 3" xfId="33103" xr:uid="{00000000-0005-0000-0000-0000F1520000}"/>
    <cellStyle name="Normal 2 5 4 6 7" xfId="11618" xr:uid="{00000000-0005-0000-0000-0000F2520000}"/>
    <cellStyle name="Normal 2 5 4 6 7 2" xfId="24052" xr:uid="{00000000-0005-0000-0000-0000F3520000}"/>
    <cellStyle name="Normal 2 5 4 6 7 2 2" xfId="48926" xr:uid="{00000000-0005-0000-0000-0000F4520000}"/>
    <cellStyle name="Normal 2 5 4 6 7 3" xfId="36493" xr:uid="{00000000-0005-0000-0000-0000F5520000}"/>
    <cellStyle name="Normal 2 5 4 6 8" xfId="6695" xr:uid="{00000000-0005-0000-0000-0000F6520000}"/>
    <cellStyle name="Normal 2 5 4 6 8 2" xfId="19144" xr:uid="{00000000-0005-0000-0000-0000F7520000}"/>
    <cellStyle name="Normal 2 5 4 6 8 2 2" xfId="44018" xr:uid="{00000000-0005-0000-0000-0000F8520000}"/>
    <cellStyle name="Normal 2 5 4 6 8 3" xfId="31585" xr:uid="{00000000-0005-0000-0000-0000F9520000}"/>
    <cellStyle name="Normal 2 5 4 6 9" xfId="3149" xr:uid="{00000000-0005-0000-0000-0000FA520000}"/>
    <cellStyle name="Normal 2 5 4 6 9 2" xfId="15655" xr:uid="{00000000-0005-0000-0000-0000FB520000}"/>
    <cellStyle name="Normal 2 5 4 6 9 2 2" xfId="40529" xr:uid="{00000000-0005-0000-0000-0000FC520000}"/>
    <cellStyle name="Normal 2 5 4 6 9 3" xfId="28088" xr:uid="{00000000-0005-0000-0000-0000FD520000}"/>
    <cellStyle name="Normal 2 5 4 6_Degree data" xfId="1992" xr:uid="{00000000-0005-0000-0000-0000FE520000}"/>
    <cellStyle name="Normal 2 5 4 7" xfId="557" xr:uid="{00000000-0005-0000-0000-0000FF520000}"/>
    <cellStyle name="Normal 2 5 4 7 2" xfId="1416" xr:uid="{00000000-0005-0000-0000-000000530000}"/>
    <cellStyle name="Normal 2 5 4 7 2 2" xfId="9520" xr:uid="{00000000-0005-0000-0000-000001530000}"/>
    <cellStyle name="Normal 2 5 4 7 2 2 2" xfId="21963" xr:uid="{00000000-0005-0000-0000-000002530000}"/>
    <cellStyle name="Normal 2 5 4 7 2 2 2 2" xfId="46837" xr:uid="{00000000-0005-0000-0000-000003530000}"/>
    <cellStyle name="Normal 2 5 4 7 2 2 3" xfId="34404" xr:uid="{00000000-0005-0000-0000-000004530000}"/>
    <cellStyle name="Normal 2 5 4 7 2 3" xfId="4502" xr:uid="{00000000-0005-0000-0000-000005530000}"/>
    <cellStyle name="Normal 2 5 4 7 2 3 2" xfId="16956" xr:uid="{00000000-0005-0000-0000-000006530000}"/>
    <cellStyle name="Normal 2 5 4 7 2 3 2 2" xfId="41830" xr:uid="{00000000-0005-0000-0000-000007530000}"/>
    <cellStyle name="Normal 2 5 4 7 2 3 3" xfId="29397" xr:uid="{00000000-0005-0000-0000-000008530000}"/>
    <cellStyle name="Normal 2 5 4 7 2 4" xfId="14216" xr:uid="{00000000-0005-0000-0000-000009530000}"/>
    <cellStyle name="Normal 2 5 4 7 2 4 2" xfId="39090" xr:uid="{00000000-0005-0000-0000-00000A530000}"/>
    <cellStyle name="Normal 2 5 4 7 2 5" xfId="26649" xr:uid="{00000000-0005-0000-0000-00000B530000}"/>
    <cellStyle name="Normal 2 5 4 7 3" xfId="5561" xr:uid="{00000000-0005-0000-0000-00000C530000}"/>
    <cellStyle name="Normal 2 5 4 7 3 2" xfId="10577" xr:uid="{00000000-0005-0000-0000-00000D530000}"/>
    <cellStyle name="Normal 2 5 4 7 3 2 2" xfId="23020" xr:uid="{00000000-0005-0000-0000-00000E530000}"/>
    <cellStyle name="Normal 2 5 4 7 3 2 2 2" xfId="47894" xr:uid="{00000000-0005-0000-0000-00000F530000}"/>
    <cellStyle name="Normal 2 5 4 7 3 2 3" xfId="35461" xr:uid="{00000000-0005-0000-0000-000010530000}"/>
    <cellStyle name="Normal 2 5 4 7 3 3" xfId="18013" xr:uid="{00000000-0005-0000-0000-000011530000}"/>
    <cellStyle name="Normal 2 5 4 7 3 3 2" xfId="42887" xr:uid="{00000000-0005-0000-0000-000012530000}"/>
    <cellStyle name="Normal 2 5 4 7 3 4" xfId="30454" xr:uid="{00000000-0005-0000-0000-000013530000}"/>
    <cellStyle name="Normal 2 5 4 7 4" xfId="8636" xr:uid="{00000000-0005-0000-0000-000014530000}"/>
    <cellStyle name="Normal 2 5 4 7 4 2" xfId="21080" xr:uid="{00000000-0005-0000-0000-000015530000}"/>
    <cellStyle name="Normal 2 5 4 7 4 2 2" xfId="45954" xr:uid="{00000000-0005-0000-0000-000016530000}"/>
    <cellStyle name="Normal 2 5 4 7 4 3" xfId="33521" xr:uid="{00000000-0005-0000-0000-000017530000}"/>
    <cellStyle name="Normal 2 5 4 7 5" xfId="12031" xr:uid="{00000000-0005-0000-0000-000018530000}"/>
    <cellStyle name="Normal 2 5 4 7 5 2" xfId="24465" xr:uid="{00000000-0005-0000-0000-000019530000}"/>
    <cellStyle name="Normal 2 5 4 7 5 2 2" xfId="49339" xr:uid="{00000000-0005-0000-0000-00001A530000}"/>
    <cellStyle name="Normal 2 5 4 7 5 3" xfId="36906" xr:uid="{00000000-0005-0000-0000-00001B530000}"/>
    <cellStyle name="Normal 2 5 4 7 6" xfId="7113" xr:uid="{00000000-0005-0000-0000-00001C530000}"/>
    <cellStyle name="Normal 2 5 4 7 6 2" xfId="19562" xr:uid="{00000000-0005-0000-0000-00001D530000}"/>
    <cellStyle name="Normal 2 5 4 7 6 2 2" xfId="44436" xr:uid="{00000000-0005-0000-0000-00001E530000}"/>
    <cellStyle name="Normal 2 5 4 7 6 3" xfId="32003" xr:uid="{00000000-0005-0000-0000-00001F530000}"/>
    <cellStyle name="Normal 2 5 4 7 7" xfId="3567" xr:uid="{00000000-0005-0000-0000-000020530000}"/>
    <cellStyle name="Normal 2 5 4 7 7 2" xfId="16073" xr:uid="{00000000-0005-0000-0000-000021530000}"/>
    <cellStyle name="Normal 2 5 4 7 7 2 2" xfId="40947" xr:uid="{00000000-0005-0000-0000-000022530000}"/>
    <cellStyle name="Normal 2 5 4 7 7 3" xfId="28506" xr:uid="{00000000-0005-0000-0000-000023530000}"/>
    <cellStyle name="Normal 2 5 4 7 8" xfId="13367" xr:uid="{00000000-0005-0000-0000-000024530000}"/>
    <cellStyle name="Normal 2 5 4 7 8 2" xfId="38241" xr:uid="{00000000-0005-0000-0000-000025530000}"/>
    <cellStyle name="Normal 2 5 4 7 9" xfId="25800" xr:uid="{00000000-0005-0000-0000-000026530000}"/>
    <cellStyle name="Normal 2 5 4 8" xfId="1764" xr:uid="{00000000-0005-0000-0000-000027530000}"/>
    <cellStyle name="Normal 2 5 4 8 2" xfId="4749" xr:uid="{00000000-0005-0000-0000-000028530000}"/>
    <cellStyle name="Normal 2 5 4 8 2 2" xfId="9766" xr:uid="{00000000-0005-0000-0000-000029530000}"/>
    <cellStyle name="Normal 2 5 4 8 2 2 2" xfId="22209" xr:uid="{00000000-0005-0000-0000-00002A530000}"/>
    <cellStyle name="Normal 2 5 4 8 2 2 2 2" xfId="47083" xr:uid="{00000000-0005-0000-0000-00002B530000}"/>
    <cellStyle name="Normal 2 5 4 8 2 2 3" xfId="34650" xr:uid="{00000000-0005-0000-0000-00002C530000}"/>
    <cellStyle name="Normal 2 5 4 8 2 3" xfId="17202" xr:uid="{00000000-0005-0000-0000-00002D530000}"/>
    <cellStyle name="Normal 2 5 4 8 2 3 2" xfId="42076" xr:uid="{00000000-0005-0000-0000-00002E530000}"/>
    <cellStyle name="Normal 2 5 4 8 2 4" xfId="29643" xr:uid="{00000000-0005-0000-0000-00002F530000}"/>
    <cellStyle name="Normal 2 5 4 8 3" xfId="5910" xr:uid="{00000000-0005-0000-0000-000030530000}"/>
    <cellStyle name="Normal 2 5 4 8 3 2" xfId="10925" xr:uid="{00000000-0005-0000-0000-000031530000}"/>
    <cellStyle name="Normal 2 5 4 8 3 2 2" xfId="23368" xr:uid="{00000000-0005-0000-0000-000032530000}"/>
    <cellStyle name="Normal 2 5 4 8 3 2 2 2" xfId="48242" xr:uid="{00000000-0005-0000-0000-000033530000}"/>
    <cellStyle name="Normal 2 5 4 8 3 2 3" xfId="35809" xr:uid="{00000000-0005-0000-0000-000034530000}"/>
    <cellStyle name="Normal 2 5 4 8 3 3" xfId="18361" xr:uid="{00000000-0005-0000-0000-000035530000}"/>
    <cellStyle name="Normal 2 5 4 8 3 3 2" xfId="43235" xr:uid="{00000000-0005-0000-0000-000036530000}"/>
    <cellStyle name="Normal 2 5 4 8 3 4" xfId="30802" xr:uid="{00000000-0005-0000-0000-000037530000}"/>
    <cellStyle name="Normal 2 5 4 8 4" xfId="8022" xr:uid="{00000000-0005-0000-0000-000038530000}"/>
    <cellStyle name="Normal 2 5 4 8 4 2" xfId="20468" xr:uid="{00000000-0005-0000-0000-000039530000}"/>
    <cellStyle name="Normal 2 5 4 8 4 2 2" xfId="45342" xr:uid="{00000000-0005-0000-0000-00003A530000}"/>
    <cellStyle name="Normal 2 5 4 8 4 3" xfId="32909" xr:uid="{00000000-0005-0000-0000-00003B530000}"/>
    <cellStyle name="Normal 2 5 4 8 5" xfId="12379" xr:uid="{00000000-0005-0000-0000-00003C530000}"/>
    <cellStyle name="Normal 2 5 4 8 5 2" xfId="24813" xr:uid="{00000000-0005-0000-0000-00003D530000}"/>
    <cellStyle name="Normal 2 5 4 8 5 2 2" xfId="49687" xr:uid="{00000000-0005-0000-0000-00003E530000}"/>
    <cellStyle name="Normal 2 5 4 8 5 3" xfId="37254" xr:uid="{00000000-0005-0000-0000-00003F530000}"/>
    <cellStyle name="Normal 2 5 4 8 6" xfId="7360" xr:uid="{00000000-0005-0000-0000-000040530000}"/>
    <cellStyle name="Normal 2 5 4 8 6 2" xfId="19808" xr:uid="{00000000-0005-0000-0000-000041530000}"/>
    <cellStyle name="Normal 2 5 4 8 6 2 2" xfId="44682" xr:uid="{00000000-0005-0000-0000-000042530000}"/>
    <cellStyle name="Normal 2 5 4 8 6 3" xfId="32249" xr:uid="{00000000-0005-0000-0000-000043530000}"/>
    <cellStyle name="Normal 2 5 4 8 7" xfId="2946" xr:uid="{00000000-0005-0000-0000-000044530000}"/>
    <cellStyle name="Normal 2 5 4 8 7 2" xfId="15461" xr:uid="{00000000-0005-0000-0000-000045530000}"/>
    <cellStyle name="Normal 2 5 4 8 7 2 2" xfId="40335" xr:uid="{00000000-0005-0000-0000-000046530000}"/>
    <cellStyle name="Normal 2 5 4 8 7 3" xfId="27894" xr:uid="{00000000-0005-0000-0000-000047530000}"/>
    <cellStyle name="Normal 2 5 4 8 8" xfId="14564" xr:uid="{00000000-0005-0000-0000-000048530000}"/>
    <cellStyle name="Normal 2 5 4 8 8 2" xfId="39438" xr:uid="{00000000-0005-0000-0000-000049530000}"/>
    <cellStyle name="Normal 2 5 4 8 9" xfId="26997" xr:uid="{00000000-0005-0000-0000-00004A530000}"/>
    <cellStyle name="Normal 2 5 4 9" xfId="2108" xr:uid="{00000000-0005-0000-0000-00004B530000}"/>
    <cellStyle name="Normal 2 5 4 9 2" xfId="6147" xr:uid="{00000000-0005-0000-0000-00004C530000}"/>
    <cellStyle name="Normal 2 5 4 9 2 2" xfId="11162" xr:uid="{00000000-0005-0000-0000-00004D530000}"/>
    <cellStyle name="Normal 2 5 4 9 2 2 2" xfId="23605" xr:uid="{00000000-0005-0000-0000-00004E530000}"/>
    <cellStyle name="Normal 2 5 4 9 2 2 2 2" xfId="48479" xr:uid="{00000000-0005-0000-0000-00004F530000}"/>
    <cellStyle name="Normal 2 5 4 9 2 2 3" xfId="36046" xr:uid="{00000000-0005-0000-0000-000050530000}"/>
    <cellStyle name="Normal 2 5 4 9 2 3" xfId="18598" xr:uid="{00000000-0005-0000-0000-000051530000}"/>
    <cellStyle name="Normal 2 5 4 9 2 3 2" xfId="43472" xr:uid="{00000000-0005-0000-0000-000052530000}"/>
    <cellStyle name="Normal 2 5 4 9 2 4" xfId="31039" xr:uid="{00000000-0005-0000-0000-000053530000}"/>
    <cellStyle name="Normal 2 5 4 9 3" xfId="12616" xr:uid="{00000000-0005-0000-0000-000054530000}"/>
    <cellStyle name="Normal 2 5 4 9 3 2" xfId="25050" xr:uid="{00000000-0005-0000-0000-000055530000}"/>
    <cellStyle name="Normal 2 5 4 9 3 2 2" xfId="49924" xr:uid="{00000000-0005-0000-0000-000056530000}"/>
    <cellStyle name="Normal 2 5 4 9 3 3" xfId="37491" xr:uid="{00000000-0005-0000-0000-000057530000}"/>
    <cellStyle name="Normal 2 5 4 9 4" xfId="8909" xr:uid="{00000000-0005-0000-0000-000058530000}"/>
    <cellStyle name="Normal 2 5 4 9 4 2" xfId="21352" xr:uid="{00000000-0005-0000-0000-000059530000}"/>
    <cellStyle name="Normal 2 5 4 9 4 2 2" xfId="46226" xr:uid="{00000000-0005-0000-0000-00005A530000}"/>
    <cellStyle name="Normal 2 5 4 9 4 3" xfId="33793" xr:uid="{00000000-0005-0000-0000-00005B530000}"/>
    <cellStyle name="Normal 2 5 4 9 5" xfId="3891" xr:uid="{00000000-0005-0000-0000-00005C530000}"/>
    <cellStyle name="Normal 2 5 4 9 5 2" xfId="16345" xr:uid="{00000000-0005-0000-0000-00005D530000}"/>
    <cellStyle name="Normal 2 5 4 9 5 2 2" xfId="41219" xr:uid="{00000000-0005-0000-0000-00005E530000}"/>
    <cellStyle name="Normal 2 5 4 9 5 3" xfId="28786" xr:uid="{00000000-0005-0000-0000-00005F530000}"/>
    <cellStyle name="Normal 2 5 4 9 6" xfId="14801" xr:uid="{00000000-0005-0000-0000-000060530000}"/>
    <cellStyle name="Normal 2 5 4 9 6 2" xfId="39675" xr:uid="{00000000-0005-0000-0000-000061530000}"/>
    <cellStyle name="Normal 2 5 4 9 7" xfId="27234" xr:uid="{00000000-0005-0000-0000-000062530000}"/>
    <cellStyle name="Normal 2 5 4_Degree data" xfId="1996" xr:uid="{00000000-0005-0000-0000-000063530000}"/>
    <cellStyle name="Normal 2 5 5" xfId="132" xr:uid="{00000000-0005-0000-0000-000064530000}"/>
    <cellStyle name="Normal 2 5 5 10" xfId="7695" xr:uid="{00000000-0005-0000-0000-000065530000}"/>
    <cellStyle name="Normal 2 5 5 10 2" xfId="20141" xr:uid="{00000000-0005-0000-0000-000066530000}"/>
    <cellStyle name="Normal 2 5 5 10 2 2" xfId="45015" xr:uid="{00000000-0005-0000-0000-000067530000}"/>
    <cellStyle name="Normal 2 5 5 10 3" xfId="32582" xr:uid="{00000000-0005-0000-0000-000068530000}"/>
    <cellStyle name="Normal 2 5 5 11" xfId="11515" xr:uid="{00000000-0005-0000-0000-000069530000}"/>
    <cellStyle name="Normal 2 5 5 11 2" xfId="23949" xr:uid="{00000000-0005-0000-0000-00006A530000}"/>
    <cellStyle name="Normal 2 5 5 11 2 2" xfId="48823" xr:uid="{00000000-0005-0000-0000-00006B530000}"/>
    <cellStyle name="Normal 2 5 5 11 3" xfId="36390" xr:uid="{00000000-0005-0000-0000-00006C530000}"/>
    <cellStyle name="Normal 2 5 5 12" xfId="6507" xr:uid="{00000000-0005-0000-0000-00006D530000}"/>
    <cellStyle name="Normal 2 5 5 12 2" xfId="18956" xr:uid="{00000000-0005-0000-0000-00006E530000}"/>
    <cellStyle name="Normal 2 5 5 12 2 2" xfId="43830" xr:uid="{00000000-0005-0000-0000-00006F530000}"/>
    <cellStyle name="Normal 2 5 5 12 3" xfId="31397" xr:uid="{00000000-0005-0000-0000-000070530000}"/>
    <cellStyle name="Normal 2 5 5 13" xfId="2615" xr:uid="{00000000-0005-0000-0000-000071530000}"/>
    <cellStyle name="Normal 2 5 5 13 2" xfId="15134" xr:uid="{00000000-0005-0000-0000-000072530000}"/>
    <cellStyle name="Normal 2 5 5 13 2 2" xfId="40008" xr:uid="{00000000-0005-0000-0000-000073530000}"/>
    <cellStyle name="Normal 2 5 5 13 3" xfId="27567" xr:uid="{00000000-0005-0000-0000-000074530000}"/>
    <cellStyle name="Normal 2 5 5 14" xfId="12962" xr:uid="{00000000-0005-0000-0000-000075530000}"/>
    <cellStyle name="Normal 2 5 5 14 2" xfId="37836" xr:uid="{00000000-0005-0000-0000-000076530000}"/>
    <cellStyle name="Normal 2 5 5 15" xfId="25395" xr:uid="{00000000-0005-0000-0000-000077530000}"/>
    <cellStyle name="Normal 2 5 5 2" xfId="320" xr:uid="{00000000-0005-0000-0000-000078530000}"/>
    <cellStyle name="Normal 2 5 5 2 10" xfId="6550" xr:uid="{00000000-0005-0000-0000-000079530000}"/>
    <cellStyle name="Normal 2 5 5 2 10 2" xfId="18999" xr:uid="{00000000-0005-0000-0000-00007A530000}"/>
    <cellStyle name="Normal 2 5 5 2 10 2 2" xfId="43873" xr:uid="{00000000-0005-0000-0000-00007B530000}"/>
    <cellStyle name="Normal 2 5 5 2 10 3" xfId="31440" xr:uid="{00000000-0005-0000-0000-00007C530000}"/>
    <cellStyle name="Normal 2 5 5 2 11" xfId="2718" xr:uid="{00000000-0005-0000-0000-00007D530000}"/>
    <cellStyle name="Normal 2 5 5 2 11 2" xfId="15236" xr:uid="{00000000-0005-0000-0000-00007E530000}"/>
    <cellStyle name="Normal 2 5 5 2 11 2 2" xfId="40110" xr:uid="{00000000-0005-0000-0000-00007F530000}"/>
    <cellStyle name="Normal 2 5 5 2 11 3" xfId="27669" xr:uid="{00000000-0005-0000-0000-000080530000}"/>
    <cellStyle name="Normal 2 5 5 2 12" xfId="13137" xr:uid="{00000000-0005-0000-0000-000081530000}"/>
    <cellStyle name="Normal 2 5 5 2 12 2" xfId="38011" xr:uid="{00000000-0005-0000-0000-000082530000}"/>
    <cellStyle name="Normal 2 5 5 2 13" xfId="25570" xr:uid="{00000000-0005-0000-0000-000083530000}"/>
    <cellStyle name="Normal 2 5 5 2 2" xfId="422" xr:uid="{00000000-0005-0000-0000-000084530000}"/>
    <cellStyle name="Normal 2 5 5 2 2 10" xfId="13237" xr:uid="{00000000-0005-0000-0000-000085530000}"/>
    <cellStyle name="Normal 2 5 5 2 2 10 2" xfId="38111" xr:uid="{00000000-0005-0000-0000-000086530000}"/>
    <cellStyle name="Normal 2 5 5 2 2 11" xfId="25670" xr:uid="{00000000-0005-0000-0000-000087530000}"/>
    <cellStyle name="Normal 2 5 5 2 2 2" xfId="782" xr:uid="{00000000-0005-0000-0000-000088530000}"/>
    <cellStyle name="Normal 2 5 5 2 2 2 2" xfId="1428" xr:uid="{00000000-0005-0000-0000-000089530000}"/>
    <cellStyle name="Normal 2 5 5 2 2 2 2 2" xfId="9532" xr:uid="{00000000-0005-0000-0000-00008A530000}"/>
    <cellStyle name="Normal 2 5 5 2 2 2 2 2 2" xfId="21975" xr:uid="{00000000-0005-0000-0000-00008B530000}"/>
    <cellStyle name="Normal 2 5 5 2 2 2 2 2 2 2" xfId="46849" xr:uid="{00000000-0005-0000-0000-00008C530000}"/>
    <cellStyle name="Normal 2 5 5 2 2 2 2 2 3" xfId="34416" xr:uid="{00000000-0005-0000-0000-00008D530000}"/>
    <cellStyle name="Normal 2 5 5 2 2 2 2 3" xfId="4514" xr:uid="{00000000-0005-0000-0000-00008E530000}"/>
    <cellStyle name="Normal 2 5 5 2 2 2 2 3 2" xfId="16968" xr:uid="{00000000-0005-0000-0000-00008F530000}"/>
    <cellStyle name="Normal 2 5 5 2 2 2 2 3 2 2" xfId="41842" xr:uid="{00000000-0005-0000-0000-000090530000}"/>
    <cellStyle name="Normal 2 5 5 2 2 2 2 3 3" xfId="29409" xr:uid="{00000000-0005-0000-0000-000091530000}"/>
    <cellStyle name="Normal 2 5 5 2 2 2 2 4" xfId="14228" xr:uid="{00000000-0005-0000-0000-000092530000}"/>
    <cellStyle name="Normal 2 5 5 2 2 2 2 4 2" xfId="39102" xr:uid="{00000000-0005-0000-0000-000093530000}"/>
    <cellStyle name="Normal 2 5 5 2 2 2 2 5" xfId="26661" xr:uid="{00000000-0005-0000-0000-000094530000}"/>
    <cellStyle name="Normal 2 5 5 2 2 2 3" xfId="5573" xr:uid="{00000000-0005-0000-0000-000095530000}"/>
    <cellStyle name="Normal 2 5 5 2 2 2 3 2" xfId="10589" xr:uid="{00000000-0005-0000-0000-000096530000}"/>
    <cellStyle name="Normal 2 5 5 2 2 2 3 2 2" xfId="23032" xr:uid="{00000000-0005-0000-0000-000097530000}"/>
    <cellStyle name="Normal 2 5 5 2 2 2 3 2 2 2" xfId="47906" xr:uid="{00000000-0005-0000-0000-000098530000}"/>
    <cellStyle name="Normal 2 5 5 2 2 2 3 2 3" xfId="35473" xr:uid="{00000000-0005-0000-0000-000099530000}"/>
    <cellStyle name="Normal 2 5 5 2 2 2 3 3" xfId="18025" xr:uid="{00000000-0005-0000-0000-00009A530000}"/>
    <cellStyle name="Normal 2 5 5 2 2 2 3 3 2" xfId="42899" xr:uid="{00000000-0005-0000-0000-00009B530000}"/>
    <cellStyle name="Normal 2 5 5 2 2 2 3 4" xfId="30466" xr:uid="{00000000-0005-0000-0000-00009C530000}"/>
    <cellStyle name="Normal 2 5 5 2 2 2 4" xfId="8648" xr:uid="{00000000-0005-0000-0000-00009D530000}"/>
    <cellStyle name="Normal 2 5 5 2 2 2 4 2" xfId="21092" xr:uid="{00000000-0005-0000-0000-00009E530000}"/>
    <cellStyle name="Normal 2 5 5 2 2 2 4 2 2" xfId="45966" xr:uid="{00000000-0005-0000-0000-00009F530000}"/>
    <cellStyle name="Normal 2 5 5 2 2 2 4 3" xfId="33533" xr:uid="{00000000-0005-0000-0000-0000A0530000}"/>
    <cellStyle name="Normal 2 5 5 2 2 2 5" xfId="12043" xr:uid="{00000000-0005-0000-0000-0000A1530000}"/>
    <cellStyle name="Normal 2 5 5 2 2 2 5 2" xfId="24477" xr:uid="{00000000-0005-0000-0000-0000A2530000}"/>
    <cellStyle name="Normal 2 5 5 2 2 2 5 2 2" xfId="49351" xr:uid="{00000000-0005-0000-0000-0000A3530000}"/>
    <cellStyle name="Normal 2 5 5 2 2 2 5 3" xfId="36918" xr:uid="{00000000-0005-0000-0000-0000A4530000}"/>
    <cellStyle name="Normal 2 5 5 2 2 2 6" xfId="7125" xr:uid="{00000000-0005-0000-0000-0000A5530000}"/>
    <cellStyle name="Normal 2 5 5 2 2 2 6 2" xfId="19574" xr:uid="{00000000-0005-0000-0000-0000A6530000}"/>
    <cellStyle name="Normal 2 5 5 2 2 2 6 2 2" xfId="44448" xr:uid="{00000000-0005-0000-0000-0000A7530000}"/>
    <cellStyle name="Normal 2 5 5 2 2 2 6 3" xfId="32015" xr:uid="{00000000-0005-0000-0000-0000A8530000}"/>
    <cellStyle name="Normal 2 5 5 2 2 2 7" xfId="3579" xr:uid="{00000000-0005-0000-0000-0000A9530000}"/>
    <cellStyle name="Normal 2 5 5 2 2 2 7 2" xfId="16085" xr:uid="{00000000-0005-0000-0000-0000AA530000}"/>
    <cellStyle name="Normal 2 5 5 2 2 2 7 2 2" xfId="40959" xr:uid="{00000000-0005-0000-0000-0000AB530000}"/>
    <cellStyle name="Normal 2 5 5 2 2 2 7 3" xfId="28518" xr:uid="{00000000-0005-0000-0000-0000AC530000}"/>
    <cellStyle name="Normal 2 5 5 2 2 2 8" xfId="13584" xr:uid="{00000000-0005-0000-0000-0000AD530000}"/>
    <cellStyle name="Normal 2 5 5 2 2 2 8 2" xfId="38458" xr:uid="{00000000-0005-0000-0000-0000AE530000}"/>
    <cellStyle name="Normal 2 5 5 2 2 2 9" xfId="26017" xr:uid="{00000000-0005-0000-0000-0000AF530000}"/>
    <cellStyle name="Normal 2 5 5 2 2 3" xfId="1776" xr:uid="{00000000-0005-0000-0000-0000B0530000}"/>
    <cellStyle name="Normal 2 5 5 2 2 3 2" xfId="4966" xr:uid="{00000000-0005-0000-0000-0000B1530000}"/>
    <cellStyle name="Normal 2 5 5 2 2 3 2 2" xfId="9983" xr:uid="{00000000-0005-0000-0000-0000B2530000}"/>
    <cellStyle name="Normal 2 5 5 2 2 3 2 2 2" xfId="22426" xr:uid="{00000000-0005-0000-0000-0000B3530000}"/>
    <cellStyle name="Normal 2 5 5 2 2 3 2 2 2 2" xfId="47300" xr:uid="{00000000-0005-0000-0000-0000B4530000}"/>
    <cellStyle name="Normal 2 5 5 2 2 3 2 2 3" xfId="34867" xr:uid="{00000000-0005-0000-0000-0000B5530000}"/>
    <cellStyle name="Normal 2 5 5 2 2 3 2 3" xfId="17419" xr:uid="{00000000-0005-0000-0000-0000B6530000}"/>
    <cellStyle name="Normal 2 5 5 2 2 3 2 3 2" xfId="42293" xr:uid="{00000000-0005-0000-0000-0000B7530000}"/>
    <cellStyle name="Normal 2 5 5 2 2 3 2 4" xfId="29860" xr:uid="{00000000-0005-0000-0000-0000B8530000}"/>
    <cellStyle name="Normal 2 5 5 2 2 3 3" xfId="5922" xr:uid="{00000000-0005-0000-0000-0000B9530000}"/>
    <cellStyle name="Normal 2 5 5 2 2 3 3 2" xfId="10937" xr:uid="{00000000-0005-0000-0000-0000BA530000}"/>
    <cellStyle name="Normal 2 5 5 2 2 3 3 2 2" xfId="23380" xr:uid="{00000000-0005-0000-0000-0000BB530000}"/>
    <cellStyle name="Normal 2 5 5 2 2 3 3 2 2 2" xfId="48254" xr:uid="{00000000-0005-0000-0000-0000BC530000}"/>
    <cellStyle name="Normal 2 5 5 2 2 3 3 2 3" xfId="35821" xr:uid="{00000000-0005-0000-0000-0000BD530000}"/>
    <cellStyle name="Normal 2 5 5 2 2 3 3 3" xfId="18373" xr:uid="{00000000-0005-0000-0000-0000BE530000}"/>
    <cellStyle name="Normal 2 5 5 2 2 3 3 3 2" xfId="43247" xr:uid="{00000000-0005-0000-0000-0000BF530000}"/>
    <cellStyle name="Normal 2 5 5 2 2 3 3 4" xfId="30814" xr:uid="{00000000-0005-0000-0000-0000C0530000}"/>
    <cellStyle name="Normal 2 5 5 2 2 3 4" xfId="8390" xr:uid="{00000000-0005-0000-0000-0000C1530000}"/>
    <cellStyle name="Normal 2 5 5 2 2 3 4 2" xfId="20834" xr:uid="{00000000-0005-0000-0000-0000C2530000}"/>
    <cellStyle name="Normal 2 5 5 2 2 3 4 2 2" xfId="45708" xr:uid="{00000000-0005-0000-0000-0000C3530000}"/>
    <cellStyle name="Normal 2 5 5 2 2 3 4 3" xfId="33275" xr:uid="{00000000-0005-0000-0000-0000C4530000}"/>
    <cellStyle name="Normal 2 5 5 2 2 3 5" xfId="12391" xr:uid="{00000000-0005-0000-0000-0000C5530000}"/>
    <cellStyle name="Normal 2 5 5 2 2 3 5 2" xfId="24825" xr:uid="{00000000-0005-0000-0000-0000C6530000}"/>
    <cellStyle name="Normal 2 5 5 2 2 3 5 2 2" xfId="49699" xr:uid="{00000000-0005-0000-0000-0000C7530000}"/>
    <cellStyle name="Normal 2 5 5 2 2 3 5 3" xfId="37266" xr:uid="{00000000-0005-0000-0000-0000C8530000}"/>
    <cellStyle name="Normal 2 5 5 2 2 3 6" xfId="7577" xr:uid="{00000000-0005-0000-0000-0000C9530000}"/>
    <cellStyle name="Normal 2 5 5 2 2 3 6 2" xfId="20025" xr:uid="{00000000-0005-0000-0000-0000CA530000}"/>
    <cellStyle name="Normal 2 5 5 2 2 3 6 2 2" xfId="44899" xr:uid="{00000000-0005-0000-0000-0000CB530000}"/>
    <cellStyle name="Normal 2 5 5 2 2 3 6 3" xfId="32466" xr:uid="{00000000-0005-0000-0000-0000CC530000}"/>
    <cellStyle name="Normal 2 5 5 2 2 3 7" xfId="3321" xr:uid="{00000000-0005-0000-0000-0000CD530000}"/>
    <cellStyle name="Normal 2 5 5 2 2 3 7 2" xfId="15827" xr:uid="{00000000-0005-0000-0000-0000CE530000}"/>
    <cellStyle name="Normal 2 5 5 2 2 3 7 2 2" xfId="40701" xr:uid="{00000000-0005-0000-0000-0000CF530000}"/>
    <cellStyle name="Normal 2 5 5 2 2 3 7 3" xfId="28260" xr:uid="{00000000-0005-0000-0000-0000D0530000}"/>
    <cellStyle name="Normal 2 5 5 2 2 3 8" xfId="14576" xr:uid="{00000000-0005-0000-0000-0000D1530000}"/>
    <cellStyle name="Normal 2 5 5 2 2 3 8 2" xfId="39450" xr:uid="{00000000-0005-0000-0000-0000D2530000}"/>
    <cellStyle name="Normal 2 5 5 2 2 3 9" xfId="27009" xr:uid="{00000000-0005-0000-0000-0000D3530000}"/>
    <cellStyle name="Normal 2 5 5 2 2 4" xfId="2340" xr:uid="{00000000-0005-0000-0000-0000D4530000}"/>
    <cellStyle name="Normal 2 5 5 2 2 4 2" xfId="6364" xr:uid="{00000000-0005-0000-0000-0000D5530000}"/>
    <cellStyle name="Normal 2 5 5 2 2 4 2 2" xfId="11379" xr:uid="{00000000-0005-0000-0000-0000D6530000}"/>
    <cellStyle name="Normal 2 5 5 2 2 4 2 2 2" xfId="23822" xr:uid="{00000000-0005-0000-0000-0000D7530000}"/>
    <cellStyle name="Normal 2 5 5 2 2 4 2 2 2 2" xfId="48696" xr:uid="{00000000-0005-0000-0000-0000D8530000}"/>
    <cellStyle name="Normal 2 5 5 2 2 4 2 2 3" xfId="36263" xr:uid="{00000000-0005-0000-0000-0000D9530000}"/>
    <cellStyle name="Normal 2 5 5 2 2 4 2 3" xfId="18815" xr:uid="{00000000-0005-0000-0000-0000DA530000}"/>
    <cellStyle name="Normal 2 5 5 2 2 4 2 3 2" xfId="43689" xr:uid="{00000000-0005-0000-0000-0000DB530000}"/>
    <cellStyle name="Normal 2 5 5 2 2 4 2 4" xfId="31256" xr:uid="{00000000-0005-0000-0000-0000DC530000}"/>
    <cellStyle name="Normal 2 5 5 2 2 4 3" xfId="12833" xr:uid="{00000000-0005-0000-0000-0000DD530000}"/>
    <cellStyle name="Normal 2 5 5 2 2 4 3 2" xfId="25267" xr:uid="{00000000-0005-0000-0000-0000DE530000}"/>
    <cellStyle name="Normal 2 5 5 2 2 4 3 2 2" xfId="50141" xr:uid="{00000000-0005-0000-0000-0000DF530000}"/>
    <cellStyle name="Normal 2 5 5 2 2 4 3 3" xfId="37708" xr:uid="{00000000-0005-0000-0000-0000E0530000}"/>
    <cellStyle name="Normal 2 5 5 2 2 4 4" xfId="9274" xr:uid="{00000000-0005-0000-0000-0000E1530000}"/>
    <cellStyle name="Normal 2 5 5 2 2 4 4 2" xfId="21717" xr:uid="{00000000-0005-0000-0000-0000E2530000}"/>
    <cellStyle name="Normal 2 5 5 2 2 4 4 2 2" xfId="46591" xr:uid="{00000000-0005-0000-0000-0000E3530000}"/>
    <cellStyle name="Normal 2 5 5 2 2 4 4 3" xfId="34158" xr:uid="{00000000-0005-0000-0000-0000E4530000}"/>
    <cellStyle name="Normal 2 5 5 2 2 4 5" xfId="4256" xr:uid="{00000000-0005-0000-0000-0000E5530000}"/>
    <cellStyle name="Normal 2 5 5 2 2 4 5 2" xfId="16710" xr:uid="{00000000-0005-0000-0000-0000E6530000}"/>
    <cellStyle name="Normal 2 5 5 2 2 4 5 2 2" xfId="41584" xr:uid="{00000000-0005-0000-0000-0000E7530000}"/>
    <cellStyle name="Normal 2 5 5 2 2 4 5 3" xfId="29151" xr:uid="{00000000-0005-0000-0000-0000E8530000}"/>
    <cellStyle name="Normal 2 5 5 2 2 4 6" xfId="15018" xr:uid="{00000000-0005-0000-0000-0000E9530000}"/>
    <cellStyle name="Normal 2 5 5 2 2 4 6 2" xfId="39892" xr:uid="{00000000-0005-0000-0000-0000EA530000}"/>
    <cellStyle name="Normal 2 5 5 2 2 4 7" xfId="27451" xr:uid="{00000000-0005-0000-0000-0000EB530000}"/>
    <cellStyle name="Normal 2 5 5 2 2 5" xfId="1175" xr:uid="{00000000-0005-0000-0000-0000EC530000}"/>
    <cellStyle name="Normal 2 5 5 2 2 5 2" xfId="10336" xr:uid="{00000000-0005-0000-0000-0000ED530000}"/>
    <cellStyle name="Normal 2 5 5 2 2 5 2 2" xfId="22779" xr:uid="{00000000-0005-0000-0000-0000EE530000}"/>
    <cellStyle name="Normal 2 5 5 2 2 5 2 2 2" xfId="47653" xr:uid="{00000000-0005-0000-0000-0000EF530000}"/>
    <cellStyle name="Normal 2 5 5 2 2 5 2 3" xfId="35220" xr:uid="{00000000-0005-0000-0000-0000F0530000}"/>
    <cellStyle name="Normal 2 5 5 2 2 5 3" xfId="5320" xr:uid="{00000000-0005-0000-0000-0000F1530000}"/>
    <cellStyle name="Normal 2 5 5 2 2 5 3 2" xfId="17772" xr:uid="{00000000-0005-0000-0000-0000F2530000}"/>
    <cellStyle name="Normal 2 5 5 2 2 5 3 2 2" xfId="42646" xr:uid="{00000000-0005-0000-0000-0000F3530000}"/>
    <cellStyle name="Normal 2 5 5 2 2 5 3 3" xfId="30213" xr:uid="{00000000-0005-0000-0000-0000F4530000}"/>
    <cellStyle name="Normal 2 5 5 2 2 5 4" xfId="13975" xr:uid="{00000000-0005-0000-0000-0000F5530000}"/>
    <cellStyle name="Normal 2 5 5 2 2 5 4 2" xfId="38849" xr:uid="{00000000-0005-0000-0000-0000F6530000}"/>
    <cellStyle name="Normal 2 5 5 2 2 5 5" xfId="26408" xr:uid="{00000000-0005-0000-0000-0000F7530000}"/>
    <cellStyle name="Normal 2 5 5 2 2 6" xfId="7897" xr:uid="{00000000-0005-0000-0000-0000F8530000}"/>
    <cellStyle name="Normal 2 5 5 2 2 6 2" xfId="20343" xr:uid="{00000000-0005-0000-0000-0000F9530000}"/>
    <cellStyle name="Normal 2 5 5 2 2 6 2 2" xfId="45217" xr:uid="{00000000-0005-0000-0000-0000FA530000}"/>
    <cellStyle name="Normal 2 5 5 2 2 6 3" xfId="32784" xr:uid="{00000000-0005-0000-0000-0000FB530000}"/>
    <cellStyle name="Normal 2 5 5 2 2 7" xfId="11790" xr:uid="{00000000-0005-0000-0000-0000FC530000}"/>
    <cellStyle name="Normal 2 5 5 2 2 7 2" xfId="24224" xr:uid="{00000000-0005-0000-0000-0000FD530000}"/>
    <cellStyle name="Normal 2 5 5 2 2 7 2 2" xfId="49098" xr:uid="{00000000-0005-0000-0000-0000FE530000}"/>
    <cellStyle name="Normal 2 5 5 2 2 7 3" xfId="36665" xr:uid="{00000000-0005-0000-0000-0000FF530000}"/>
    <cellStyle name="Normal 2 5 5 2 2 8" xfId="6867" xr:uid="{00000000-0005-0000-0000-000000540000}"/>
    <cellStyle name="Normal 2 5 5 2 2 8 2" xfId="19316" xr:uid="{00000000-0005-0000-0000-000001540000}"/>
    <cellStyle name="Normal 2 5 5 2 2 8 2 2" xfId="44190" xr:uid="{00000000-0005-0000-0000-000002540000}"/>
    <cellStyle name="Normal 2 5 5 2 2 8 3" xfId="31757" xr:uid="{00000000-0005-0000-0000-000003540000}"/>
    <cellStyle name="Normal 2 5 5 2 2 9" xfId="2818" xr:uid="{00000000-0005-0000-0000-000004540000}"/>
    <cellStyle name="Normal 2 5 5 2 2 9 2" xfId="15336" xr:uid="{00000000-0005-0000-0000-000005540000}"/>
    <cellStyle name="Normal 2 5 5 2 2 9 2 2" xfId="40210" xr:uid="{00000000-0005-0000-0000-000006540000}"/>
    <cellStyle name="Normal 2 5 5 2 2 9 3" xfId="27769" xr:uid="{00000000-0005-0000-0000-000007540000}"/>
    <cellStyle name="Normal 2 5 5 2 2_Degree data" xfId="1989" xr:uid="{00000000-0005-0000-0000-000008540000}"/>
    <cellStyle name="Normal 2 5 5 2 3" xfId="681" xr:uid="{00000000-0005-0000-0000-000009540000}"/>
    <cellStyle name="Normal 2 5 5 2 3 2" xfId="1427" xr:uid="{00000000-0005-0000-0000-00000A540000}"/>
    <cellStyle name="Normal 2 5 5 2 3 2 2" xfId="9174" xr:uid="{00000000-0005-0000-0000-00000B540000}"/>
    <cellStyle name="Normal 2 5 5 2 3 2 2 2" xfId="21617" xr:uid="{00000000-0005-0000-0000-00000C540000}"/>
    <cellStyle name="Normal 2 5 5 2 3 2 2 2 2" xfId="46491" xr:uid="{00000000-0005-0000-0000-00000D540000}"/>
    <cellStyle name="Normal 2 5 5 2 3 2 2 3" xfId="34058" xr:uid="{00000000-0005-0000-0000-00000E540000}"/>
    <cellStyle name="Normal 2 5 5 2 3 2 3" xfId="4156" xr:uid="{00000000-0005-0000-0000-00000F540000}"/>
    <cellStyle name="Normal 2 5 5 2 3 2 3 2" xfId="16610" xr:uid="{00000000-0005-0000-0000-000010540000}"/>
    <cellStyle name="Normal 2 5 5 2 3 2 3 2 2" xfId="41484" xr:uid="{00000000-0005-0000-0000-000011540000}"/>
    <cellStyle name="Normal 2 5 5 2 3 2 3 3" xfId="29051" xr:uid="{00000000-0005-0000-0000-000012540000}"/>
    <cellStyle name="Normal 2 5 5 2 3 2 4" xfId="14227" xr:uid="{00000000-0005-0000-0000-000013540000}"/>
    <cellStyle name="Normal 2 5 5 2 3 2 4 2" xfId="39101" xr:uid="{00000000-0005-0000-0000-000014540000}"/>
    <cellStyle name="Normal 2 5 5 2 3 2 5" xfId="26660" xr:uid="{00000000-0005-0000-0000-000015540000}"/>
    <cellStyle name="Normal 2 5 5 2 3 3" xfId="5572" xr:uid="{00000000-0005-0000-0000-000016540000}"/>
    <cellStyle name="Normal 2 5 5 2 3 3 2" xfId="10588" xr:uid="{00000000-0005-0000-0000-000017540000}"/>
    <cellStyle name="Normal 2 5 5 2 3 3 2 2" xfId="23031" xr:uid="{00000000-0005-0000-0000-000018540000}"/>
    <cellStyle name="Normal 2 5 5 2 3 3 2 2 2" xfId="47905" xr:uid="{00000000-0005-0000-0000-000019540000}"/>
    <cellStyle name="Normal 2 5 5 2 3 3 2 3" xfId="35472" xr:uid="{00000000-0005-0000-0000-00001A540000}"/>
    <cellStyle name="Normal 2 5 5 2 3 3 3" xfId="18024" xr:uid="{00000000-0005-0000-0000-00001B540000}"/>
    <cellStyle name="Normal 2 5 5 2 3 3 3 2" xfId="42898" xr:uid="{00000000-0005-0000-0000-00001C540000}"/>
    <cellStyle name="Normal 2 5 5 2 3 3 4" xfId="30465" xr:uid="{00000000-0005-0000-0000-00001D540000}"/>
    <cellStyle name="Normal 2 5 5 2 3 4" xfId="8290" xr:uid="{00000000-0005-0000-0000-00001E540000}"/>
    <cellStyle name="Normal 2 5 5 2 3 4 2" xfId="20734" xr:uid="{00000000-0005-0000-0000-00001F540000}"/>
    <cellStyle name="Normal 2 5 5 2 3 4 2 2" xfId="45608" xr:uid="{00000000-0005-0000-0000-000020540000}"/>
    <cellStyle name="Normal 2 5 5 2 3 4 3" xfId="33175" xr:uid="{00000000-0005-0000-0000-000021540000}"/>
    <cellStyle name="Normal 2 5 5 2 3 5" xfId="12042" xr:uid="{00000000-0005-0000-0000-000022540000}"/>
    <cellStyle name="Normal 2 5 5 2 3 5 2" xfId="24476" xr:uid="{00000000-0005-0000-0000-000023540000}"/>
    <cellStyle name="Normal 2 5 5 2 3 5 2 2" xfId="49350" xr:uid="{00000000-0005-0000-0000-000024540000}"/>
    <cellStyle name="Normal 2 5 5 2 3 5 3" xfId="36917" xr:uid="{00000000-0005-0000-0000-000025540000}"/>
    <cellStyle name="Normal 2 5 5 2 3 6" xfId="6767" xr:uid="{00000000-0005-0000-0000-000026540000}"/>
    <cellStyle name="Normal 2 5 5 2 3 6 2" xfId="19216" xr:uid="{00000000-0005-0000-0000-000027540000}"/>
    <cellStyle name="Normal 2 5 5 2 3 6 2 2" xfId="44090" xr:uid="{00000000-0005-0000-0000-000028540000}"/>
    <cellStyle name="Normal 2 5 5 2 3 6 3" xfId="31657" xr:uid="{00000000-0005-0000-0000-000029540000}"/>
    <cellStyle name="Normal 2 5 5 2 3 7" xfId="3221" xr:uid="{00000000-0005-0000-0000-00002A540000}"/>
    <cellStyle name="Normal 2 5 5 2 3 7 2" xfId="15727" xr:uid="{00000000-0005-0000-0000-00002B540000}"/>
    <cellStyle name="Normal 2 5 5 2 3 7 2 2" xfId="40601" xr:uid="{00000000-0005-0000-0000-00002C540000}"/>
    <cellStyle name="Normal 2 5 5 2 3 7 3" xfId="28160" xr:uid="{00000000-0005-0000-0000-00002D540000}"/>
    <cellStyle name="Normal 2 5 5 2 3 8" xfId="13484" xr:uid="{00000000-0005-0000-0000-00002E540000}"/>
    <cellStyle name="Normal 2 5 5 2 3 8 2" xfId="38358" xr:uid="{00000000-0005-0000-0000-00002F540000}"/>
    <cellStyle name="Normal 2 5 5 2 3 9" xfId="25917" xr:uid="{00000000-0005-0000-0000-000030540000}"/>
    <cellStyle name="Normal 2 5 5 2 4" xfId="1775" xr:uid="{00000000-0005-0000-0000-000031540000}"/>
    <cellStyle name="Normal 2 5 5 2 4 2" xfId="4513" xr:uid="{00000000-0005-0000-0000-000032540000}"/>
    <cellStyle name="Normal 2 5 5 2 4 2 2" xfId="9531" xr:uid="{00000000-0005-0000-0000-000033540000}"/>
    <cellStyle name="Normal 2 5 5 2 4 2 2 2" xfId="21974" xr:uid="{00000000-0005-0000-0000-000034540000}"/>
    <cellStyle name="Normal 2 5 5 2 4 2 2 2 2" xfId="46848" xr:uid="{00000000-0005-0000-0000-000035540000}"/>
    <cellStyle name="Normal 2 5 5 2 4 2 2 3" xfId="34415" xr:uid="{00000000-0005-0000-0000-000036540000}"/>
    <cellStyle name="Normal 2 5 5 2 4 2 3" xfId="16967" xr:uid="{00000000-0005-0000-0000-000037540000}"/>
    <cellStyle name="Normal 2 5 5 2 4 2 3 2" xfId="41841" xr:uid="{00000000-0005-0000-0000-000038540000}"/>
    <cellStyle name="Normal 2 5 5 2 4 2 4" xfId="29408" xr:uid="{00000000-0005-0000-0000-000039540000}"/>
    <cellStyle name="Normal 2 5 5 2 4 3" xfId="5921" xr:uid="{00000000-0005-0000-0000-00003A540000}"/>
    <cellStyle name="Normal 2 5 5 2 4 3 2" xfId="10936" xr:uid="{00000000-0005-0000-0000-00003B540000}"/>
    <cellStyle name="Normal 2 5 5 2 4 3 2 2" xfId="23379" xr:uid="{00000000-0005-0000-0000-00003C540000}"/>
    <cellStyle name="Normal 2 5 5 2 4 3 2 2 2" xfId="48253" xr:uid="{00000000-0005-0000-0000-00003D540000}"/>
    <cellStyle name="Normal 2 5 5 2 4 3 2 3" xfId="35820" xr:uid="{00000000-0005-0000-0000-00003E540000}"/>
    <cellStyle name="Normal 2 5 5 2 4 3 3" xfId="18372" xr:uid="{00000000-0005-0000-0000-00003F540000}"/>
    <cellStyle name="Normal 2 5 5 2 4 3 3 2" xfId="43246" xr:uid="{00000000-0005-0000-0000-000040540000}"/>
    <cellStyle name="Normal 2 5 5 2 4 3 4" xfId="30813" xr:uid="{00000000-0005-0000-0000-000041540000}"/>
    <cellStyle name="Normal 2 5 5 2 4 4" xfId="8647" xr:uid="{00000000-0005-0000-0000-000042540000}"/>
    <cellStyle name="Normal 2 5 5 2 4 4 2" xfId="21091" xr:uid="{00000000-0005-0000-0000-000043540000}"/>
    <cellStyle name="Normal 2 5 5 2 4 4 2 2" xfId="45965" xr:uid="{00000000-0005-0000-0000-000044540000}"/>
    <cellStyle name="Normal 2 5 5 2 4 4 3" xfId="33532" xr:uid="{00000000-0005-0000-0000-000045540000}"/>
    <cellStyle name="Normal 2 5 5 2 4 5" xfId="12390" xr:uid="{00000000-0005-0000-0000-000046540000}"/>
    <cellStyle name="Normal 2 5 5 2 4 5 2" xfId="24824" xr:uid="{00000000-0005-0000-0000-000047540000}"/>
    <cellStyle name="Normal 2 5 5 2 4 5 2 2" xfId="49698" xr:uid="{00000000-0005-0000-0000-000048540000}"/>
    <cellStyle name="Normal 2 5 5 2 4 5 3" xfId="37265" xr:uid="{00000000-0005-0000-0000-000049540000}"/>
    <cellStyle name="Normal 2 5 5 2 4 6" xfId="7124" xr:uid="{00000000-0005-0000-0000-00004A540000}"/>
    <cellStyle name="Normal 2 5 5 2 4 6 2" xfId="19573" xr:uid="{00000000-0005-0000-0000-00004B540000}"/>
    <cellStyle name="Normal 2 5 5 2 4 6 2 2" xfId="44447" xr:uid="{00000000-0005-0000-0000-00004C540000}"/>
    <cellStyle name="Normal 2 5 5 2 4 6 3" xfId="32014" xr:uid="{00000000-0005-0000-0000-00004D540000}"/>
    <cellStyle name="Normal 2 5 5 2 4 7" xfId="3578" xr:uid="{00000000-0005-0000-0000-00004E540000}"/>
    <cellStyle name="Normal 2 5 5 2 4 7 2" xfId="16084" xr:uid="{00000000-0005-0000-0000-00004F540000}"/>
    <cellStyle name="Normal 2 5 5 2 4 7 2 2" xfId="40958" xr:uid="{00000000-0005-0000-0000-000050540000}"/>
    <cellStyle name="Normal 2 5 5 2 4 7 3" xfId="28517" xr:uid="{00000000-0005-0000-0000-000051540000}"/>
    <cellStyle name="Normal 2 5 5 2 4 8" xfId="14575" xr:uid="{00000000-0005-0000-0000-000052540000}"/>
    <cellStyle name="Normal 2 5 5 2 4 8 2" xfId="39449" xr:uid="{00000000-0005-0000-0000-000053540000}"/>
    <cellStyle name="Normal 2 5 5 2 4 9" xfId="27008" xr:uid="{00000000-0005-0000-0000-000054540000}"/>
    <cellStyle name="Normal 2 5 5 2 5" xfId="2238" xr:uid="{00000000-0005-0000-0000-000055540000}"/>
    <cellStyle name="Normal 2 5 5 2 5 2" xfId="4866" xr:uid="{00000000-0005-0000-0000-000056540000}"/>
    <cellStyle name="Normal 2 5 5 2 5 2 2" xfId="9883" xr:uid="{00000000-0005-0000-0000-000057540000}"/>
    <cellStyle name="Normal 2 5 5 2 5 2 2 2" xfId="22326" xr:uid="{00000000-0005-0000-0000-000058540000}"/>
    <cellStyle name="Normal 2 5 5 2 5 2 2 2 2" xfId="47200" xr:uid="{00000000-0005-0000-0000-000059540000}"/>
    <cellStyle name="Normal 2 5 5 2 5 2 2 3" xfId="34767" xr:uid="{00000000-0005-0000-0000-00005A540000}"/>
    <cellStyle name="Normal 2 5 5 2 5 2 3" xfId="17319" xr:uid="{00000000-0005-0000-0000-00005B540000}"/>
    <cellStyle name="Normal 2 5 5 2 5 2 3 2" xfId="42193" xr:uid="{00000000-0005-0000-0000-00005C540000}"/>
    <cellStyle name="Normal 2 5 5 2 5 2 4" xfId="29760" xr:uid="{00000000-0005-0000-0000-00005D540000}"/>
    <cellStyle name="Normal 2 5 5 2 5 3" xfId="6264" xr:uid="{00000000-0005-0000-0000-00005E540000}"/>
    <cellStyle name="Normal 2 5 5 2 5 3 2" xfId="11279" xr:uid="{00000000-0005-0000-0000-00005F540000}"/>
    <cellStyle name="Normal 2 5 5 2 5 3 2 2" xfId="23722" xr:uid="{00000000-0005-0000-0000-000060540000}"/>
    <cellStyle name="Normal 2 5 5 2 5 3 2 2 2" xfId="48596" xr:uid="{00000000-0005-0000-0000-000061540000}"/>
    <cellStyle name="Normal 2 5 5 2 5 3 2 3" xfId="36163" xr:uid="{00000000-0005-0000-0000-000062540000}"/>
    <cellStyle name="Normal 2 5 5 2 5 3 3" xfId="18715" xr:uid="{00000000-0005-0000-0000-000063540000}"/>
    <cellStyle name="Normal 2 5 5 2 5 3 3 2" xfId="43589" xr:uid="{00000000-0005-0000-0000-000064540000}"/>
    <cellStyle name="Normal 2 5 5 2 5 3 4" xfId="31156" xr:uid="{00000000-0005-0000-0000-000065540000}"/>
    <cellStyle name="Normal 2 5 5 2 5 4" xfId="8071" xr:uid="{00000000-0005-0000-0000-000066540000}"/>
    <cellStyle name="Normal 2 5 5 2 5 4 2" xfId="20517" xr:uid="{00000000-0005-0000-0000-000067540000}"/>
    <cellStyle name="Normal 2 5 5 2 5 4 2 2" xfId="45391" xr:uid="{00000000-0005-0000-0000-000068540000}"/>
    <cellStyle name="Normal 2 5 5 2 5 4 3" xfId="32958" xr:uid="{00000000-0005-0000-0000-000069540000}"/>
    <cellStyle name="Normal 2 5 5 2 5 5" xfId="12733" xr:uid="{00000000-0005-0000-0000-00006A540000}"/>
    <cellStyle name="Normal 2 5 5 2 5 5 2" xfId="25167" xr:uid="{00000000-0005-0000-0000-00006B540000}"/>
    <cellStyle name="Normal 2 5 5 2 5 5 2 2" xfId="50041" xr:uid="{00000000-0005-0000-0000-00006C540000}"/>
    <cellStyle name="Normal 2 5 5 2 5 5 3" xfId="37608" xr:uid="{00000000-0005-0000-0000-00006D540000}"/>
    <cellStyle name="Normal 2 5 5 2 5 6" xfId="7477" xr:uid="{00000000-0005-0000-0000-00006E540000}"/>
    <cellStyle name="Normal 2 5 5 2 5 6 2" xfId="19925" xr:uid="{00000000-0005-0000-0000-00006F540000}"/>
    <cellStyle name="Normal 2 5 5 2 5 6 2 2" xfId="44799" xr:uid="{00000000-0005-0000-0000-000070540000}"/>
    <cellStyle name="Normal 2 5 5 2 5 6 3" xfId="32366" xr:uid="{00000000-0005-0000-0000-000071540000}"/>
    <cellStyle name="Normal 2 5 5 2 5 7" xfId="3000" xr:uid="{00000000-0005-0000-0000-000072540000}"/>
    <cellStyle name="Normal 2 5 5 2 5 7 2" xfId="15510" xr:uid="{00000000-0005-0000-0000-000073540000}"/>
    <cellStyle name="Normal 2 5 5 2 5 7 2 2" xfId="40384" xr:uid="{00000000-0005-0000-0000-000074540000}"/>
    <cellStyle name="Normal 2 5 5 2 5 7 3" xfId="27943" xr:uid="{00000000-0005-0000-0000-000075540000}"/>
    <cellStyle name="Normal 2 5 5 2 5 8" xfId="14918" xr:uid="{00000000-0005-0000-0000-000076540000}"/>
    <cellStyle name="Normal 2 5 5 2 5 8 2" xfId="39792" xr:uid="{00000000-0005-0000-0000-000077540000}"/>
    <cellStyle name="Normal 2 5 5 2 5 9" xfId="27351" xr:uid="{00000000-0005-0000-0000-000078540000}"/>
    <cellStyle name="Normal 2 5 5 2 6" xfId="1075" xr:uid="{00000000-0005-0000-0000-000079540000}"/>
    <cellStyle name="Normal 2 5 5 2 6 2" xfId="8957" xr:uid="{00000000-0005-0000-0000-00007A540000}"/>
    <cellStyle name="Normal 2 5 5 2 6 2 2" xfId="21400" xr:uid="{00000000-0005-0000-0000-00007B540000}"/>
    <cellStyle name="Normal 2 5 5 2 6 2 2 2" xfId="46274" xr:uid="{00000000-0005-0000-0000-00007C540000}"/>
    <cellStyle name="Normal 2 5 5 2 6 2 3" xfId="33841" xr:uid="{00000000-0005-0000-0000-00007D540000}"/>
    <cellStyle name="Normal 2 5 5 2 6 3" xfId="3939" xr:uid="{00000000-0005-0000-0000-00007E540000}"/>
    <cellStyle name="Normal 2 5 5 2 6 3 2" xfId="16393" xr:uid="{00000000-0005-0000-0000-00007F540000}"/>
    <cellStyle name="Normal 2 5 5 2 6 3 2 2" xfId="41267" xr:uid="{00000000-0005-0000-0000-000080540000}"/>
    <cellStyle name="Normal 2 5 5 2 6 3 3" xfId="28834" xr:uid="{00000000-0005-0000-0000-000081540000}"/>
    <cellStyle name="Normal 2 5 5 2 6 4" xfId="13875" xr:uid="{00000000-0005-0000-0000-000082540000}"/>
    <cellStyle name="Normal 2 5 5 2 6 4 2" xfId="38749" xr:uid="{00000000-0005-0000-0000-000083540000}"/>
    <cellStyle name="Normal 2 5 5 2 6 5" xfId="26308" xr:uid="{00000000-0005-0000-0000-000084540000}"/>
    <cellStyle name="Normal 2 5 5 2 7" xfId="5220" xr:uid="{00000000-0005-0000-0000-000085540000}"/>
    <cellStyle name="Normal 2 5 5 2 7 2" xfId="10236" xr:uid="{00000000-0005-0000-0000-000086540000}"/>
    <cellStyle name="Normal 2 5 5 2 7 2 2" xfId="22679" xr:uid="{00000000-0005-0000-0000-000087540000}"/>
    <cellStyle name="Normal 2 5 5 2 7 2 2 2" xfId="47553" xr:uid="{00000000-0005-0000-0000-000088540000}"/>
    <cellStyle name="Normal 2 5 5 2 7 2 3" xfId="35120" xr:uid="{00000000-0005-0000-0000-000089540000}"/>
    <cellStyle name="Normal 2 5 5 2 7 3" xfId="17672" xr:uid="{00000000-0005-0000-0000-00008A540000}"/>
    <cellStyle name="Normal 2 5 5 2 7 3 2" xfId="42546" xr:uid="{00000000-0005-0000-0000-00008B540000}"/>
    <cellStyle name="Normal 2 5 5 2 7 4" xfId="30113" xr:uid="{00000000-0005-0000-0000-00008C540000}"/>
    <cellStyle name="Normal 2 5 5 2 8" xfId="7797" xr:uid="{00000000-0005-0000-0000-00008D540000}"/>
    <cellStyle name="Normal 2 5 5 2 8 2" xfId="20243" xr:uid="{00000000-0005-0000-0000-00008E540000}"/>
    <cellStyle name="Normal 2 5 5 2 8 2 2" xfId="45117" xr:uid="{00000000-0005-0000-0000-00008F540000}"/>
    <cellStyle name="Normal 2 5 5 2 8 3" xfId="32684" xr:uid="{00000000-0005-0000-0000-000090540000}"/>
    <cellStyle name="Normal 2 5 5 2 9" xfId="11690" xr:uid="{00000000-0005-0000-0000-000091540000}"/>
    <cellStyle name="Normal 2 5 5 2 9 2" xfId="24124" xr:uid="{00000000-0005-0000-0000-000092540000}"/>
    <cellStyle name="Normal 2 5 5 2 9 2 2" xfId="48998" xr:uid="{00000000-0005-0000-0000-000093540000}"/>
    <cellStyle name="Normal 2 5 5 2 9 3" xfId="36565" xr:uid="{00000000-0005-0000-0000-000094540000}"/>
    <cellStyle name="Normal 2 5 5 2_Degree data" xfId="1990" xr:uid="{00000000-0005-0000-0000-000095540000}"/>
    <cellStyle name="Normal 2 5 5 3" xfId="275" xr:uid="{00000000-0005-0000-0000-000096540000}"/>
    <cellStyle name="Normal 2 5 5 3 10" xfId="6612" xr:uid="{00000000-0005-0000-0000-000097540000}"/>
    <cellStyle name="Normal 2 5 5 3 10 2" xfId="19061" xr:uid="{00000000-0005-0000-0000-000098540000}"/>
    <cellStyle name="Normal 2 5 5 3 10 2 2" xfId="43935" xr:uid="{00000000-0005-0000-0000-000099540000}"/>
    <cellStyle name="Normal 2 5 5 3 10 3" xfId="31502" xr:uid="{00000000-0005-0000-0000-00009A540000}"/>
    <cellStyle name="Normal 2 5 5 3 11" xfId="2675" xr:uid="{00000000-0005-0000-0000-00009B540000}"/>
    <cellStyle name="Normal 2 5 5 3 11 2" xfId="15193" xr:uid="{00000000-0005-0000-0000-00009C540000}"/>
    <cellStyle name="Normal 2 5 5 3 11 2 2" xfId="40067" xr:uid="{00000000-0005-0000-0000-00009D540000}"/>
    <cellStyle name="Normal 2 5 5 3 11 3" xfId="27626" xr:uid="{00000000-0005-0000-0000-00009E540000}"/>
    <cellStyle name="Normal 2 5 5 3 12" xfId="13094" xr:uid="{00000000-0005-0000-0000-00009F540000}"/>
    <cellStyle name="Normal 2 5 5 3 12 2" xfId="37968" xr:uid="{00000000-0005-0000-0000-0000A0540000}"/>
    <cellStyle name="Normal 2 5 5 3 13" xfId="25527" xr:uid="{00000000-0005-0000-0000-0000A1540000}"/>
    <cellStyle name="Normal 2 5 5 3 2" xfId="486" xr:uid="{00000000-0005-0000-0000-0000A2540000}"/>
    <cellStyle name="Normal 2 5 5 3 2 10" xfId="13299" xr:uid="{00000000-0005-0000-0000-0000A3540000}"/>
    <cellStyle name="Normal 2 5 5 3 2 10 2" xfId="38173" xr:uid="{00000000-0005-0000-0000-0000A4540000}"/>
    <cellStyle name="Normal 2 5 5 3 2 11" xfId="25732" xr:uid="{00000000-0005-0000-0000-0000A5540000}"/>
    <cellStyle name="Normal 2 5 5 3 2 2" xfId="845" xr:uid="{00000000-0005-0000-0000-0000A6540000}"/>
    <cellStyle name="Normal 2 5 5 3 2 2 2" xfId="1430" xr:uid="{00000000-0005-0000-0000-0000A7540000}"/>
    <cellStyle name="Normal 2 5 5 3 2 2 2 2" xfId="9534" xr:uid="{00000000-0005-0000-0000-0000A8540000}"/>
    <cellStyle name="Normal 2 5 5 3 2 2 2 2 2" xfId="21977" xr:uid="{00000000-0005-0000-0000-0000A9540000}"/>
    <cellStyle name="Normal 2 5 5 3 2 2 2 2 2 2" xfId="46851" xr:uid="{00000000-0005-0000-0000-0000AA540000}"/>
    <cellStyle name="Normal 2 5 5 3 2 2 2 2 3" xfId="34418" xr:uid="{00000000-0005-0000-0000-0000AB540000}"/>
    <cellStyle name="Normal 2 5 5 3 2 2 2 3" xfId="4516" xr:uid="{00000000-0005-0000-0000-0000AC540000}"/>
    <cellStyle name="Normal 2 5 5 3 2 2 2 3 2" xfId="16970" xr:uid="{00000000-0005-0000-0000-0000AD540000}"/>
    <cellStyle name="Normal 2 5 5 3 2 2 2 3 2 2" xfId="41844" xr:uid="{00000000-0005-0000-0000-0000AE540000}"/>
    <cellStyle name="Normal 2 5 5 3 2 2 2 3 3" xfId="29411" xr:uid="{00000000-0005-0000-0000-0000AF540000}"/>
    <cellStyle name="Normal 2 5 5 3 2 2 2 4" xfId="14230" xr:uid="{00000000-0005-0000-0000-0000B0540000}"/>
    <cellStyle name="Normal 2 5 5 3 2 2 2 4 2" xfId="39104" xr:uid="{00000000-0005-0000-0000-0000B1540000}"/>
    <cellStyle name="Normal 2 5 5 3 2 2 2 5" xfId="26663" xr:uid="{00000000-0005-0000-0000-0000B2540000}"/>
    <cellStyle name="Normal 2 5 5 3 2 2 3" xfId="5575" xr:uid="{00000000-0005-0000-0000-0000B3540000}"/>
    <cellStyle name="Normal 2 5 5 3 2 2 3 2" xfId="10591" xr:uid="{00000000-0005-0000-0000-0000B4540000}"/>
    <cellStyle name="Normal 2 5 5 3 2 2 3 2 2" xfId="23034" xr:uid="{00000000-0005-0000-0000-0000B5540000}"/>
    <cellStyle name="Normal 2 5 5 3 2 2 3 2 2 2" xfId="47908" xr:uid="{00000000-0005-0000-0000-0000B6540000}"/>
    <cellStyle name="Normal 2 5 5 3 2 2 3 2 3" xfId="35475" xr:uid="{00000000-0005-0000-0000-0000B7540000}"/>
    <cellStyle name="Normal 2 5 5 3 2 2 3 3" xfId="18027" xr:uid="{00000000-0005-0000-0000-0000B8540000}"/>
    <cellStyle name="Normal 2 5 5 3 2 2 3 3 2" xfId="42901" xr:uid="{00000000-0005-0000-0000-0000B9540000}"/>
    <cellStyle name="Normal 2 5 5 3 2 2 3 4" xfId="30468" xr:uid="{00000000-0005-0000-0000-0000BA540000}"/>
    <cellStyle name="Normal 2 5 5 3 2 2 4" xfId="8650" xr:uid="{00000000-0005-0000-0000-0000BB540000}"/>
    <cellStyle name="Normal 2 5 5 3 2 2 4 2" xfId="21094" xr:uid="{00000000-0005-0000-0000-0000BC540000}"/>
    <cellStyle name="Normal 2 5 5 3 2 2 4 2 2" xfId="45968" xr:uid="{00000000-0005-0000-0000-0000BD540000}"/>
    <cellStyle name="Normal 2 5 5 3 2 2 4 3" xfId="33535" xr:uid="{00000000-0005-0000-0000-0000BE540000}"/>
    <cellStyle name="Normal 2 5 5 3 2 2 5" xfId="12045" xr:uid="{00000000-0005-0000-0000-0000BF540000}"/>
    <cellStyle name="Normal 2 5 5 3 2 2 5 2" xfId="24479" xr:uid="{00000000-0005-0000-0000-0000C0540000}"/>
    <cellStyle name="Normal 2 5 5 3 2 2 5 2 2" xfId="49353" xr:uid="{00000000-0005-0000-0000-0000C1540000}"/>
    <cellStyle name="Normal 2 5 5 3 2 2 5 3" xfId="36920" xr:uid="{00000000-0005-0000-0000-0000C2540000}"/>
    <cellStyle name="Normal 2 5 5 3 2 2 6" xfId="7127" xr:uid="{00000000-0005-0000-0000-0000C3540000}"/>
    <cellStyle name="Normal 2 5 5 3 2 2 6 2" xfId="19576" xr:uid="{00000000-0005-0000-0000-0000C4540000}"/>
    <cellStyle name="Normal 2 5 5 3 2 2 6 2 2" xfId="44450" xr:uid="{00000000-0005-0000-0000-0000C5540000}"/>
    <cellStyle name="Normal 2 5 5 3 2 2 6 3" xfId="32017" xr:uid="{00000000-0005-0000-0000-0000C6540000}"/>
    <cellStyle name="Normal 2 5 5 3 2 2 7" xfId="3581" xr:uid="{00000000-0005-0000-0000-0000C7540000}"/>
    <cellStyle name="Normal 2 5 5 3 2 2 7 2" xfId="16087" xr:uid="{00000000-0005-0000-0000-0000C8540000}"/>
    <cellStyle name="Normal 2 5 5 3 2 2 7 2 2" xfId="40961" xr:uid="{00000000-0005-0000-0000-0000C9540000}"/>
    <cellStyle name="Normal 2 5 5 3 2 2 7 3" xfId="28520" xr:uid="{00000000-0005-0000-0000-0000CA540000}"/>
    <cellStyle name="Normal 2 5 5 3 2 2 8" xfId="13646" xr:uid="{00000000-0005-0000-0000-0000CB540000}"/>
    <cellStyle name="Normal 2 5 5 3 2 2 8 2" xfId="38520" xr:uid="{00000000-0005-0000-0000-0000CC540000}"/>
    <cellStyle name="Normal 2 5 5 3 2 2 9" xfId="26079" xr:uid="{00000000-0005-0000-0000-0000CD540000}"/>
    <cellStyle name="Normal 2 5 5 3 2 3" xfId="1778" xr:uid="{00000000-0005-0000-0000-0000CE540000}"/>
    <cellStyle name="Normal 2 5 5 3 2 3 2" xfId="5028" xr:uid="{00000000-0005-0000-0000-0000CF540000}"/>
    <cellStyle name="Normal 2 5 5 3 2 3 2 2" xfId="10045" xr:uid="{00000000-0005-0000-0000-0000D0540000}"/>
    <cellStyle name="Normal 2 5 5 3 2 3 2 2 2" xfId="22488" xr:uid="{00000000-0005-0000-0000-0000D1540000}"/>
    <cellStyle name="Normal 2 5 5 3 2 3 2 2 2 2" xfId="47362" xr:uid="{00000000-0005-0000-0000-0000D2540000}"/>
    <cellStyle name="Normal 2 5 5 3 2 3 2 2 3" xfId="34929" xr:uid="{00000000-0005-0000-0000-0000D3540000}"/>
    <cellStyle name="Normal 2 5 5 3 2 3 2 3" xfId="17481" xr:uid="{00000000-0005-0000-0000-0000D4540000}"/>
    <cellStyle name="Normal 2 5 5 3 2 3 2 3 2" xfId="42355" xr:uid="{00000000-0005-0000-0000-0000D5540000}"/>
    <cellStyle name="Normal 2 5 5 3 2 3 2 4" xfId="29922" xr:uid="{00000000-0005-0000-0000-0000D6540000}"/>
    <cellStyle name="Normal 2 5 5 3 2 3 3" xfId="5924" xr:uid="{00000000-0005-0000-0000-0000D7540000}"/>
    <cellStyle name="Normal 2 5 5 3 2 3 3 2" xfId="10939" xr:uid="{00000000-0005-0000-0000-0000D8540000}"/>
    <cellStyle name="Normal 2 5 5 3 2 3 3 2 2" xfId="23382" xr:uid="{00000000-0005-0000-0000-0000D9540000}"/>
    <cellStyle name="Normal 2 5 5 3 2 3 3 2 2 2" xfId="48256" xr:uid="{00000000-0005-0000-0000-0000DA540000}"/>
    <cellStyle name="Normal 2 5 5 3 2 3 3 2 3" xfId="35823" xr:uid="{00000000-0005-0000-0000-0000DB540000}"/>
    <cellStyle name="Normal 2 5 5 3 2 3 3 3" xfId="18375" xr:uid="{00000000-0005-0000-0000-0000DC540000}"/>
    <cellStyle name="Normal 2 5 5 3 2 3 3 3 2" xfId="43249" xr:uid="{00000000-0005-0000-0000-0000DD540000}"/>
    <cellStyle name="Normal 2 5 5 3 2 3 3 4" xfId="30816" xr:uid="{00000000-0005-0000-0000-0000DE540000}"/>
    <cellStyle name="Normal 2 5 5 3 2 3 4" xfId="8452" xr:uid="{00000000-0005-0000-0000-0000DF540000}"/>
    <cellStyle name="Normal 2 5 5 3 2 3 4 2" xfId="20896" xr:uid="{00000000-0005-0000-0000-0000E0540000}"/>
    <cellStyle name="Normal 2 5 5 3 2 3 4 2 2" xfId="45770" xr:uid="{00000000-0005-0000-0000-0000E1540000}"/>
    <cellStyle name="Normal 2 5 5 3 2 3 4 3" xfId="33337" xr:uid="{00000000-0005-0000-0000-0000E2540000}"/>
    <cellStyle name="Normal 2 5 5 3 2 3 5" xfId="12393" xr:uid="{00000000-0005-0000-0000-0000E3540000}"/>
    <cellStyle name="Normal 2 5 5 3 2 3 5 2" xfId="24827" xr:uid="{00000000-0005-0000-0000-0000E4540000}"/>
    <cellStyle name="Normal 2 5 5 3 2 3 5 2 2" xfId="49701" xr:uid="{00000000-0005-0000-0000-0000E5540000}"/>
    <cellStyle name="Normal 2 5 5 3 2 3 5 3" xfId="37268" xr:uid="{00000000-0005-0000-0000-0000E6540000}"/>
    <cellStyle name="Normal 2 5 5 3 2 3 6" xfId="7639" xr:uid="{00000000-0005-0000-0000-0000E7540000}"/>
    <cellStyle name="Normal 2 5 5 3 2 3 6 2" xfId="20087" xr:uid="{00000000-0005-0000-0000-0000E8540000}"/>
    <cellStyle name="Normal 2 5 5 3 2 3 6 2 2" xfId="44961" xr:uid="{00000000-0005-0000-0000-0000E9540000}"/>
    <cellStyle name="Normal 2 5 5 3 2 3 6 3" xfId="32528" xr:uid="{00000000-0005-0000-0000-0000EA540000}"/>
    <cellStyle name="Normal 2 5 5 3 2 3 7" xfId="3383" xr:uid="{00000000-0005-0000-0000-0000EB540000}"/>
    <cellStyle name="Normal 2 5 5 3 2 3 7 2" xfId="15889" xr:uid="{00000000-0005-0000-0000-0000EC540000}"/>
    <cellStyle name="Normal 2 5 5 3 2 3 7 2 2" xfId="40763" xr:uid="{00000000-0005-0000-0000-0000ED540000}"/>
    <cellStyle name="Normal 2 5 5 3 2 3 7 3" xfId="28322" xr:uid="{00000000-0005-0000-0000-0000EE540000}"/>
    <cellStyle name="Normal 2 5 5 3 2 3 8" xfId="14578" xr:uid="{00000000-0005-0000-0000-0000EF540000}"/>
    <cellStyle name="Normal 2 5 5 3 2 3 8 2" xfId="39452" xr:uid="{00000000-0005-0000-0000-0000F0540000}"/>
    <cellStyle name="Normal 2 5 5 3 2 3 9" xfId="27011" xr:uid="{00000000-0005-0000-0000-0000F1540000}"/>
    <cellStyle name="Normal 2 5 5 3 2 4" xfId="2404" xr:uid="{00000000-0005-0000-0000-0000F2540000}"/>
    <cellStyle name="Normal 2 5 5 3 2 4 2" xfId="6426" xr:uid="{00000000-0005-0000-0000-0000F3540000}"/>
    <cellStyle name="Normal 2 5 5 3 2 4 2 2" xfId="11441" xr:uid="{00000000-0005-0000-0000-0000F4540000}"/>
    <cellStyle name="Normal 2 5 5 3 2 4 2 2 2" xfId="23884" xr:uid="{00000000-0005-0000-0000-0000F5540000}"/>
    <cellStyle name="Normal 2 5 5 3 2 4 2 2 2 2" xfId="48758" xr:uid="{00000000-0005-0000-0000-0000F6540000}"/>
    <cellStyle name="Normal 2 5 5 3 2 4 2 2 3" xfId="36325" xr:uid="{00000000-0005-0000-0000-0000F7540000}"/>
    <cellStyle name="Normal 2 5 5 3 2 4 2 3" xfId="18877" xr:uid="{00000000-0005-0000-0000-0000F8540000}"/>
    <cellStyle name="Normal 2 5 5 3 2 4 2 3 2" xfId="43751" xr:uid="{00000000-0005-0000-0000-0000F9540000}"/>
    <cellStyle name="Normal 2 5 5 3 2 4 2 4" xfId="31318" xr:uid="{00000000-0005-0000-0000-0000FA540000}"/>
    <cellStyle name="Normal 2 5 5 3 2 4 3" xfId="12895" xr:uid="{00000000-0005-0000-0000-0000FB540000}"/>
    <cellStyle name="Normal 2 5 5 3 2 4 3 2" xfId="25329" xr:uid="{00000000-0005-0000-0000-0000FC540000}"/>
    <cellStyle name="Normal 2 5 5 3 2 4 3 2 2" xfId="50203" xr:uid="{00000000-0005-0000-0000-0000FD540000}"/>
    <cellStyle name="Normal 2 5 5 3 2 4 3 3" xfId="37770" xr:uid="{00000000-0005-0000-0000-0000FE540000}"/>
    <cellStyle name="Normal 2 5 5 3 2 4 4" xfId="9336" xr:uid="{00000000-0005-0000-0000-0000FF540000}"/>
    <cellStyle name="Normal 2 5 5 3 2 4 4 2" xfId="21779" xr:uid="{00000000-0005-0000-0000-000000550000}"/>
    <cellStyle name="Normal 2 5 5 3 2 4 4 2 2" xfId="46653" xr:uid="{00000000-0005-0000-0000-000001550000}"/>
    <cellStyle name="Normal 2 5 5 3 2 4 4 3" xfId="34220" xr:uid="{00000000-0005-0000-0000-000002550000}"/>
    <cellStyle name="Normal 2 5 5 3 2 4 5" xfId="4318" xr:uid="{00000000-0005-0000-0000-000003550000}"/>
    <cellStyle name="Normal 2 5 5 3 2 4 5 2" xfId="16772" xr:uid="{00000000-0005-0000-0000-000004550000}"/>
    <cellStyle name="Normal 2 5 5 3 2 4 5 2 2" xfId="41646" xr:uid="{00000000-0005-0000-0000-000005550000}"/>
    <cellStyle name="Normal 2 5 5 3 2 4 5 3" xfId="29213" xr:uid="{00000000-0005-0000-0000-000006550000}"/>
    <cellStyle name="Normal 2 5 5 3 2 4 6" xfId="15080" xr:uid="{00000000-0005-0000-0000-000007550000}"/>
    <cellStyle name="Normal 2 5 5 3 2 4 6 2" xfId="39954" xr:uid="{00000000-0005-0000-0000-000008550000}"/>
    <cellStyle name="Normal 2 5 5 3 2 4 7" xfId="27513" xr:uid="{00000000-0005-0000-0000-000009550000}"/>
    <cellStyle name="Normal 2 5 5 3 2 5" xfId="1237" xr:uid="{00000000-0005-0000-0000-00000A550000}"/>
    <cellStyle name="Normal 2 5 5 3 2 5 2" xfId="10398" xr:uid="{00000000-0005-0000-0000-00000B550000}"/>
    <cellStyle name="Normal 2 5 5 3 2 5 2 2" xfId="22841" xr:uid="{00000000-0005-0000-0000-00000C550000}"/>
    <cellStyle name="Normal 2 5 5 3 2 5 2 2 2" xfId="47715" xr:uid="{00000000-0005-0000-0000-00000D550000}"/>
    <cellStyle name="Normal 2 5 5 3 2 5 2 3" xfId="35282" xr:uid="{00000000-0005-0000-0000-00000E550000}"/>
    <cellStyle name="Normal 2 5 5 3 2 5 3" xfId="5382" xr:uid="{00000000-0005-0000-0000-00000F550000}"/>
    <cellStyle name="Normal 2 5 5 3 2 5 3 2" xfId="17834" xr:uid="{00000000-0005-0000-0000-000010550000}"/>
    <cellStyle name="Normal 2 5 5 3 2 5 3 2 2" xfId="42708" xr:uid="{00000000-0005-0000-0000-000011550000}"/>
    <cellStyle name="Normal 2 5 5 3 2 5 3 3" xfId="30275" xr:uid="{00000000-0005-0000-0000-000012550000}"/>
    <cellStyle name="Normal 2 5 5 3 2 5 4" xfId="14037" xr:uid="{00000000-0005-0000-0000-000013550000}"/>
    <cellStyle name="Normal 2 5 5 3 2 5 4 2" xfId="38911" xr:uid="{00000000-0005-0000-0000-000014550000}"/>
    <cellStyle name="Normal 2 5 5 3 2 5 5" xfId="26470" xr:uid="{00000000-0005-0000-0000-000015550000}"/>
    <cellStyle name="Normal 2 5 5 3 2 6" xfId="7959" xr:uid="{00000000-0005-0000-0000-000016550000}"/>
    <cellStyle name="Normal 2 5 5 3 2 6 2" xfId="20405" xr:uid="{00000000-0005-0000-0000-000017550000}"/>
    <cellStyle name="Normal 2 5 5 3 2 6 2 2" xfId="45279" xr:uid="{00000000-0005-0000-0000-000018550000}"/>
    <cellStyle name="Normal 2 5 5 3 2 6 3" xfId="32846" xr:uid="{00000000-0005-0000-0000-000019550000}"/>
    <cellStyle name="Normal 2 5 5 3 2 7" xfId="11852" xr:uid="{00000000-0005-0000-0000-00001A550000}"/>
    <cellStyle name="Normal 2 5 5 3 2 7 2" xfId="24286" xr:uid="{00000000-0005-0000-0000-00001B550000}"/>
    <cellStyle name="Normal 2 5 5 3 2 7 2 2" xfId="49160" xr:uid="{00000000-0005-0000-0000-00001C550000}"/>
    <cellStyle name="Normal 2 5 5 3 2 7 3" xfId="36727" xr:uid="{00000000-0005-0000-0000-00001D550000}"/>
    <cellStyle name="Normal 2 5 5 3 2 8" xfId="6929" xr:uid="{00000000-0005-0000-0000-00001E550000}"/>
    <cellStyle name="Normal 2 5 5 3 2 8 2" xfId="19378" xr:uid="{00000000-0005-0000-0000-00001F550000}"/>
    <cellStyle name="Normal 2 5 5 3 2 8 2 2" xfId="44252" xr:uid="{00000000-0005-0000-0000-000020550000}"/>
    <cellStyle name="Normal 2 5 5 3 2 8 3" xfId="31819" xr:uid="{00000000-0005-0000-0000-000021550000}"/>
    <cellStyle name="Normal 2 5 5 3 2 9" xfId="2880" xr:uid="{00000000-0005-0000-0000-000022550000}"/>
    <cellStyle name="Normal 2 5 5 3 2 9 2" xfId="15398" xr:uid="{00000000-0005-0000-0000-000023550000}"/>
    <cellStyle name="Normal 2 5 5 3 2 9 2 2" xfId="40272" xr:uid="{00000000-0005-0000-0000-000024550000}"/>
    <cellStyle name="Normal 2 5 5 3 2 9 3" xfId="27831" xr:uid="{00000000-0005-0000-0000-000025550000}"/>
    <cellStyle name="Normal 2 5 5 3 2_Degree data" xfId="1987" xr:uid="{00000000-0005-0000-0000-000026550000}"/>
    <cellStyle name="Normal 2 5 5 3 3" xfId="637" xr:uid="{00000000-0005-0000-0000-000027550000}"/>
    <cellStyle name="Normal 2 5 5 3 3 2" xfId="1429" xr:uid="{00000000-0005-0000-0000-000028550000}"/>
    <cellStyle name="Normal 2 5 5 3 3 2 2" xfId="9131" xr:uid="{00000000-0005-0000-0000-000029550000}"/>
    <cellStyle name="Normal 2 5 5 3 3 2 2 2" xfId="21574" xr:uid="{00000000-0005-0000-0000-00002A550000}"/>
    <cellStyle name="Normal 2 5 5 3 3 2 2 2 2" xfId="46448" xr:uid="{00000000-0005-0000-0000-00002B550000}"/>
    <cellStyle name="Normal 2 5 5 3 3 2 2 3" xfId="34015" xr:uid="{00000000-0005-0000-0000-00002C550000}"/>
    <cellStyle name="Normal 2 5 5 3 3 2 3" xfId="4113" xr:uid="{00000000-0005-0000-0000-00002D550000}"/>
    <cellStyle name="Normal 2 5 5 3 3 2 3 2" xfId="16567" xr:uid="{00000000-0005-0000-0000-00002E550000}"/>
    <cellStyle name="Normal 2 5 5 3 3 2 3 2 2" xfId="41441" xr:uid="{00000000-0005-0000-0000-00002F550000}"/>
    <cellStyle name="Normal 2 5 5 3 3 2 3 3" xfId="29008" xr:uid="{00000000-0005-0000-0000-000030550000}"/>
    <cellStyle name="Normal 2 5 5 3 3 2 4" xfId="14229" xr:uid="{00000000-0005-0000-0000-000031550000}"/>
    <cellStyle name="Normal 2 5 5 3 3 2 4 2" xfId="39103" xr:uid="{00000000-0005-0000-0000-000032550000}"/>
    <cellStyle name="Normal 2 5 5 3 3 2 5" xfId="26662" xr:uid="{00000000-0005-0000-0000-000033550000}"/>
    <cellStyle name="Normal 2 5 5 3 3 3" xfId="5574" xr:uid="{00000000-0005-0000-0000-000034550000}"/>
    <cellStyle name="Normal 2 5 5 3 3 3 2" xfId="10590" xr:uid="{00000000-0005-0000-0000-000035550000}"/>
    <cellStyle name="Normal 2 5 5 3 3 3 2 2" xfId="23033" xr:uid="{00000000-0005-0000-0000-000036550000}"/>
    <cellStyle name="Normal 2 5 5 3 3 3 2 2 2" xfId="47907" xr:uid="{00000000-0005-0000-0000-000037550000}"/>
    <cellStyle name="Normal 2 5 5 3 3 3 2 3" xfId="35474" xr:uid="{00000000-0005-0000-0000-000038550000}"/>
    <cellStyle name="Normal 2 5 5 3 3 3 3" xfId="18026" xr:uid="{00000000-0005-0000-0000-000039550000}"/>
    <cellStyle name="Normal 2 5 5 3 3 3 3 2" xfId="42900" xr:uid="{00000000-0005-0000-0000-00003A550000}"/>
    <cellStyle name="Normal 2 5 5 3 3 3 4" xfId="30467" xr:uid="{00000000-0005-0000-0000-00003B550000}"/>
    <cellStyle name="Normal 2 5 5 3 3 4" xfId="8247" xr:uid="{00000000-0005-0000-0000-00003C550000}"/>
    <cellStyle name="Normal 2 5 5 3 3 4 2" xfId="20691" xr:uid="{00000000-0005-0000-0000-00003D550000}"/>
    <cellStyle name="Normal 2 5 5 3 3 4 2 2" xfId="45565" xr:uid="{00000000-0005-0000-0000-00003E550000}"/>
    <cellStyle name="Normal 2 5 5 3 3 4 3" xfId="33132" xr:uid="{00000000-0005-0000-0000-00003F550000}"/>
    <cellStyle name="Normal 2 5 5 3 3 5" xfId="12044" xr:uid="{00000000-0005-0000-0000-000040550000}"/>
    <cellStyle name="Normal 2 5 5 3 3 5 2" xfId="24478" xr:uid="{00000000-0005-0000-0000-000041550000}"/>
    <cellStyle name="Normal 2 5 5 3 3 5 2 2" xfId="49352" xr:uid="{00000000-0005-0000-0000-000042550000}"/>
    <cellStyle name="Normal 2 5 5 3 3 5 3" xfId="36919" xr:uid="{00000000-0005-0000-0000-000043550000}"/>
    <cellStyle name="Normal 2 5 5 3 3 6" xfId="6724" xr:uid="{00000000-0005-0000-0000-000044550000}"/>
    <cellStyle name="Normal 2 5 5 3 3 6 2" xfId="19173" xr:uid="{00000000-0005-0000-0000-000045550000}"/>
    <cellStyle name="Normal 2 5 5 3 3 6 2 2" xfId="44047" xr:uid="{00000000-0005-0000-0000-000046550000}"/>
    <cellStyle name="Normal 2 5 5 3 3 6 3" xfId="31614" xr:uid="{00000000-0005-0000-0000-000047550000}"/>
    <cellStyle name="Normal 2 5 5 3 3 7" xfId="3178" xr:uid="{00000000-0005-0000-0000-000048550000}"/>
    <cellStyle name="Normal 2 5 5 3 3 7 2" xfId="15684" xr:uid="{00000000-0005-0000-0000-000049550000}"/>
    <cellStyle name="Normal 2 5 5 3 3 7 2 2" xfId="40558" xr:uid="{00000000-0005-0000-0000-00004A550000}"/>
    <cellStyle name="Normal 2 5 5 3 3 7 3" xfId="28117" xr:uid="{00000000-0005-0000-0000-00004B550000}"/>
    <cellStyle name="Normal 2 5 5 3 3 8" xfId="13441" xr:uid="{00000000-0005-0000-0000-00004C550000}"/>
    <cellStyle name="Normal 2 5 5 3 3 8 2" xfId="38315" xr:uid="{00000000-0005-0000-0000-00004D550000}"/>
    <cellStyle name="Normal 2 5 5 3 3 9" xfId="25874" xr:uid="{00000000-0005-0000-0000-00004E550000}"/>
    <cellStyle name="Normal 2 5 5 3 4" xfId="1777" xr:uid="{00000000-0005-0000-0000-00004F550000}"/>
    <cellStyle name="Normal 2 5 5 3 4 2" xfId="4515" xr:uid="{00000000-0005-0000-0000-000050550000}"/>
    <cellStyle name="Normal 2 5 5 3 4 2 2" xfId="9533" xr:uid="{00000000-0005-0000-0000-000051550000}"/>
    <cellStyle name="Normal 2 5 5 3 4 2 2 2" xfId="21976" xr:uid="{00000000-0005-0000-0000-000052550000}"/>
    <cellStyle name="Normal 2 5 5 3 4 2 2 2 2" xfId="46850" xr:uid="{00000000-0005-0000-0000-000053550000}"/>
    <cellStyle name="Normal 2 5 5 3 4 2 2 3" xfId="34417" xr:uid="{00000000-0005-0000-0000-000054550000}"/>
    <cellStyle name="Normal 2 5 5 3 4 2 3" xfId="16969" xr:uid="{00000000-0005-0000-0000-000055550000}"/>
    <cellStyle name="Normal 2 5 5 3 4 2 3 2" xfId="41843" xr:uid="{00000000-0005-0000-0000-000056550000}"/>
    <cellStyle name="Normal 2 5 5 3 4 2 4" xfId="29410" xr:uid="{00000000-0005-0000-0000-000057550000}"/>
    <cellStyle name="Normal 2 5 5 3 4 3" xfId="5923" xr:uid="{00000000-0005-0000-0000-000058550000}"/>
    <cellStyle name="Normal 2 5 5 3 4 3 2" xfId="10938" xr:uid="{00000000-0005-0000-0000-000059550000}"/>
    <cellStyle name="Normal 2 5 5 3 4 3 2 2" xfId="23381" xr:uid="{00000000-0005-0000-0000-00005A550000}"/>
    <cellStyle name="Normal 2 5 5 3 4 3 2 2 2" xfId="48255" xr:uid="{00000000-0005-0000-0000-00005B550000}"/>
    <cellStyle name="Normal 2 5 5 3 4 3 2 3" xfId="35822" xr:uid="{00000000-0005-0000-0000-00005C550000}"/>
    <cellStyle name="Normal 2 5 5 3 4 3 3" xfId="18374" xr:uid="{00000000-0005-0000-0000-00005D550000}"/>
    <cellStyle name="Normal 2 5 5 3 4 3 3 2" xfId="43248" xr:uid="{00000000-0005-0000-0000-00005E550000}"/>
    <cellStyle name="Normal 2 5 5 3 4 3 4" xfId="30815" xr:uid="{00000000-0005-0000-0000-00005F550000}"/>
    <cellStyle name="Normal 2 5 5 3 4 4" xfId="8649" xr:uid="{00000000-0005-0000-0000-000060550000}"/>
    <cellStyle name="Normal 2 5 5 3 4 4 2" xfId="21093" xr:uid="{00000000-0005-0000-0000-000061550000}"/>
    <cellStyle name="Normal 2 5 5 3 4 4 2 2" xfId="45967" xr:uid="{00000000-0005-0000-0000-000062550000}"/>
    <cellStyle name="Normal 2 5 5 3 4 4 3" xfId="33534" xr:uid="{00000000-0005-0000-0000-000063550000}"/>
    <cellStyle name="Normal 2 5 5 3 4 5" xfId="12392" xr:uid="{00000000-0005-0000-0000-000064550000}"/>
    <cellStyle name="Normal 2 5 5 3 4 5 2" xfId="24826" xr:uid="{00000000-0005-0000-0000-000065550000}"/>
    <cellStyle name="Normal 2 5 5 3 4 5 2 2" xfId="49700" xr:uid="{00000000-0005-0000-0000-000066550000}"/>
    <cellStyle name="Normal 2 5 5 3 4 5 3" xfId="37267" xr:uid="{00000000-0005-0000-0000-000067550000}"/>
    <cellStyle name="Normal 2 5 5 3 4 6" xfId="7126" xr:uid="{00000000-0005-0000-0000-000068550000}"/>
    <cellStyle name="Normal 2 5 5 3 4 6 2" xfId="19575" xr:uid="{00000000-0005-0000-0000-000069550000}"/>
    <cellStyle name="Normal 2 5 5 3 4 6 2 2" xfId="44449" xr:uid="{00000000-0005-0000-0000-00006A550000}"/>
    <cellStyle name="Normal 2 5 5 3 4 6 3" xfId="32016" xr:uid="{00000000-0005-0000-0000-00006B550000}"/>
    <cellStyle name="Normal 2 5 5 3 4 7" xfId="3580" xr:uid="{00000000-0005-0000-0000-00006C550000}"/>
    <cellStyle name="Normal 2 5 5 3 4 7 2" xfId="16086" xr:uid="{00000000-0005-0000-0000-00006D550000}"/>
    <cellStyle name="Normal 2 5 5 3 4 7 2 2" xfId="40960" xr:uid="{00000000-0005-0000-0000-00006E550000}"/>
    <cellStyle name="Normal 2 5 5 3 4 7 3" xfId="28519" xr:uid="{00000000-0005-0000-0000-00006F550000}"/>
    <cellStyle name="Normal 2 5 5 3 4 8" xfId="14577" xr:uid="{00000000-0005-0000-0000-000070550000}"/>
    <cellStyle name="Normal 2 5 5 3 4 8 2" xfId="39451" xr:uid="{00000000-0005-0000-0000-000071550000}"/>
    <cellStyle name="Normal 2 5 5 3 4 9" xfId="27010" xr:uid="{00000000-0005-0000-0000-000072550000}"/>
    <cellStyle name="Normal 2 5 5 3 5" xfId="2193" xr:uid="{00000000-0005-0000-0000-000073550000}"/>
    <cellStyle name="Normal 2 5 5 3 5 2" xfId="4823" xr:uid="{00000000-0005-0000-0000-000074550000}"/>
    <cellStyle name="Normal 2 5 5 3 5 2 2" xfId="9840" xr:uid="{00000000-0005-0000-0000-000075550000}"/>
    <cellStyle name="Normal 2 5 5 3 5 2 2 2" xfId="22283" xr:uid="{00000000-0005-0000-0000-000076550000}"/>
    <cellStyle name="Normal 2 5 5 3 5 2 2 2 2" xfId="47157" xr:uid="{00000000-0005-0000-0000-000077550000}"/>
    <cellStyle name="Normal 2 5 5 3 5 2 2 3" xfId="34724" xr:uid="{00000000-0005-0000-0000-000078550000}"/>
    <cellStyle name="Normal 2 5 5 3 5 2 3" xfId="17276" xr:uid="{00000000-0005-0000-0000-000079550000}"/>
    <cellStyle name="Normal 2 5 5 3 5 2 3 2" xfId="42150" xr:uid="{00000000-0005-0000-0000-00007A550000}"/>
    <cellStyle name="Normal 2 5 5 3 5 2 4" xfId="29717" xr:uid="{00000000-0005-0000-0000-00007B550000}"/>
    <cellStyle name="Normal 2 5 5 3 5 3" xfId="6221" xr:uid="{00000000-0005-0000-0000-00007C550000}"/>
    <cellStyle name="Normal 2 5 5 3 5 3 2" xfId="11236" xr:uid="{00000000-0005-0000-0000-00007D550000}"/>
    <cellStyle name="Normal 2 5 5 3 5 3 2 2" xfId="23679" xr:uid="{00000000-0005-0000-0000-00007E550000}"/>
    <cellStyle name="Normal 2 5 5 3 5 3 2 2 2" xfId="48553" xr:uid="{00000000-0005-0000-0000-00007F550000}"/>
    <cellStyle name="Normal 2 5 5 3 5 3 2 3" xfId="36120" xr:uid="{00000000-0005-0000-0000-000080550000}"/>
    <cellStyle name="Normal 2 5 5 3 5 3 3" xfId="18672" xr:uid="{00000000-0005-0000-0000-000081550000}"/>
    <cellStyle name="Normal 2 5 5 3 5 3 3 2" xfId="43546" xr:uid="{00000000-0005-0000-0000-000082550000}"/>
    <cellStyle name="Normal 2 5 5 3 5 3 4" xfId="31113" xr:uid="{00000000-0005-0000-0000-000083550000}"/>
    <cellStyle name="Normal 2 5 5 3 5 4" xfId="8133" xr:uid="{00000000-0005-0000-0000-000084550000}"/>
    <cellStyle name="Normal 2 5 5 3 5 4 2" xfId="20579" xr:uid="{00000000-0005-0000-0000-000085550000}"/>
    <cellStyle name="Normal 2 5 5 3 5 4 2 2" xfId="45453" xr:uid="{00000000-0005-0000-0000-000086550000}"/>
    <cellStyle name="Normal 2 5 5 3 5 4 3" xfId="33020" xr:uid="{00000000-0005-0000-0000-000087550000}"/>
    <cellStyle name="Normal 2 5 5 3 5 5" xfId="12690" xr:uid="{00000000-0005-0000-0000-000088550000}"/>
    <cellStyle name="Normal 2 5 5 3 5 5 2" xfId="25124" xr:uid="{00000000-0005-0000-0000-000089550000}"/>
    <cellStyle name="Normal 2 5 5 3 5 5 2 2" xfId="49998" xr:uid="{00000000-0005-0000-0000-00008A550000}"/>
    <cellStyle name="Normal 2 5 5 3 5 5 3" xfId="37565" xr:uid="{00000000-0005-0000-0000-00008B550000}"/>
    <cellStyle name="Normal 2 5 5 3 5 6" xfId="7434" xr:uid="{00000000-0005-0000-0000-00008C550000}"/>
    <cellStyle name="Normal 2 5 5 3 5 6 2" xfId="19882" xr:uid="{00000000-0005-0000-0000-00008D550000}"/>
    <cellStyle name="Normal 2 5 5 3 5 6 2 2" xfId="44756" xr:uid="{00000000-0005-0000-0000-00008E550000}"/>
    <cellStyle name="Normal 2 5 5 3 5 6 3" xfId="32323" xr:uid="{00000000-0005-0000-0000-00008F550000}"/>
    <cellStyle name="Normal 2 5 5 3 5 7" xfId="3063" xr:uid="{00000000-0005-0000-0000-000090550000}"/>
    <cellStyle name="Normal 2 5 5 3 5 7 2" xfId="15572" xr:uid="{00000000-0005-0000-0000-000091550000}"/>
    <cellStyle name="Normal 2 5 5 3 5 7 2 2" xfId="40446" xr:uid="{00000000-0005-0000-0000-000092550000}"/>
    <cellStyle name="Normal 2 5 5 3 5 7 3" xfId="28005" xr:uid="{00000000-0005-0000-0000-000093550000}"/>
    <cellStyle name="Normal 2 5 5 3 5 8" xfId="14875" xr:uid="{00000000-0005-0000-0000-000094550000}"/>
    <cellStyle name="Normal 2 5 5 3 5 8 2" xfId="39749" xr:uid="{00000000-0005-0000-0000-000095550000}"/>
    <cellStyle name="Normal 2 5 5 3 5 9" xfId="27308" xr:uid="{00000000-0005-0000-0000-000096550000}"/>
    <cellStyle name="Normal 2 5 5 3 6" xfId="1032" xr:uid="{00000000-0005-0000-0000-000097550000}"/>
    <cellStyle name="Normal 2 5 5 3 6 2" xfId="9019" xr:uid="{00000000-0005-0000-0000-000098550000}"/>
    <cellStyle name="Normal 2 5 5 3 6 2 2" xfId="21462" xr:uid="{00000000-0005-0000-0000-000099550000}"/>
    <cellStyle name="Normal 2 5 5 3 6 2 2 2" xfId="46336" xr:uid="{00000000-0005-0000-0000-00009A550000}"/>
    <cellStyle name="Normal 2 5 5 3 6 2 3" xfId="33903" xr:uid="{00000000-0005-0000-0000-00009B550000}"/>
    <cellStyle name="Normal 2 5 5 3 6 3" xfId="4001" xr:uid="{00000000-0005-0000-0000-00009C550000}"/>
    <cellStyle name="Normal 2 5 5 3 6 3 2" xfId="16455" xr:uid="{00000000-0005-0000-0000-00009D550000}"/>
    <cellStyle name="Normal 2 5 5 3 6 3 2 2" xfId="41329" xr:uid="{00000000-0005-0000-0000-00009E550000}"/>
    <cellStyle name="Normal 2 5 5 3 6 3 3" xfId="28896" xr:uid="{00000000-0005-0000-0000-00009F550000}"/>
    <cellStyle name="Normal 2 5 5 3 6 4" xfId="13832" xr:uid="{00000000-0005-0000-0000-0000A0550000}"/>
    <cellStyle name="Normal 2 5 5 3 6 4 2" xfId="38706" xr:uid="{00000000-0005-0000-0000-0000A1550000}"/>
    <cellStyle name="Normal 2 5 5 3 6 5" xfId="26265" xr:uid="{00000000-0005-0000-0000-0000A2550000}"/>
    <cellStyle name="Normal 2 5 5 3 7" xfId="5177" xr:uid="{00000000-0005-0000-0000-0000A3550000}"/>
    <cellStyle name="Normal 2 5 5 3 7 2" xfId="10193" xr:uid="{00000000-0005-0000-0000-0000A4550000}"/>
    <cellStyle name="Normal 2 5 5 3 7 2 2" xfId="22636" xr:uid="{00000000-0005-0000-0000-0000A5550000}"/>
    <cellStyle name="Normal 2 5 5 3 7 2 2 2" xfId="47510" xr:uid="{00000000-0005-0000-0000-0000A6550000}"/>
    <cellStyle name="Normal 2 5 5 3 7 2 3" xfId="35077" xr:uid="{00000000-0005-0000-0000-0000A7550000}"/>
    <cellStyle name="Normal 2 5 5 3 7 3" xfId="17629" xr:uid="{00000000-0005-0000-0000-0000A8550000}"/>
    <cellStyle name="Normal 2 5 5 3 7 3 2" xfId="42503" xr:uid="{00000000-0005-0000-0000-0000A9550000}"/>
    <cellStyle name="Normal 2 5 5 3 7 4" xfId="30070" xr:uid="{00000000-0005-0000-0000-0000AA550000}"/>
    <cellStyle name="Normal 2 5 5 3 8" xfId="7754" xr:uid="{00000000-0005-0000-0000-0000AB550000}"/>
    <cellStyle name="Normal 2 5 5 3 8 2" xfId="20200" xr:uid="{00000000-0005-0000-0000-0000AC550000}"/>
    <cellStyle name="Normal 2 5 5 3 8 2 2" xfId="45074" xr:uid="{00000000-0005-0000-0000-0000AD550000}"/>
    <cellStyle name="Normal 2 5 5 3 8 3" xfId="32641" xr:uid="{00000000-0005-0000-0000-0000AE550000}"/>
    <cellStyle name="Normal 2 5 5 3 9" xfId="11647" xr:uid="{00000000-0005-0000-0000-0000AF550000}"/>
    <cellStyle name="Normal 2 5 5 3 9 2" xfId="24081" xr:uid="{00000000-0005-0000-0000-0000B0550000}"/>
    <cellStyle name="Normal 2 5 5 3 9 2 2" xfId="48955" xr:uid="{00000000-0005-0000-0000-0000B1550000}"/>
    <cellStyle name="Normal 2 5 5 3 9 3" xfId="36522" xr:uid="{00000000-0005-0000-0000-0000B2550000}"/>
    <cellStyle name="Normal 2 5 5 3_Degree data" xfId="1988" xr:uid="{00000000-0005-0000-0000-0000B3550000}"/>
    <cellStyle name="Normal 2 5 5 4" xfId="378" xr:uid="{00000000-0005-0000-0000-0000B4550000}"/>
    <cellStyle name="Normal 2 5 5 4 10" xfId="13194" xr:uid="{00000000-0005-0000-0000-0000B5550000}"/>
    <cellStyle name="Normal 2 5 5 4 10 2" xfId="38068" xr:uid="{00000000-0005-0000-0000-0000B6550000}"/>
    <cellStyle name="Normal 2 5 5 4 11" xfId="25627" xr:uid="{00000000-0005-0000-0000-0000B7550000}"/>
    <cellStyle name="Normal 2 5 5 4 2" xfId="738" xr:uid="{00000000-0005-0000-0000-0000B8550000}"/>
    <cellStyle name="Normal 2 5 5 4 2 2" xfId="1431" xr:uid="{00000000-0005-0000-0000-0000B9550000}"/>
    <cellStyle name="Normal 2 5 5 4 2 2 2" xfId="9535" xr:uid="{00000000-0005-0000-0000-0000BA550000}"/>
    <cellStyle name="Normal 2 5 5 4 2 2 2 2" xfId="21978" xr:uid="{00000000-0005-0000-0000-0000BB550000}"/>
    <cellStyle name="Normal 2 5 5 4 2 2 2 2 2" xfId="46852" xr:uid="{00000000-0005-0000-0000-0000BC550000}"/>
    <cellStyle name="Normal 2 5 5 4 2 2 2 3" xfId="34419" xr:uid="{00000000-0005-0000-0000-0000BD550000}"/>
    <cellStyle name="Normal 2 5 5 4 2 2 3" xfId="4517" xr:uid="{00000000-0005-0000-0000-0000BE550000}"/>
    <cellStyle name="Normal 2 5 5 4 2 2 3 2" xfId="16971" xr:uid="{00000000-0005-0000-0000-0000BF550000}"/>
    <cellStyle name="Normal 2 5 5 4 2 2 3 2 2" xfId="41845" xr:uid="{00000000-0005-0000-0000-0000C0550000}"/>
    <cellStyle name="Normal 2 5 5 4 2 2 3 3" xfId="29412" xr:uid="{00000000-0005-0000-0000-0000C1550000}"/>
    <cellStyle name="Normal 2 5 5 4 2 2 4" xfId="14231" xr:uid="{00000000-0005-0000-0000-0000C2550000}"/>
    <cellStyle name="Normal 2 5 5 4 2 2 4 2" xfId="39105" xr:uid="{00000000-0005-0000-0000-0000C3550000}"/>
    <cellStyle name="Normal 2 5 5 4 2 2 5" xfId="26664" xr:uid="{00000000-0005-0000-0000-0000C4550000}"/>
    <cellStyle name="Normal 2 5 5 4 2 3" xfId="5576" xr:uid="{00000000-0005-0000-0000-0000C5550000}"/>
    <cellStyle name="Normal 2 5 5 4 2 3 2" xfId="10592" xr:uid="{00000000-0005-0000-0000-0000C6550000}"/>
    <cellStyle name="Normal 2 5 5 4 2 3 2 2" xfId="23035" xr:uid="{00000000-0005-0000-0000-0000C7550000}"/>
    <cellStyle name="Normal 2 5 5 4 2 3 2 2 2" xfId="47909" xr:uid="{00000000-0005-0000-0000-0000C8550000}"/>
    <cellStyle name="Normal 2 5 5 4 2 3 2 3" xfId="35476" xr:uid="{00000000-0005-0000-0000-0000C9550000}"/>
    <cellStyle name="Normal 2 5 5 4 2 3 3" xfId="18028" xr:uid="{00000000-0005-0000-0000-0000CA550000}"/>
    <cellStyle name="Normal 2 5 5 4 2 3 3 2" xfId="42902" xr:uid="{00000000-0005-0000-0000-0000CB550000}"/>
    <cellStyle name="Normal 2 5 5 4 2 3 4" xfId="30469" xr:uid="{00000000-0005-0000-0000-0000CC550000}"/>
    <cellStyle name="Normal 2 5 5 4 2 4" xfId="8651" xr:uid="{00000000-0005-0000-0000-0000CD550000}"/>
    <cellStyle name="Normal 2 5 5 4 2 4 2" xfId="21095" xr:uid="{00000000-0005-0000-0000-0000CE550000}"/>
    <cellStyle name="Normal 2 5 5 4 2 4 2 2" xfId="45969" xr:uid="{00000000-0005-0000-0000-0000CF550000}"/>
    <cellStyle name="Normal 2 5 5 4 2 4 3" xfId="33536" xr:uid="{00000000-0005-0000-0000-0000D0550000}"/>
    <cellStyle name="Normal 2 5 5 4 2 5" xfId="12046" xr:uid="{00000000-0005-0000-0000-0000D1550000}"/>
    <cellStyle name="Normal 2 5 5 4 2 5 2" xfId="24480" xr:uid="{00000000-0005-0000-0000-0000D2550000}"/>
    <cellStyle name="Normal 2 5 5 4 2 5 2 2" xfId="49354" xr:uid="{00000000-0005-0000-0000-0000D3550000}"/>
    <cellStyle name="Normal 2 5 5 4 2 5 3" xfId="36921" xr:uid="{00000000-0005-0000-0000-0000D4550000}"/>
    <cellStyle name="Normal 2 5 5 4 2 6" xfId="7128" xr:uid="{00000000-0005-0000-0000-0000D5550000}"/>
    <cellStyle name="Normal 2 5 5 4 2 6 2" xfId="19577" xr:uid="{00000000-0005-0000-0000-0000D6550000}"/>
    <cellStyle name="Normal 2 5 5 4 2 6 2 2" xfId="44451" xr:uid="{00000000-0005-0000-0000-0000D7550000}"/>
    <cellStyle name="Normal 2 5 5 4 2 6 3" xfId="32018" xr:uid="{00000000-0005-0000-0000-0000D8550000}"/>
    <cellStyle name="Normal 2 5 5 4 2 7" xfId="3582" xr:uid="{00000000-0005-0000-0000-0000D9550000}"/>
    <cellStyle name="Normal 2 5 5 4 2 7 2" xfId="16088" xr:uid="{00000000-0005-0000-0000-0000DA550000}"/>
    <cellStyle name="Normal 2 5 5 4 2 7 2 2" xfId="40962" xr:uid="{00000000-0005-0000-0000-0000DB550000}"/>
    <cellStyle name="Normal 2 5 5 4 2 7 3" xfId="28521" xr:uid="{00000000-0005-0000-0000-0000DC550000}"/>
    <cellStyle name="Normal 2 5 5 4 2 8" xfId="13541" xr:uid="{00000000-0005-0000-0000-0000DD550000}"/>
    <cellStyle name="Normal 2 5 5 4 2 8 2" xfId="38415" xr:uid="{00000000-0005-0000-0000-0000DE550000}"/>
    <cellStyle name="Normal 2 5 5 4 2 9" xfId="25974" xr:uid="{00000000-0005-0000-0000-0000DF550000}"/>
    <cellStyle name="Normal 2 5 5 4 3" xfId="1779" xr:uid="{00000000-0005-0000-0000-0000E0550000}"/>
    <cellStyle name="Normal 2 5 5 4 3 2" xfId="4923" xr:uid="{00000000-0005-0000-0000-0000E1550000}"/>
    <cellStyle name="Normal 2 5 5 4 3 2 2" xfId="9940" xr:uid="{00000000-0005-0000-0000-0000E2550000}"/>
    <cellStyle name="Normal 2 5 5 4 3 2 2 2" xfId="22383" xr:uid="{00000000-0005-0000-0000-0000E3550000}"/>
    <cellStyle name="Normal 2 5 5 4 3 2 2 2 2" xfId="47257" xr:uid="{00000000-0005-0000-0000-0000E4550000}"/>
    <cellStyle name="Normal 2 5 5 4 3 2 2 3" xfId="34824" xr:uid="{00000000-0005-0000-0000-0000E5550000}"/>
    <cellStyle name="Normal 2 5 5 4 3 2 3" xfId="17376" xr:uid="{00000000-0005-0000-0000-0000E6550000}"/>
    <cellStyle name="Normal 2 5 5 4 3 2 3 2" xfId="42250" xr:uid="{00000000-0005-0000-0000-0000E7550000}"/>
    <cellStyle name="Normal 2 5 5 4 3 2 4" xfId="29817" xr:uid="{00000000-0005-0000-0000-0000E8550000}"/>
    <cellStyle name="Normal 2 5 5 4 3 3" xfId="5925" xr:uid="{00000000-0005-0000-0000-0000E9550000}"/>
    <cellStyle name="Normal 2 5 5 4 3 3 2" xfId="10940" xr:uid="{00000000-0005-0000-0000-0000EA550000}"/>
    <cellStyle name="Normal 2 5 5 4 3 3 2 2" xfId="23383" xr:uid="{00000000-0005-0000-0000-0000EB550000}"/>
    <cellStyle name="Normal 2 5 5 4 3 3 2 2 2" xfId="48257" xr:uid="{00000000-0005-0000-0000-0000EC550000}"/>
    <cellStyle name="Normal 2 5 5 4 3 3 2 3" xfId="35824" xr:uid="{00000000-0005-0000-0000-0000ED550000}"/>
    <cellStyle name="Normal 2 5 5 4 3 3 3" xfId="18376" xr:uid="{00000000-0005-0000-0000-0000EE550000}"/>
    <cellStyle name="Normal 2 5 5 4 3 3 3 2" xfId="43250" xr:uid="{00000000-0005-0000-0000-0000EF550000}"/>
    <cellStyle name="Normal 2 5 5 4 3 3 4" xfId="30817" xr:uid="{00000000-0005-0000-0000-0000F0550000}"/>
    <cellStyle name="Normal 2 5 5 4 3 4" xfId="8347" xr:uid="{00000000-0005-0000-0000-0000F1550000}"/>
    <cellStyle name="Normal 2 5 5 4 3 4 2" xfId="20791" xr:uid="{00000000-0005-0000-0000-0000F2550000}"/>
    <cellStyle name="Normal 2 5 5 4 3 4 2 2" xfId="45665" xr:uid="{00000000-0005-0000-0000-0000F3550000}"/>
    <cellStyle name="Normal 2 5 5 4 3 4 3" xfId="33232" xr:uid="{00000000-0005-0000-0000-0000F4550000}"/>
    <cellStyle name="Normal 2 5 5 4 3 5" xfId="12394" xr:uid="{00000000-0005-0000-0000-0000F5550000}"/>
    <cellStyle name="Normal 2 5 5 4 3 5 2" xfId="24828" xr:uid="{00000000-0005-0000-0000-0000F6550000}"/>
    <cellStyle name="Normal 2 5 5 4 3 5 2 2" xfId="49702" xr:uid="{00000000-0005-0000-0000-0000F7550000}"/>
    <cellStyle name="Normal 2 5 5 4 3 5 3" xfId="37269" xr:uid="{00000000-0005-0000-0000-0000F8550000}"/>
    <cellStyle name="Normal 2 5 5 4 3 6" xfId="7534" xr:uid="{00000000-0005-0000-0000-0000F9550000}"/>
    <cellStyle name="Normal 2 5 5 4 3 6 2" xfId="19982" xr:uid="{00000000-0005-0000-0000-0000FA550000}"/>
    <cellStyle name="Normal 2 5 5 4 3 6 2 2" xfId="44856" xr:uid="{00000000-0005-0000-0000-0000FB550000}"/>
    <cellStyle name="Normal 2 5 5 4 3 6 3" xfId="32423" xr:uid="{00000000-0005-0000-0000-0000FC550000}"/>
    <cellStyle name="Normal 2 5 5 4 3 7" xfId="3278" xr:uid="{00000000-0005-0000-0000-0000FD550000}"/>
    <cellStyle name="Normal 2 5 5 4 3 7 2" xfId="15784" xr:uid="{00000000-0005-0000-0000-0000FE550000}"/>
    <cellStyle name="Normal 2 5 5 4 3 7 2 2" xfId="40658" xr:uid="{00000000-0005-0000-0000-0000FF550000}"/>
    <cellStyle name="Normal 2 5 5 4 3 7 3" xfId="28217" xr:uid="{00000000-0005-0000-0000-000000560000}"/>
    <cellStyle name="Normal 2 5 5 4 3 8" xfId="14579" xr:uid="{00000000-0005-0000-0000-000001560000}"/>
    <cellStyle name="Normal 2 5 5 4 3 8 2" xfId="39453" xr:uid="{00000000-0005-0000-0000-000002560000}"/>
    <cellStyle name="Normal 2 5 5 4 3 9" xfId="27012" xr:uid="{00000000-0005-0000-0000-000003560000}"/>
    <cellStyle name="Normal 2 5 5 4 4" xfId="2296" xr:uid="{00000000-0005-0000-0000-000004560000}"/>
    <cellStyle name="Normal 2 5 5 4 4 2" xfId="6321" xr:uid="{00000000-0005-0000-0000-000005560000}"/>
    <cellStyle name="Normal 2 5 5 4 4 2 2" xfId="11336" xr:uid="{00000000-0005-0000-0000-000006560000}"/>
    <cellStyle name="Normal 2 5 5 4 4 2 2 2" xfId="23779" xr:uid="{00000000-0005-0000-0000-000007560000}"/>
    <cellStyle name="Normal 2 5 5 4 4 2 2 2 2" xfId="48653" xr:uid="{00000000-0005-0000-0000-000008560000}"/>
    <cellStyle name="Normal 2 5 5 4 4 2 2 3" xfId="36220" xr:uid="{00000000-0005-0000-0000-000009560000}"/>
    <cellStyle name="Normal 2 5 5 4 4 2 3" xfId="18772" xr:uid="{00000000-0005-0000-0000-00000A560000}"/>
    <cellStyle name="Normal 2 5 5 4 4 2 3 2" xfId="43646" xr:uid="{00000000-0005-0000-0000-00000B560000}"/>
    <cellStyle name="Normal 2 5 5 4 4 2 4" xfId="31213" xr:uid="{00000000-0005-0000-0000-00000C560000}"/>
    <cellStyle name="Normal 2 5 5 4 4 3" xfId="12790" xr:uid="{00000000-0005-0000-0000-00000D560000}"/>
    <cellStyle name="Normal 2 5 5 4 4 3 2" xfId="25224" xr:uid="{00000000-0005-0000-0000-00000E560000}"/>
    <cellStyle name="Normal 2 5 5 4 4 3 2 2" xfId="50098" xr:uid="{00000000-0005-0000-0000-00000F560000}"/>
    <cellStyle name="Normal 2 5 5 4 4 3 3" xfId="37665" xr:uid="{00000000-0005-0000-0000-000010560000}"/>
    <cellStyle name="Normal 2 5 5 4 4 4" xfId="9231" xr:uid="{00000000-0005-0000-0000-000011560000}"/>
    <cellStyle name="Normal 2 5 5 4 4 4 2" xfId="21674" xr:uid="{00000000-0005-0000-0000-000012560000}"/>
    <cellStyle name="Normal 2 5 5 4 4 4 2 2" xfId="46548" xr:uid="{00000000-0005-0000-0000-000013560000}"/>
    <cellStyle name="Normal 2 5 5 4 4 4 3" xfId="34115" xr:uid="{00000000-0005-0000-0000-000014560000}"/>
    <cellStyle name="Normal 2 5 5 4 4 5" xfId="4213" xr:uid="{00000000-0005-0000-0000-000015560000}"/>
    <cellStyle name="Normal 2 5 5 4 4 5 2" xfId="16667" xr:uid="{00000000-0005-0000-0000-000016560000}"/>
    <cellStyle name="Normal 2 5 5 4 4 5 2 2" xfId="41541" xr:uid="{00000000-0005-0000-0000-000017560000}"/>
    <cellStyle name="Normal 2 5 5 4 4 5 3" xfId="29108" xr:uid="{00000000-0005-0000-0000-000018560000}"/>
    <cellStyle name="Normal 2 5 5 4 4 6" xfId="14975" xr:uid="{00000000-0005-0000-0000-000019560000}"/>
    <cellStyle name="Normal 2 5 5 4 4 6 2" xfId="39849" xr:uid="{00000000-0005-0000-0000-00001A560000}"/>
    <cellStyle name="Normal 2 5 5 4 4 7" xfId="27408" xr:uid="{00000000-0005-0000-0000-00001B560000}"/>
    <cellStyle name="Normal 2 5 5 4 5" xfId="1132" xr:uid="{00000000-0005-0000-0000-00001C560000}"/>
    <cellStyle name="Normal 2 5 5 4 5 2" xfId="10293" xr:uid="{00000000-0005-0000-0000-00001D560000}"/>
    <cellStyle name="Normal 2 5 5 4 5 2 2" xfId="22736" xr:uid="{00000000-0005-0000-0000-00001E560000}"/>
    <cellStyle name="Normal 2 5 5 4 5 2 2 2" xfId="47610" xr:uid="{00000000-0005-0000-0000-00001F560000}"/>
    <cellStyle name="Normal 2 5 5 4 5 2 3" xfId="35177" xr:uid="{00000000-0005-0000-0000-000020560000}"/>
    <cellStyle name="Normal 2 5 5 4 5 3" xfId="5277" xr:uid="{00000000-0005-0000-0000-000021560000}"/>
    <cellStyle name="Normal 2 5 5 4 5 3 2" xfId="17729" xr:uid="{00000000-0005-0000-0000-000022560000}"/>
    <cellStyle name="Normal 2 5 5 4 5 3 2 2" xfId="42603" xr:uid="{00000000-0005-0000-0000-000023560000}"/>
    <cellStyle name="Normal 2 5 5 4 5 3 3" xfId="30170" xr:uid="{00000000-0005-0000-0000-000024560000}"/>
    <cellStyle name="Normal 2 5 5 4 5 4" xfId="13932" xr:uid="{00000000-0005-0000-0000-000025560000}"/>
    <cellStyle name="Normal 2 5 5 4 5 4 2" xfId="38806" xr:uid="{00000000-0005-0000-0000-000026560000}"/>
    <cellStyle name="Normal 2 5 5 4 5 5" xfId="26365" xr:uid="{00000000-0005-0000-0000-000027560000}"/>
    <cellStyle name="Normal 2 5 5 4 6" xfId="7854" xr:uid="{00000000-0005-0000-0000-000028560000}"/>
    <cellStyle name="Normal 2 5 5 4 6 2" xfId="20300" xr:uid="{00000000-0005-0000-0000-000029560000}"/>
    <cellStyle name="Normal 2 5 5 4 6 2 2" xfId="45174" xr:uid="{00000000-0005-0000-0000-00002A560000}"/>
    <cellStyle name="Normal 2 5 5 4 6 3" xfId="32741" xr:uid="{00000000-0005-0000-0000-00002B560000}"/>
    <cellStyle name="Normal 2 5 5 4 7" xfId="11747" xr:uid="{00000000-0005-0000-0000-00002C560000}"/>
    <cellStyle name="Normal 2 5 5 4 7 2" xfId="24181" xr:uid="{00000000-0005-0000-0000-00002D560000}"/>
    <cellStyle name="Normal 2 5 5 4 7 2 2" xfId="49055" xr:uid="{00000000-0005-0000-0000-00002E560000}"/>
    <cellStyle name="Normal 2 5 5 4 7 3" xfId="36622" xr:uid="{00000000-0005-0000-0000-00002F560000}"/>
    <cellStyle name="Normal 2 5 5 4 8" xfId="6824" xr:uid="{00000000-0005-0000-0000-000030560000}"/>
    <cellStyle name="Normal 2 5 5 4 8 2" xfId="19273" xr:uid="{00000000-0005-0000-0000-000031560000}"/>
    <cellStyle name="Normal 2 5 5 4 8 2 2" xfId="44147" xr:uid="{00000000-0005-0000-0000-000032560000}"/>
    <cellStyle name="Normal 2 5 5 4 8 3" xfId="31714" xr:uid="{00000000-0005-0000-0000-000033560000}"/>
    <cellStyle name="Normal 2 5 5 4 9" xfId="2775" xr:uid="{00000000-0005-0000-0000-000034560000}"/>
    <cellStyle name="Normal 2 5 5 4 9 2" xfId="15293" xr:uid="{00000000-0005-0000-0000-000035560000}"/>
    <cellStyle name="Normal 2 5 5 4 9 2 2" xfId="40167" xr:uid="{00000000-0005-0000-0000-000036560000}"/>
    <cellStyle name="Normal 2 5 5 4 9 3" xfId="27726" xr:uid="{00000000-0005-0000-0000-000037560000}"/>
    <cellStyle name="Normal 2 5 5 4_Degree data" xfId="1986" xr:uid="{00000000-0005-0000-0000-000038560000}"/>
    <cellStyle name="Normal 2 5 5 5" xfId="207" xr:uid="{00000000-0005-0000-0000-000039560000}"/>
    <cellStyle name="Normal 2 5 5 5 2" xfId="1426" xr:uid="{00000000-0005-0000-0000-00003A560000}"/>
    <cellStyle name="Normal 2 5 5 5 2 2" xfId="9072" xr:uid="{00000000-0005-0000-0000-00003B560000}"/>
    <cellStyle name="Normal 2 5 5 5 2 2 2" xfId="21515" xr:uid="{00000000-0005-0000-0000-00003C560000}"/>
    <cellStyle name="Normal 2 5 5 5 2 2 2 2" xfId="46389" xr:uid="{00000000-0005-0000-0000-00003D560000}"/>
    <cellStyle name="Normal 2 5 5 5 2 2 3" xfId="33956" xr:uid="{00000000-0005-0000-0000-00003E560000}"/>
    <cellStyle name="Normal 2 5 5 5 2 3" xfId="4054" xr:uid="{00000000-0005-0000-0000-00003F560000}"/>
    <cellStyle name="Normal 2 5 5 5 2 3 2" xfId="16508" xr:uid="{00000000-0005-0000-0000-000040560000}"/>
    <cellStyle name="Normal 2 5 5 5 2 3 2 2" xfId="41382" xr:uid="{00000000-0005-0000-0000-000041560000}"/>
    <cellStyle name="Normal 2 5 5 5 2 3 3" xfId="28949" xr:uid="{00000000-0005-0000-0000-000042560000}"/>
    <cellStyle name="Normal 2 5 5 5 2 4" xfId="14226" xr:uid="{00000000-0005-0000-0000-000043560000}"/>
    <cellStyle name="Normal 2 5 5 5 2 4 2" xfId="39100" xr:uid="{00000000-0005-0000-0000-000044560000}"/>
    <cellStyle name="Normal 2 5 5 5 2 5" xfId="26659" xr:uid="{00000000-0005-0000-0000-000045560000}"/>
    <cellStyle name="Normal 2 5 5 5 3" xfId="5571" xr:uid="{00000000-0005-0000-0000-000046560000}"/>
    <cellStyle name="Normal 2 5 5 5 3 2" xfId="10587" xr:uid="{00000000-0005-0000-0000-000047560000}"/>
    <cellStyle name="Normal 2 5 5 5 3 2 2" xfId="23030" xr:uid="{00000000-0005-0000-0000-000048560000}"/>
    <cellStyle name="Normal 2 5 5 5 3 2 2 2" xfId="47904" xr:uid="{00000000-0005-0000-0000-000049560000}"/>
    <cellStyle name="Normal 2 5 5 5 3 2 3" xfId="35471" xr:uid="{00000000-0005-0000-0000-00004A560000}"/>
    <cellStyle name="Normal 2 5 5 5 3 3" xfId="18023" xr:uid="{00000000-0005-0000-0000-00004B560000}"/>
    <cellStyle name="Normal 2 5 5 5 3 3 2" xfId="42897" xr:uid="{00000000-0005-0000-0000-00004C560000}"/>
    <cellStyle name="Normal 2 5 5 5 3 4" xfId="30464" xr:uid="{00000000-0005-0000-0000-00004D560000}"/>
    <cellStyle name="Normal 2 5 5 5 4" xfId="8188" xr:uid="{00000000-0005-0000-0000-00004E560000}"/>
    <cellStyle name="Normal 2 5 5 5 4 2" xfId="20632" xr:uid="{00000000-0005-0000-0000-00004F560000}"/>
    <cellStyle name="Normal 2 5 5 5 4 2 2" xfId="45506" xr:uid="{00000000-0005-0000-0000-000050560000}"/>
    <cellStyle name="Normal 2 5 5 5 4 3" xfId="33073" xr:uid="{00000000-0005-0000-0000-000051560000}"/>
    <cellStyle name="Normal 2 5 5 5 5" xfId="12041" xr:uid="{00000000-0005-0000-0000-000052560000}"/>
    <cellStyle name="Normal 2 5 5 5 5 2" xfId="24475" xr:uid="{00000000-0005-0000-0000-000053560000}"/>
    <cellStyle name="Normal 2 5 5 5 5 2 2" xfId="49349" xr:uid="{00000000-0005-0000-0000-000054560000}"/>
    <cellStyle name="Normal 2 5 5 5 5 3" xfId="36916" xr:uid="{00000000-0005-0000-0000-000055560000}"/>
    <cellStyle name="Normal 2 5 5 5 6" xfId="6665" xr:uid="{00000000-0005-0000-0000-000056560000}"/>
    <cellStyle name="Normal 2 5 5 5 6 2" xfId="19114" xr:uid="{00000000-0005-0000-0000-000057560000}"/>
    <cellStyle name="Normal 2 5 5 5 6 2 2" xfId="43988" xr:uid="{00000000-0005-0000-0000-000058560000}"/>
    <cellStyle name="Normal 2 5 5 5 6 3" xfId="31555" xr:uid="{00000000-0005-0000-0000-000059560000}"/>
    <cellStyle name="Normal 2 5 5 5 7" xfId="3119" xr:uid="{00000000-0005-0000-0000-00005A560000}"/>
    <cellStyle name="Normal 2 5 5 5 7 2" xfId="15625" xr:uid="{00000000-0005-0000-0000-00005B560000}"/>
    <cellStyle name="Normal 2 5 5 5 7 2 2" xfId="40499" xr:uid="{00000000-0005-0000-0000-00005C560000}"/>
    <cellStyle name="Normal 2 5 5 5 7 3" xfId="28058" xr:uid="{00000000-0005-0000-0000-00005D560000}"/>
    <cellStyle name="Normal 2 5 5 5 8" xfId="13035" xr:uid="{00000000-0005-0000-0000-00005E560000}"/>
    <cellStyle name="Normal 2 5 5 5 8 2" xfId="37909" xr:uid="{00000000-0005-0000-0000-00005F560000}"/>
    <cellStyle name="Normal 2 5 5 5 9" xfId="25468" xr:uid="{00000000-0005-0000-0000-000060560000}"/>
    <cellStyle name="Normal 2 5 5 6" xfId="573" xr:uid="{00000000-0005-0000-0000-000061560000}"/>
    <cellStyle name="Normal 2 5 5 6 2" xfId="1774" xr:uid="{00000000-0005-0000-0000-000062560000}"/>
    <cellStyle name="Normal 2 5 5 6 2 2" xfId="9530" xr:uid="{00000000-0005-0000-0000-000063560000}"/>
    <cellStyle name="Normal 2 5 5 6 2 2 2" xfId="21973" xr:uid="{00000000-0005-0000-0000-000064560000}"/>
    <cellStyle name="Normal 2 5 5 6 2 2 2 2" xfId="46847" xr:uid="{00000000-0005-0000-0000-000065560000}"/>
    <cellStyle name="Normal 2 5 5 6 2 2 3" xfId="34414" xr:uid="{00000000-0005-0000-0000-000066560000}"/>
    <cellStyle name="Normal 2 5 5 6 2 3" xfId="4512" xr:uid="{00000000-0005-0000-0000-000067560000}"/>
    <cellStyle name="Normal 2 5 5 6 2 3 2" xfId="16966" xr:uid="{00000000-0005-0000-0000-000068560000}"/>
    <cellStyle name="Normal 2 5 5 6 2 3 2 2" xfId="41840" xr:uid="{00000000-0005-0000-0000-000069560000}"/>
    <cellStyle name="Normal 2 5 5 6 2 3 3" xfId="29407" xr:uid="{00000000-0005-0000-0000-00006A560000}"/>
    <cellStyle name="Normal 2 5 5 6 2 4" xfId="14574" xr:uid="{00000000-0005-0000-0000-00006B560000}"/>
    <cellStyle name="Normal 2 5 5 6 2 4 2" xfId="39448" xr:uid="{00000000-0005-0000-0000-00006C560000}"/>
    <cellStyle name="Normal 2 5 5 6 2 5" xfId="27007" xr:uid="{00000000-0005-0000-0000-00006D560000}"/>
    <cellStyle name="Normal 2 5 5 6 3" xfId="5920" xr:uid="{00000000-0005-0000-0000-00006E560000}"/>
    <cellStyle name="Normal 2 5 5 6 3 2" xfId="10935" xr:uid="{00000000-0005-0000-0000-00006F560000}"/>
    <cellStyle name="Normal 2 5 5 6 3 2 2" xfId="23378" xr:uid="{00000000-0005-0000-0000-000070560000}"/>
    <cellStyle name="Normal 2 5 5 6 3 2 2 2" xfId="48252" xr:uid="{00000000-0005-0000-0000-000071560000}"/>
    <cellStyle name="Normal 2 5 5 6 3 2 3" xfId="35819" xr:uid="{00000000-0005-0000-0000-000072560000}"/>
    <cellStyle name="Normal 2 5 5 6 3 3" xfId="18371" xr:uid="{00000000-0005-0000-0000-000073560000}"/>
    <cellStyle name="Normal 2 5 5 6 3 3 2" xfId="43245" xr:uid="{00000000-0005-0000-0000-000074560000}"/>
    <cellStyle name="Normal 2 5 5 6 3 4" xfId="30812" xr:uid="{00000000-0005-0000-0000-000075560000}"/>
    <cellStyle name="Normal 2 5 5 6 4" xfId="8646" xr:uid="{00000000-0005-0000-0000-000076560000}"/>
    <cellStyle name="Normal 2 5 5 6 4 2" xfId="21090" xr:uid="{00000000-0005-0000-0000-000077560000}"/>
    <cellStyle name="Normal 2 5 5 6 4 2 2" xfId="45964" xr:uid="{00000000-0005-0000-0000-000078560000}"/>
    <cellStyle name="Normal 2 5 5 6 4 3" xfId="33531" xr:uid="{00000000-0005-0000-0000-000079560000}"/>
    <cellStyle name="Normal 2 5 5 6 5" xfId="12389" xr:uid="{00000000-0005-0000-0000-00007A560000}"/>
    <cellStyle name="Normal 2 5 5 6 5 2" xfId="24823" xr:uid="{00000000-0005-0000-0000-00007B560000}"/>
    <cellStyle name="Normal 2 5 5 6 5 2 2" xfId="49697" xr:uid="{00000000-0005-0000-0000-00007C560000}"/>
    <cellStyle name="Normal 2 5 5 6 5 3" xfId="37264" xr:uid="{00000000-0005-0000-0000-00007D560000}"/>
    <cellStyle name="Normal 2 5 5 6 6" xfId="7123" xr:uid="{00000000-0005-0000-0000-00007E560000}"/>
    <cellStyle name="Normal 2 5 5 6 6 2" xfId="19572" xr:uid="{00000000-0005-0000-0000-00007F560000}"/>
    <cellStyle name="Normal 2 5 5 6 6 2 2" xfId="44446" xr:uid="{00000000-0005-0000-0000-000080560000}"/>
    <cellStyle name="Normal 2 5 5 6 6 3" xfId="32013" xr:uid="{00000000-0005-0000-0000-000081560000}"/>
    <cellStyle name="Normal 2 5 5 6 7" xfId="3577" xr:uid="{00000000-0005-0000-0000-000082560000}"/>
    <cellStyle name="Normal 2 5 5 6 7 2" xfId="16083" xr:uid="{00000000-0005-0000-0000-000083560000}"/>
    <cellStyle name="Normal 2 5 5 6 7 2 2" xfId="40957" xr:uid="{00000000-0005-0000-0000-000084560000}"/>
    <cellStyle name="Normal 2 5 5 6 7 3" xfId="28516" xr:uid="{00000000-0005-0000-0000-000085560000}"/>
    <cellStyle name="Normal 2 5 5 6 8" xfId="13382" xr:uid="{00000000-0005-0000-0000-000086560000}"/>
    <cellStyle name="Normal 2 5 5 6 8 2" xfId="38256" xr:uid="{00000000-0005-0000-0000-000087560000}"/>
    <cellStyle name="Normal 2 5 5 6 9" xfId="25815" xr:uid="{00000000-0005-0000-0000-000088560000}"/>
    <cellStyle name="Normal 2 5 5 7" xfId="2125" xr:uid="{00000000-0005-0000-0000-000089560000}"/>
    <cellStyle name="Normal 2 5 5 7 2" xfId="4764" xr:uid="{00000000-0005-0000-0000-00008A560000}"/>
    <cellStyle name="Normal 2 5 5 7 2 2" xfId="9781" xr:uid="{00000000-0005-0000-0000-00008B560000}"/>
    <cellStyle name="Normal 2 5 5 7 2 2 2" xfId="22224" xr:uid="{00000000-0005-0000-0000-00008C560000}"/>
    <cellStyle name="Normal 2 5 5 7 2 2 2 2" xfId="47098" xr:uid="{00000000-0005-0000-0000-00008D560000}"/>
    <cellStyle name="Normal 2 5 5 7 2 2 3" xfId="34665" xr:uid="{00000000-0005-0000-0000-00008E560000}"/>
    <cellStyle name="Normal 2 5 5 7 2 3" xfId="17217" xr:uid="{00000000-0005-0000-0000-00008F560000}"/>
    <cellStyle name="Normal 2 5 5 7 2 3 2" xfId="42091" xr:uid="{00000000-0005-0000-0000-000090560000}"/>
    <cellStyle name="Normal 2 5 5 7 2 4" xfId="29658" xr:uid="{00000000-0005-0000-0000-000091560000}"/>
    <cellStyle name="Normal 2 5 5 7 3" xfId="6162" xr:uid="{00000000-0005-0000-0000-000092560000}"/>
    <cellStyle name="Normal 2 5 5 7 3 2" xfId="11177" xr:uid="{00000000-0005-0000-0000-000093560000}"/>
    <cellStyle name="Normal 2 5 5 7 3 2 2" xfId="23620" xr:uid="{00000000-0005-0000-0000-000094560000}"/>
    <cellStyle name="Normal 2 5 5 7 3 2 2 2" xfId="48494" xr:uid="{00000000-0005-0000-0000-000095560000}"/>
    <cellStyle name="Normal 2 5 5 7 3 2 3" xfId="36061" xr:uid="{00000000-0005-0000-0000-000096560000}"/>
    <cellStyle name="Normal 2 5 5 7 3 3" xfId="18613" xr:uid="{00000000-0005-0000-0000-000097560000}"/>
    <cellStyle name="Normal 2 5 5 7 3 3 2" xfId="43487" xr:uid="{00000000-0005-0000-0000-000098560000}"/>
    <cellStyle name="Normal 2 5 5 7 3 4" xfId="31054" xr:uid="{00000000-0005-0000-0000-000099560000}"/>
    <cellStyle name="Normal 2 5 5 7 4" xfId="8027" xr:uid="{00000000-0005-0000-0000-00009A560000}"/>
    <cellStyle name="Normal 2 5 5 7 4 2" xfId="20473" xr:uid="{00000000-0005-0000-0000-00009B560000}"/>
    <cellStyle name="Normal 2 5 5 7 4 2 2" xfId="45347" xr:uid="{00000000-0005-0000-0000-00009C560000}"/>
    <cellStyle name="Normal 2 5 5 7 4 3" xfId="32914" xr:uid="{00000000-0005-0000-0000-00009D560000}"/>
    <cellStyle name="Normal 2 5 5 7 5" xfId="12631" xr:uid="{00000000-0005-0000-0000-00009E560000}"/>
    <cellStyle name="Normal 2 5 5 7 5 2" xfId="25065" xr:uid="{00000000-0005-0000-0000-00009F560000}"/>
    <cellStyle name="Normal 2 5 5 7 5 2 2" xfId="49939" xr:uid="{00000000-0005-0000-0000-0000A0560000}"/>
    <cellStyle name="Normal 2 5 5 7 5 3" xfId="37506" xr:uid="{00000000-0005-0000-0000-0000A1560000}"/>
    <cellStyle name="Normal 2 5 5 7 6" xfId="7375" xr:uid="{00000000-0005-0000-0000-0000A2560000}"/>
    <cellStyle name="Normal 2 5 5 7 6 2" xfId="19823" xr:uid="{00000000-0005-0000-0000-0000A3560000}"/>
    <cellStyle name="Normal 2 5 5 7 6 2 2" xfId="44697" xr:uid="{00000000-0005-0000-0000-0000A4560000}"/>
    <cellStyle name="Normal 2 5 5 7 6 3" xfId="32264" xr:uid="{00000000-0005-0000-0000-0000A5560000}"/>
    <cellStyle name="Normal 2 5 5 7 7" xfId="2954" xr:uid="{00000000-0005-0000-0000-0000A6560000}"/>
    <cellStyle name="Normal 2 5 5 7 7 2" xfId="15466" xr:uid="{00000000-0005-0000-0000-0000A7560000}"/>
    <cellStyle name="Normal 2 5 5 7 7 2 2" xfId="40340" xr:uid="{00000000-0005-0000-0000-0000A8560000}"/>
    <cellStyle name="Normal 2 5 5 7 7 3" xfId="27899" xr:uid="{00000000-0005-0000-0000-0000A9560000}"/>
    <cellStyle name="Normal 2 5 5 7 8" xfId="14816" xr:uid="{00000000-0005-0000-0000-0000AA560000}"/>
    <cellStyle name="Normal 2 5 5 7 8 2" xfId="39690" xr:uid="{00000000-0005-0000-0000-0000AB560000}"/>
    <cellStyle name="Normal 2 5 5 7 9" xfId="27249" xr:uid="{00000000-0005-0000-0000-0000AC560000}"/>
    <cellStyle name="Normal 2 5 5 8" xfId="973" xr:uid="{00000000-0005-0000-0000-0000AD560000}"/>
    <cellStyle name="Normal 2 5 5 8 2" xfId="11588" xr:uid="{00000000-0005-0000-0000-0000AE560000}"/>
    <cellStyle name="Normal 2 5 5 8 2 2" xfId="24022" xr:uid="{00000000-0005-0000-0000-0000AF560000}"/>
    <cellStyle name="Normal 2 5 5 8 2 2 2" xfId="48896" xr:uid="{00000000-0005-0000-0000-0000B0560000}"/>
    <cellStyle name="Normal 2 5 5 8 2 3" xfId="36463" xr:uid="{00000000-0005-0000-0000-0000B1560000}"/>
    <cellStyle name="Normal 2 5 5 8 3" xfId="8914" xr:uid="{00000000-0005-0000-0000-0000B2560000}"/>
    <cellStyle name="Normal 2 5 5 8 3 2" xfId="21357" xr:uid="{00000000-0005-0000-0000-0000B3560000}"/>
    <cellStyle name="Normal 2 5 5 8 3 2 2" xfId="46231" xr:uid="{00000000-0005-0000-0000-0000B4560000}"/>
    <cellStyle name="Normal 2 5 5 8 3 3" xfId="33798" xr:uid="{00000000-0005-0000-0000-0000B5560000}"/>
    <cellStyle name="Normal 2 5 5 8 4" xfId="3896" xr:uid="{00000000-0005-0000-0000-0000B6560000}"/>
    <cellStyle name="Normal 2 5 5 8 4 2" xfId="16350" xr:uid="{00000000-0005-0000-0000-0000B7560000}"/>
    <cellStyle name="Normal 2 5 5 8 4 2 2" xfId="41224" xr:uid="{00000000-0005-0000-0000-0000B8560000}"/>
    <cellStyle name="Normal 2 5 5 8 4 3" xfId="28791" xr:uid="{00000000-0005-0000-0000-0000B9560000}"/>
    <cellStyle name="Normal 2 5 5 8 5" xfId="13773" xr:uid="{00000000-0005-0000-0000-0000BA560000}"/>
    <cellStyle name="Normal 2 5 5 8 5 2" xfId="38647" xr:uid="{00000000-0005-0000-0000-0000BB560000}"/>
    <cellStyle name="Normal 2 5 5 8 6" xfId="26206" xr:uid="{00000000-0005-0000-0000-0000BC560000}"/>
    <cellStyle name="Normal 2 5 5 9" xfId="900" xr:uid="{00000000-0005-0000-0000-0000BD560000}"/>
    <cellStyle name="Normal 2 5 5 9 2" xfId="10132" xr:uid="{00000000-0005-0000-0000-0000BE560000}"/>
    <cellStyle name="Normal 2 5 5 9 2 2" xfId="22575" xr:uid="{00000000-0005-0000-0000-0000BF560000}"/>
    <cellStyle name="Normal 2 5 5 9 2 2 2" xfId="47449" xr:uid="{00000000-0005-0000-0000-0000C0560000}"/>
    <cellStyle name="Normal 2 5 5 9 2 3" xfId="35016" xr:uid="{00000000-0005-0000-0000-0000C1560000}"/>
    <cellStyle name="Normal 2 5 5 9 3" xfId="5116" xr:uid="{00000000-0005-0000-0000-0000C2560000}"/>
    <cellStyle name="Normal 2 5 5 9 3 2" xfId="17568" xr:uid="{00000000-0005-0000-0000-0000C3560000}"/>
    <cellStyle name="Normal 2 5 5 9 3 2 2" xfId="42442" xr:uid="{00000000-0005-0000-0000-0000C4560000}"/>
    <cellStyle name="Normal 2 5 5 9 3 3" xfId="30009" xr:uid="{00000000-0005-0000-0000-0000C5560000}"/>
    <cellStyle name="Normal 2 5 5 9 4" xfId="13700" xr:uid="{00000000-0005-0000-0000-0000C6560000}"/>
    <cellStyle name="Normal 2 5 5 9 4 2" xfId="38574" xr:uid="{00000000-0005-0000-0000-0000C7560000}"/>
    <cellStyle name="Normal 2 5 5 9 5" xfId="26133" xr:uid="{00000000-0005-0000-0000-0000C8560000}"/>
    <cellStyle name="Normal 2 5 5_Degree data" xfId="1991" xr:uid="{00000000-0005-0000-0000-0000C9560000}"/>
    <cellStyle name="Normal 2 5 6" xfId="162" xr:uid="{00000000-0005-0000-0000-0000CA560000}"/>
    <cellStyle name="Normal 2 5 6 10" xfId="6541" xr:uid="{00000000-0005-0000-0000-0000CB560000}"/>
    <cellStyle name="Normal 2 5 6 10 2" xfId="18990" xr:uid="{00000000-0005-0000-0000-0000CC560000}"/>
    <cellStyle name="Normal 2 5 6 10 2 2" xfId="43864" xr:uid="{00000000-0005-0000-0000-0000CD560000}"/>
    <cellStyle name="Normal 2 5 6 10 3" xfId="31431" xr:uid="{00000000-0005-0000-0000-0000CE560000}"/>
    <cellStyle name="Normal 2 5 6 11" xfId="2709" xr:uid="{00000000-0005-0000-0000-0000CF560000}"/>
    <cellStyle name="Normal 2 5 6 11 2" xfId="15227" xr:uid="{00000000-0005-0000-0000-0000D0560000}"/>
    <cellStyle name="Normal 2 5 6 11 2 2" xfId="40101" xr:uid="{00000000-0005-0000-0000-0000D1560000}"/>
    <cellStyle name="Normal 2 5 6 11 3" xfId="27660" xr:uid="{00000000-0005-0000-0000-0000D2560000}"/>
    <cellStyle name="Normal 2 5 6 12" xfId="12992" xr:uid="{00000000-0005-0000-0000-0000D3560000}"/>
    <cellStyle name="Normal 2 5 6 12 2" xfId="37866" xr:uid="{00000000-0005-0000-0000-0000D4560000}"/>
    <cellStyle name="Normal 2 5 6 13" xfId="25425" xr:uid="{00000000-0005-0000-0000-0000D5560000}"/>
    <cellStyle name="Normal 2 5 6 2" xfId="413" xr:uid="{00000000-0005-0000-0000-0000D6560000}"/>
    <cellStyle name="Normal 2 5 6 2 10" xfId="13228" xr:uid="{00000000-0005-0000-0000-0000D7560000}"/>
    <cellStyle name="Normal 2 5 6 2 10 2" xfId="38102" xr:uid="{00000000-0005-0000-0000-0000D8560000}"/>
    <cellStyle name="Normal 2 5 6 2 11" xfId="25661" xr:uid="{00000000-0005-0000-0000-0000D9560000}"/>
    <cellStyle name="Normal 2 5 6 2 2" xfId="773" xr:uid="{00000000-0005-0000-0000-0000DA560000}"/>
    <cellStyle name="Normal 2 5 6 2 2 2" xfId="1433" xr:uid="{00000000-0005-0000-0000-0000DB560000}"/>
    <cellStyle name="Normal 2 5 6 2 2 2 2" xfId="9537" xr:uid="{00000000-0005-0000-0000-0000DC560000}"/>
    <cellStyle name="Normal 2 5 6 2 2 2 2 2" xfId="21980" xr:uid="{00000000-0005-0000-0000-0000DD560000}"/>
    <cellStyle name="Normal 2 5 6 2 2 2 2 2 2" xfId="46854" xr:uid="{00000000-0005-0000-0000-0000DE560000}"/>
    <cellStyle name="Normal 2 5 6 2 2 2 2 3" xfId="34421" xr:uid="{00000000-0005-0000-0000-0000DF560000}"/>
    <cellStyle name="Normal 2 5 6 2 2 2 3" xfId="4519" xr:uid="{00000000-0005-0000-0000-0000E0560000}"/>
    <cellStyle name="Normal 2 5 6 2 2 2 3 2" xfId="16973" xr:uid="{00000000-0005-0000-0000-0000E1560000}"/>
    <cellStyle name="Normal 2 5 6 2 2 2 3 2 2" xfId="41847" xr:uid="{00000000-0005-0000-0000-0000E2560000}"/>
    <cellStyle name="Normal 2 5 6 2 2 2 3 3" xfId="29414" xr:uid="{00000000-0005-0000-0000-0000E3560000}"/>
    <cellStyle name="Normal 2 5 6 2 2 2 4" xfId="14233" xr:uid="{00000000-0005-0000-0000-0000E4560000}"/>
    <cellStyle name="Normal 2 5 6 2 2 2 4 2" xfId="39107" xr:uid="{00000000-0005-0000-0000-0000E5560000}"/>
    <cellStyle name="Normal 2 5 6 2 2 2 5" xfId="26666" xr:uid="{00000000-0005-0000-0000-0000E6560000}"/>
    <cellStyle name="Normal 2 5 6 2 2 3" xfId="5578" xr:uid="{00000000-0005-0000-0000-0000E7560000}"/>
    <cellStyle name="Normal 2 5 6 2 2 3 2" xfId="10594" xr:uid="{00000000-0005-0000-0000-0000E8560000}"/>
    <cellStyle name="Normal 2 5 6 2 2 3 2 2" xfId="23037" xr:uid="{00000000-0005-0000-0000-0000E9560000}"/>
    <cellStyle name="Normal 2 5 6 2 2 3 2 2 2" xfId="47911" xr:uid="{00000000-0005-0000-0000-0000EA560000}"/>
    <cellStyle name="Normal 2 5 6 2 2 3 2 3" xfId="35478" xr:uid="{00000000-0005-0000-0000-0000EB560000}"/>
    <cellStyle name="Normal 2 5 6 2 2 3 3" xfId="18030" xr:uid="{00000000-0005-0000-0000-0000EC560000}"/>
    <cellStyle name="Normal 2 5 6 2 2 3 3 2" xfId="42904" xr:uid="{00000000-0005-0000-0000-0000ED560000}"/>
    <cellStyle name="Normal 2 5 6 2 2 3 4" xfId="30471" xr:uid="{00000000-0005-0000-0000-0000EE560000}"/>
    <cellStyle name="Normal 2 5 6 2 2 4" xfId="8653" xr:uid="{00000000-0005-0000-0000-0000EF560000}"/>
    <cellStyle name="Normal 2 5 6 2 2 4 2" xfId="21097" xr:uid="{00000000-0005-0000-0000-0000F0560000}"/>
    <cellStyle name="Normal 2 5 6 2 2 4 2 2" xfId="45971" xr:uid="{00000000-0005-0000-0000-0000F1560000}"/>
    <cellStyle name="Normal 2 5 6 2 2 4 3" xfId="33538" xr:uid="{00000000-0005-0000-0000-0000F2560000}"/>
    <cellStyle name="Normal 2 5 6 2 2 5" xfId="12048" xr:uid="{00000000-0005-0000-0000-0000F3560000}"/>
    <cellStyle name="Normal 2 5 6 2 2 5 2" xfId="24482" xr:uid="{00000000-0005-0000-0000-0000F4560000}"/>
    <cellStyle name="Normal 2 5 6 2 2 5 2 2" xfId="49356" xr:uid="{00000000-0005-0000-0000-0000F5560000}"/>
    <cellStyle name="Normal 2 5 6 2 2 5 3" xfId="36923" xr:uid="{00000000-0005-0000-0000-0000F6560000}"/>
    <cellStyle name="Normal 2 5 6 2 2 6" xfId="7130" xr:uid="{00000000-0005-0000-0000-0000F7560000}"/>
    <cellStyle name="Normal 2 5 6 2 2 6 2" xfId="19579" xr:uid="{00000000-0005-0000-0000-0000F8560000}"/>
    <cellStyle name="Normal 2 5 6 2 2 6 2 2" xfId="44453" xr:uid="{00000000-0005-0000-0000-0000F9560000}"/>
    <cellStyle name="Normal 2 5 6 2 2 6 3" xfId="32020" xr:uid="{00000000-0005-0000-0000-0000FA560000}"/>
    <cellStyle name="Normal 2 5 6 2 2 7" xfId="3584" xr:uid="{00000000-0005-0000-0000-0000FB560000}"/>
    <cellStyle name="Normal 2 5 6 2 2 7 2" xfId="16090" xr:uid="{00000000-0005-0000-0000-0000FC560000}"/>
    <cellStyle name="Normal 2 5 6 2 2 7 2 2" xfId="40964" xr:uid="{00000000-0005-0000-0000-0000FD560000}"/>
    <cellStyle name="Normal 2 5 6 2 2 7 3" xfId="28523" xr:uid="{00000000-0005-0000-0000-0000FE560000}"/>
    <cellStyle name="Normal 2 5 6 2 2 8" xfId="13575" xr:uid="{00000000-0005-0000-0000-0000FF560000}"/>
    <cellStyle name="Normal 2 5 6 2 2 8 2" xfId="38449" xr:uid="{00000000-0005-0000-0000-000000570000}"/>
    <cellStyle name="Normal 2 5 6 2 2 9" xfId="26008" xr:uid="{00000000-0005-0000-0000-000001570000}"/>
    <cellStyle name="Normal 2 5 6 2 3" xfId="1781" xr:uid="{00000000-0005-0000-0000-000002570000}"/>
    <cellStyle name="Normal 2 5 6 2 3 2" xfId="4957" xr:uid="{00000000-0005-0000-0000-000003570000}"/>
    <cellStyle name="Normal 2 5 6 2 3 2 2" xfId="9974" xr:uid="{00000000-0005-0000-0000-000004570000}"/>
    <cellStyle name="Normal 2 5 6 2 3 2 2 2" xfId="22417" xr:uid="{00000000-0005-0000-0000-000005570000}"/>
    <cellStyle name="Normal 2 5 6 2 3 2 2 2 2" xfId="47291" xr:uid="{00000000-0005-0000-0000-000006570000}"/>
    <cellStyle name="Normal 2 5 6 2 3 2 2 3" xfId="34858" xr:uid="{00000000-0005-0000-0000-000007570000}"/>
    <cellStyle name="Normal 2 5 6 2 3 2 3" xfId="17410" xr:uid="{00000000-0005-0000-0000-000008570000}"/>
    <cellStyle name="Normal 2 5 6 2 3 2 3 2" xfId="42284" xr:uid="{00000000-0005-0000-0000-000009570000}"/>
    <cellStyle name="Normal 2 5 6 2 3 2 4" xfId="29851" xr:uid="{00000000-0005-0000-0000-00000A570000}"/>
    <cellStyle name="Normal 2 5 6 2 3 3" xfId="5927" xr:uid="{00000000-0005-0000-0000-00000B570000}"/>
    <cellStyle name="Normal 2 5 6 2 3 3 2" xfId="10942" xr:uid="{00000000-0005-0000-0000-00000C570000}"/>
    <cellStyle name="Normal 2 5 6 2 3 3 2 2" xfId="23385" xr:uid="{00000000-0005-0000-0000-00000D570000}"/>
    <cellStyle name="Normal 2 5 6 2 3 3 2 2 2" xfId="48259" xr:uid="{00000000-0005-0000-0000-00000E570000}"/>
    <cellStyle name="Normal 2 5 6 2 3 3 2 3" xfId="35826" xr:uid="{00000000-0005-0000-0000-00000F570000}"/>
    <cellStyle name="Normal 2 5 6 2 3 3 3" xfId="18378" xr:uid="{00000000-0005-0000-0000-000010570000}"/>
    <cellStyle name="Normal 2 5 6 2 3 3 3 2" xfId="43252" xr:uid="{00000000-0005-0000-0000-000011570000}"/>
    <cellStyle name="Normal 2 5 6 2 3 3 4" xfId="30819" xr:uid="{00000000-0005-0000-0000-000012570000}"/>
    <cellStyle name="Normal 2 5 6 2 3 4" xfId="8381" xr:uid="{00000000-0005-0000-0000-000013570000}"/>
    <cellStyle name="Normal 2 5 6 2 3 4 2" xfId="20825" xr:uid="{00000000-0005-0000-0000-000014570000}"/>
    <cellStyle name="Normal 2 5 6 2 3 4 2 2" xfId="45699" xr:uid="{00000000-0005-0000-0000-000015570000}"/>
    <cellStyle name="Normal 2 5 6 2 3 4 3" xfId="33266" xr:uid="{00000000-0005-0000-0000-000016570000}"/>
    <cellStyle name="Normal 2 5 6 2 3 5" xfId="12396" xr:uid="{00000000-0005-0000-0000-000017570000}"/>
    <cellStyle name="Normal 2 5 6 2 3 5 2" xfId="24830" xr:uid="{00000000-0005-0000-0000-000018570000}"/>
    <cellStyle name="Normal 2 5 6 2 3 5 2 2" xfId="49704" xr:uid="{00000000-0005-0000-0000-000019570000}"/>
    <cellStyle name="Normal 2 5 6 2 3 5 3" xfId="37271" xr:uid="{00000000-0005-0000-0000-00001A570000}"/>
    <cellStyle name="Normal 2 5 6 2 3 6" xfId="7568" xr:uid="{00000000-0005-0000-0000-00001B570000}"/>
    <cellStyle name="Normal 2 5 6 2 3 6 2" xfId="20016" xr:uid="{00000000-0005-0000-0000-00001C570000}"/>
    <cellStyle name="Normal 2 5 6 2 3 6 2 2" xfId="44890" xr:uid="{00000000-0005-0000-0000-00001D570000}"/>
    <cellStyle name="Normal 2 5 6 2 3 6 3" xfId="32457" xr:uid="{00000000-0005-0000-0000-00001E570000}"/>
    <cellStyle name="Normal 2 5 6 2 3 7" xfId="3312" xr:uid="{00000000-0005-0000-0000-00001F570000}"/>
    <cellStyle name="Normal 2 5 6 2 3 7 2" xfId="15818" xr:uid="{00000000-0005-0000-0000-000020570000}"/>
    <cellStyle name="Normal 2 5 6 2 3 7 2 2" xfId="40692" xr:uid="{00000000-0005-0000-0000-000021570000}"/>
    <cellStyle name="Normal 2 5 6 2 3 7 3" xfId="28251" xr:uid="{00000000-0005-0000-0000-000022570000}"/>
    <cellStyle name="Normal 2 5 6 2 3 8" xfId="14581" xr:uid="{00000000-0005-0000-0000-000023570000}"/>
    <cellStyle name="Normal 2 5 6 2 3 8 2" xfId="39455" xr:uid="{00000000-0005-0000-0000-000024570000}"/>
    <cellStyle name="Normal 2 5 6 2 3 9" xfId="27014" xr:uid="{00000000-0005-0000-0000-000025570000}"/>
    <cellStyle name="Normal 2 5 6 2 4" xfId="2331" xr:uid="{00000000-0005-0000-0000-000026570000}"/>
    <cellStyle name="Normal 2 5 6 2 4 2" xfId="6355" xr:uid="{00000000-0005-0000-0000-000027570000}"/>
    <cellStyle name="Normal 2 5 6 2 4 2 2" xfId="11370" xr:uid="{00000000-0005-0000-0000-000028570000}"/>
    <cellStyle name="Normal 2 5 6 2 4 2 2 2" xfId="23813" xr:uid="{00000000-0005-0000-0000-000029570000}"/>
    <cellStyle name="Normal 2 5 6 2 4 2 2 2 2" xfId="48687" xr:uid="{00000000-0005-0000-0000-00002A570000}"/>
    <cellStyle name="Normal 2 5 6 2 4 2 2 3" xfId="36254" xr:uid="{00000000-0005-0000-0000-00002B570000}"/>
    <cellStyle name="Normal 2 5 6 2 4 2 3" xfId="18806" xr:uid="{00000000-0005-0000-0000-00002C570000}"/>
    <cellStyle name="Normal 2 5 6 2 4 2 3 2" xfId="43680" xr:uid="{00000000-0005-0000-0000-00002D570000}"/>
    <cellStyle name="Normal 2 5 6 2 4 2 4" xfId="31247" xr:uid="{00000000-0005-0000-0000-00002E570000}"/>
    <cellStyle name="Normal 2 5 6 2 4 3" xfId="12824" xr:uid="{00000000-0005-0000-0000-00002F570000}"/>
    <cellStyle name="Normal 2 5 6 2 4 3 2" xfId="25258" xr:uid="{00000000-0005-0000-0000-000030570000}"/>
    <cellStyle name="Normal 2 5 6 2 4 3 2 2" xfId="50132" xr:uid="{00000000-0005-0000-0000-000031570000}"/>
    <cellStyle name="Normal 2 5 6 2 4 3 3" xfId="37699" xr:uid="{00000000-0005-0000-0000-000032570000}"/>
    <cellStyle name="Normal 2 5 6 2 4 4" xfId="9265" xr:uid="{00000000-0005-0000-0000-000033570000}"/>
    <cellStyle name="Normal 2 5 6 2 4 4 2" xfId="21708" xr:uid="{00000000-0005-0000-0000-000034570000}"/>
    <cellStyle name="Normal 2 5 6 2 4 4 2 2" xfId="46582" xr:uid="{00000000-0005-0000-0000-000035570000}"/>
    <cellStyle name="Normal 2 5 6 2 4 4 3" xfId="34149" xr:uid="{00000000-0005-0000-0000-000036570000}"/>
    <cellStyle name="Normal 2 5 6 2 4 5" xfId="4247" xr:uid="{00000000-0005-0000-0000-000037570000}"/>
    <cellStyle name="Normal 2 5 6 2 4 5 2" xfId="16701" xr:uid="{00000000-0005-0000-0000-000038570000}"/>
    <cellStyle name="Normal 2 5 6 2 4 5 2 2" xfId="41575" xr:uid="{00000000-0005-0000-0000-000039570000}"/>
    <cellStyle name="Normal 2 5 6 2 4 5 3" xfId="29142" xr:uid="{00000000-0005-0000-0000-00003A570000}"/>
    <cellStyle name="Normal 2 5 6 2 4 6" xfId="15009" xr:uid="{00000000-0005-0000-0000-00003B570000}"/>
    <cellStyle name="Normal 2 5 6 2 4 6 2" xfId="39883" xr:uid="{00000000-0005-0000-0000-00003C570000}"/>
    <cellStyle name="Normal 2 5 6 2 4 7" xfId="27442" xr:uid="{00000000-0005-0000-0000-00003D570000}"/>
    <cellStyle name="Normal 2 5 6 2 5" xfId="1166" xr:uid="{00000000-0005-0000-0000-00003E570000}"/>
    <cellStyle name="Normal 2 5 6 2 5 2" xfId="10327" xr:uid="{00000000-0005-0000-0000-00003F570000}"/>
    <cellStyle name="Normal 2 5 6 2 5 2 2" xfId="22770" xr:uid="{00000000-0005-0000-0000-000040570000}"/>
    <cellStyle name="Normal 2 5 6 2 5 2 2 2" xfId="47644" xr:uid="{00000000-0005-0000-0000-000041570000}"/>
    <cellStyle name="Normal 2 5 6 2 5 2 3" xfId="35211" xr:uid="{00000000-0005-0000-0000-000042570000}"/>
    <cellStyle name="Normal 2 5 6 2 5 3" xfId="5311" xr:uid="{00000000-0005-0000-0000-000043570000}"/>
    <cellStyle name="Normal 2 5 6 2 5 3 2" xfId="17763" xr:uid="{00000000-0005-0000-0000-000044570000}"/>
    <cellStyle name="Normal 2 5 6 2 5 3 2 2" xfId="42637" xr:uid="{00000000-0005-0000-0000-000045570000}"/>
    <cellStyle name="Normal 2 5 6 2 5 3 3" xfId="30204" xr:uid="{00000000-0005-0000-0000-000046570000}"/>
    <cellStyle name="Normal 2 5 6 2 5 4" xfId="13966" xr:uid="{00000000-0005-0000-0000-000047570000}"/>
    <cellStyle name="Normal 2 5 6 2 5 4 2" xfId="38840" xr:uid="{00000000-0005-0000-0000-000048570000}"/>
    <cellStyle name="Normal 2 5 6 2 5 5" xfId="26399" xr:uid="{00000000-0005-0000-0000-000049570000}"/>
    <cellStyle name="Normal 2 5 6 2 6" xfId="7888" xr:uid="{00000000-0005-0000-0000-00004A570000}"/>
    <cellStyle name="Normal 2 5 6 2 6 2" xfId="20334" xr:uid="{00000000-0005-0000-0000-00004B570000}"/>
    <cellStyle name="Normal 2 5 6 2 6 2 2" xfId="45208" xr:uid="{00000000-0005-0000-0000-00004C570000}"/>
    <cellStyle name="Normal 2 5 6 2 6 3" xfId="32775" xr:uid="{00000000-0005-0000-0000-00004D570000}"/>
    <cellStyle name="Normal 2 5 6 2 7" xfId="11781" xr:uid="{00000000-0005-0000-0000-00004E570000}"/>
    <cellStyle name="Normal 2 5 6 2 7 2" xfId="24215" xr:uid="{00000000-0005-0000-0000-00004F570000}"/>
    <cellStyle name="Normal 2 5 6 2 7 2 2" xfId="49089" xr:uid="{00000000-0005-0000-0000-000050570000}"/>
    <cellStyle name="Normal 2 5 6 2 7 3" xfId="36656" xr:uid="{00000000-0005-0000-0000-000051570000}"/>
    <cellStyle name="Normal 2 5 6 2 8" xfId="6858" xr:uid="{00000000-0005-0000-0000-000052570000}"/>
    <cellStyle name="Normal 2 5 6 2 8 2" xfId="19307" xr:uid="{00000000-0005-0000-0000-000053570000}"/>
    <cellStyle name="Normal 2 5 6 2 8 2 2" xfId="44181" xr:uid="{00000000-0005-0000-0000-000054570000}"/>
    <cellStyle name="Normal 2 5 6 2 8 3" xfId="31748" xr:uid="{00000000-0005-0000-0000-000055570000}"/>
    <cellStyle name="Normal 2 5 6 2 9" xfId="2809" xr:uid="{00000000-0005-0000-0000-000056570000}"/>
    <cellStyle name="Normal 2 5 6 2 9 2" xfId="15327" xr:uid="{00000000-0005-0000-0000-000057570000}"/>
    <cellStyle name="Normal 2 5 6 2 9 2 2" xfId="40201" xr:uid="{00000000-0005-0000-0000-000058570000}"/>
    <cellStyle name="Normal 2 5 6 2 9 3" xfId="27760" xr:uid="{00000000-0005-0000-0000-000059570000}"/>
    <cellStyle name="Normal 2 5 6 2_Degree data" xfId="2070" xr:uid="{00000000-0005-0000-0000-00005A570000}"/>
    <cellStyle name="Normal 2 5 6 3" xfId="311" xr:uid="{00000000-0005-0000-0000-00005B570000}"/>
    <cellStyle name="Normal 2 5 6 3 2" xfId="1432" xr:uid="{00000000-0005-0000-0000-00005C570000}"/>
    <cellStyle name="Normal 2 5 6 3 2 2" xfId="9165" xr:uid="{00000000-0005-0000-0000-00005D570000}"/>
    <cellStyle name="Normal 2 5 6 3 2 2 2" xfId="21608" xr:uid="{00000000-0005-0000-0000-00005E570000}"/>
    <cellStyle name="Normal 2 5 6 3 2 2 2 2" xfId="46482" xr:uid="{00000000-0005-0000-0000-00005F570000}"/>
    <cellStyle name="Normal 2 5 6 3 2 2 3" xfId="34049" xr:uid="{00000000-0005-0000-0000-000060570000}"/>
    <cellStyle name="Normal 2 5 6 3 2 3" xfId="4147" xr:uid="{00000000-0005-0000-0000-000061570000}"/>
    <cellStyle name="Normal 2 5 6 3 2 3 2" xfId="16601" xr:uid="{00000000-0005-0000-0000-000062570000}"/>
    <cellStyle name="Normal 2 5 6 3 2 3 2 2" xfId="41475" xr:uid="{00000000-0005-0000-0000-000063570000}"/>
    <cellStyle name="Normal 2 5 6 3 2 3 3" xfId="29042" xr:uid="{00000000-0005-0000-0000-000064570000}"/>
    <cellStyle name="Normal 2 5 6 3 2 4" xfId="14232" xr:uid="{00000000-0005-0000-0000-000065570000}"/>
    <cellStyle name="Normal 2 5 6 3 2 4 2" xfId="39106" xr:uid="{00000000-0005-0000-0000-000066570000}"/>
    <cellStyle name="Normal 2 5 6 3 2 5" xfId="26665" xr:uid="{00000000-0005-0000-0000-000067570000}"/>
    <cellStyle name="Normal 2 5 6 3 3" xfId="5577" xr:uid="{00000000-0005-0000-0000-000068570000}"/>
    <cellStyle name="Normal 2 5 6 3 3 2" xfId="10593" xr:uid="{00000000-0005-0000-0000-000069570000}"/>
    <cellStyle name="Normal 2 5 6 3 3 2 2" xfId="23036" xr:uid="{00000000-0005-0000-0000-00006A570000}"/>
    <cellStyle name="Normal 2 5 6 3 3 2 2 2" xfId="47910" xr:uid="{00000000-0005-0000-0000-00006B570000}"/>
    <cellStyle name="Normal 2 5 6 3 3 2 3" xfId="35477" xr:uid="{00000000-0005-0000-0000-00006C570000}"/>
    <cellStyle name="Normal 2 5 6 3 3 3" xfId="18029" xr:uid="{00000000-0005-0000-0000-00006D570000}"/>
    <cellStyle name="Normal 2 5 6 3 3 3 2" xfId="42903" xr:uid="{00000000-0005-0000-0000-00006E570000}"/>
    <cellStyle name="Normal 2 5 6 3 3 4" xfId="30470" xr:uid="{00000000-0005-0000-0000-00006F570000}"/>
    <cellStyle name="Normal 2 5 6 3 4" xfId="8281" xr:uid="{00000000-0005-0000-0000-000070570000}"/>
    <cellStyle name="Normal 2 5 6 3 4 2" xfId="20725" xr:uid="{00000000-0005-0000-0000-000071570000}"/>
    <cellStyle name="Normal 2 5 6 3 4 2 2" xfId="45599" xr:uid="{00000000-0005-0000-0000-000072570000}"/>
    <cellStyle name="Normal 2 5 6 3 4 3" xfId="33166" xr:uid="{00000000-0005-0000-0000-000073570000}"/>
    <cellStyle name="Normal 2 5 6 3 5" xfId="12047" xr:uid="{00000000-0005-0000-0000-000074570000}"/>
    <cellStyle name="Normal 2 5 6 3 5 2" xfId="24481" xr:uid="{00000000-0005-0000-0000-000075570000}"/>
    <cellStyle name="Normal 2 5 6 3 5 2 2" xfId="49355" xr:uid="{00000000-0005-0000-0000-000076570000}"/>
    <cellStyle name="Normal 2 5 6 3 5 3" xfId="36922" xr:uid="{00000000-0005-0000-0000-000077570000}"/>
    <cellStyle name="Normal 2 5 6 3 6" xfId="6758" xr:uid="{00000000-0005-0000-0000-000078570000}"/>
    <cellStyle name="Normal 2 5 6 3 6 2" xfId="19207" xr:uid="{00000000-0005-0000-0000-000079570000}"/>
    <cellStyle name="Normal 2 5 6 3 6 2 2" xfId="44081" xr:uid="{00000000-0005-0000-0000-00007A570000}"/>
    <cellStyle name="Normal 2 5 6 3 6 3" xfId="31648" xr:uid="{00000000-0005-0000-0000-00007B570000}"/>
    <cellStyle name="Normal 2 5 6 3 7" xfId="3212" xr:uid="{00000000-0005-0000-0000-00007C570000}"/>
    <cellStyle name="Normal 2 5 6 3 7 2" xfId="15718" xr:uid="{00000000-0005-0000-0000-00007D570000}"/>
    <cellStyle name="Normal 2 5 6 3 7 2 2" xfId="40592" xr:uid="{00000000-0005-0000-0000-00007E570000}"/>
    <cellStyle name="Normal 2 5 6 3 7 3" xfId="28151" xr:uid="{00000000-0005-0000-0000-00007F570000}"/>
    <cellStyle name="Normal 2 5 6 3 8" xfId="13128" xr:uid="{00000000-0005-0000-0000-000080570000}"/>
    <cellStyle name="Normal 2 5 6 3 8 2" xfId="38002" xr:uid="{00000000-0005-0000-0000-000081570000}"/>
    <cellStyle name="Normal 2 5 6 3 9" xfId="25561" xr:uid="{00000000-0005-0000-0000-000082570000}"/>
    <cellStyle name="Normal 2 5 6 4" xfId="672" xr:uid="{00000000-0005-0000-0000-000083570000}"/>
    <cellStyle name="Normal 2 5 6 4 2" xfId="1780" xr:uid="{00000000-0005-0000-0000-000084570000}"/>
    <cellStyle name="Normal 2 5 6 4 2 2" xfId="9536" xr:uid="{00000000-0005-0000-0000-000085570000}"/>
    <cellStyle name="Normal 2 5 6 4 2 2 2" xfId="21979" xr:uid="{00000000-0005-0000-0000-000086570000}"/>
    <cellStyle name="Normal 2 5 6 4 2 2 2 2" xfId="46853" xr:uid="{00000000-0005-0000-0000-000087570000}"/>
    <cellStyle name="Normal 2 5 6 4 2 2 3" xfId="34420" xr:uid="{00000000-0005-0000-0000-000088570000}"/>
    <cellStyle name="Normal 2 5 6 4 2 3" xfId="4518" xr:uid="{00000000-0005-0000-0000-000089570000}"/>
    <cellStyle name="Normal 2 5 6 4 2 3 2" xfId="16972" xr:uid="{00000000-0005-0000-0000-00008A570000}"/>
    <cellStyle name="Normal 2 5 6 4 2 3 2 2" xfId="41846" xr:uid="{00000000-0005-0000-0000-00008B570000}"/>
    <cellStyle name="Normal 2 5 6 4 2 3 3" xfId="29413" xr:uid="{00000000-0005-0000-0000-00008C570000}"/>
    <cellStyle name="Normal 2 5 6 4 2 4" xfId="14580" xr:uid="{00000000-0005-0000-0000-00008D570000}"/>
    <cellStyle name="Normal 2 5 6 4 2 4 2" xfId="39454" xr:uid="{00000000-0005-0000-0000-00008E570000}"/>
    <cellStyle name="Normal 2 5 6 4 2 5" xfId="27013" xr:uid="{00000000-0005-0000-0000-00008F570000}"/>
    <cellStyle name="Normal 2 5 6 4 3" xfId="5926" xr:uid="{00000000-0005-0000-0000-000090570000}"/>
    <cellStyle name="Normal 2 5 6 4 3 2" xfId="10941" xr:uid="{00000000-0005-0000-0000-000091570000}"/>
    <cellStyle name="Normal 2 5 6 4 3 2 2" xfId="23384" xr:uid="{00000000-0005-0000-0000-000092570000}"/>
    <cellStyle name="Normal 2 5 6 4 3 2 2 2" xfId="48258" xr:uid="{00000000-0005-0000-0000-000093570000}"/>
    <cellStyle name="Normal 2 5 6 4 3 2 3" xfId="35825" xr:uid="{00000000-0005-0000-0000-000094570000}"/>
    <cellStyle name="Normal 2 5 6 4 3 3" xfId="18377" xr:uid="{00000000-0005-0000-0000-000095570000}"/>
    <cellStyle name="Normal 2 5 6 4 3 3 2" xfId="43251" xr:uid="{00000000-0005-0000-0000-000096570000}"/>
    <cellStyle name="Normal 2 5 6 4 3 4" xfId="30818" xr:uid="{00000000-0005-0000-0000-000097570000}"/>
    <cellStyle name="Normal 2 5 6 4 4" xfId="8652" xr:uid="{00000000-0005-0000-0000-000098570000}"/>
    <cellStyle name="Normal 2 5 6 4 4 2" xfId="21096" xr:uid="{00000000-0005-0000-0000-000099570000}"/>
    <cellStyle name="Normal 2 5 6 4 4 2 2" xfId="45970" xr:uid="{00000000-0005-0000-0000-00009A570000}"/>
    <cellStyle name="Normal 2 5 6 4 4 3" xfId="33537" xr:uid="{00000000-0005-0000-0000-00009B570000}"/>
    <cellStyle name="Normal 2 5 6 4 5" xfId="12395" xr:uid="{00000000-0005-0000-0000-00009C570000}"/>
    <cellStyle name="Normal 2 5 6 4 5 2" xfId="24829" xr:uid="{00000000-0005-0000-0000-00009D570000}"/>
    <cellStyle name="Normal 2 5 6 4 5 2 2" xfId="49703" xr:uid="{00000000-0005-0000-0000-00009E570000}"/>
    <cellStyle name="Normal 2 5 6 4 5 3" xfId="37270" xr:uid="{00000000-0005-0000-0000-00009F570000}"/>
    <cellStyle name="Normal 2 5 6 4 6" xfId="7129" xr:uid="{00000000-0005-0000-0000-0000A0570000}"/>
    <cellStyle name="Normal 2 5 6 4 6 2" xfId="19578" xr:uid="{00000000-0005-0000-0000-0000A1570000}"/>
    <cellStyle name="Normal 2 5 6 4 6 2 2" xfId="44452" xr:uid="{00000000-0005-0000-0000-0000A2570000}"/>
    <cellStyle name="Normal 2 5 6 4 6 3" xfId="32019" xr:uid="{00000000-0005-0000-0000-0000A3570000}"/>
    <cellStyle name="Normal 2 5 6 4 7" xfId="3583" xr:uid="{00000000-0005-0000-0000-0000A4570000}"/>
    <cellStyle name="Normal 2 5 6 4 7 2" xfId="16089" xr:uid="{00000000-0005-0000-0000-0000A5570000}"/>
    <cellStyle name="Normal 2 5 6 4 7 2 2" xfId="40963" xr:uid="{00000000-0005-0000-0000-0000A6570000}"/>
    <cellStyle name="Normal 2 5 6 4 7 3" xfId="28522" xr:uid="{00000000-0005-0000-0000-0000A7570000}"/>
    <cellStyle name="Normal 2 5 6 4 8" xfId="13475" xr:uid="{00000000-0005-0000-0000-0000A8570000}"/>
    <cellStyle name="Normal 2 5 6 4 8 2" xfId="38349" xr:uid="{00000000-0005-0000-0000-0000A9570000}"/>
    <cellStyle name="Normal 2 5 6 4 9" xfId="25908" xr:uid="{00000000-0005-0000-0000-0000AA570000}"/>
    <cellStyle name="Normal 2 5 6 5" xfId="2229" xr:uid="{00000000-0005-0000-0000-0000AB570000}"/>
    <cellStyle name="Normal 2 5 6 5 2" xfId="4857" xr:uid="{00000000-0005-0000-0000-0000AC570000}"/>
    <cellStyle name="Normal 2 5 6 5 2 2" xfId="9874" xr:uid="{00000000-0005-0000-0000-0000AD570000}"/>
    <cellStyle name="Normal 2 5 6 5 2 2 2" xfId="22317" xr:uid="{00000000-0005-0000-0000-0000AE570000}"/>
    <cellStyle name="Normal 2 5 6 5 2 2 2 2" xfId="47191" xr:uid="{00000000-0005-0000-0000-0000AF570000}"/>
    <cellStyle name="Normal 2 5 6 5 2 2 3" xfId="34758" xr:uid="{00000000-0005-0000-0000-0000B0570000}"/>
    <cellStyle name="Normal 2 5 6 5 2 3" xfId="17310" xr:uid="{00000000-0005-0000-0000-0000B1570000}"/>
    <cellStyle name="Normal 2 5 6 5 2 3 2" xfId="42184" xr:uid="{00000000-0005-0000-0000-0000B2570000}"/>
    <cellStyle name="Normal 2 5 6 5 2 4" xfId="29751" xr:uid="{00000000-0005-0000-0000-0000B3570000}"/>
    <cellStyle name="Normal 2 5 6 5 3" xfId="6255" xr:uid="{00000000-0005-0000-0000-0000B4570000}"/>
    <cellStyle name="Normal 2 5 6 5 3 2" xfId="11270" xr:uid="{00000000-0005-0000-0000-0000B5570000}"/>
    <cellStyle name="Normal 2 5 6 5 3 2 2" xfId="23713" xr:uid="{00000000-0005-0000-0000-0000B6570000}"/>
    <cellStyle name="Normal 2 5 6 5 3 2 2 2" xfId="48587" xr:uid="{00000000-0005-0000-0000-0000B7570000}"/>
    <cellStyle name="Normal 2 5 6 5 3 2 3" xfId="36154" xr:uid="{00000000-0005-0000-0000-0000B8570000}"/>
    <cellStyle name="Normal 2 5 6 5 3 3" xfId="18706" xr:uid="{00000000-0005-0000-0000-0000B9570000}"/>
    <cellStyle name="Normal 2 5 6 5 3 3 2" xfId="43580" xr:uid="{00000000-0005-0000-0000-0000BA570000}"/>
    <cellStyle name="Normal 2 5 6 5 3 4" xfId="31147" xr:uid="{00000000-0005-0000-0000-0000BB570000}"/>
    <cellStyle name="Normal 2 5 6 5 4" xfId="8062" xr:uid="{00000000-0005-0000-0000-0000BC570000}"/>
    <cellStyle name="Normal 2 5 6 5 4 2" xfId="20508" xr:uid="{00000000-0005-0000-0000-0000BD570000}"/>
    <cellStyle name="Normal 2 5 6 5 4 2 2" xfId="45382" xr:uid="{00000000-0005-0000-0000-0000BE570000}"/>
    <cellStyle name="Normal 2 5 6 5 4 3" xfId="32949" xr:uid="{00000000-0005-0000-0000-0000BF570000}"/>
    <cellStyle name="Normal 2 5 6 5 5" xfId="12724" xr:uid="{00000000-0005-0000-0000-0000C0570000}"/>
    <cellStyle name="Normal 2 5 6 5 5 2" xfId="25158" xr:uid="{00000000-0005-0000-0000-0000C1570000}"/>
    <cellStyle name="Normal 2 5 6 5 5 2 2" xfId="50032" xr:uid="{00000000-0005-0000-0000-0000C2570000}"/>
    <cellStyle name="Normal 2 5 6 5 5 3" xfId="37599" xr:uid="{00000000-0005-0000-0000-0000C3570000}"/>
    <cellStyle name="Normal 2 5 6 5 6" xfId="7468" xr:uid="{00000000-0005-0000-0000-0000C4570000}"/>
    <cellStyle name="Normal 2 5 6 5 6 2" xfId="19916" xr:uid="{00000000-0005-0000-0000-0000C5570000}"/>
    <cellStyle name="Normal 2 5 6 5 6 2 2" xfId="44790" xr:uid="{00000000-0005-0000-0000-0000C6570000}"/>
    <cellStyle name="Normal 2 5 6 5 6 3" xfId="32357" xr:uid="{00000000-0005-0000-0000-0000C7570000}"/>
    <cellStyle name="Normal 2 5 6 5 7" xfId="2991" xr:uid="{00000000-0005-0000-0000-0000C8570000}"/>
    <cellStyle name="Normal 2 5 6 5 7 2" xfId="15501" xr:uid="{00000000-0005-0000-0000-0000C9570000}"/>
    <cellStyle name="Normal 2 5 6 5 7 2 2" xfId="40375" xr:uid="{00000000-0005-0000-0000-0000CA570000}"/>
    <cellStyle name="Normal 2 5 6 5 7 3" xfId="27934" xr:uid="{00000000-0005-0000-0000-0000CB570000}"/>
    <cellStyle name="Normal 2 5 6 5 8" xfId="14909" xr:uid="{00000000-0005-0000-0000-0000CC570000}"/>
    <cellStyle name="Normal 2 5 6 5 8 2" xfId="39783" xr:uid="{00000000-0005-0000-0000-0000CD570000}"/>
    <cellStyle name="Normal 2 5 6 5 9" xfId="27342" xr:uid="{00000000-0005-0000-0000-0000CE570000}"/>
    <cellStyle name="Normal 2 5 6 6" xfId="1066" xr:uid="{00000000-0005-0000-0000-0000CF570000}"/>
    <cellStyle name="Normal 2 5 6 6 2" xfId="8948" xr:uid="{00000000-0005-0000-0000-0000D0570000}"/>
    <cellStyle name="Normal 2 5 6 6 2 2" xfId="21391" xr:uid="{00000000-0005-0000-0000-0000D1570000}"/>
    <cellStyle name="Normal 2 5 6 6 2 2 2" xfId="46265" xr:uid="{00000000-0005-0000-0000-0000D2570000}"/>
    <cellStyle name="Normal 2 5 6 6 2 3" xfId="33832" xr:uid="{00000000-0005-0000-0000-0000D3570000}"/>
    <cellStyle name="Normal 2 5 6 6 3" xfId="3930" xr:uid="{00000000-0005-0000-0000-0000D4570000}"/>
    <cellStyle name="Normal 2 5 6 6 3 2" xfId="16384" xr:uid="{00000000-0005-0000-0000-0000D5570000}"/>
    <cellStyle name="Normal 2 5 6 6 3 2 2" xfId="41258" xr:uid="{00000000-0005-0000-0000-0000D6570000}"/>
    <cellStyle name="Normal 2 5 6 6 3 3" xfId="28825" xr:uid="{00000000-0005-0000-0000-0000D7570000}"/>
    <cellStyle name="Normal 2 5 6 6 4" xfId="13866" xr:uid="{00000000-0005-0000-0000-0000D8570000}"/>
    <cellStyle name="Normal 2 5 6 6 4 2" xfId="38740" xr:uid="{00000000-0005-0000-0000-0000D9570000}"/>
    <cellStyle name="Normal 2 5 6 6 5" xfId="26299" xr:uid="{00000000-0005-0000-0000-0000DA570000}"/>
    <cellStyle name="Normal 2 5 6 7" xfId="5211" xr:uid="{00000000-0005-0000-0000-0000DB570000}"/>
    <cellStyle name="Normal 2 5 6 7 2" xfId="10227" xr:uid="{00000000-0005-0000-0000-0000DC570000}"/>
    <cellStyle name="Normal 2 5 6 7 2 2" xfId="22670" xr:uid="{00000000-0005-0000-0000-0000DD570000}"/>
    <cellStyle name="Normal 2 5 6 7 2 2 2" xfId="47544" xr:uid="{00000000-0005-0000-0000-0000DE570000}"/>
    <cellStyle name="Normal 2 5 6 7 2 3" xfId="35111" xr:uid="{00000000-0005-0000-0000-0000DF570000}"/>
    <cellStyle name="Normal 2 5 6 7 3" xfId="17663" xr:uid="{00000000-0005-0000-0000-0000E0570000}"/>
    <cellStyle name="Normal 2 5 6 7 3 2" xfId="42537" xr:uid="{00000000-0005-0000-0000-0000E1570000}"/>
    <cellStyle name="Normal 2 5 6 7 4" xfId="30104" xr:uid="{00000000-0005-0000-0000-0000E2570000}"/>
    <cellStyle name="Normal 2 5 6 8" xfId="7788" xr:uid="{00000000-0005-0000-0000-0000E3570000}"/>
    <cellStyle name="Normal 2 5 6 8 2" xfId="20234" xr:uid="{00000000-0005-0000-0000-0000E4570000}"/>
    <cellStyle name="Normal 2 5 6 8 2 2" xfId="45108" xr:uid="{00000000-0005-0000-0000-0000E5570000}"/>
    <cellStyle name="Normal 2 5 6 8 3" xfId="32675" xr:uid="{00000000-0005-0000-0000-0000E6570000}"/>
    <cellStyle name="Normal 2 5 6 9" xfId="11681" xr:uid="{00000000-0005-0000-0000-0000E7570000}"/>
    <cellStyle name="Normal 2 5 6 9 2" xfId="24115" xr:uid="{00000000-0005-0000-0000-0000E8570000}"/>
    <cellStyle name="Normal 2 5 6 9 2 2" xfId="48989" xr:uid="{00000000-0005-0000-0000-0000E9570000}"/>
    <cellStyle name="Normal 2 5 6 9 3" xfId="36556" xr:uid="{00000000-0005-0000-0000-0000EA570000}"/>
    <cellStyle name="Normal 2 5 6_Degree data" xfId="1985" xr:uid="{00000000-0005-0000-0000-0000EB570000}"/>
    <cellStyle name="Normal 2 5 7" xfId="249" xr:uid="{00000000-0005-0000-0000-0000EC570000}"/>
    <cellStyle name="Normal 2 5 7 10" xfId="6589" xr:uid="{00000000-0005-0000-0000-0000ED570000}"/>
    <cellStyle name="Normal 2 5 7 10 2" xfId="19038" xr:uid="{00000000-0005-0000-0000-0000EE570000}"/>
    <cellStyle name="Normal 2 5 7 10 2 2" xfId="43912" xr:uid="{00000000-0005-0000-0000-0000EF570000}"/>
    <cellStyle name="Normal 2 5 7 10 3" xfId="31479" xr:uid="{00000000-0005-0000-0000-0000F0570000}"/>
    <cellStyle name="Normal 2 5 7 11" xfId="2652" xr:uid="{00000000-0005-0000-0000-0000F1570000}"/>
    <cellStyle name="Normal 2 5 7 11 2" xfId="15170" xr:uid="{00000000-0005-0000-0000-0000F2570000}"/>
    <cellStyle name="Normal 2 5 7 11 2 2" xfId="40044" xr:uid="{00000000-0005-0000-0000-0000F3570000}"/>
    <cellStyle name="Normal 2 5 7 11 3" xfId="27603" xr:uid="{00000000-0005-0000-0000-0000F4570000}"/>
    <cellStyle name="Normal 2 5 7 12" xfId="13071" xr:uid="{00000000-0005-0000-0000-0000F5570000}"/>
    <cellStyle name="Normal 2 5 7 12 2" xfId="37945" xr:uid="{00000000-0005-0000-0000-0000F6570000}"/>
    <cellStyle name="Normal 2 5 7 13" xfId="25504" xr:uid="{00000000-0005-0000-0000-0000F7570000}"/>
    <cellStyle name="Normal 2 5 7 2" xfId="463" xr:uid="{00000000-0005-0000-0000-0000F8570000}"/>
    <cellStyle name="Normal 2 5 7 2 10" xfId="13276" xr:uid="{00000000-0005-0000-0000-0000F9570000}"/>
    <cellStyle name="Normal 2 5 7 2 10 2" xfId="38150" xr:uid="{00000000-0005-0000-0000-0000FA570000}"/>
    <cellStyle name="Normal 2 5 7 2 11" xfId="25709" xr:uid="{00000000-0005-0000-0000-0000FB570000}"/>
    <cellStyle name="Normal 2 5 7 2 2" xfId="822" xr:uid="{00000000-0005-0000-0000-0000FC570000}"/>
    <cellStyle name="Normal 2 5 7 2 2 2" xfId="1435" xr:uid="{00000000-0005-0000-0000-0000FD570000}"/>
    <cellStyle name="Normal 2 5 7 2 2 2 2" xfId="9539" xr:uid="{00000000-0005-0000-0000-0000FE570000}"/>
    <cellStyle name="Normal 2 5 7 2 2 2 2 2" xfId="21982" xr:uid="{00000000-0005-0000-0000-0000FF570000}"/>
    <cellStyle name="Normal 2 5 7 2 2 2 2 2 2" xfId="46856" xr:uid="{00000000-0005-0000-0000-000000580000}"/>
    <cellStyle name="Normal 2 5 7 2 2 2 2 3" xfId="34423" xr:uid="{00000000-0005-0000-0000-000001580000}"/>
    <cellStyle name="Normal 2 5 7 2 2 2 3" xfId="4521" xr:uid="{00000000-0005-0000-0000-000002580000}"/>
    <cellStyle name="Normal 2 5 7 2 2 2 3 2" xfId="16975" xr:uid="{00000000-0005-0000-0000-000003580000}"/>
    <cellStyle name="Normal 2 5 7 2 2 2 3 2 2" xfId="41849" xr:uid="{00000000-0005-0000-0000-000004580000}"/>
    <cellStyle name="Normal 2 5 7 2 2 2 3 3" xfId="29416" xr:uid="{00000000-0005-0000-0000-000005580000}"/>
    <cellStyle name="Normal 2 5 7 2 2 2 4" xfId="14235" xr:uid="{00000000-0005-0000-0000-000006580000}"/>
    <cellStyle name="Normal 2 5 7 2 2 2 4 2" xfId="39109" xr:uid="{00000000-0005-0000-0000-000007580000}"/>
    <cellStyle name="Normal 2 5 7 2 2 2 5" xfId="26668" xr:uid="{00000000-0005-0000-0000-000008580000}"/>
    <cellStyle name="Normal 2 5 7 2 2 3" xfId="5580" xr:uid="{00000000-0005-0000-0000-000009580000}"/>
    <cellStyle name="Normal 2 5 7 2 2 3 2" xfId="10596" xr:uid="{00000000-0005-0000-0000-00000A580000}"/>
    <cellStyle name="Normal 2 5 7 2 2 3 2 2" xfId="23039" xr:uid="{00000000-0005-0000-0000-00000B580000}"/>
    <cellStyle name="Normal 2 5 7 2 2 3 2 2 2" xfId="47913" xr:uid="{00000000-0005-0000-0000-00000C580000}"/>
    <cellStyle name="Normal 2 5 7 2 2 3 2 3" xfId="35480" xr:uid="{00000000-0005-0000-0000-00000D580000}"/>
    <cellStyle name="Normal 2 5 7 2 2 3 3" xfId="18032" xr:uid="{00000000-0005-0000-0000-00000E580000}"/>
    <cellStyle name="Normal 2 5 7 2 2 3 3 2" xfId="42906" xr:uid="{00000000-0005-0000-0000-00000F580000}"/>
    <cellStyle name="Normal 2 5 7 2 2 3 4" xfId="30473" xr:uid="{00000000-0005-0000-0000-000010580000}"/>
    <cellStyle name="Normal 2 5 7 2 2 4" xfId="8655" xr:uid="{00000000-0005-0000-0000-000011580000}"/>
    <cellStyle name="Normal 2 5 7 2 2 4 2" xfId="21099" xr:uid="{00000000-0005-0000-0000-000012580000}"/>
    <cellStyle name="Normal 2 5 7 2 2 4 2 2" xfId="45973" xr:uid="{00000000-0005-0000-0000-000013580000}"/>
    <cellStyle name="Normal 2 5 7 2 2 4 3" xfId="33540" xr:uid="{00000000-0005-0000-0000-000014580000}"/>
    <cellStyle name="Normal 2 5 7 2 2 5" xfId="12050" xr:uid="{00000000-0005-0000-0000-000015580000}"/>
    <cellStyle name="Normal 2 5 7 2 2 5 2" xfId="24484" xr:uid="{00000000-0005-0000-0000-000016580000}"/>
    <cellStyle name="Normal 2 5 7 2 2 5 2 2" xfId="49358" xr:uid="{00000000-0005-0000-0000-000017580000}"/>
    <cellStyle name="Normal 2 5 7 2 2 5 3" xfId="36925" xr:uid="{00000000-0005-0000-0000-000018580000}"/>
    <cellStyle name="Normal 2 5 7 2 2 6" xfId="7132" xr:uid="{00000000-0005-0000-0000-000019580000}"/>
    <cellStyle name="Normal 2 5 7 2 2 6 2" xfId="19581" xr:uid="{00000000-0005-0000-0000-00001A580000}"/>
    <cellStyle name="Normal 2 5 7 2 2 6 2 2" xfId="44455" xr:uid="{00000000-0005-0000-0000-00001B580000}"/>
    <cellStyle name="Normal 2 5 7 2 2 6 3" xfId="32022" xr:uid="{00000000-0005-0000-0000-00001C580000}"/>
    <cellStyle name="Normal 2 5 7 2 2 7" xfId="3586" xr:uid="{00000000-0005-0000-0000-00001D580000}"/>
    <cellStyle name="Normal 2 5 7 2 2 7 2" xfId="16092" xr:uid="{00000000-0005-0000-0000-00001E580000}"/>
    <cellStyle name="Normal 2 5 7 2 2 7 2 2" xfId="40966" xr:uid="{00000000-0005-0000-0000-00001F580000}"/>
    <cellStyle name="Normal 2 5 7 2 2 7 3" xfId="28525" xr:uid="{00000000-0005-0000-0000-000020580000}"/>
    <cellStyle name="Normal 2 5 7 2 2 8" xfId="13623" xr:uid="{00000000-0005-0000-0000-000021580000}"/>
    <cellStyle name="Normal 2 5 7 2 2 8 2" xfId="38497" xr:uid="{00000000-0005-0000-0000-000022580000}"/>
    <cellStyle name="Normal 2 5 7 2 2 9" xfId="26056" xr:uid="{00000000-0005-0000-0000-000023580000}"/>
    <cellStyle name="Normal 2 5 7 2 3" xfId="1783" xr:uid="{00000000-0005-0000-0000-000024580000}"/>
    <cellStyle name="Normal 2 5 7 2 3 2" xfId="5005" xr:uid="{00000000-0005-0000-0000-000025580000}"/>
    <cellStyle name="Normal 2 5 7 2 3 2 2" xfId="10022" xr:uid="{00000000-0005-0000-0000-000026580000}"/>
    <cellStyle name="Normal 2 5 7 2 3 2 2 2" xfId="22465" xr:uid="{00000000-0005-0000-0000-000027580000}"/>
    <cellStyle name="Normal 2 5 7 2 3 2 2 2 2" xfId="47339" xr:uid="{00000000-0005-0000-0000-000028580000}"/>
    <cellStyle name="Normal 2 5 7 2 3 2 2 3" xfId="34906" xr:uid="{00000000-0005-0000-0000-000029580000}"/>
    <cellStyle name="Normal 2 5 7 2 3 2 3" xfId="17458" xr:uid="{00000000-0005-0000-0000-00002A580000}"/>
    <cellStyle name="Normal 2 5 7 2 3 2 3 2" xfId="42332" xr:uid="{00000000-0005-0000-0000-00002B580000}"/>
    <cellStyle name="Normal 2 5 7 2 3 2 4" xfId="29899" xr:uid="{00000000-0005-0000-0000-00002C580000}"/>
    <cellStyle name="Normal 2 5 7 2 3 3" xfId="5929" xr:uid="{00000000-0005-0000-0000-00002D580000}"/>
    <cellStyle name="Normal 2 5 7 2 3 3 2" xfId="10944" xr:uid="{00000000-0005-0000-0000-00002E580000}"/>
    <cellStyle name="Normal 2 5 7 2 3 3 2 2" xfId="23387" xr:uid="{00000000-0005-0000-0000-00002F580000}"/>
    <cellStyle name="Normal 2 5 7 2 3 3 2 2 2" xfId="48261" xr:uid="{00000000-0005-0000-0000-000030580000}"/>
    <cellStyle name="Normal 2 5 7 2 3 3 2 3" xfId="35828" xr:uid="{00000000-0005-0000-0000-000031580000}"/>
    <cellStyle name="Normal 2 5 7 2 3 3 3" xfId="18380" xr:uid="{00000000-0005-0000-0000-000032580000}"/>
    <cellStyle name="Normal 2 5 7 2 3 3 3 2" xfId="43254" xr:uid="{00000000-0005-0000-0000-000033580000}"/>
    <cellStyle name="Normal 2 5 7 2 3 3 4" xfId="30821" xr:uid="{00000000-0005-0000-0000-000034580000}"/>
    <cellStyle name="Normal 2 5 7 2 3 4" xfId="8429" xr:uid="{00000000-0005-0000-0000-000035580000}"/>
    <cellStyle name="Normal 2 5 7 2 3 4 2" xfId="20873" xr:uid="{00000000-0005-0000-0000-000036580000}"/>
    <cellStyle name="Normal 2 5 7 2 3 4 2 2" xfId="45747" xr:uid="{00000000-0005-0000-0000-000037580000}"/>
    <cellStyle name="Normal 2 5 7 2 3 4 3" xfId="33314" xr:uid="{00000000-0005-0000-0000-000038580000}"/>
    <cellStyle name="Normal 2 5 7 2 3 5" xfId="12398" xr:uid="{00000000-0005-0000-0000-000039580000}"/>
    <cellStyle name="Normal 2 5 7 2 3 5 2" xfId="24832" xr:uid="{00000000-0005-0000-0000-00003A580000}"/>
    <cellStyle name="Normal 2 5 7 2 3 5 2 2" xfId="49706" xr:uid="{00000000-0005-0000-0000-00003B580000}"/>
    <cellStyle name="Normal 2 5 7 2 3 5 3" xfId="37273" xr:uid="{00000000-0005-0000-0000-00003C580000}"/>
    <cellStyle name="Normal 2 5 7 2 3 6" xfId="7616" xr:uid="{00000000-0005-0000-0000-00003D580000}"/>
    <cellStyle name="Normal 2 5 7 2 3 6 2" xfId="20064" xr:uid="{00000000-0005-0000-0000-00003E580000}"/>
    <cellStyle name="Normal 2 5 7 2 3 6 2 2" xfId="44938" xr:uid="{00000000-0005-0000-0000-00003F580000}"/>
    <cellStyle name="Normal 2 5 7 2 3 6 3" xfId="32505" xr:uid="{00000000-0005-0000-0000-000040580000}"/>
    <cellStyle name="Normal 2 5 7 2 3 7" xfId="3360" xr:uid="{00000000-0005-0000-0000-000041580000}"/>
    <cellStyle name="Normal 2 5 7 2 3 7 2" xfId="15866" xr:uid="{00000000-0005-0000-0000-000042580000}"/>
    <cellStyle name="Normal 2 5 7 2 3 7 2 2" xfId="40740" xr:uid="{00000000-0005-0000-0000-000043580000}"/>
    <cellStyle name="Normal 2 5 7 2 3 7 3" xfId="28299" xr:uid="{00000000-0005-0000-0000-000044580000}"/>
    <cellStyle name="Normal 2 5 7 2 3 8" xfId="14583" xr:uid="{00000000-0005-0000-0000-000045580000}"/>
    <cellStyle name="Normal 2 5 7 2 3 8 2" xfId="39457" xr:uid="{00000000-0005-0000-0000-000046580000}"/>
    <cellStyle name="Normal 2 5 7 2 3 9" xfId="27016" xr:uid="{00000000-0005-0000-0000-000047580000}"/>
    <cellStyle name="Normal 2 5 7 2 4" xfId="2381" xr:uid="{00000000-0005-0000-0000-000048580000}"/>
    <cellStyle name="Normal 2 5 7 2 4 2" xfId="6403" xr:uid="{00000000-0005-0000-0000-000049580000}"/>
    <cellStyle name="Normal 2 5 7 2 4 2 2" xfId="11418" xr:uid="{00000000-0005-0000-0000-00004A580000}"/>
    <cellStyle name="Normal 2 5 7 2 4 2 2 2" xfId="23861" xr:uid="{00000000-0005-0000-0000-00004B580000}"/>
    <cellStyle name="Normal 2 5 7 2 4 2 2 2 2" xfId="48735" xr:uid="{00000000-0005-0000-0000-00004C580000}"/>
    <cellStyle name="Normal 2 5 7 2 4 2 2 3" xfId="36302" xr:uid="{00000000-0005-0000-0000-00004D580000}"/>
    <cellStyle name="Normal 2 5 7 2 4 2 3" xfId="18854" xr:uid="{00000000-0005-0000-0000-00004E580000}"/>
    <cellStyle name="Normal 2 5 7 2 4 2 3 2" xfId="43728" xr:uid="{00000000-0005-0000-0000-00004F580000}"/>
    <cellStyle name="Normal 2 5 7 2 4 2 4" xfId="31295" xr:uid="{00000000-0005-0000-0000-000050580000}"/>
    <cellStyle name="Normal 2 5 7 2 4 3" xfId="12872" xr:uid="{00000000-0005-0000-0000-000051580000}"/>
    <cellStyle name="Normal 2 5 7 2 4 3 2" xfId="25306" xr:uid="{00000000-0005-0000-0000-000052580000}"/>
    <cellStyle name="Normal 2 5 7 2 4 3 2 2" xfId="50180" xr:uid="{00000000-0005-0000-0000-000053580000}"/>
    <cellStyle name="Normal 2 5 7 2 4 3 3" xfId="37747" xr:uid="{00000000-0005-0000-0000-000054580000}"/>
    <cellStyle name="Normal 2 5 7 2 4 4" xfId="9313" xr:uid="{00000000-0005-0000-0000-000055580000}"/>
    <cellStyle name="Normal 2 5 7 2 4 4 2" xfId="21756" xr:uid="{00000000-0005-0000-0000-000056580000}"/>
    <cellStyle name="Normal 2 5 7 2 4 4 2 2" xfId="46630" xr:uid="{00000000-0005-0000-0000-000057580000}"/>
    <cellStyle name="Normal 2 5 7 2 4 4 3" xfId="34197" xr:uid="{00000000-0005-0000-0000-000058580000}"/>
    <cellStyle name="Normal 2 5 7 2 4 5" xfId="4295" xr:uid="{00000000-0005-0000-0000-000059580000}"/>
    <cellStyle name="Normal 2 5 7 2 4 5 2" xfId="16749" xr:uid="{00000000-0005-0000-0000-00005A580000}"/>
    <cellStyle name="Normal 2 5 7 2 4 5 2 2" xfId="41623" xr:uid="{00000000-0005-0000-0000-00005B580000}"/>
    <cellStyle name="Normal 2 5 7 2 4 5 3" xfId="29190" xr:uid="{00000000-0005-0000-0000-00005C580000}"/>
    <cellStyle name="Normal 2 5 7 2 4 6" xfId="15057" xr:uid="{00000000-0005-0000-0000-00005D580000}"/>
    <cellStyle name="Normal 2 5 7 2 4 6 2" xfId="39931" xr:uid="{00000000-0005-0000-0000-00005E580000}"/>
    <cellStyle name="Normal 2 5 7 2 4 7" xfId="27490" xr:uid="{00000000-0005-0000-0000-00005F580000}"/>
    <cellStyle name="Normal 2 5 7 2 5" xfId="1214" xr:uid="{00000000-0005-0000-0000-000060580000}"/>
    <cellStyle name="Normal 2 5 7 2 5 2" xfId="10375" xr:uid="{00000000-0005-0000-0000-000061580000}"/>
    <cellStyle name="Normal 2 5 7 2 5 2 2" xfId="22818" xr:uid="{00000000-0005-0000-0000-000062580000}"/>
    <cellStyle name="Normal 2 5 7 2 5 2 2 2" xfId="47692" xr:uid="{00000000-0005-0000-0000-000063580000}"/>
    <cellStyle name="Normal 2 5 7 2 5 2 3" xfId="35259" xr:uid="{00000000-0005-0000-0000-000064580000}"/>
    <cellStyle name="Normal 2 5 7 2 5 3" xfId="5359" xr:uid="{00000000-0005-0000-0000-000065580000}"/>
    <cellStyle name="Normal 2 5 7 2 5 3 2" xfId="17811" xr:uid="{00000000-0005-0000-0000-000066580000}"/>
    <cellStyle name="Normal 2 5 7 2 5 3 2 2" xfId="42685" xr:uid="{00000000-0005-0000-0000-000067580000}"/>
    <cellStyle name="Normal 2 5 7 2 5 3 3" xfId="30252" xr:uid="{00000000-0005-0000-0000-000068580000}"/>
    <cellStyle name="Normal 2 5 7 2 5 4" xfId="14014" xr:uid="{00000000-0005-0000-0000-000069580000}"/>
    <cellStyle name="Normal 2 5 7 2 5 4 2" xfId="38888" xr:uid="{00000000-0005-0000-0000-00006A580000}"/>
    <cellStyle name="Normal 2 5 7 2 5 5" xfId="26447" xr:uid="{00000000-0005-0000-0000-00006B580000}"/>
    <cellStyle name="Normal 2 5 7 2 6" xfId="7936" xr:uid="{00000000-0005-0000-0000-00006C580000}"/>
    <cellStyle name="Normal 2 5 7 2 6 2" xfId="20382" xr:uid="{00000000-0005-0000-0000-00006D580000}"/>
    <cellStyle name="Normal 2 5 7 2 6 2 2" xfId="45256" xr:uid="{00000000-0005-0000-0000-00006E580000}"/>
    <cellStyle name="Normal 2 5 7 2 6 3" xfId="32823" xr:uid="{00000000-0005-0000-0000-00006F580000}"/>
    <cellStyle name="Normal 2 5 7 2 7" xfId="11829" xr:uid="{00000000-0005-0000-0000-000070580000}"/>
    <cellStyle name="Normal 2 5 7 2 7 2" xfId="24263" xr:uid="{00000000-0005-0000-0000-000071580000}"/>
    <cellStyle name="Normal 2 5 7 2 7 2 2" xfId="49137" xr:uid="{00000000-0005-0000-0000-000072580000}"/>
    <cellStyle name="Normal 2 5 7 2 7 3" xfId="36704" xr:uid="{00000000-0005-0000-0000-000073580000}"/>
    <cellStyle name="Normal 2 5 7 2 8" xfId="6906" xr:uid="{00000000-0005-0000-0000-000074580000}"/>
    <cellStyle name="Normal 2 5 7 2 8 2" xfId="19355" xr:uid="{00000000-0005-0000-0000-000075580000}"/>
    <cellStyle name="Normal 2 5 7 2 8 2 2" xfId="44229" xr:uid="{00000000-0005-0000-0000-000076580000}"/>
    <cellStyle name="Normal 2 5 7 2 8 3" xfId="31796" xr:uid="{00000000-0005-0000-0000-000077580000}"/>
    <cellStyle name="Normal 2 5 7 2 9" xfId="2857" xr:uid="{00000000-0005-0000-0000-000078580000}"/>
    <cellStyle name="Normal 2 5 7 2 9 2" xfId="15375" xr:uid="{00000000-0005-0000-0000-000079580000}"/>
    <cellStyle name="Normal 2 5 7 2 9 2 2" xfId="40249" xr:uid="{00000000-0005-0000-0000-00007A580000}"/>
    <cellStyle name="Normal 2 5 7 2 9 3" xfId="27808" xr:uid="{00000000-0005-0000-0000-00007B580000}"/>
    <cellStyle name="Normal 2 5 7 2_Degree data" xfId="2040" xr:uid="{00000000-0005-0000-0000-00007C580000}"/>
    <cellStyle name="Normal 2 5 7 3" xfId="611" xr:uid="{00000000-0005-0000-0000-00007D580000}"/>
    <cellStyle name="Normal 2 5 7 3 2" xfId="1434" xr:uid="{00000000-0005-0000-0000-00007E580000}"/>
    <cellStyle name="Normal 2 5 7 3 2 2" xfId="9108" xr:uid="{00000000-0005-0000-0000-00007F580000}"/>
    <cellStyle name="Normal 2 5 7 3 2 2 2" xfId="21551" xr:uid="{00000000-0005-0000-0000-000080580000}"/>
    <cellStyle name="Normal 2 5 7 3 2 2 2 2" xfId="46425" xr:uid="{00000000-0005-0000-0000-000081580000}"/>
    <cellStyle name="Normal 2 5 7 3 2 2 3" xfId="33992" xr:uid="{00000000-0005-0000-0000-000082580000}"/>
    <cellStyle name="Normal 2 5 7 3 2 3" xfId="4090" xr:uid="{00000000-0005-0000-0000-000083580000}"/>
    <cellStyle name="Normal 2 5 7 3 2 3 2" xfId="16544" xr:uid="{00000000-0005-0000-0000-000084580000}"/>
    <cellStyle name="Normal 2 5 7 3 2 3 2 2" xfId="41418" xr:uid="{00000000-0005-0000-0000-000085580000}"/>
    <cellStyle name="Normal 2 5 7 3 2 3 3" xfId="28985" xr:uid="{00000000-0005-0000-0000-000086580000}"/>
    <cellStyle name="Normal 2 5 7 3 2 4" xfId="14234" xr:uid="{00000000-0005-0000-0000-000087580000}"/>
    <cellStyle name="Normal 2 5 7 3 2 4 2" xfId="39108" xr:uid="{00000000-0005-0000-0000-000088580000}"/>
    <cellStyle name="Normal 2 5 7 3 2 5" xfId="26667" xr:uid="{00000000-0005-0000-0000-000089580000}"/>
    <cellStyle name="Normal 2 5 7 3 3" xfId="5579" xr:uid="{00000000-0005-0000-0000-00008A580000}"/>
    <cellStyle name="Normal 2 5 7 3 3 2" xfId="10595" xr:uid="{00000000-0005-0000-0000-00008B580000}"/>
    <cellStyle name="Normal 2 5 7 3 3 2 2" xfId="23038" xr:uid="{00000000-0005-0000-0000-00008C580000}"/>
    <cellStyle name="Normal 2 5 7 3 3 2 2 2" xfId="47912" xr:uid="{00000000-0005-0000-0000-00008D580000}"/>
    <cellStyle name="Normal 2 5 7 3 3 2 3" xfId="35479" xr:uid="{00000000-0005-0000-0000-00008E580000}"/>
    <cellStyle name="Normal 2 5 7 3 3 3" xfId="18031" xr:uid="{00000000-0005-0000-0000-00008F580000}"/>
    <cellStyle name="Normal 2 5 7 3 3 3 2" xfId="42905" xr:uid="{00000000-0005-0000-0000-000090580000}"/>
    <cellStyle name="Normal 2 5 7 3 3 4" xfId="30472" xr:uid="{00000000-0005-0000-0000-000091580000}"/>
    <cellStyle name="Normal 2 5 7 3 4" xfId="8224" xr:uid="{00000000-0005-0000-0000-000092580000}"/>
    <cellStyle name="Normal 2 5 7 3 4 2" xfId="20668" xr:uid="{00000000-0005-0000-0000-000093580000}"/>
    <cellStyle name="Normal 2 5 7 3 4 2 2" xfId="45542" xr:uid="{00000000-0005-0000-0000-000094580000}"/>
    <cellStyle name="Normal 2 5 7 3 4 3" xfId="33109" xr:uid="{00000000-0005-0000-0000-000095580000}"/>
    <cellStyle name="Normal 2 5 7 3 5" xfId="12049" xr:uid="{00000000-0005-0000-0000-000096580000}"/>
    <cellStyle name="Normal 2 5 7 3 5 2" xfId="24483" xr:uid="{00000000-0005-0000-0000-000097580000}"/>
    <cellStyle name="Normal 2 5 7 3 5 2 2" xfId="49357" xr:uid="{00000000-0005-0000-0000-000098580000}"/>
    <cellStyle name="Normal 2 5 7 3 5 3" xfId="36924" xr:uid="{00000000-0005-0000-0000-000099580000}"/>
    <cellStyle name="Normal 2 5 7 3 6" xfId="6701" xr:uid="{00000000-0005-0000-0000-00009A580000}"/>
    <cellStyle name="Normal 2 5 7 3 6 2" xfId="19150" xr:uid="{00000000-0005-0000-0000-00009B580000}"/>
    <cellStyle name="Normal 2 5 7 3 6 2 2" xfId="44024" xr:uid="{00000000-0005-0000-0000-00009C580000}"/>
    <cellStyle name="Normal 2 5 7 3 6 3" xfId="31591" xr:uid="{00000000-0005-0000-0000-00009D580000}"/>
    <cellStyle name="Normal 2 5 7 3 7" xfId="3155" xr:uid="{00000000-0005-0000-0000-00009E580000}"/>
    <cellStyle name="Normal 2 5 7 3 7 2" xfId="15661" xr:uid="{00000000-0005-0000-0000-00009F580000}"/>
    <cellStyle name="Normal 2 5 7 3 7 2 2" xfId="40535" xr:uid="{00000000-0005-0000-0000-0000A0580000}"/>
    <cellStyle name="Normal 2 5 7 3 7 3" xfId="28094" xr:uid="{00000000-0005-0000-0000-0000A1580000}"/>
    <cellStyle name="Normal 2 5 7 3 8" xfId="13418" xr:uid="{00000000-0005-0000-0000-0000A2580000}"/>
    <cellStyle name="Normal 2 5 7 3 8 2" xfId="38292" xr:uid="{00000000-0005-0000-0000-0000A3580000}"/>
    <cellStyle name="Normal 2 5 7 3 9" xfId="25851" xr:uid="{00000000-0005-0000-0000-0000A4580000}"/>
    <cellStyle name="Normal 2 5 7 4" xfId="1782" xr:uid="{00000000-0005-0000-0000-0000A5580000}"/>
    <cellStyle name="Normal 2 5 7 4 2" xfId="4520" xr:uid="{00000000-0005-0000-0000-0000A6580000}"/>
    <cellStyle name="Normal 2 5 7 4 2 2" xfId="9538" xr:uid="{00000000-0005-0000-0000-0000A7580000}"/>
    <cellStyle name="Normal 2 5 7 4 2 2 2" xfId="21981" xr:uid="{00000000-0005-0000-0000-0000A8580000}"/>
    <cellStyle name="Normal 2 5 7 4 2 2 2 2" xfId="46855" xr:uid="{00000000-0005-0000-0000-0000A9580000}"/>
    <cellStyle name="Normal 2 5 7 4 2 2 3" xfId="34422" xr:uid="{00000000-0005-0000-0000-0000AA580000}"/>
    <cellStyle name="Normal 2 5 7 4 2 3" xfId="16974" xr:uid="{00000000-0005-0000-0000-0000AB580000}"/>
    <cellStyle name="Normal 2 5 7 4 2 3 2" xfId="41848" xr:uid="{00000000-0005-0000-0000-0000AC580000}"/>
    <cellStyle name="Normal 2 5 7 4 2 4" xfId="29415" xr:uid="{00000000-0005-0000-0000-0000AD580000}"/>
    <cellStyle name="Normal 2 5 7 4 3" xfId="5928" xr:uid="{00000000-0005-0000-0000-0000AE580000}"/>
    <cellStyle name="Normal 2 5 7 4 3 2" xfId="10943" xr:uid="{00000000-0005-0000-0000-0000AF580000}"/>
    <cellStyle name="Normal 2 5 7 4 3 2 2" xfId="23386" xr:uid="{00000000-0005-0000-0000-0000B0580000}"/>
    <cellStyle name="Normal 2 5 7 4 3 2 2 2" xfId="48260" xr:uid="{00000000-0005-0000-0000-0000B1580000}"/>
    <cellStyle name="Normal 2 5 7 4 3 2 3" xfId="35827" xr:uid="{00000000-0005-0000-0000-0000B2580000}"/>
    <cellStyle name="Normal 2 5 7 4 3 3" xfId="18379" xr:uid="{00000000-0005-0000-0000-0000B3580000}"/>
    <cellStyle name="Normal 2 5 7 4 3 3 2" xfId="43253" xr:uid="{00000000-0005-0000-0000-0000B4580000}"/>
    <cellStyle name="Normal 2 5 7 4 3 4" xfId="30820" xr:uid="{00000000-0005-0000-0000-0000B5580000}"/>
    <cellStyle name="Normal 2 5 7 4 4" xfId="8654" xr:uid="{00000000-0005-0000-0000-0000B6580000}"/>
    <cellStyle name="Normal 2 5 7 4 4 2" xfId="21098" xr:uid="{00000000-0005-0000-0000-0000B7580000}"/>
    <cellStyle name="Normal 2 5 7 4 4 2 2" xfId="45972" xr:uid="{00000000-0005-0000-0000-0000B8580000}"/>
    <cellStyle name="Normal 2 5 7 4 4 3" xfId="33539" xr:uid="{00000000-0005-0000-0000-0000B9580000}"/>
    <cellStyle name="Normal 2 5 7 4 5" xfId="12397" xr:uid="{00000000-0005-0000-0000-0000BA580000}"/>
    <cellStyle name="Normal 2 5 7 4 5 2" xfId="24831" xr:uid="{00000000-0005-0000-0000-0000BB580000}"/>
    <cellStyle name="Normal 2 5 7 4 5 2 2" xfId="49705" xr:uid="{00000000-0005-0000-0000-0000BC580000}"/>
    <cellStyle name="Normal 2 5 7 4 5 3" xfId="37272" xr:uid="{00000000-0005-0000-0000-0000BD580000}"/>
    <cellStyle name="Normal 2 5 7 4 6" xfId="7131" xr:uid="{00000000-0005-0000-0000-0000BE580000}"/>
    <cellStyle name="Normal 2 5 7 4 6 2" xfId="19580" xr:uid="{00000000-0005-0000-0000-0000BF580000}"/>
    <cellStyle name="Normal 2 5 7 4 6 2 2" xfId="44454" xr:uid="{00000000-0005-0000-0000-0000C0580000}"/>
    <cellStyle name="Normal 2 5 7 4 6 3" xfId="32021" xr:uid="{00000000-0005-0000-0000-0000C1580000}"/>
    <cellStyle name="Normal 2 5 7 4 7" xfId="3585" xr:uid="{00000000-0005-0000-0000-0000C2580000}"/>
    <cellStyle name="Normal 2 5 7 4 7 2" xfId="16091" xr:uid="{00000000-0005-0000-0000-0000C3580000}"/>
    <cellStyle name="Normal 2 5 7 4 7 2 2" xfId="40965" xr:uid="{00000000-0005-0000-0000-0000C4580000}"/>
    <cellStyle name="Normal 2 5 7 4 7 3" xfId="28524" xr:uid="{00000000-0005-0000-0000-0000C5580000}"/>
    <cellStyle name="Normal 2 5 7 4 8" xfId="14582" xr:uid="{00000000-0005-0000-0000-0000C6580000}"/>
    <cellStyle name="Normal 2 5 7 4 8 2" xfId="39456" xr:uid="{00000000-0005-0000-0000-0000C7580000}"/>
    <cellStyle name="Normal 2 5 7 4 9" xfId="27015" xr:uid="{00000000-0005-0000-0000-0000C8580000}"/>
    <cellStyle name="Normal 2 5 7 5" xfId="2167" xr:uid="{00000000-0005-0000-0000-0000C9580000}"/>
    <cellStyle name="Normal 2 5 7 5 2" xfId="4800" xr:uid="{00000000-0005-0000-0000-0000CA580000}"/>
    <cellStyle name="Normal 2 5 7 5 2 2" xfId="9817" xr:uid="{00000000-0005-0000-0000-0000CB580000}"/>
    <cellStyle name="Normal 2 5 7 5 2 2 2" xfId="22260" xr:uid="{00000000-0005-0000-0000-0000CC580000}"/>
    <cellStyle name="Normal 2 5 7 5 2 2 2 2" xfId="47134" xr:uid="{00000000-0005-0000-0000-0000CD580000}"/>
    <cellStyle name="Normal 2 5 7 5 2 2 3" xfId="34701" xr:uid="{00000000-0005-0000-0000-0000CE580000}"/>
    <cellStyle name="Normal 2 5 7 5 2 3" xfId="17253" xr:uid="{00000000-0005-0000-0000-0000CF580000}"/>
    <cellStyle name="Normal 2 5 7 5 2 3 2" xfId="42127" xr:uid="{00000000-0005-0000-0000-0000D0580000}"/>
    <cellStyle name="Normal 2 5 7 5 2 4" xfId="29694" xr:uid="{00000000-0005-0000-0000-0000D1580000}"/>
    <cellStyle name="Normal 2 5 7 5 3" xfId="6198" xr:uid="{00000000-0005-0000-0000-0000D2580000}"/>
    <cellStyle name="Normal 2 5 7 5 3 2" xfId="11213" xr:uid="{00000000-0005-0000-0000-0000D3580000}"/>
    <cellStyle name="Normal 2 5 7 5 3 2 2" xfId="23656" xr:uid="{00000000-0005-0000-0000-0000D4580000}"/>
    <cellStyle name="Normal 2 5 7 5 3 2 2 2" xfId="48530" xr:uid="{00000000-0005-0000-0000-0000D5580000}"/>
    <cellStyle name="Normal 2 5 7 5 3 2 3" xfId="36097" xr:uid="{00000000-0005-0000-0000-0000D6580000}"/>
    <cellStyle name="Normal 2 5 7 5 3 3" xfId="18649" xr:uid="{00000000-0005-0000-0000-0000D7580000}"/>
    <cellStyle name="Normal 2 5 7 5 3 3 2" xfId="43523" xr:uid="{00000000-0005-0000-0000-0000D8580000}"/>
    <cellStyle name="Normal 2 5 7 5 3 4" xfId="31090" xr:uid="{00000000-0005-0000-0000-0000D9580000}"/>
    <cellStyle name="Normal 2 5 7 5 4" xfId="8110" xr:uid="{00000000-0005-0000-0000-0000DA580000}"/>
    <cellStyle name="Normal 2 5 7 5 4 2" xfId="20556" xr:uid="{00000000-0005-0000-0000-0000DB580000}"/>
    <cellStyle name="Normal 2 5 7 5 4 2 2" xfId="45430" xr:uid="{00000000-0005-0000-0000-0000DC580000}"/>
    <cellStyle name="Normal 2 5 7 5 4 3" xfId="32997" xr:uid="{00000000-0005-0000-0000-0000DD580000}"/>
    <cellStyle name="Normal 2 5 7 5 5" xfId="12667" xr:uid="{00000000-0005-0000-0000-0000DE580000}"/>
    <cellStyle name="Normal 2 5 7 5 5 2" xfId="25101" xr:uid="{00000000-0005-0000-0000-0000DF580000}"/>
    <cellStyle name="Normal 2 5 7 5 5 2 2" xfId="49975" xr:uid="{00000000-0005-0000-0000-0000E0580000}"/>
    <cellStyle name="Normal 2 5 7 5 5 3" xfId="37542" xr:uid="{00000000-0005-0000-0000-0000E1580000}"/>
    <cellStyle name="Normal 2 5 7 5 6" xfId="7411" xr:uid="{00000000-0005-0000-0000-0000E2580000}"/>
    <cellStyle name="Normal 2 5 7 5 6 2" xfId="19859" xr:uid="{00000000-0005-0000-0000-0000E3580000}"/>
    <cellStyle name="Normal 2 5 7 5 6 2 2" xfId="44733" xr:uid="{00000000-0005-0000-0000-0000E4580000}"/>
    <cellStyle name="Normal 2 5 7 5 6 3" xfId="32300" xr:uid="{00000000-0005-0000-0000-0000E5580000}"/>
    <cellStyle name="Normal 2 5 7 5 7" xfId="3040" xr:uid="{00000000-0005-0000-0000-0000E6580000}"/>
    <cellStyle name="Normal 2 5 7 5 7 2" xfId="15549" xr:uid="{00000000-0005-0000-0000-0000E7580000}"/>
    <cellStyle name="Normal 2 5 7 5 7 2 2" xfId="40423" xr:uid="{00000000-0005-0000-0000-0000E8580000}"/>
    <cellStyle name="Normal 2 5 7 5 7 3" xfId="27982" xr:uid="{00000000-0005-0000-0000-0000E9580000}"/>
    <cellStyle name="Normal 2 5 7 5 8" xfId="14852" xr:uid="{00000000-0005-0000-0000-0000EA580000}"/>
    <cellStyle name="Normal 2 5 7 5 8 2" xfId="39726" xr:uid="{00000000-0005-0000-0000-0000EB580000}"/>
    <cellStyle name="Normal 2 5 7 5 9" xfId="27285" xr:uid="{00000000-0005-0000-0000-0000EC580000}"/>
    <cellStyle name="Normal 2 5 7 6" xfId="1009" xr:uid="{00000000-0005-0000-0000-0000ED580000}"/>
    <cellStyle name="Normal 2 5 7 6 2" xfId="8996" xr:uid="{00000000-0005-0000-0000-0000EE580000}"/>
    <cellStyle name="Normal 2 5 7 6 2 2" xfId="21439" xr:uid="{00000000-0005-0000-0000-0000EF580000}"/>
    <cellStyle name="Normal 2 5 7 6 2 2 2" xfId="46313" xr:uid="{00000000-0005-0000-0000-0000F0580000}"/>
    <cellStyle name="Normal 2 5 7 6 2 3" xfId="33880" xr:uid="{00000000-0005-0000-0000-0000F1580000}"/>
    <cellStyle name="Normal 2 5 7 6 3" xfId="3978" xr:uid="{00000000-0005-0000-0000-0000F2580000}"/>
    <cellStyle name="Normal 2 5 7 6 3 2" xfId="16432" xr:uid="{00000000-0005-0000-0000-0000F3580000}"/>
    <cellStyle name="Normal 2 5 7 6 3 2 2" xfId="41306" xr:uid="{00000000-0005-0000-0000-0000F4580000}"/>
    <cellStyle name="Normal 2 5 7 6 3 3" xfId="28873" xr:uid="{00000000-0005-0000-0000-0000F5580000}"/>
    <cellStyle name="Normal 2 5 7 6 4" xfId="13809" xr:uid="{00000000-0005-0000-0000-0000F6580000}"/>
    <cellStyle name="Normal 2 5 7 6 4 2" xfId="38683" xr:uid="{00000000-0005-0000-0000-0000F7580000}"/>
    <cellStyle name="Normal 2 5 7 6 5" xfId="26242" xr:uid="{00000000-0005-0000-0000-0000F8580000}"/>
    <cellStyle name="Normal 2 5 7 7" xfId="5154" xr:uid="{00000000-0005-0000-0000-0000F9580000}"/>
    <cellStyle name="Normal 2 5 7 7 2" xfId="10170" xr:uid="{00000000-0005-0000-0000-0000FA580000}"/>
    <cellStyle name="Normal 2 5 7 7 2 2" xfId="22613" xr:uid="{00000000-0005-0000-0000-0000FB580000}"/>
    <cellStyle name="Normal 2 5 7 7 2 2 2" xfId="47487" xr:uid="{00000000-0005-0000-0000-0000FC580000}"/>
    <cellStyle name="Normal 2 5 7 7 2 3" xfId="35054" xr:uid="{00000000-0005-0000-0000-0000FD580000}"/>
    <cellStyle name="Normal 2 5 7 7 3" xfId="17606" xr:uid="{00000000-0005-0000-0000-0000FE580000}"/>
    <cellStyle name="Normal 2 5 7 7 3 2" xfId="42480" xr:uid="{00000000-0005-0000-0000-0000FF580000}"/>
    <cellStyle name="Normal 2 5 7 7 4" xfId="30047" xr:uid="{00000000-0005-0000-0000-000000590000}"/>
    <cellStyle name="Normal 2 5 7 8" xfId="7731" xr:uid="{00000000-0005-0000-0000-000001590000}"/>
    <cellStyle name="Normal 2 5 7 8 2" xfId="20177" xr:uid="{00000000-0005-0000-0000-000002590000}"/>
    <cellStyle name="Normal 2 5 7 8 2 2" xfId="45051" xr:uid="{00000000-0005-0000-0000-000003590000}"/>
    <cellStyle name="Normal 2 5 7 8 3" xfId="32618" xr:uid="{00000000-0005-0000-0000-000004590000}"/>
    <cellStyle name="Normal 2 5 7 9" xfId="11624" xr:uid="{00000000-0005-0000-0000-000005590000}"/>
    <cellStyle name="Normal 2 5 7 9 2" xfId="24058" xr:uid="{00000000-0005-0000-0000-000006590000}"/>
    <cellStyle name="Normal 2 5 7 9 2 2" xfId="48932" xr:uid="{00000000-0005-0000-0000-000007590000}"/>
    <cellStyle name="Normal 2 5 7 9 3" xfId="36499" xr:uid="{00000000-0005-0000-0000-000008590000}"/>
    <cellStyle name="Normal 2 5 7_Degree data" xfId="2093" xr:uid="{00000000-0005-0000-0000-000009590000}"/>
    <cellStyle name="Normal 2 5 8" xfId="519" xr:uid="{00000000-0005-0000-0000-00000A590000}"/>
    <cellStyle name="Normal 2 5 8 10" xfId="2913" xr:uid="{00000000-0005-0000-0000-00000B590000}"/>
    <cellStyle name="Normal 2 5 8 10 2" xfId="15431" xr:uid="{00000000-0005-0000-0000-00000C590000}"/>
    <cellStyle name="Normal 2 5 8 10 2 2" xfId="40305" xr:uid="{00000000-0005-0000-0000-00000D590000}"/>
    <cellStyle name="Normal 2 5 8 10 3" xfId="27864" xr:uid="{00000000-0005-0000-0000-00000E590000}"/>
    <cellStyle name="Normal 2 5 8 11" xfId="13332" xr:uid="{00000000-0005-0000-0000-00000F590000}"/>
    <cellStyle name="Normal 2 5 8 11 2" xfId="38206" xr:uid="{00000000-0005-0000-0000-000010590000}"/>
    <cellStyle name="Normal 2 5 8 12" xfId="25765" xr:uid="{00000000-0005-0000-0000-000011590000}"/>
    <cellStyle name="Normal 2 5 8 2" xfId="878" xr:uid="{00000000-0005-0000-0000-000012590000}"/>
    <cellStyle name="Normal 2 5 8 2 2" xfId="1436" xr:uid="{00000000-0005-0000-0000-000013590000}"/>
    <cellStyle name="Normal 2 5 8 2 2 2" xfId="9369" xr:uid="{00000000-0005-0000-0000-000014590000}"/>
    <cellStyle name="Normal 2 5 8 2 2 2 2" xfId="21812" xr:uid="{00000000-0005-0000-0000-000015590000}"/>
    <cellStyle name="Normal 2 5 8 2 2 2 2 2" xfId="46686" xr:uid="{00000000-0005-0000-0000-000016590000}"/>
    <cellStyle name="Normal 2 5 8 2 2 2 3" xfId="34253" xr:uid="{00000000-0005-0000-0000-000017590000}"/>
    <cellStyle name="Normal 2 5 8 2 2 3" xfId="4351" xr:uid="{00000000-0005-0000-0000-000018590000}"/>
    <cellStyle name="Normal 2 5 8 2 2 3 2" xfId="16805" xr:uid="{00000000-0005-0000-0000-000019590000}"/>
    <cellStyle name="Normal 2 5 8 2 2 3 2 2" xfId="41679" xr:uid="{00000000-0005-0000-0000-00001A590000}"/>
    <cellStyle name="Normal 2 5 8 2 2 3 3" xfId="29246" xr:uid="{00000000-0005-0000-0000-00001B590000}"/>
    <cellStyle name="Normal 2 5 8 2 2 4" xfId="14236" xr:uid="{00000000-0005-0000-0000-00001C590000}"/>
    <cellStyle name="Normal 2 5 8 2 2 4 2" xfId="39110" xr:uid="{00000000-0005-0000-0000-00001D590000}"/>
    <cellStyle name="Normal 2 5 8 2 2 5" xfId="26669" xr:uid="{00000000-0005-0000-0000-00001E590000}"/>
    <cellStyle name="Normal 2 5 8 2 3" xfId="5581" xr:uid="{00000000-0005-0000-0000-00001F590000}"/>
    <cellStyle name="Normal 2 5 8 2 3 2" xfId="10597" xr:uid="{00000000-0005-0000-0000-000020590000}"/>
    <cellStyle name="Normal 2 5 8 2 3 2 2" xfId="23040" xr:uid="{00000000-0005-0000-0000-000021590000}"/>
    <cellStyle name="Normal 2 5 8 2 3 2 2 2" xfId="47914" xr:uid="{00000000-0005-0000-0000-000022590000}"/>
    <cellStyle name="Normal 2 5 8 2 3 2 3" xfId="35481" xr:uid="{00000000-0005-0000-0000-000023590000}"/>
    <cellStyle name="Normal 2 5 8 2 3 3" xfId="18033" xr:uid="{00000000-0005-0000-0000-000024590000}"/>
    <cellStyle name="Normal 2 5 8 2 3 3 2" xfId="42907" xr:uid="{00000000-0005-0000-0000-000025590000}"/>
    <cellStyle name="Normal 2 5 8 2 3 4" xfId="30474" xr:uid="{00000000-0005-0000-0000-000026590000}"/>
    <cellStyle name="Normal 2 5 8 2 4" xfId="8485" xr:uid="{00000000-0005-0000-0000-000027590000}"/>
    <cellStyle name="Normal 2 5 8 2 4 2" xfId="20929" xr:uid="{00000000-0005-0000-0000-000028590000}"/>
    <cellStyle name="Normal 2 5 8 2 4 2 2" xfId="45803" xr:uid="{00000000-0005-0000-0000-000029590000}"/>
    <cellStyle name="Normal 2 5 8 2 4 3" xfId="33370" xr:uid="{00000000-0005-0000-0000-00002A590000}"/>
    <cellStyle name="Normal 2 5 8 2 5" xfId="12051" xr:uid="{00000000-0005-0000-0000-00002B590000}"/>
    <cellStyle name="Normal 2 5 8 2 5 2" xfId="24485" xr:uid="{00000000-0005-0000-0000-00002C590000}"/>
    <cellStyle name="Normal 2 5 8 2 5 2 2" xfId="49359" xr:uid="{00000000-0005-0000-0000-00002D590000}"/>
    <cellStyle name="Normal 2 5 8 2 5 3" xfId="36926" xr:uid="{00000000-0005-0000-0000-00002E590000}"/>
    <cellStyle name="Normal 2 5 8 2 6" xfId="6962" xr:uid="{00000000-0005-0000-0000-00002F590000}"/>
    <cellStyle name="Normal 2 5 8 2 6 2" xfId="19411" xr:uid="{00000000-0005-0000-0000-000030590000}"/>
    <cellStyle name="Normal 2 5 8 2 6 2 2" xfId="44285" xr:uid="{00000000-0005-0000-0000-000031590000}"/>
    <cellStyle name="Normal 2 5 8 2 6 3" xfId="31852" xr:uid="{00000000-0005-0000-0000-000032590000}"/>
    <cellStyle name="Normal 2 5 8 2 7" xfId="3416" xr:uid="{00000000-0005-0000-0000-000033590000}"/>
    <cellStyle name="Normal 2 5 8 2 7 2" xfId="15922" xr:uid="{00000000-0005-0000-0000-000034590000}"/>
    <cellStyle name="Normal 2 5 8 2 7 2 2" xfId="40796" xr:uid="{00000000-0005-0000-0000-000035590000}"/>
    <cellStyle name="Normal 2 5 8 2 7 3" xfId="28355" xr:uid="{00000000-0005-0000-0000-000036590000}"/>
    <cellStyle name="Normal 2 5 8 2 8" xfId="13679" xr:uid="{00000000-0005-0000-0000-000037590000}"/>
    <cellStyle name="Normal 2 5 8 2 8 2" xfId="38553" xr:uid="{00000000-0005-0000-0000-000038590000}"/>
    <cellStyle name="Normal 2 5 8 2 9" xfId="26112" xr:uid="{00000000-0005-0000-0000-000039590000}"/>
    <cellStyle name="Normal 2 5 8 3" xfId="1784" xr:uid="{00000000-0005-0000-0000-00003A590000}"/>
    <cellStyle name="Normal 2 5 8 3 2" xfId="4522" xr:uid="{00000000-0005-0000-0000-00003B590000}"/>
    <cellStyle name="Normal 2 5 8 3 2 2" xfId="9540" xr:uid="{00000000-0005-0000-0000-00003C590000}"/>
    <cellStyle name="Normal 2 5 8 3 2 2 2" xfId="21983" xr:uid="{00000000-0005-0000-0000-00003D590000}"/>
    <cellStyle name="Normal 2 5 8 3 2 2 2 2" xfId="46857" xr:uid="{00000000-0005-0000-0000-00003E590000}"/>
    <cellStyle name="Normal 2 5 8 3 2 2 3" xfId="34424" xr:uid="{00000000-0005-0000-0000-00003F590000}"/>
    <cellStyle name="Normal 2 5 8 3 2 3" xfId="16976" xr:uid="{00000000-0005-0000-0000-000040590000}"/>
    <cellStyle name="Normal 2 5 8 3 2 3 2" xfId="41850" xr:uid="{00000000-0005-0000-0000-000041590000}"/>
    <cellStyle name="Normal 2 5 8 3 2 4" xfId="29417" xr:uid="{00000000-0005-0000-0000-000042590000}"/>
    <cellStyle name="Normal 2 5 8 3 3" xfId="5930" xr:uid="{00000000-0005-0000-0000-000043590000}"/>
    <cellStyle name="Normal 2 5 8 3 3 2" xfId="10945" xr:uid="{00000000-0005-0000-0000-000044590000}"/>
    <cellStyle name="Normal 2 5 8 3 3 2 2" xfId="23388" xr:uid="{00000000-0005-0000-0000-000045590000}"/>
    <cellStyle name="Normal 2 5 8 3 3 2 2 2" xfId="48262" xr:uid="{00000000-0005-0000-0000-000046590000}"/>
    <cellStyle name="Normal 2 5 8 3 3 2 3" xfId="35829" xr:uid="{00000000-0005-0000-0000-000047590000}"/>
    <cellStyle name="Normal 2 5 8 3 3 3" xfId="18381" xr:uid="{00000000-0005-0000-0000-000048590000}"/>
    <cellStyle name="Normal 2 5 8 3 3 3 2" xfId="43255" xr:uid="{00000000-0005-0000-0000-000049590000}"/>
    <cellStyle name="Normal 2 5 8 3 3 4" xfId="30822" xr:uid="{00000000-0005-0000-0000-00004A590000}"/>
    <cellStyle name="Normal 2 5 8 3 4" xfId="8656" xr:uid="{00000000-0005-0000-0000-00004B590000}"/>
    <cellStyle name="Normal 2 5 8 3 4 2" xfId="21100" xr:uid="{00000000-0005-0000-0000-00004C590000}"/>
    <cellStyle name="Normal 2 5 8 3 4 2 2" xfId="45974" xr:uid="{00000000-0005-0000-0000-00004D590000}"/>
    <cellStyle name="Normal 2 5 8 3 4 3" xfId="33541" xr:uid="{00000000-0005-0000-0000-00004E590000}"/>
    <cellStyle name="Normal 2 5 8 3 5" xfId="12399" xr:uid="{00000000-0005-0000-0000-00004F590000}"/>
    <cellStyle name="Normal 2 5 8 3 5 2" xfId="24833" xr:uid="{00000000-0005-0000-0000-000050590000}"/>
    <cellStyle name="Normal 2 5 8 3 5 2 2" xfId="49707" xr:uid="{00000000-0005-0000-0000-000051590000}"/>
    <cellStyle name="Normal 2 5 8 3 5 3" xfId="37274" xr:uid="{00000000-0005-0000-0000-000052590000}"/>
    <cellStyle name="Normal 2 5 8 3 6" xfId="7133" xr:uid="{00000000-0005-0000-0000-000053590000}"/>
    <cellStyle name="Normal 2 5 8 3 6 2" xfId="19582" xr:uid="{00000000-0005-0000-0000-000054590000}"/>
    <cellStyle name="Normal 2 5 8 3 6 2 2" xfId="44456" xr:uid="{00000000-0005-0000-0000-000055590000}"/>
    <cellStyle name="Normal 2 5 8 3 6 3" xfId="32023" xr:uid="{00000000-0005-0000-0000-000056590000}"/>
    <cellStyle name="Normal 2 5 8 3 7" xfId="3587" xr:uid="{00000000-0005-0000-0000-000057590000}"/>
    <cellStyle name="Normal 2 5 8 3 7 2" xfId="16093" xr:uid="{00000000-0005-0000-0000-000058590000}"/>
    <cellStyle name="Normal 2 5 8 3 7 2 2" xfId="40967" xr:uid="{00000000-0005-0000-0000-000059590000}"/>
    <cellStyle name="Normal 2 5 8 3 7 3" xfId="28526" xr:uid="{00000000-0005-0000-0000-00005A590000}"/>
    <cellStyle name="Normal 2 5 8 3 8" xfId="14584" xr:uid="{00000000-0005-0000-0000-00005B590000}"/>
    <cellStyle name="Normal 2 5 8 3 8 2" xfId="39458" xr:uid="{00000000-0005-0000-0000-00005C590000}"/>
    <cellStyle name="Normal 2 5 8 3 9" xfId="27017" xr:uid="{00000000-0005-0000-0000-00005D590000}"/>
    <cellStyle name="Normal 2 5 8 4" xfId="2437" xr:uid="{00000000-0005-0000-0000-00005E590000}"/>
    <cellStyle name="Normal 2 5 8 4 2" xfId="5061" xr:uid="{00000000-0005-0000-0000-00005F590000}"/>
    <cellStyle name="Normal 2 5 8 4 2 2" xfId="10078" xr:uid="{00000000-0005-0000-0000-000060590000}"/>
    <cellStyle name="Normal 2 5 8 4 2 2 2" xfId="22521" xr:uid="{00000000-0005-0000-0000-000061590000}"/>
    <cellStyle name="Normal 2 5 8 4 2 2 2 2" xfId="47395" xr:uid="{00000000-0005-0000-0000-000062590000}"/>
    <cellStyle name="Normal 2 5 8 4 2 2 3" xfId="34962" xr:uid="{00000000-0005-0000-0000-000063590000}"/>
    <cellStyle name="Normal 2 5 8 4 2 3" xfId="17514" xr:uid="{00000000-0005-0000-0000-000064590000}"/>
    <cellStyle name="Normal 2 5 8 4 2 3 2" xfId="42388" xr:uid="{00000000-0005-0000-0000-000065590000}"/>
    <cellStyle name="Normal 2 5 8 4 2 4" xfId="29955" xr:uid="{00000000-0005-0000-0000-000066590000}"/>
    <cellStyle name="Normal 2 5 8 4 3" xfId="6459" xr:uid="{00000000-0005-0000-0000-000067590000}"/>
    <cellStyle name="Normal 2 5 8 4 3 2" xfId="11474" xr:uid="{00000000-0005-0000-0000-000068590000}"/>
    <cellStyle name="Normal 2 5 8 4 3 2 2" xfId="23917" xr:uid="{00000000-0005-0000-0000-000069590000}"/>
    <cellStyle name="Normal 2 5 8 4 3 2 2 2" xfId="48791" xr:uid="{00000000-0005-0000-0000-00006A590000}"/>
    <cellStyle name="Normal 2 5 8 4 3 2 3" xfId="36358" xr:uid="{00000000-0005-0000-0000-00006B590000}"/>
    <cellStyle name="Normal 2 5 8 4 3 3" xfId="18910" xr:uid="{00000000-0005-0000-0000-00006C590000}"/>
    <cellStyle name="Normal 2 5 8 4 3 3 2" xfId="43784" xr:uid="{00000000-0005-0000-0000-00006D590000}"/>
    <cellStyle name="Normal 2 5 8 4 3 4" xfId="31351" xr:uid="{00000000-0005-0000-0000-00006E590000}"/>
    <cellStyle name="Normal 2 5 8 4 4" xfId="8166" xr:uid="{00000000-0005-0000-0000-00006F590000}"/>
    <cellStyle name="Normal 2 5 8 4 4 2" xfId="20612" xr:uid="{00000000-0005-0000-0000-000070590000}"/>
    <cellStyle name="Normal 2 5 8 4 4 2 2" xfId="45486" xr:uid="{00000000-0005-0000-0000-000071590000}"/>
    <cellStyle name="Normal 2 5 8 4 4 3" xfId="33053" xr:uid="{00000000-0005-0000-0000-000072590000}"/>
    <cellStyle name="Normal 2 5 8 4 5" xfId="12928" xr:uid="{00000000-0005-0000-0000-000073590000}"/>
    <cellStyle name="Normal 2 5 8 4 5 2" xfId="25362" xr:uid="{00000000-0005-0000-0000-000074590000}"/>
    <cellStyle name="Normal 2 5 8 4 5 2 2" xfId="50236" xr:uid="{00000000-0005-0000-0000-000075590000}"/>
    <cellStyle name="Normal 2 5 8 4 5 3" xfId="37803" xr:uid="{00000000-0005-0000-0000-000076590000}"/>
    <cellStyle name="Normal 2 5 8 4 6" xfId="7672" xr:uid="{00000000-0005-0000-0000-000077590000}"/>
    <cellStyle name="Normal 2 5 8 4 6 2" xfId="20120" xr:uid="{00000000-0005-0000-0000-000078590000}"/>
    <cellStyle name="Normal 2 5 8 4 6 2 2" xfId="44994" xr:uid="{00000000-0005-0000-0000-000079590000}"/>
    <cellStyle name="Normal 2 5 8 4 6 3" xfId="32561" xr:uid="{00000000-0005-0000-0000-00007A590000}"/>
    <cellStyle name="Normal 2 5 8 4 7" xfId="3096" xr:uid="{00000000-0005-0000-0000-00007B590000}"/>
    <cellStyle name="Normal 2 5 8 4 7 2" xfId="15605" xr:uid="{00000000-0005-0000-0000-00007C590000}"/>
    <cellStyle name="Normal 2 5 8 4 7 2 2" xfId="40479" xr:uid="{00000000-0005-0000-0000-00007D590000}"/>
    <cellStyle name="Normal 2 5 8 4 7 3" xfId="28038" xr:uid="{00000000-0005-0000-0000-00007E590000}"/>
    <cellStyle name="Normal 2 5 8 4 8" xfId="15113" xr:uid="{00000000-0005-0000-0000-00007F590000}"/>
    <cellStyle name="Normal 2 5 8 4 8 2" xfId="39987" xr:uid="{00000000-0005-0000-0000-000080590000}"/>
    <cellStyle name="Normal 2 5 8 4 9" xfId="27546" xr:uid="{00000000-0005-0000-0000-000081590000}"/>
    <cellStyle name="Normal 2 5 8 5" xfId="1270" xr:uid="{00000000-0005-0000-0000-000082590000}"/>
    <cellStyle name="Normal 2 5 8 5 2" xfId="9052" xr:uid="{00000000-0005-0000-0000-000083590000}"/>
    <cellStyle name="Normal 2 5 8 5 2 2" xfId="21495" xr:uid="{00000000-0005-0000-0000-000084590000}"/>
    <cellStyle name="Normal 2 5 8 5 2 2 2" xfId="46369" xr:uid="{00000000-0005-0000-0000-000085590000}"/>
    <cellStyle name="Normal 2 5 8 5 2 3" xfId="33936" xr:uid="{00000000-0005-0000-0000-000086590000}"/>
    <cellStyle name="Normal 2 5 8 5 3" xfId="4034" xr:uid="{00000000-0005-0000-0000-000087590000}"/>
    <cellStyle name="Normal 2 5 8 5 3 2" xfId="16488" xr:uid="{00000000-0005-0000-0000-000088590000}"/>
    <cellStyle name="Normal 2 5 8 5 3 2 2" xfId="41362" xr:uid="{00000000-0005-0000-0000-000089590000}"/>
    <cellStyle name="Normal 2 5 8 5 3 3" xfId="28929" xr:uid="{00000000-0005-0000-0000-00008A590000}"/>
    <cellStyle name="Normal 2 5 8 5 4" xfId="14070" xr:uid="{00000000-0005-0000-0000-00008B590000}"/>
    <cellStyle name="Normal 2 5 8 5 4 2" xfId="38944" xr:uid="{00000000-0005-0000-0000-00008C590000}"/>
    <cellStyle name="Normal 2 5 8 5 5" xfId="26503" xr:uid="{00000000-0005-0000-0000-00008D590000}"/>
    <cellStyle name="Normal 2 5 8 6" xfId="5415" xr:uid="{00000000-0005-0000-0000-00008E590000}"/>
    <cellStyle name="Normal 2 5 8 6 2" xfId="10431" xr:uid="{00000000-0005-0000-0000-00008F590000}"/>
    <cellStyle name="Normal 2 5 8 6 2 2" xfId="22874" xr:uid="{00000000-0005-0000-0000-000090590000}"/>
    <cellStyle name="Normal 2 5 8 6 2 2 2" xfId="47748" xr:uid="{00000000-0005-0000-0000-000091590000}"/>
    <cellStyle name="Normal 2 5 8 6 2 3" xfId="35315" xr:uid="{00000000-0005-0000-0000-000092590000}"/>
    <cellStyle name="Normal 2 5 8 6 3" xfId="17867" xr:uid="{00000000-0005-0000-0000-000093590000}"/>
    <cellStyle name="Normal 2 5 8 6 3 2" xfId="42741" xr:uid="{00000000-0005-0000-0000-000094590000}"/>
    <cellStyle name="Normal 2 5 8 6 4" xfId="30308" xr:uid="{00000000-0005-0000-0000-000095590000}"/>
    <cellStyle name="Normal 2 5 8 7" xfId="7992" xr:uid="{00000000-0005-0000-0000-000096590000}"/>
    <cellStyle name="Normal 2 5 8 7 2" xfId="20438" xr:uid="{00000000-0005-0000-0000-000097590000}"/>
    <cellStyle name="Normal 2 5 8 7 2 2" xfId="45312" xr:uid="{00000000-0005-0000-0000-000098590000}"/>
    <cellStyle name="Normal 2 5 8 7 3" xfId="32879" xr:uid="{00000000-0005-0000-0000-000099590000}"/>
    <cellStyle name="Normal 2 5 8 8" xfId="11885" xr:uid="{00000000-0005-0000-0000-00009A590000}"/>
    <cellStyle name="Normal 2 5 8 8 2" xfId="24319" xr:uid="{00000000-0005-0000-0000-00009B590000}"/>
    <cellStyle name="Normal 2 5 8 8 2 2" xfId="49193" xr:uid="{00000000-0005-0000-0000-00009C590000}"/>
    <cellStyle name="Normal 2 5 8 8 3" xfId="36760" xr:uid="{00000000-0005-0000-0000-00009D590000}"/>
    <cellStyle name="Normal 2 5 8 9" xfId="6645" xr:uid="{00000000-0005-0000-0000-00009E590000}"/>
    <cellStyle name="Normal 2 5 8 9 2" xfId="19094" xr:uid="{00000000-0005-0000-0000-00009F590000}"/>
    <cellStyle name="Normal 2 5 8 9 2 2" xfId="43968" xr:uid="{00000000-0005-0000-0000-0000A0590000}"/>
    <cellStyle name="Normal 2 5 8 9 3" xfId="31535" xr:uid="{00000000-0005-0000-0000-0000A1590000}"/>
    <cellStyle name="Normal 2 5 8_Degree data" xfId="1984" xr:uid="{00000000-0005-0000-0000-0000A2590000}"/>
    <cellStyle name="Normal 2 5 9" xfId="355" xr:uid="{00000000-0005-0000-0000-0000A3590000}"/>
    <cellStyle name="Normal 2 5 9 10" xfId="13171" xr:uid="{00000000-0005-0000-0000-0000A4590000}"/>
    <cellStyle name="Normal 2 5 9 10 2" xfId="38045" xr:uid="{00000000-0005-0000-0000-0000A5590000}"/>
    <cellStyle name="Normal 2 5 9 11" xfId="25604" xr:uid="{00000000-0005-0000-0000-0000A6590000}"/>
    <cellStyle name="Normal 2 5 9 2" xfId="715" xr:uid="{00000000-0005-0000-0000-0000A7590000}"/>
    <cellStyle name="Normal 2 5 9 2 2" xfId="1437" xr:uid="{00000000-0005-0000-0000-0000A8590000}"/>
    <cellStyle name="Normal 2 5 9 2 2 2" xfId="9541" xr:uid="{00000000-0005-0000-0000-0000A9590000}"/>
    <cellStyle name="Normal 2 5 9 2 2 2 2" xfId="21984" xr:uid="{00000000-0005-0000-0000-0000AA590000}"/>
    <cellStyle name="Normal 2 5 9 2 2 2 2 2" xfId="46858" xr:uid="{00000000-0005-0000-0000-0000AB590000}"/>
    <cellStyle name="Normal 2 5 9 2 2 2 3" xfId="34425" xr:uid="{00000000-0005-0000-0000-0000AC590000}"/>
    <cellStyle name="Normal 2 5 9 2 2 3" xfId="4523" xr:uid="{00000000-0005-0000-0000-0000AD590000}"/>
    <cellStyle name="Normal 2 5 9 2 2 3 2" xfId="16977" xr:uid="{00000000-0005-0000-0000-0000AE590000}"/>
    <cellStyle name="Normal 2 5 9 2 2 3 2 2" xfId="41851" xr:uid="{00000000-0005-0000-0000-0000AF590000}"/>
    <cellStyle name="Normal 2 5 9 2 2 3 3" xfId="29418" xr:uid="{00000000-0005-0000-0000-0000B0590000}"/>
    <cellStyle name="Normal 2 5 9 2 2 4" xfId="14237" xr:uid="{00000000-0005-0000-0000-0000B1590000}"/>
    <cellStyle name="Normal 2 5 9 2 2 4 2" xfId="39111" xr:uid="{00000000-0005-0000-0000-0000B2590000}"/>
    <cellStyle name="Normal 2 5 9 2 2 5" xfId="26670" xr:uid="{00000000-0005-0000-0000-0000B3590000}"/>
    <cellStyle name="Normal 2 5 9 2 3" xfId="5582" xr:uid="{00000000-0005-0000-0000-0000B4590000}"/>
    <cellStyle name="Normal 2 5 9 2 3 2" xfId="10598" xr:uid="{00000000-0005-0000-0000-0000B5590000}"/>
    <cellStyle name="Normal 2 5 9 2 3 2 2" xfId="23041" xr:uid="{00000000-0005-0000-0000-0000B6590000}"/>
    <cellStyle name="Normal 2 5 9 2 3 2 2 2" xfId="47915" xr:uid="{00000000-0005-0000-0000-0000B7590000}"/>
    <cellStyle name="Normal 2 5 9 2 3 2 3" xfId="35482" xr:uid="{00000000-0005-0000-0000-0000B8590000}"/>
    <cellStyle name="Normal 2 5 9 2 3 3" xfId="18034" xr:uid="{00000000-0005-0000-0000-0000B9590000}"/>
    <cellStyle name="Normal 2 5 9 2 3 3 2" xfId="42908" xr:uid="{00000000-0005-0000-0000-0000BA590000}"/>
    <cellStyle name="Normal 2 5 9 2 3 4" xfId="30475" xr:uid="{00000000-0005-0000-0000-0000BB590000}"/>
    <cellStyle name="Normal 2 5 9 2 4" xfId="8657" xr:uid="{00000000-0005-0000-0000-0000BC590000}"/>
    <cellStyle name="Normal 2 5 9 2 4 2" xfId="21101" xr:uid="{00000000-0005-0000-0000-0000BD590000}"/>
    <cellStyle name="Normal 2 5 9 2 4 2 2" xfId="45975" xr:uid="{00000000-0005-0000-0000-0000BE590000}"/>
    <cellStyle name="Normal 2 5 9 2 4 3" xfId="33542" xr:uid="{00000000-0005-0000-0000-0000BF590000}"/>
    <cellStyle name="Normal 2 5 9 2 5" xfId="12052" xr:uid="{00000000-0005-0000-0000-0000C0590000}"/>
    <cellStyle name="Normal 2 5 9 2 5 2" xfId="24486" xr:uid="{00000000-0005-0000-0000-0000C1590000}"/>
    <cellStyle name="Normal 2 5 9 2 5 2 2" xfId="49360" xr:uid="{00000000-0005-0000-0000-0000C2590000}"/>
    <cellStyle name="Normal 2 5 9 2 5 3" xfId="36927" xr:uid="{00000000-0005-0000-0000-0000C3590000}"/>
    <cellStyle name="Normal 2 5 9 2 6" xfId="7134" xr:uid="{00000000-0005-0000-0000-0000C4590000}"/>
    <cellStyle name="Normal 2 5 9 2 6 2" xfId="19583" xr:uid="{00000000-0005-0000-0000-0000C5590000}"/>
    <cellStyle name="Normal 2 5 9 2 6 2 2" xfId="44457" xr:uid="{00000000-0005-0000-0000-0000C6590000}"/>
    <cellStyle name="Normal 2 5 9 2 6 3" xfId="32024" xr:uid="{00000000-0005-0000-0000-0000C7590000}"/>
    <cellStyle name="Normal 2 5 9 2 7" xfId="3588" xr:uid="{00000000-0005-0000-0000-0000C8590000}"/>
    <cellStyle name="Normal 2 5 9 2 7 2" xfId="16094" xr:uid="{00000000-0005-0000-0000-0000C9590000}"/>
    <cellStyle name="Normal 2 5 9 2 7 2 2" xfId="40968" xr:uid="{00000000-0005-0000-0000-0000CA590000}"/>
    <cellStyle name="Normal 2 5 9 2 7 3" xfId="28527" xr:uid="{00000000-0005-0000-0000-0000CB590000}"/>
    <cellStyle name="Normal 2 5 9 2 8" xfId="13518" xr:uid="{00000000-0005-0000-0000-0000CC590000}"/>
    <cellStyle name="Normal 2 5 9 2 8 2" xfId="38392" xr:uid="{00000000-0005-0000-0000-0000CD590000}"/>
    <cellStyle name="Normal 2 5 9 2 9" xfId="25951" xr:uid="{00000000-0005-0000-0000-0000CE590000}"/>
    <cellStyle name="Normal 2 5 9 3" xfId="1785" xr:uid="{00000000-0005-0000-0000-0000CF590000}"/>
    <cellStyle name="Normal 2 5 9 3 2" xfId="4900" xr:uid="{00000000-0005-0000-0000-0000D0590000}"/>
    <cellStyle name="Normal 2 5 9 3 2 2" xfId="9917" xr:uid="{00000000-0005-0000-0000-0000D1590000}"/>
    <cellStyle name="Normal 2 5 9 3 2 2 2" xfId="22360" xr:uid="{00000000-0005-0000-0000-0000D2590000}"/>
    <cellStyle name="Normal 2 5 9 3 2 2 2 2" xfId="47234" xr:uid="{00000000-0005-0000-0000-0000D3590000}"/>
    <cellStyle name="Normal 2 5 9 3 2 2 3" xfId="34801" xr:uid="{00000000-0005-0000-0000-0000D4590000}"/>
    <cellStyle name="Normal 2 5 9 3 2 3" xfId="17353" xr:uid="{00000000-0005-0000-0000-0000D5590000}"/>
    <cellStyle name="Normal 2 5 9 3 2 3 2" xfId="42227" xr:uid="{00000000-0005-0000-0000-0000D6590000}"/>
    <cellStyle name="Normal 2 5 9 3 2 4" xfId="29794" xr:uid="{00000000-0005-0000-0000-0000D7590000}"/>
    <cellStyle name="Normal 2 5 9 3 3" xfId="5931" xr:uid="{00000000-0005-0000-0000-0000D8590000}"/>
    <cellStyle name="Normal 2 5 9 3 3 2" xfId="10946" xr:uid="{00000000-0005-0000-0000-0000D9590000}"/>
    <cellStyle name="Normal 2 5 9 3 3 2 2" xfId="23389" xr:uid="{00000000-0005-0000-0000-0000DA590000}"/>
    <cellStyle name="Normal 2 5 9 3 3 2 2 2" xfId="48263" xr:uid="{00000000-0005-0000-0000-0000DB590000}"/>
    <cellStyle name="Normal 2 5 9 3 3 2 3" xfId="35830" xr:uid="{00000000-0005-0000-0000-0000DC590000}"/>
    <cellStyle name="Normal 2 5 9 3 3 3" xfId="18382" xr:uid="{00000000-0005-0000-0000-0000DD590000}"/>
    <cellStyle name="Normal 2 5 9 3 3 3 2" xfId="43256" xr:uid="{00000000-0005-0000-0000-0000DE590000}"/>
    <cellStyle name="Normal 2 5 9 3 3 4" xfId="30823" xr:uid="{00000000-0005-0000-0000-0000DF590000}"/>
    <cellStyle name="Normal 2 5 9 3 4" xfId="8324" xr:uid="{00000000-0005-0000-0000-0000E0590000}"/>
    <cellStyle name="Normal 2 5 9 3 4 2" xfId="20768" xr:uid="{00000000-0005-0000-0000-0000E1590000}"/>
    <cellStyle name="Normal 2 5 9 3 4 2 2" xfId="45642" xr:uid="{00000000-0005-0000-0000-0000E2590000}"/>
    <cellStyle name="Normal 2 5 9 3 4 3" xfId="33209" xr:uid="{00000000-0005-0000-0000-0000E3590000}"/>
    <cellStyle name="Normal 2 5 9 3 5" xfId="12400" xr:uid="{00000000-0005-0000-0000-0000E4590000}"/>
    <cellStyle name="Normal 2 5 9 3 5 2" xfId="24834" xr:uid="{00000000-0005-0000-0000-0000E5590000}"/>
    <cellStyle name="Normal 2 5 9 3 5 2 2" xfId="49708" xr:uid="{00000000-0005-0000-0000-0000E6590000}"/>
    <cellStyle name="Normal 2 5 9 3 5 3" xfId="37275" xr:uid="{00000000-0005-0000-0000-0000E7590000}"/>
    <cellStyle name="Normal 2 5 9 3 6" xfId="7511" xr:uid="{00000000-0005-0000-0000-0000E8590000}"/>
    <cellStyle name="Normal 2 5 9 3 6 2" xfId="19959" xr:uid="{00000000-0005-0000-0000-0000E9590000}"/>
    <cellStyle name="Normal 2 5 9 3 6 2 2" xfId="44833" xr:uid="{00000000-0005-0000-0000-0000EA590000}"/>
    <cellStyle name="Normal 2 5 9 3 6 3" xfId="32400" xr:uid="{00000000-0005-0000-0000-0000EB590000}"/>
    <cellStyle name="Normal 2 5 9 3 7" xfId="3255" xr:uid="{00000000-0005-0000-0000-0000EC590000}"/>
    <cellStyle name="Normal 2 5 9 3 7 2" xfId="15761" xr:uid="{00000000-0005-0000-0000-0000ED590000}"/>
    <cellStyle name="Normal 2 5 9 3 7 2 2" xfId="40635" xr:uid="{00000000-0005-0000-0000-0000EE590000}"/>
    <cellStyle name="Normal 2 5 9 3 7 3" xfId="28194" xr:uid="{00000000-0005-0000-0000-0000EF590000}"/>
    <cellStyle name="Normal 2 5 9 3 8" xfId="14585" xr:uid="{00000000-0005-0000-0000-0000F0590000}"/>
    <cellStyle name="Normal 2 5 9 3 8 2" xfId="39459" xr:uid="{00000000-0005-0000-0000-0000F1590000}"/>
    <cellStyle name="Normal 2 5 9 3 9" xfId="27018" xr:uid="{00000000-0005-0000-0000-0000F2590000}"/>
    <cellStyle name="Normal 2 5 9 4" xfId="2273" xr:uid="{00000000-0005-0000-0000-0000F3590000}"/>
    <cellStyle name="Normal 2 5 9 4 2" xfId="6298" xr:uid="{00000000-0005-0000-0000-0000F4590000}"/>
    <cellStyle name="Normal 2 5 9 4 2 2" xfId="11313" xr:uid="{00000000-0005-0000-0000-0000F5590000}"/>
    <cellStyle name="Normal 2 5 9 4 2 2 2" xfId="23756" xr:uid="{00000000-0005-0000-0000-0000F6590000}"/>
    <cellStyle name="Normal 2 5 9 4 2 2 2 2" xfId="48630" xr:uid="{00000000-0005-0000-0000-0000F7590000}"/>
    <cellStyle name="Normal 2 5 9 4 2 2 3" xfId="36197" xr:uid="{00000000-0005-0000-0000-0000F8590000}"/>
    <cellStyle name="Normal 2 5 9 4 2 3" xfId="18749" xr:uid="{00000000-0005-0000-0000-0000F9590000}"/>
    <cellStyle name="Normal 2 5 9 4 2 3 2" xfId="43623" xr:uid="{00000000-0005-0000-0000-0000FA590000}"/>
    <cellStyle name="Normal 2 5 9 4 2 4" xfId="31190" xr:uid="{00000000-0005-0000-0000-0000FB590000}"/>
    <cellStyle name="Normal 2 5 9 4 3" xfId="12767" xr:uid="{00000000-0005-0000-0000-0000FC590000}"/>
    <cellStyle name="Normal 2 5 9 4 3 2" xfId="25201" xr:uid="{00000000-0005-0000-0000-0000FD590000}"/>
    <cellStyle name="Normal 2 5 9 4 3 2 2" xfId="50075" xr:uid="{00000000-0005-0000-0000-0000FE590000}"/>
    <cellStyle name="Normal 2 5 9 4 3 3" xfId="37642" xr:uid="{00000000-0005-0000-0000-0000FF590000}"/>
    <cellStyle name="Normal 2 5 9 4 4" xfId="9208" xr:uid="{00000000-0005-0000-0000-0000005A0000}"/>
    <cellStyle name="Normal 2 5 9 4 4 2" xfId="21651" xr:uid="{00000000-0005-0000-0000-0000015A0000}"/>
    <cellStyle name="Normal 2 5 9 4 4 2 2" xfId="46525" xr:uid="{00000000-0005-0000-0000-0000025A0000}"/>
    <cellStyle name="Normal 2 5 9 4 4 3" xfId="34092" xr:uid="{00000000-0005-0000-0000-0000035A0000}"/>
    <cellStyle name="Normal 2 5 9 4 5" xfId="4190" xr:uid="{00000000-0005-0000-0000-0000045A0000}"/>
    <cellStyle name="Normal 2 5 9 4 5 2" xfId="16644" xr:uid="{00000000-0005-0000-0000-0000055A0000}"/>
    <cellStyle name="Normal 2 5 9 4 5 2 2" xfId="41518" xr:uid="{00000000-0005-0000-0000-0000065A0000}"/>
    <cellStyle name="Normal 2 5 9 4 5 3" xfId="29085" xr:uid="{00000000-0005-0000-0000-0000075A0000}"/>
    <cellStyle name="Normal 2 5 9 4 6" xfId="14952" xr:uid="{00000000-0005-0000-0000-0000085A0000}"/>
    <cellStyle name="Normal 2 5 9 4 6 2" xfId="39826" xr:uid="{00000000-0005-0000-0000-0000095A0000}"/>
    <cellStyle name="Normal 2 5 9 4 7" xfId="27385" xr:uid="{00000000-0005-0000-0000-00000A5A0000}"/>
    <cellStyle name="Normal 2 5 9 5" xfId="1109" xr:uid="{00000000-0005-0000-0000-00000B5A0000}"/>
    <cellStyle name="Normal 2 5 9 5 2" xfId="10270" xr:uid="{00000000-0005-0000-0000-00000C5A0000}"/>
    <cellStyle name="Normal 2 5 9 5 2 2" xfId="22713" xr:uid="{00000000-0005-0000-0000-00000D5A0000}"/>
    <cellStyle name="Normal 2 5 9 5 2 2 2" xfId="47587" xr:uid="{00000000-0005-0000-0000-00000E5A0000}"/>
    <cellStyle name="Normal 2 5 9 5 2 3" xfId="35154" xr:uid="{00000000-0005-0000-0000-00000F5A0000}"/>
    <cellStyle name="Normal 2 5 9 5 3" xfId="5254" xr:uid="{00000000-0005-0000-0000-0000105A0000}"/>
    <cellStyle name="Normal 2 5 9 5 3 2" xfId="17706" xr:uid="{00000000-0005-0000-0000-0000115A0000}"/>
    <cellStyle name="Normal 2 5 9 5 3 2 2" xfId="42580" xr:uid="{00000000-0005-0000-0000-0000125A0000}"/>
    <cellStyle name="Normal 2 5 9 5 3 3" xfId="30147" xr:uid="{00000000-0005-0000-0000-0000135A0000}"/>
    <cellStyle name="Normal 2 5 9 5 4" xfId="13909" xr:uid="{00000000-0005-0000-0000-0000145A0000}"/>
    <cellStyle name="Normal 2 5 9 5 4 2" xfId="38783" xr:uid="{00000000-0005-0000-0000-0000155A0000}"/>
    <cellStyle name="Normal 2 5 9 5 5" xfId="26342" xr:uid="{00000000-0005-0000-0000-0000165A0000}"/>
    <cellStyle name="Normal 2 5 9 6" xfId="7831" xr:uid="{00000000-0005-0000-0000-0000175A0000}"/>
    <cellStyle name="Normal 2 5 9 6 2" xfId="20277" xr:uid="{00000000-0005-0000-0000-0000185A0000}"/>
    <cellStyle name="Normal 2 5 9 6 2 2" xfId="45151" xr:uid="{00000000-0005-0000-0000-0000195A0000}"/>
    <cellStyle name="Normal 2 5 9 6 3" xfId="32718" xr:uid="{00000000-0005-0000-0000-00001A5A0000}"/>
    <cellStyle name="Normal 2 5 9 7" xfId="11724" xr:uid="{00000000-0005-0000-0000-00001B5A0000}"/>
    <cellStyle name="Normal 2 5 9 7 2" xfId="24158" xr:uid="{00000000-0005-0000-0000-00001C5A0000}"/>
    <cellStyle name="Normal 2 5 9 7 2 2" xfId="49032" xr:uid="{00000000-0005-0000-0000-00001D5A0000}"/>
    <cellStyle name="Normal 2 5 9 7 3" xfId="36599" xr:uid="{00000000-0005-0000-0000-00001E5A0000}"/>
    <cellStyle name="Normal 2 5 9 8" xfId="6801" xr:uid="{00000000-0005-0000-0000-00001F5A0000}"/>
    <cellStyle name="Normal 2 5 9 8 2" xfId="19250" xr:uid="{00000000-0005-0000-0000-0000205A0000}"/>
    <cellStyle name="Normal 2 5 9 8 2 2" xfId="44124" xr:uid="{00000000-0005-0000-0000-0000215A0000}"/>
    <cellStyle name="Normal 2 5 9 8 3" xfId="31691" xr:uid="{00000000-0005-0000-0000-0000225A0000}"/>
    <cellStyle name="Normal 2 5 9 9" xfId="2752" xr:uid="{00000000-0005-0000-0000-0000235A0000}"/>
    <cellStyle name="Normal 2 5 9 9 2" xfId="15270" xr:uid="{00000000-0005-0000-0000-0000245A0000}"/>
    <cellStyle name="Normal 2 5 9 9 2 2" xfId="40144" xr:uid="{00000000-0005-0000-0000-0000255A0000}"/>
    <cellStyle name="Normal 2 5 9 9 3" xfId="27703" xr:uid="{00000000-0005-0000-0000-0000265A0000}"/>
    <cellStyle name="Normal 2 5 9_Degree data" xfId="1983" xr:uid="{00000000-0005-0000-0000-0000275A0000}"/>
    <cellStyle name="Normal 2 5_Degree data" xfId="2325" xr:uid="{00000000-0005-0000-0000-0000285A0000}"/>
    <cellStyle name="Normal 2 6" xfId="52" xr:uid="{00000000-0005-0000-0000-0000295A0000}"/>
    <cellStyle name="Normal 2 6 2" xfId="523" xr:uid="{00000000-0005-0000-0000-00002A5A0000}"/>
    <cellStyle name="Normal 2 6 3" xfId="3099" xr:uid="{00000000-0005-0000-0000-00002B5A0000}"/>
    <cellStyle name="Normal 2 6_Degree data" xfId="1982" xr:uid="{00000000-0005-0000-0000-00002C5A0000}"/>
    <cellStyle name="Normal 2 7" xfId="3821" xr:uid="{00000000-0005-0000-0000-00002D5A0000}"/>
    <cellStyle name="Normal 20" xfId="43" xr:uid="{00000000-0005-0000-0000-00002E5A0000}"/>
    <cellStyle name="Normal 21" xfId="44" xr:uid="{00000000-0005-0000-0000-00002F5A0000}"/>
    <cellStyle name="Normal 22" xfId="45" xr:uid="{00000000-0005-0000-0000-0000305A0000}"/>
    <cellStyle name="Normal 23" xfId="46" xr:uid="{00000000-0005-0000-0000-0000315A0000}"/>
    <cellStyle name="Normal 24" xfId="107" xr:uid="{00000000-0005-0000-0000-0000325A0000}"/>
    <cellStyle name="Normal 25" xfId="47" xr:uid="{00000000-0005-0000-0000-0000335A0000}"/>
    <cellStyle name="Normal 26" xfId="48" xr:uid="{00000000-0005-0000-0000-0000345A0000}"/>
    <cellStyle name="Normal 27" xfId="20" xr:uid="{00000000-0005-0000-0000-0000355A0000}"/>
    <cellStyle name="Normal 28" xfId="21" xr:uid="{00000000-0005-0000-0000-0000365A0000}"/>
    <cellStyle name="Normal 29" xfId="22" xr:uid="{00000000-0005-0000-0000-0000375A0000}"/>
    <cellStyle name="Normal 3" xfId="3" xr:uid="{00000000-0005-0000-0000-0000385A0000}"/>
    <cellStyle name="Normal 3 2" xfId="121" xr:uid="{00000000-0005-0000-0000-0000395A0000}"/>
    <cellStyle name="Normal 3 2 2" xfId="526" xr:uid="{00000000-0005-0000-0000-00003A5A0000}"/>
    <cellStyle name="Normal 3 2 2 10" xfId="2917" xr:uid="{00000000-0005-0000-0000-00003B5A0000}"/>
    <cellStyle name="Normal 3 2 2 10 2" xfId="15435" xr:uid="{00000000-0005-0000-0000-00003C5A0000}"/>
    <cellStyle name="Normal 3 2 2 10 2 2" xfId="40309" xr:uid="{00000000-0005-0000-0000-00003D5A0000}"/>
    <cellStyle name="Normal 3 2 2 10 3" xfId="27868" xr:uid="{00000000-0005-0000-0000-00003E5A0000}"/>
    <cellStyle name="Normal 3 2 2 11" xfId="13336" xr:uid="{00000000-0005-0000-0000-00003F5A0000}"/>
    <cellStyle name="Normal 3 2 2 11 2" xfId="38210" xr:uid="{00000000-0005-0000-0000-0000405A0000}"/>
    <cellStyle name="Normal 3 2 2 12" xfId="25769" xr:uid="{00000000-0005-0000-0000-0000415A0000}"/>
    <cellStyle name="Normal 3 2 2 2" xfId="882" xr:uid="{00000000-0005-0000-0000-0000425A0000}"/>
    <cellStyle name="Normal 3 2 2 2 2" xfId="1438" xr:uid="{00000000-0005-0000-0000-0000435A0000}"/>
    <cellStyle name="Normal 3 2 2 2 2 2" xfId="9373" xr:uid="{00000000-0005-0000-0000-0000445A0000}"/>
    <cellStyle name="Normal 3 2 2 2 2 2 2" xfId="21816" xr:uid="{00000000-0005-0000-0000-0000455A0000}"/>
    <cellStyle name="Normal 3 2 2 2 2 2 2 2" xfId="46690" xr:uid="{00000000-0005-0000-0000-0000465A0000}"/>
    <cellStyle name="Normal 3 2 2 2 2 2 3" xfId="34257" xr:uid="{00000000-0005-0000-0000-0000475A0000}"/>
    <cellStyle name="Normal 3 2 2 2 2 3" xfId="4355" xr:uid="{00000000-0005-0000-0000-0000485A0000}"/>
    <cellStyle name="Normal 3 2 2 2 2 3 2" xfId="16809" xr:uid="{00000000-0005-0000-0000-0000495A0000}"/>
    <cellStyle name="Normal 3 2 2 2 2 3 2 2" xfId="41683" xr:uid="{00000000-0005-0000-0000-00004A5A0000}"/>
    <cellStyle name="Normal 3 2 2 2 2 3 3" xfId="29250" xr:uid="{00000000-0005-0000-0000-00004B5A0000}"/>
    <cellStyle name="Normal 3 2 2 2 2 4" xfId="14238" xr:uid="{00000000-0005-0000-0000-00004C5A0000}"/>
    <cellStyle name="Normal 3 2 2 2 2 4 2" xfId="39112" xr:uid="{00000000-0005-0000-0000-00004D5A0000}"/>
    <cellStyle name="Normal 3 2 2 2 2 5" xfId="26671" xr:uid="{00000000-0005-0000-0000-00004E5A0000}"/>
    <cellStyle name="Normal 3 2 2 2 3" xfId="5583" xr:uid="{00000000-0005-0000-0000-00004F5A0000}"/>
    <cellStyle name="Normal 3 2 2 2 3 2" xfId="10599" xr:uid="{00000000-0005-0000-0000-0000505A0000}"/>
    <cellStyle name="Normal 3 2 2 2 3 2 2" xfId="23042" xr:uid="{00000000-0005-0000-0000-0000515A0000}"/>
    <cellStyle name="Normal 3 2 2 2 3 2 2 2" xfId="47916" xr:uid="{00000000-0005-0000-0000-0000525A0000}"/>
    <cellStyle name="Normal 3 2 2 2 3 2 3" xfId="35483" xr:uid="{00000000-0005-0000-0000-0000535A0000}"/>
    <cellStyle name="Normal 3 2 2 2 3 3" xfId="18035" xr:uid="{00000000-0005-0000-0000-0000545A0000}"/>
    <cellStyle name="Normal 3 2 2 2 3 3 2" xfId="42909" xr:uid="{00000000-0005-0000-0000-0000555A0000}"/>
    <cellStyle name="Normal 3 2 2 2 3 4" xfId="30476" xr:uid="{00000000-0005-0000-0000-0000565A0000}"/>
    <cellStyle name="Normal 3 2 2 2 4" xfId="8489" xr:uid="{00000000-0005-0000-0000-0000575A0000}"/>
    <cellStyle name="Normal 3 2 2 2 4 2" xfId="20933" xr:uid="{00000000-0005-0000-0000-0000585A0000}"/>
    <cellStyle name="Normal 3 2 2 2 4 2 2" xfId="45807" xr:uid="{00000000-0005-0000-0000-0000595A0000}"/>
    <cellStyle name="Normal 3 2 2 2 4 3" xfId="33374" xr:uid="{00000000-0005-0000-0000-00005A5A0000}"/>
    <cellStyle name="Normal 3 2 2 2 5" xfId="12053" xr:uid="{00000000-0005-0000-0000-00005B5A0000}"/>
    <cellStyle name="Normal 3 2 2 2 5 2" xfId="24487" xr:uid="{00000000-0005-0000-0000-00005C5A0000}"/>
    <cellStyle name="Normal 3 2 2 2 5 2 2" xfId="49361" xr:uid="{00000000-0005-0000-0000-00005D5A0000}"/>
    <cellStyle name="Normal 3 2 2 2 5 3" xfId="36928" xr:uid="{00000000-0005-0000-0000-00005E5A0000}"/>
    <cellStyle name="Normal 3 2 2 2 6" xfId="6966" xr:uid="{00000000-0005-0000-0000-00005F5A0000}"/>
    <cellStyle name="Normal 3 2 2 2 6 2" xfId="19415" xr:uid="{00000000-0005-0000-0000-0000605A0000}"/>
    <cellStyle name="Normal 3 2 2 2 6 2 2" xfId="44289" xr:uid="{00000000-0005-0000-0000-0000615A0000}"/>
    <cellStyle name="Normal 3 2 2 2 6 3" xfId="31856" xr:uid="{00000000-0005-0000-0000-0000625A0000}"/>
    <cellStyle name="Normal 3 2 2 2 7" xfId="3420" xr:uid="{00000000-0005-0000-0000-0000635A0000}"/>
    <cellStyle name="Normal 3 2 2 2 7 2" xfId="15926" xr:uid="{00000000-0005-0000-0000-0000645A0000}"/>
    <cellStyle name="Normal 3 2 2 2 7 2 2" xfId="40800" xr:uid="{00000000-0005-0000-0000-0000655A0000}"/>
    <cellStyle name="Normal 3 2 2 2 7 3" xfId="28359" xr:uid="{00000000-0005-0000-0000-0000665A0000}"/>
    <cellStyle name="Normal 3 2 2 2 8" xfId="13683" xr:uid="{00000000-0005-0000-0000-0000675A0000}"/>
    <cellStyle name="Normal 3 2 2 2 8 2" xfId="38557" xr:uid="{00000000-0005-0000-0000-0000685A0000}"/>
    <cellStyle name="Normal 3 2 2 2 9" xfId="26116" xr:uid="{00000000-0005-0000-0000-0000695A0000}"/>
    <cellStyle name="Normal 3 2 2 3" xfId="1786" xr:uid="{00000000-0005-0000-0000-00006A5A0000}"/>
    <cellStyle name="Normal 3 2 2 3 2" xfId="4524" xr:uid="{00000000-0005-0000-0000-00006B5A0000}"/>
    <cellStyle name="Normal 3 2 2 3 2 2" xfId="9542" xr:uid="{00000000-0005-0000-0000-00006C5A0000}"/>
    <cellStyle name="Normal 3 2 2 3 2 2 2" xfId="21985" xr:uid="{00000000-0005-0000-0000-00006D5A0000}"/>
    <cellStyle name="Normal 3 2 2 3 2 2 2 2" xfId="46859" xr:uid="{00000000-0005-0000-0000-00006E5A0000}"/>
    <cellStyle name="Normal 3 2 2 3 2 2 3" xfId="34426" xr:uid="{00000000-0005-0000-0000-00006F5A0000}"/>
    <cellStyle name="Normal 3 2 2 3 2 3" xfId="16978" xr:uid="{00000000-0005-0000-0000-0000705A0000}"/>
    <cellStyle name="Normal 3 2 2 3 2 3 2" xfId="41852" xr:uid="{00000000-0005-0000-0000-0000715A0000}"/>
    <cellStyle name="Normal 3 2 2 3 2 4" xfId="29419" xr:uid="{00000000-0005-0000-0000-0000725A0000}"/>
    <cellStyle name="Normal 3 2 2 3 3" xfId="5932" xr:uid="{00000000-0005-0000-0000-0000735A0000}"/>
    <cellStyle name="Normal 3 2 2 3 3 2" xfId="10947" xr:uid="{00000000-0005-0000-0000-0000745A0000}"/>
    <cellStyle name="Normal 3 2 2 3 3 2 2" xfId="23390" xr:uid="{00000000-0005-0000-0000-0000755A0000}"/>
    <cellStyle name="Normal 3 2 2 3 3 2 2 2" xfId="48264" xr:uid="{00000000-0005-0000-0000-0000765A0000}"/>
    <cellStyle name="Normal 3 2 2 3 3 2 3" xfId="35831" xr:uid="{00000000-0005-0000-0000-0000775A0000}"/>
    <cellStyle name="Normal 3 2 2 3 3 3" xfId="18383" xr:uid="{00000000-0005-0000-0000-0000785A0000}"/>
    <cellStyle name="Normal 3 2 2 3 3 3 2" xfId="43257" xr:uid="{00000000-0005-0000-0000-0000795A0000}"/>
    <cellStyle name="Normal 3 2 2 3 3 4" xfId="30824" xr:uid="{00000000-0005-0000-0000-00007A5A0000}"/>
    <cellStyle name="Normal 3 2 2 3 4" xfId="8658" xr:uid="{00000000-0005-0000-0000-00007B5A0000}"/>
    <cellStyle name="Normal 3 2 2 3 4 2" xfId="21102" xr:uid="{00000000-0005-0000-0000-00007C5A0000}"/>
    <cellStyle name="Normal 3 2 2 3 4 2 2" xfId="45976" xr:uid="{00000000-0005-0000-0000-00007D5A0000}"/>
    <cellStyle name="Normal 3 2 2 3 4 3" xfId="33543" xr:uid="{00000000-0005-0000-0000-00007E5A0000}"/>
    <cellStyle name="Normal 3 2 2 3 5" xfId="12401" xr:uid="{00000000-0005-0000-0000-00007F5A0000}"/>
    <cellStyle name="Normal 3 2 2 3 5 2" xfId="24835" xr:uid="{00000000-0005-0000-0000-0000805A0000}"/>
    <cellStyle name="Normal 3 2 2 3 5 2 2" xfId="49709" xr:uid="{00000000-0005-0000-0000-0000815A0000}"/>
    <cellStyle name="Normal 3 2 2 3 5 3" xfId="37276" xr:uid="{00000000-0005-0000-0000-0000825A0000}"/>
    <cellStyle name="Normal 3 2 2 3 6" xfId="7135" xr:uid="{00000000-0005-0000-0000-0000835A0000}"/>
    <cellStyle name="Normal 3 2 2 3 6 2" xfId="19584" xr:uid="{00000000-0005-0000-0000-0000845A0000}"/>
    <cellStyle name="Normal 3 2 2 3 6 2 2" xfId="44458" xr:uid="{00000000-0005-0000-0000-0000855A0000}"/>
    <cellStyle name="Normal 3 2 2 3 6 3" xfId="32025" xr:uid="{00000000-0005-0000-0000-0000865A0000}"/>
    <cellStyle name="Normal 3 2 2 3 7" xfId="3589" xr:uid="{00000000-0005-0000-0000-0000875A0000}"/>
    <cellStyle name="Normal 3 2 2 3 7 2" xfId="16095" xr:uid="{00000000-0005-0000-0000-0000885A0000}"/>
    <cellStyle name="Normal 3 2 2 3 7 2 2" xfId="40969" xr:uid="{00000000-0005-0000-0000-0000895A0000}"/>
    <cellStyle name="Normal 3 2 2 3 7 3" xfId="28528" xr:uid="{00000000-0005-0000-0000-00008A5A0000}"/>
    <cellStyle name="Normal 3 2 2 3 8" xfId="14586" xr:uid="{00000000-0005-0000-0000-00008B5A0000}"/>
    <cellStyle name="Normal 3 2 2 3 8 2" xfId="39460" xr:uid="{00000000-0005-0000-0000-00008C5A0000}"/>
    <cellStyle name="Normal 3 2 2 3 9" xfId="27019" xr:uid="{00000000-0005-0000-0000-00008D5A0000}"/>
    <cellStyle name="Normal 3 2 2 4" xfId="2444" xr:uid="{00000000-0005-0000-0000-00008E5A0000}"/>
    <cellStyle name="Normal 3 2 2 4 2" xfId="5065" xr:uid="{00000000-0005-0000-0000-00008F5A0000}"/>
    <cellStyle name="Normal 3 2 2 4 2 2" xfId="10082" xr:uid="{00000000-0005-0000-0000-0000905A0000}"/>
    <cellStyle name="Normal 3 2 2 4 2 2 2" xfId="22525" xr:uid="{00000000-0005-0000-0000-0000915A0000}"/>
    <cellStyle name="Normal 3 2 2 4 2 2 2 2" xfId="47399" xr:uid="{00000000-0005-0000-0000-0000925A0000}"/>
    <cellStyle name="Normal 3 2 2 4 2 2 3" xfId="34966" xr:uid="{00000000-0005-0000-0000-0000935A0000}"/>
    <cellStyle name="Normal 3 2 2 4 2 3" xfId="17518" xr:uid="{00000000-0005-0000-0000-0000945A0000}"/>
    <cellStyle name="Normal 3 2 2 4 2 3 2" xfId="42392" xr:uid="{00000000-0005-0000-0000-0000955A0000}"/>
    <cellStyle name="Normal 3 2 2 4 2 4" xfId="29959" xr:uid="{00000000-0005-0000-0000-0000965A0000}"/>
    <cellStyle name="Normal 3 2 2 4 3" xfId="6463" xr:uid="{00000000-0005-0000-0000-0000975A0000}"/>
    <cellStyle name="Normal 3 2 2 4 3 2" xfId="11478" xr:uid="{00000000-0005-0000-0000-0000985A0000}"/>
    <cellStyle name="Normal 3 2 2 4 3 2 2" xfId="23921" xr:uid="{00000000-0005-0000-0000-0000995A0000}"/>
    <cellStyle name="Normal 3 2 2 4 3 2 2 2" xfId="48795" xr:uid="{00000000-0005-0000-0000-00009A5A0000}"/>
    <cellStyle name="Normal 3 2 2 4 3 2 3" xfId="36362" xr:uid="{00000000-0005-0000-0000-00009B5A0000}"/>
    <cellStyle name="Normal 3 2 2 4 3 3" xfId="18914" xr:uid="{00000000-0005-0000-0000-00009C5A0000}"/>
    <cellStyle name="Normal 3 2 2 4 3 3 2" xfId="43788" xr:uid="{00000000-0005-0000-0000-00009D5A0000}"/>
    <cellStyle name="Normal 3 2 2 4 3 4" xfId="31355" xr:uid="{00000000-0005-0000-0000-00009E5A0000}"/>
    <cellStyle name="Normal 3 2 2 4 4" xfId="8170" xr:uid="{00000000-0005-0000-0000-00009F5A0000}"/>
    <cellStyle name="Normal 3 2 2 4 4 2" xfId="20616" xr:uid="{00000000-0005-0000-0000-0000A05A0000}"/>
    <cellStyle name="Normal 3 2 2 4 4 2 2" xfId="45490" xr:uid="{00000000-0005-0000-0000-0000A15A0000}"/>
    <cellStyle name="Normal 3 2 2 4 4 3" xfId="33057" xr:uid="{00000000-0005-0000-0000-0000A25A0000}"/>
    <cellStyle name="Normal 3 2 2 4 5" xfId="12932" xr:uid="{00000000-0005-0000-0000-0000A35A0000}"/>
    <cellStyle name="Normal 3 2 2 4 5 2" xfId="25366" xr:uid="{00000000-0005-0000-0000-0000A45A0000}"/>
    <cellStyle name="Normal 3 2 2 4 5 2 2" xfId="50240" xr:uid="{00000000-0005-0000-0000-0000A55A0000}"/>
    <cellStyle name="Normal 3 2 2 4 5 3" xfId="37807" xr:uid="{00000000-0005-0000-0000-0000A65A0000}"/>
    <cellStyle name="Normal 3 2 2 4 6" xfId="7676" xr:uid="{00000000-0005-0000-0000-0000A75A0000}"/>
    <cellStyle name="Normal 3 2 2 4 6 2" xfId="20124" xr:uid="{00000000-0005-0000-0000-0000A85A0000}"/>
    <cellStyle name="Normal 3 2 2 4 6 2 2" xfId="44998" xr:uid="{00000000-0005-0000-0000-0000A95A0000}"/>
    <cellStyle name="Normal 3 2 2 4 6 3" xfId="32565" xr:uid="{00000000-0005-0000-0000-0000AA5A0000}"/>
    <cellStyle name="Normal 3 2 2 4 7" xfId="3101" xr:uid="{00000000-0005-0000-0000-0000AB5A0000}"/>
    <cellStyle name="Normal 3 2 2 4 7 2" xfId="15609" xr:uid="{00000000-0005-0000-0000-0000AC5A0000}"/>
    <cellStyle name="Normal 3 2 2 4 7 2 2" xfId="40483" xr:uid="{00000000-0005-0000-0000-0000AD5A0000}"/>
    <cellStyle name="Normal 3 2 2 4 7 3" xfId="28042" xr:uid="{00000000-0005-0000-0000-0000AE5A0000}"/>
    <cellStyle name="Normal 3 2 2 4 8" xfId="15117" xr:uid="{00000000-0005-0000-0000-0000AF5A0000}"/>
    <cellStyle name="Normal 3 2 2 4 8 2" xfId="39991" xr:uid="{00000000-0005-0000-0000-0000B05A0000}"/>
    <cellStyle name="Normal 3 2 2 4 9" xfId="27550" xr:uid="{00000000-0005-0000-0000-0000B15A0000}"/>
    <cellStyle name="Normal 3 2 2 5" xfId="1274" xr:uid="{00000000-0005-0000-0000-0000B25A0000}"/>
    <cellStyle name="Normal 3 2 2 5 2" xfId="9056" xr:uid="{00000000-0005-0000-0000-0000B35A0000}"/>
    <cellStyle name="Normal 3 2 2 5 2 2" xfId="21499" xr:uid="{00000000-0005-0000-0000-0000B45A0000}"/>
    <cellStyle name="Normal 3 2 2 5 2 2 2" xfId="46373" xr:uid="{00000000-0005-0000-0000-0000B55A0000}"/>
    <cellStyle name="Normal 3 2 2 5 2 3" xfId="33940" xr:uid="{00000000-0005-0000-0000-0000B65A0000}"/>
    <cellStyle name="Normal 3 2 2 5 3" xfId="4038" xr:uid="{00000000-0005-0000-0000-0000B75A0000}"/>
    <cellStyle name="Normal 3 2 2 5 3 2" xfId="16492" xr:uid="{00000000-0005-0000-0000-0000B85A0000}"/>
    <cellStyle name="Normal 3 2 2 5 3 2 2" xfId="41366" xr:uid="{00000000-0005-0000-0000-0000B95A0000}"/>
    <cellStyle name="Normal 3 2 2 5 3 3" xfId="28933" xr:uid="{00000000-0005-0000-0000-0000BA5A0000}"/>
    <cellStyle name="Normal 3 2 2 5 4" xfId="14074" xr:uid="{00000000-0005-0000-0000-0000BB5A0000}"/>
    <cellStyle name="Normal 3 2 2 5 4 2" xfId="38948" xr:uid="{00000000-0005-0000-0000-0000BC5A0000}"/>
    <cellStyle name="Normal 3 2 2 5 5" xfId="26507" xr:uid="{00000000-0005-0000-0000-0000BD5A0000}"/>
    <cellStyle name="Normal 3 2 2 6" xfId="5419" xr:uid="{00000000-0005-0000-0000-0000BE5A0000}"/>
    <cellStyle name="Normal 3 2 2 6 2" xfId="10435" xr:uid="{00000000-0005-0000-0000-0000BF5A0000}"/>
    <cellStyle name="Normal 3 2 2 6 2 2" xfId="22878" xr:uid="{00000000-0005-0000-0000-0000C05A0000}"/>
    <cellStyle name="Normal 3 2 2 6 2 2 2" xfId="47752" xr:uid="{00000000-0005-0000-0000-0000C15A0000}"/>
    <cellStyle name="Normal 3 2 2 6 2 3" xfId="35319" xr:uid="{00000000-0005-0000-0000-0000C25A0000}"/>
    <cellStyle name="Normal 3 2 2 6 3" xfId="17871" xr:uid="{00000000-0005-0000-0000-0000C35A0000}"/>
    <cellStyle name="Normal 3 2 2 6 3 2" xfId="42745" xr:uid="{00000000-0005-0000-0000-0000C45A0000}"/>
    <cellStyle name="Normal 3 2 2 6 4" xfId="30312" xr:uid="{00000000-0005-0000-0000-0000C55A0000}"/>
    <cellStyle name="Normal 3 2 2 7" xfId="7996" xr:uid="{00000000-0005-0000-0000-0000C65A0000}"/>
    <cellStyle name="Normal 3 2 2 7 2" xfId="20442" xr:uid="{00000000-0005-0000-0000-0000C75A0000}"/>
    <cellStyle name="Normal 3 2 2 7 2 2" xfId="45316" xr:uid="{00000000-0005-0000-0000-0000C85A0000}"/>
    <cellStyle name="Normal 3 2 2 7 3" xfId="32883" xr:uid="{00000000-0005-0000-0000-0000C95A0000}"/>
    <cellStyle name="Normal 3 2 2 8" xfId="11889" xr:uid="{00000000-0005-0000-0000-0000CA5A0000}"/>
    <cellStyle name="Normal 3 2 2 8 2" xfId="24323" xr:uid="{00000000-0005-0000-0000-0000CB5A0000}"/>
    <cellStyle name="Normal 3 2 2 8 2 2" xfId="49197" xr:uid="{00000000-0005-0000-0000-0000CC5A0000}"/>
    <cellStyle name="Normal 3 2 2 8 3" xfId="36764" xr:uid="{00000000-0005-0000-0000-0000CD5A0000}"/>
    <cellStyle name="Normal 3 2 2 9" xfId="6649" xr:uid="{00000000-0005-0000-0000-0000CE5A0000}"/>
    <cellStyle name="Normal 3 2 2 9 2" xfId="19098" xr:uid="{00000000-0005-0000-0000-0000CF5A0000}"/>
    <cellStyle name="Normal 3 2 2 9 2 2" xfId="43972" xr:uid="{00000000-0005-0000-0000-0000D05A0000}"/>
    <cellStyle name="Normal 3 2 2 9 3" xfId="31539" xr:uid="{00000000-0005-0000-0000-0000D15A0000}"/>
    <cellStyle name="Normal 3 2 2_Degree data" xfId="2010" xr:uid="{00000000-0005-0000-0000-0000D25A0000}"/>
    <cellStyle name="Normal 3 3" xfId="98" xr:uid="{00000000-0005-0000-0000-0000D35A0000}"/>
    <cellStyle name="Normal 3 4" xfId="70" xr:uid="{00000000-0005-0000-0000-0000D45A0000}"/>
    <cellStyle name="Normal 3 5" xfId="2603" xr:uid="{00000000-0005-0000-0000-0000D55A0000}"/>
    <cellStyle name="Normal 3 6" xfId="2611" xr:uid="{00000000-0005-0000-0000-0000D65A0000}"/>
    <cellStyle name="Normal 30" xfId="23" xr:uid="{00000000-0005-0000-0000-0000D75A0000}"/>
    <cellStyle name="Normal 31" xfId="24" xr:uid="{00000000-0005-0000-0000-0000D85A0000}"/>
    <cellStyle name="Normal 32" xfId="25" xr:uid="{00000000-0005-0000-0000-0000D95A0000}"/>
    <cellStyle name="Normal 33" xfId="26" xr:uid="{00000000-0005-0000-0000-0000DA5A0000}"/>
    <cellStyle name="Normal 34" xfId="27" xr:uid="{00000000-0005-0000-0000-0000DB5A0000}"/>
    <cellStyle name="Normal 35" xfId="28" xr:uid="{00000000-0005-0000-0000-0000DC5A0000}"/>
    <cellStyle name="Normal 36" xfId="29" xr:uid="{00000000-0005-0000-0000-0000DD5A0000}"/>
    <cellStyle name="Normal 37" xfId="30" xr:uid="{00000000-0005-0000-0000-0000DE5A0000}"/>
    <cellStyle name="Normal 38" xfId="108" xr:uid="{00000000-0005-0000-0000-0000DF5A0000}"/>
    <cellStyle name="Normal 39" xfId="31" xr:uid="{00000000-0005-0000-0000-0000E05A0000}"/>
    <cellStyle name="Normal 4" xfId="4" xr:uid="{00000000-0005-0000-0000-0000E15A0000}"/>
    <cellStyle name="Normal 4 2" xfId="127" xr:uid="{00000000-0005-0000-0000-0000E25A0000}"/>
    <cellStyle name="Normal 4 2 2" xfId="525" xr:uid="{00000000-0005-0000-0000-0000E35A0000}"/>
    <cellStyle name="Normal 4 3" xfId="74" xr:uid="{00000000-0005-0000-0000-0000E45A0000}"/>
    <cellStyle name="Normal 4 4" xfId="59" xr:uid="{00000000-0005-0000-0000-0000E55A0000}"/>
    <cellStyle name="Normal 4 4 10" xfId="2914" xr:uid="{00000000-0005-0000-0000-0000E65A0000}"/>
    <cellStyle name="Normal 4 4 10 2" xfId="15432" xr:uid="{00000000-0005-0000-0000-0000E75A0000}"/>
    <cellStyle name="Normal 4 4 10 2 2" xfId="40306" xr:uid="{00000000-0005-0000-0000-0000E85A0000}"/>
    <cellStyle name="Normal 4 4 10 3" xfId="27865" xr:uid="{00000000-0005-0000-0000-0000E95A0000}"/>
    <cellStyle name="Normal 4 4 2" xfId="520" xr:uid="{00000000-0005-0000-0000-0000EA5A0000}"/>
    <cellStyle name="Normal 4 4 2 2" xfId="1439" xr:uid="{00000000-0005-0000-0000-0000EB5A0000}"/>
    <cellStyle name="Normal 4 4 2 2 2" xfId="9370" xr:uid="{00000000-0005-0000-0000-0000EC5A0000}"/>
    <cellStyle name="Normal 4 4 2 2 2 2" xfId="21813" xr:uid="{00000000-0005-0000-0000-0000ED5A0000}"/>
    <cellStyle name="Normal 4 4 2 2 2 2 2" xfId="46687" xr:uid="{00000000-0005-0000-0000-0000EE5A0000}"/>
    <cellStyle name="Normal 4 4 2 2 2 3" xfId="34254" xr:uid="{00000000-0005-0000-0000-0000EF5A0000}"/>
    <cellStyle name="Normal 4 4 2 2 3" xfId="4352" xr:uid="{00000000-0005-0000-0000-0000F05A0000}"/>
    <cellStyle name="Normal 4 4 2 2 3 2" xfId="16806" xr:uid="{00000000-0005-0000-0000-0000F15A0000}"/>
    <cellStyle name="Normal 4 4 2 2 3 2 2" xfId="41680" xr:uid="{00000000-0005-0000-0000-0000F25A0000}"/>
    <cellStyle name="Normal 4 4 2 2 3 3" xfId="29247" xr:uid="{00000000-0005-0000-0000-0000F35A0000}"/>
    <cellStyle name="Normal 4 4 2 2 4" xfId="14239" xr:uid="{00000000-0005-0000-0000-0000F45A0000}"/>
    <cellStyle name="Normal 4 4 2 2 4 2" xfId="39113" xr:uid="{00000000-0005-0000-0000-0000F55A0000}"/>
    <cellStyle name="Normal 4 4 2 2 5" xfId="26672" xr:uid="{00000000-0005-0000-0000-0000F65A0000}"/>
    <cellStyle name="Normal 4 4 2 3" xfId="5584" xr:uid="{00000000-0005-0000-0000-0000F75A0000}"/>
    <cellStyle name="Normal 4 4 2 3 2" xfId="10600" xr:uid="{00000000-0005-0000-0000-0000F85A0000}"/>
    <cellStyle name="Normal 4 4 2 3 2 2" xfId="23043" xr:uid="{00000000-0005-0000-0000-0000F95A0000}"/>
    <cellStyle name="Normal 4 4 2 3 2 2 2" xfId="47917" xr:uid="{00000000-0005-0000-0000-0000FA5A0000}"/>
    <cellStyle name="Normal 4 4 2 3 2 3" xfId="35484" xr:uid="{00000000-0005-0000-0000-0000FB5A0000}"/>
    <cellStyle name="Normal 4 4 2 3 3" xfId="18036" xr:uid="{00000000-0005-0000-0000-0000FC5A0000}"/>
    <cellStyle name="Normal 4 4 2 3 3 2" xfId="42910" xr:uid="{00000000-0005-0000-0000-0000FD5A0000}"/>
    <cellStyle name="Normal 4 4 2 3 4" xfId="30477" xr:uid="{00000000-0005-0000-0000-0000FE5A0000}"/>
    <cellStyle name="Normal 4 4 2 4" xfId="8486" xr:uid="{00000000-0005-0000-0000-0000FF5A0000}"/>
    <cellStyle name="Normal 4 4 2 4 2" xfId="20930" xr:uid="{00000000-0005-0000-0000-0000005B0000}"/>
    <cellStyle name="Normal 4 4 2 4 2 2" xfId="45804" xr:uid="{00000000-0005-0000-0000-0000015B0000}"/>
    <cellStyle name="Normal 4 4 2 4 3" xfId="33371" xr:uid="{00000000-0005-0000-0000-0000025B0000}"/>
    <cellStyle name="Normal 4 4 2 5" xfId="12054" xr:uid="{00000000-0005-0000-0000-0000035B0000}"/>
    <cellStyle name="Normal 4 4 2 5 2" xfId="24488" xr:uid="{00000000-0005-0000-0000-0000045B0000}"/>
    <cellStyle name="Normal 4 4 2 5 2 2" xfId="49362" xr:uid="{00000000-0005-0000-0000-0000055B0000}"/>
    <cellStyle name="Normal 4 4 2 5 3" xfId="36929" xr:uid="{00000000-0005-0000-0000-0000065B0000}"/>
    <cellStyle name="Normal 4 4 2 6" xfId="6963" xr:uid="{00000000-0005-0000-0000-0000075B0000}"/>
    <cellStyle name="Normal 4 4 2 6 2" xfId="19412" xr:uid="{00000000-0005-0000-0000-0000085B0000}"/>
    <cellStyle name="Normal 4 4 2 6 2 2" xfId="44286" xr:uid="{00000000-0005-0000-0000-0000095B0000}"/>
    <cellStyle name="Normal 4 4 2 6 3" xfId="31853" xr:uid="{00000000-0005-0000-0000-00000A5B0000}"/>
    <cellStyle name="Normal 4 4 2 7" xfId="3417" xr:uid="{00000000-0005-0000-0000-00000B5B0000}"/>
    <cellStyle name="Normal 4 4 2 7 2" xfId="15923" xr:uid="{00000000-0005-0000-0000-00000C5B0000}"/>
    <cellStyle name="Normal 4 4 2 7 2 2" xfId="40797" xr:uid="{00000000-0005-0000-0000-00000D5B0000}"/>
    <cellStyle name="Normal 4 4 2 7 3" xfId="28356" xr:uid="{00000000-0005-0000-0000-00000E5B0000}"/>
    <cellStyle name="Normal 4 4 2 8" xfId="13333" xr:uid="{00000000-0005-0000-0000-00000F5B0000}"/>
    <cellStyle name="Normal 4 4 2 8 2" xfId="38207" xr:uid="{00000000-0005-0000-0000-0000105B0000}"/>
    <cellStyle name="Normal 4 4 2 9" xfId="25766" xr:uid="{00000000-0005-0000-0000-0000115B0000}"/>
    <cellStyle name="Normal 4 4 3" xfId="879" xr:uid="{00000000-0005-0000-0000-0000125B0000}"/>
    <cellStyle name="Normal 4 4 3 2" xfId="1787" xr:uid="{00000000-0005-0000-0000-0000135B0000}"/>
    <cellStyle name="Normal 4 4 3 2 2" xfId="9543" xr:uid="{00000000-0005-0000-0000-0000145B0000}"/>
    <cellStyle name="Normal 4 4 3 2 2 2" xfId="21986" xr:uid="{00000000-0005-0000-0000-0000155B0000}"/>
    <cellStyle name="Normal 4 4 3 2 2 2 2" xfId="46860" xr:uid="{00000000-0005-0000-0000-0000165B0000}"/>
    <cellStyle name="Normal 4 4 3 2 2 3" xfId="34427" xr:uid="{00000000-0005-0000-0000-0000175B0000}"/>
    <cellStyle name="Normal 4 4 3 2 3" xfId="4525" xr:uid="{00000000-0005-0000-0000-0000185B0000}"/>
    <cellStyle name="Normal 4 4 3 2 3 2" xfId="16979" xr:uid="{00000000-0005-0000-0000-0000195B0000}"/>
    <cellStyle name="Normal 4 4 3 2 3 2 2" xfId="41853" xr:uid="{00000000-0005-0000-0000-00001A5B0000}"/>
    <cellStyle name="Normal 4 4 3 2 3 3" xfId="29420" xr:uid="{00000000-0005-0000-0000-00001B5B0000}"/>
    <cellStyle name="Normal 4 4 3 2 4" xfId="14587" xr:uid="{00000000-0005-0000-0000-00001C5B0000}"/>
    <cellStyle name="Normal 4 4 3 2 4 2" xfId="39461" xr:uid="{00000000-0005-0000-0000-00001D5B0000}"/>
    <cellStyle name="Normal 4 4 3 2 5" xfId="27020" xr:uid="{00000000-0005-0000-0000-00001E5B0000}"/>
    <cellStyle name="Normal 4 4 3 3" xfId="5933" xr:uid="{00000000-0005-0000-0000-00001F5B0000}"/>
    <cellStyle name="Normal 4 4 3 3 2" xfId="10948" xr:uid="{00000000-0005-0000-0000-0000205B0000}"/>
    <cellStyle name="Normal 4 4 3 3 2 2" xfId="23391" xr:uid="{00000000-0005-0000-0000-0000215B0000}"/>
    <cellStyle name="Normal 4 4 3 3 2 2 2" xfId="48265" xr:uid="{00000000-0005-0000-0000-0000225B0000}"/>
    <cellStyle name="Normal 4 4 3 3 2 3" xfId="35832" xr:uid="{00000000-0005-0000-0000-0000235B0000}"/>
    <cellStyle name="Normal 4 4 3 3 3" xfId="18384" xr:uid="{00000000-0005-0000-0000-0000245B0000}"/>
    <cellStyle name="Normal 4 4 3 3 3 2" xfId="43258" xr:uid="{00000000-0005-0000-0000-0000255B0000}"/>
    <cellStyle name="Normal 4 4 3 3 4" xfId="30825" xr:uid="{00000000-0005-0000-0000-0000265B0000}"/>
    <cellStyle name="Normal 4 4 3 4" xfId="8659" xr:uid="{00000000-0005-0000-0000-0000275B0000}"/>
    <cellStyle name="Normal 4 4 3 4 2" xfId="21103" xr:uid="{00000000-0005-0000-0000-0000285B0000}"/>
    <cellStyle name="Normal 4 4 3 4 2 2" xfId="45977" xr:uid="{00000000-0005-0000-0000-0000295B0000}"/>
    <cellStyle name="Normal 4 4 3 4 3" xfId="33544" xr:uid="{00000000-0005-0000-0000-00002A5B0000}"/>
    <cellStyle name="Normal 4 4 3 5" xfId="12402" xr:uid="{00000000-0005-0000-0000-00002B5B0000}"/>
    <cellStyle name="Normal 4 4 3 5 2" xfId="24836" xr:uid="{00000000-0005-0000-0000-00002C5B0000}"/>
    <cellStyle name="Normal 4 4 3 5 2 2" xfId="49710" xr:uid="{00000000-0005-0000-0000-00002D5B0000}"/>
    <cellStyle name="Normal 4 4 3 5 3" xfId="37277" xr:uid="{00000000-0005-0000-0000-00002E5B0000}"/>
    <cellStyle name="Normal 4 4 3 6" xfId="7136" xr:uid="{00000000-0005-0000-0000-00002F5B0000}"/>
    <cellStyle name="Normal 4 4 3 6 2" xfId="19585" xr:uid="{00000000-0005-0000-0000-0000305B0000}"/>
    <cellStyle name="Normal 4 4 3 6 2 2" xfId="44459" xr:uid="{00000000-0005-0000-0000-0000315B0000}"/>
    <cellStyle name="Normal 4 4 3 6 3" xfId="32026" xr:uid="{00000000-0005-0000-0000-0000325B0000}"/>
    <cellStyle name="Normal 4 4 3 7" xfId="3590" xr:uid="{00000000-0005-0000-0000-0000335B0000}"/>
    <cellStyle name="Normal 4 4 3 7 2" xfId="16096" xr:uid="{00000000-0005-0000-0000-0000345B0000}"/>
    <cellStyle name="Normal 4 4 3 7 2 2" xfId="40970" xr:uid="{00000000-0005-0000-0000-0000355B0000}"/>
    <cellStyle name="Normal 4 4 3 7 3" xfId="28529" xr:uid="{00000000-0005-0000-0000-0000365B0000}"/>
    <cellStyle name="Normal 4 4 3 8" xfId="13680" xr:uid="{00000000-0005-0000-0000-0000375B0000}"/>
    <cellStyle name="Normal 4 4 3 8 2" xfId="38554" xr:uid="{00000000-0005-0000-0000-0000385B0000}"/>
    <cellStyle name="Normal 4 4 3 9" xfId="26113" xr:uid="{00000000-0005-0000-0000-0000395B0000}"/>
    <cellStyle name="Normal 4 4 4" xfId="2438" xr:uid="{00000000-0005-0000-0000-00003A5B0000}"/>
    <cellStyle name="Normal 4 4 4 2" xfId="5062" xr:uid="{00000000-0005-0000-0000-00003B5B0000}"/>
    <cellStyle name="Normal 4 4 4 2 2" xfId="10079" xr:uid="{00000000-0005-0000-0000-00003C5B0000}"/>
    <cellStyle name="Normal 4 4 4 2 2 2" xfId="22522" xr:uid="{00000000-0005-0000-0000-00003D5B0000}"/>
    <cellStyle name="Normal 4 4 4 2 2 2 2" xfId="47396" xr:uid="{00000000-0005-0000-0000-00003E5B0000}"/>
    <cellStyle name="Normal 4 4 4 2 2 3" xfId="34963" xr:uid="{00000000-0005-0000-0000-00003F5B0000}"/>
    <cellStyle name="Normal 4 4 4 2 3" xfId="17515" xr:uid="{00000000-0005-0000-0000-0000405B0000}"/>
    <cellStyle name="Normal 4 4 4 2 3 2" xfId="42389" xr:uid="{00000000-0005-0000-0000-0000415B0000}"/>
    <cellStyle name="Normal 4 4 4 2 4" xfId="29956" xr:uid="{00000000-0005-0000-0000-0000425B0000}"/>
    <cellStyle name="Normal 4 4 4 3" xfId="6460" xr:uid="{00000000-0005-0000-0000-0000435B0000}"/>
    <cellStyle name="Normal 4 4 4 3 2" xfId="11475" xr:uid="{00000000-0005-0000-0000-0000445B0000}"/>
    <cellStyle name="Normal 4 4 4 3 2 2" xfId="23918" xr:uid="{00000000-0005-0000-0000-0000455B0000}"/>
    <cellStyle name="Normal 4 4 4 3 2 2 2" xfId="48792" xr:uid="{00000000-0005-0000-0000-0000465B0000}"/>
    <cellStyle name="Normal 4 4 4 3 2 3" xfId="36359" xr:uid="{00000000-0005-0000-0000-0000475B0000}"/>
    <cellStyle name="Normal 4 4 4 3 3" xfId="18911" xr:uid="{00000000-0005-0000-0000-0000485B0000}"/>
    <cellStyle name="Normal 4 4 4 3 3 2" xfId="43785" xr:uid="{00000000-0005-0000-0000-0000495B0000}"/>
    <cellStyle name="Normal 4 4 4 3 4" xfId="31352" xr:uid="{00000000-0005-0000-0000-00004A5B0000}"/>
    <cellStyle name="Normal 4 4 4 4" xfId="8167" xr:uid="{00000000-0005-0000-0000-00004B5B0000}"/>
    <cellStyle name="Normal 4 4 4 4 2" xfId="20613" xr:uid="{00000000-0005-0000-0000-00004C5B0000}"/>
    <cellStyle name="Normal 4 4 4 4 2 2" xfId="45487" xr:uid="{00000000-0005-0000-0000-00004D5B0000}"/>
    <cellStyle name="Normal 4 4 4 4 3" xfId="33054" xr:uid="{00000000-0005-0000-0000-00004E5B0000}"/>
    <cellStyle name="Normal 4 4 4 5" xfId="12929" xr:uid="{00000000-0005-0000-0000-00004F5B0000}"/>
    <cellStyle name="Normal 4 4 4 5 2" xfId="25363" xr:uid="{00000000-0005-0000-0000-0000505B0000}"/>
    <cellStyle name="Normal 4 4 4 5 2 2" xfId="50237" xr:uid="{00000000-0005-0000-0000-0000515B0000}"/>
    <cellStyle name="Normal 4 4 4 5 3" xfId="37804" xr:uid="{00000000-0005-0000-0000-0000525B0000}"/>
    <cellStyle name="Normal 4 4 4 6" xfId="7673" xr:uid="{00000000-0005-0000-0000-0000535B0000}"/>
    <cellStyle name="Normal 4 4 4 6 2" xfId="20121" xr:uid="{00000000-0005-0000-0000-0000545B0000}"/>
    <cellStyle name="Normal 4 4 4 6 2 2" xfId="44995" xr:uid="{00000000-0005-0000-0000-0000555B0000}"/>
    <cellStyle name="Normal 4 4 4 6 3" xfId="32562" xr:uid="{00000000-0005-0000-0000-0000565B0000}"/>
    <cellStyle name="Normal 4 4 4 7" xfId="3097" xr:uid="{00000000-0005-0000-0000-0000575B0000}"/>
    <cellStyle name="Normal 4 4 4 7 2" xfId="15606" xr:uid="{00000000-0005-0000-0000-0000585B0000}"/>
    <cellStyle name="Normal 4 4 4 7 2 2" xfId="40480" xr:uid="{00000000-0005-0000-0000-0000595B0000}"/>
    <cellStyle name="Normal 4 4 4 7 3" xfId="28039" xr:uid="{00000000-0005-0000-0000-00005A5B0000}"/>
    <cellStyle name="Normal 4 4 4 8" xfId="15114" xr:uid="{00000000-0005-0000-0000-00005B5B0000}"/>
    <cellStyle name="Normal 4 4 4 8 2" xfId="39988" xr:uid="{00000000-0005-0000-0000-00005C5B0000}"/>
    <cellStyle name="Normal 4 4 4 9" xfId="27547" xr:uid="{00000000-0005-0000-0000-00005D5B0000}"/>
    <cellStyle name="Normal 4 4 5" xfId="1271" xr:uid="{00000000-0005-0000-0000-00005E5B0000}"/>
    <cellStyle name="Normal 4 4 5 2" xfId="9053" xr:uid="{00000000-0005-0000-0000-00005F5B0000}"/>
    <cellStyle name="Normal 4 4 5 2 2" xfId="21496" xr:uid="{00000000-0005-0000-0000-0000605B0000}"/>
    <cellStyle name="Normal 4 4 5 2 2 2" xfId="46370" xr:uid="{00000000-0005-0000-0000-0000615B0000}"/>
    <cellStyle name="Normal 4 4 5 2 3" xfId="33937" xr:uid="{00000000-0005-0000-0000-0000625B0000}"/>
    <cellStyle name="Normal 4 4 5 3" xfId="4035" xr:uid="{00000000-0005-0000-0000-0000635B0000}"/>
    <cellStyle name="Normal 4 4 5 3 2" xfId="16489" xr:uid="{00000000-0005-0000-0000-0000645B0000}"/>
    <cellStyle name="Normal 4 4 5 3 2 2" xfId="41363" xr:uid="{00000000-0005-0000-0000-0000655B0000}"/>
    <cellStyle name="Normal 4 4 5 3 3" xfId="28930" xr:uid="{00000000-0005-0000-0000-0000665B0000}"/>
    <cellStyle name="Normal 4 4 5 4" xfId="14071" xr:uid="{00000000-0005-0000-0000-0000675B0000}"/>
    <cellStyle name="Normal 4 4 5 4 2" xfId="38945" xr:uid="{00000000-0005-0000-0000-0000685B0000}"/>
    <cellStyle name="Normal 4 4 5 5" xfId="26504" xr:uid="{00000000-0005-0000-0000-0000695B0000}"/>
    <cellStyle name="Normal 4 4 6" xfId="5416" xr:uid="{00000000-0005-0000-0000-00006A5B0000}"/>
    <cellStyle name="Normal 4 4 6 2" xfId="10432" xr:uid="{00000000-0005-0000-0000-00006B5B0000}"/>
    <cellStyle name="Normal 4 4 6 2 2" xfId="22875" xr:uid="{00000000-0005-0000-0000-00006C5B0000}"/>
    <cellStyle name="Normal 4 4 6 2 2 2" xfId="47749" xr:uid="{00000000-0005-0000-0000-00006D5B0000}"/>
    <cellStyle name="Normal 4 4 6 2 3" xfId="35316" xr:uid="{00000000-0005-0000-0000-00006E5B0000}"/>
    <cellStyle name="Normal 4 4 6 3" xfId="17868" xr:uid="{00000000-0005-0000-0000-00006F5B0000}"/>
    <cellStyle name="Normal 4 4 6 3 2" xfId="42742" xr:uid="{00000000-0005-0000-0000-0000705B0000}"/>
    <cellStyle name="Normal 4 4 6 4" xfId="30309" xr:uid="{00000000-0005-0000-0000-0000715B0000}"/>
    <cellStyle name="Normal 4 4 7" xfId="7993" xr:uid="{00000000-0005-0000-0000-0000725B0000}"/>
    <cellStyle name="Normal 4 4 7 2" xfId="20439" xr:uid="{00000000-0005-0000-0000-0000735B0000}"/>
    <cellStyle name="Normal 4 4 7 2 2" xfId="45313" xr:uid="{00000000-0005-0000-0000-0000745B0000}"/>
    <cellStyle name="Normal 4 4 7 3" xfId="32880" xr:uid="{00000000-0005-0000-0000-0000755B0000}"/>
    <cellStyle name="Normal 4 4 8" xfId="11886" xr:uid="{00000000-0005-0000-0000-0000765B0000}"/>
    <cellStyle name="Normal 4 4 8 2" xfId="24320" xr:uid="{00000000-0005-0000-0000-0000775B0000}"/>
    <cellStyle name="Normal 4 4 8 2 2" xfId="49194" xr:uid="{00000000-0005-0000-0000-0000785B0000}"/>
    <cellStyle name="Normal 4 4 8 3" xfId="36761" xr:uid="{00000000-0005-0000-0000-0000795B0000}"/>
    <cellStyle name="Normal 4 4 9" xfId="6646" xr:uid="{00000000-0005-0000-0000-00007A5B0000}"/>
    <cellStyle name="Normal 4 4 9 2" xfId="19095" xr:uid="{00000000-0005-0000-0000-00007B5B0000}"/>
    <cellStyle name="Normal 4 4 9 2 2" xfId="43969" xr:uid="{00000000-0005-0000-0000-00007C5B0000}"/>
    <cellStyle name="Normal 4 4 9 3" xfId="31536" xr:uid="{00000000-0005-0000-0000-00007D5B0000}"/>
    <cellStyle name="Normal 4 4_Degree data" xfId="2009" xr:uid="{00000000-0005-0000-0000-00007E5B0000}"/>
    <cellStyle name="Normal 40" xfId="32" xr:uid="{00000000-0005-0000-0000-00007F5B0000}"/>
    <cellStyle name="Normal 41" xfId="33" xr:uid="{00000000-0005-0000-0000-0000805B0000}"/>
    <cellStyle name="Normal 42" xfId="34" xr:uid="{00000000-0005-0000-0000-0000815B0000}"/>
    <cellStyle name="Normal 43" xfId="35" xr:uid="{00000000-0005-0000-0000-0000825B0000}"/>
    <cellStyle name="Normal 44" xfId="36" xr:uid="{00000000-0005-0000-0000-0000835B0000}"/>
    <cellStyle name="Normal 45" xfId="37" xr:uid="{00000000-0005-0000-0000-0000845B0000}"/>
    <cellStyle name="Normal 46" xfId="38" xr:uid="{00000000-0005-0000-0000-0000855B0000}"/>
    <cellStyle name="Normal 47" xfId="39" xr:uid="{00000000-0005-0000-0000-0000865B0000}"/>
    <cellStyle name="Normal 48" xfId="40" xr:uid="{00000000-0005-0000-0000-0000875B0000}"/>
    <cellStyle name="Normal 49" xfId="49" xr:uid="{00000000-0005-0000-0000-0000885B0000}"/>
    <cellStyle name="Normal 5" xfId="57" xr:uid="{00000000-0005-0000-0000-0000895B0000}"/>
    <cellStyle name="Normal 5 10" xfId="1788" xr:uid="{00000000-0005-0000-0000-00008A5B0000}"/>
    <cellStyle name="Normal 5 10 2" xfId="4722" xr:uid="{00000000-0005-0000-0000-00008B5B0000}"/>
    <cellStyle name="Normal 5 10 2 2" xfId="9739" xr:uid="{00000000-0005-0000-0000-00008C5B0000}"/>
    <cellStyle name="Normal 5 10 2 2 2" xfId="22182" xr:uid="{00000000-0005-0000-0000-00008D5B0000}"/>
    <cellStyle name="Normal 5 10 2 2 2 2" xfId="47056" xr:uid="{00000000-0005-0000-0000-00008E5B0000}"/>
    <cellStyle name="Normal 5 10 2 2 3" xfId="34623" xr:uid="{00000000-0005-0000-0000-00008F5B0000}"/>
    <cellStyle name="Normal 5 10 2 3" xfId="17175" xr:uid="{00000000-0005-0000-0000-0000905B0000}"/>
    <cellStyle name="Normal 5 10 2 3 2" xfId="42049" xr:uid="{00000000-0005-0000-0000-0000915B0000}"/>
    <cellStyle name="Normal 5 10 2 4" xfId="29616" xr:uid="{00000000-0005-0000-0000-0000925B0000}"/>
    <cellStyle name="Normal 5 10 3" xfId="5934" xr:uid="{00000000-0005-0000-0000-0000935B0000}"/>
    <cellStyle name="Normal 5 10 3 2" xfId="10949" xr:uid="{00000000-0005-0000-0000-0000945B0000}"/>
    <cellStyle name="Normal 5 10 3 2 2" xfId="23392" xr:uid="{00000000-0005-0000-0000-0000955B0000}"/>
    <cellStyle name="Normal 5 10 3 2 2 2" xfId="48266" xr:uid="{00000000-0005-0000-0000-0000965B0000}"/>
    <cellStyle name="Normal 5 10 3 2 3" xfId="35833" xr:uid="{00000000-0005-0000-0000-0000975B0000}"/>
    <cellStyle name="Normal 5 10 3 3" xfId="18385" xr:uid="{00000000-0005-0000-0000-0000985B0000}"/>
    <cellStyle name="Normal 5 10 3 3 2" xfId="43259" xr:uid="{00000000-0005-0000-0000-0000995B0000}"/>
    <cellStyle name="Normal 5 10 3 4" xfId="30826" xr:uid="{00000000-0005-0000-0000-00009A5B0000}"/>
    <cellStyle name="Normal 5 10 4" xfId="8859" xr:uid="{00000000-0005-0000-0000-00009B5B0000}"/>
    <cellStyle name="Normal 5 10 4 2" xfId="21302" xr:uid="{00000000-0005-0000-0000-00009C5B0000}"/>
    <cellStyle name="Normal 5 10 4 2 2" xfId="46176" xr:uid="{00000000-0005-0000-0000-00009D5B0000}"/>
    <cellStyle name="Normal 5 10 4 3" xfId="33743" xr:uid="{00000000-0005-0000-0000-00009E5B0000}"/>
    <cellStyle name="Normal 5 10 5" xfId="12403" xr:uid="{00000000-0005-0000-0000-00009F5B0000}"/>
    <cellStyle name="Normal 5 10 5 2" xfId="24837" xr:uid="{00000000-0005-0000-0000-0000A05B0000}"/>
    <cellStyle name="Normal 5 10 5 2 2" xfId="49711" xr:uid="{00000000-0005-0000-0000-0000A15B0000}"/>
    <cellStyle name="Normal 5 10 5 3" xfId="37278" xr:uid="{00000000-0005-0000-0000-0000A25B0000}"/>
    <cellStyle name="Normal 5 10 6" xfId="7333" xr:uid="{00000000-0005-0000-0000-0000A35B0000}"/>
    <cellStyle name="Normal 5 10 6 2" xfId="19781" xr:uid="{00000000-0005-0000-0000-0000A45B0000}"/>
    <cellStyle name="Normal 5 10 6 2 2" xfId="44655" xr:uid="{00000000-0005-0000-0000-0000A55B0000}"/>
    <cellStyle name="Normal 5 10 6 3" xfId="32222" xr:uid="{00000000-0005-0000-0000-0000A65B0000}"/>
    <cellStyle name="Normal 5 10 7" xfId="3841" xr:uid="{00000000-0005-0000-0000-0000A75B0000}"/>
    <cellStyle name="Normal 5 10 7 2" xfId="16295" xr:uid="{00000000-0005-0000-0000-0000A85B0000}"/>
    <cellStyle name="Normal 5 10 7 2 2" xfId="41169" xr:uid="{00000000-0005-0000-0000-0000A95B0000}"/>
    <cellStyle name="Normal 5 10 7 3" xfId="28736" xr:uid="{00000000-0005-0000-0000-0000AA5B0000}"/>
    <cellStyle name="Normal 5 10 8" xfId="14588" xr:uid="{00000000-0005-0000-0000-0000AB5B0000}"/>
    <cellStyle name="Normal 5 10 8 2" xfId="39462" xr:uid="{00000000-0005-0000-0000-0000AC5B0000}"/>
    <cellStyle name="Normal 5 10 9" xfId="27021" xr:uid="{00000000-0005-0000-0000-0000AD5B0000}"/>
    <cellStyle name="Normal 5 11" xfId="2027" xr:uid="{00000000-0005-0000-0000-0000AE5B0000}"/>
    <cellStyle name="Normal 5 11 2" xfId="6120" xr:uid="{00000000-0005-0000-0000-0000AF5B0000}"/>
    <cellStyle name="Normal 5 11 2 2" xfId="11135" xr:uid="{00000000-0005-0000-0000-0000B05B0000}"/>
    <cellStyle name="Normal 5 11 2 2 2" xfId="23578" xr:uid="{00000000-0005-0000-0000-0000B15B0000}"/>
    <cellStyle name="Normal 5 11 2 2 2 2" xfId="48452" xr:uid="{00000000-0005-0000-0000-0000B25B0000}"/>
    <cellStyle name="Normal 5 11 2 2 3" xfId="36019" xr:uid="{00000000-0005-0000-0000-0000B35B0000}"/>
    <cellStyle name="Normal 5 11 2 3" xfId="18571" xr:uid="{00000000-0005-0000-0000-0000B45B0000}"/>
    <cellStyle name="Normal 5 11 2 3 2" xfId="43445" xr:uid="{00000000-0005-0000-0000-0000B55B0000}"/>
    <cellStyle name="Normal 5 11 2 4" xfId="31012" xr:uid="{00000000-0005-0000-0000-0000B65B0000}"/>
    <cellStyle name="Normal 5 11 3" xfId="12589" xr:uid="{00000000-0005-0000-0000-0000B75B0000}"/>
    <cellStyle name="Normal 5 11 3 2" xfId="25023" xr:uid="{00000000-0005-0000-0000-0000B85B0000}"/>
    <cellStyle name="Normal 5 11 3 2 2" xfId="49897" xr:uid="{00000000-0005-0000-0000-0000B95B0000}"/>
    <cellStyle name="Normal 5 11 3 3" xfId="37464" xr:uid="{00000000-0005-0000-0000-0000BA5B0000}"/>
    <cellStyle name="Normal 5 11 4" xfId="10085" xr:uid="{00000000-0005-0000-0000-0000BB5B0000}"/>
    <cellStyle name="Normal 5 11 4 2" xfId="22528" xr:uid="{00000000-0005-0000-0000-0000BC5B0000}"/>
    <cellStyle name="Normal 5 11 4 2 2" xfId="47402" xr:uid="{00000000-0005-0000-0000-0000BD5B0000}"/>
    <cellStyle name="Normal 5 11 4 3" xfId="34969" xr:uid="{00000000-0005-0000-0000-0000BE5B0000}"/>
    <cellStyle name="Normal 5 11 5" xfId="5068" xr:uid="{00000000-0005-0000-0000-0000BF5B0000}"/>
    <cellStyle name="Normal 5 11 5 2" xfId="17521" xr:uid="{00000000-0005-0000-0000-0000C05B0000}"/>
    <cellStyle name="Normal 5 11 5 2 2" xfId="42395" xr:uid="{00000000-0005-0000-0000-0000C15B0000}"/>
    <cellStyle name="Normal 5 11 5 3" xfId="29962" xr:uid="{00000000-0005-0000-0000-0000C25B0000}"/>
    <cellStyle name="Normal 5 11 6" xfId="14774" xr:uid="{00000000-0005-0000-0000-0000C35B0000}"/>
    <cellStyle name="Normal 5 11 6 2" xfId="39648" xr:uid="{00000000-0005-0000-0000-0000C45B0000}"/>
    <cellStyle name="Normal 5 11 7" xfId="27207" xr:uid="{00000000-0005-0000-0000-0000C55B0000}"/>
    <cellStyle name="Normal 5 12" xfId="931" xr:uid="{00000000-0005-0000-0000-0000C65B0000}"/>
    <cellStyle name="Normal 5 12 2" xfId="11546" xr:uid="{00000000-0005-0000-0000-0000C75B0000}"/>
    <cellStyle name="Normal 5 12 2 2" xfId="23980" xr:uid="{00000000-0005-0000-0000-0000C85B0000}"/>
    <cellStyle name="Normal 5 12 2 2 2" xfId="48854" xr:uid="{00000000-0005-0000-0000-0000C95B0000}"/>
    <cellStyle name="Normal 5 12 2 3" xfId="36421" xr:uid="{00000000-0005-0000-0000-0000CA5B0000}"/>
    <cellStyle name="Normal 5 12 3" xfId="10089" xr:uid="{00000000-0005-0000-0000-0000CB5B0000}"/>
    <cellStyle name="Normal 5 12 3 2" xfId="22532" xr:uid="{00000000-0005-0000-0000-0000CC5B0000}"/>
    <cellStyle name="Normal 5 12 3 2 2" xfId="47406" xr:uid="{00000000-0005-0000-0000-0000CD5B0000}"/>
    <cellStyle name="Normal 5 12 3 3" xfId="34973" xr:uid="{00000000-0005-0000-0000-0000CE5B0000}"/>
    <cellStyle name="Normal 5 12 4" xfId="5073" xr:uid="{00000000-0005-0000-0000-0000CF5B0000}"/>
    <cellStyle name="Normal 5 12 4 2" xfId="17525" xr:uid="{00000000-0005-0000-0000-0000D05B0000}"/>
    <cellStyle name="Normal 5 12 4 2 2" xfId="42399" xr:uid="{00000000-0005-0000-0000-0000D15B0000}"/>
    <cellStyle name="Normal 5 12 4 3" xfId="29966" xr:uid="{00000000-0005-0000-0000-0000D25B0000}"/>
    <cellStyle name="Normal 5 12 5" xfId="13731" xr:uid="{00000000-0005-0000-0000-0000D35B0000}"/>
    <cellStyle name="Normal 5 12 5 2" xfId="38605" xr:uid="{00000000-0005-0000-0000-0000D45B0000}"/>
    <cellStyle name="Normal 5 12 6" xfId="26164" xr:uid="{00000000-0005-0000-0000-0000D55B0000}"/>
    <cellStyle name="Normal 5 13" xfId="887" xr:uid="{00000000-0005-0000-0000-0000D65B0000}"/>
    <cellStyle name="Normal 5 13 2" xfId="7685" xr:uid="{00000000-0005-0000-0000-0000D75B0000}"/>
    <cellStyle name="Normal 5 13 2 2" xfId="20131" xr:uid="{00000000-0005-0000-0000-0000D85B0000}"/>
    <cellStyle name="Normal 5 13 2 2 2" xfId="45005" xr:uid="{00000000-0005-0000-0000-0000D95B0000}"/>
    <cellStyle name="Normal 5 13 2 3" xfId="32572" xr:uid="{00000000-0005-0000-0000-0000DA5B0000}"/>
    <cellStyle name="Normal 5 13 3" xfId="13687" xr:uid="{00000000-0005-0000-0000-0000DB5B0000}"/>
    <cellStyle name="Normal 5 13 3 2" xfId="38561" xr:uid="{00000000-0005-0000-0000-0000DC5B0000}"/>
    <cellStyle name="Normal 5 13 4" xfId="26120" xr:uid="{00000000-0005-0000-0000-0000DD5B0000}"/>
    <cellStyle name="Normal 5 14" xfId="11502" xr:uid="{00000000-0005-0000-0000-0000DE5B0000}"/>
    <cellStyle name="Normal 5 14 2" xfId="23936" xr:uid="{00000000-0005-0000-0000-0000DF5B0000}"/>
    <cellStyle name="Normal 5 14 2 2" xfId="48810" xr:uid="{00000000-0005-0000-0000-0000E05B0000}"/>
    <cellStyle name="Normal 5 14 3" xfId="36377" xr:uid="{00000000-0005-0000-0000-0000E15B0000}"/>
    <cellStyle name="Normal 5 15" xfId="2602" xr:uid="{00000000-0005-0000-0000-0000E25B0000}"/>
    <cellStyle name="Normal 5 15 2" xfId="15124" xr:uid="{00000000-0005-0000-0000-0000E35B0000}"/>
    <cellStyle name="Normal 5 15 2 2" xfId="39998" xr:uid="{00000000-0005-0000-0000-0000E45B0000}"/>
    <cellStyle name="Normal 5 15 3" xfId="27557" xr:uid="{00000000-0005-0000-0000-0000E55B0000}"/>
    <cellStyle name="Normal 5 16" xfId="12939" xr:uid="{00000000-0005-0000-0000-0000E65B0000}"/>
    <cellStyle name="Normal 5 16 2" xfId="37813" xr:uid="{00000000-0005-0000-0000-0000E75B0000}"/>
    <cellStyle name="Normal 5 17" xfId="25372" xr:uid="{00000000-0005-0000-0000-0000E85B0000}"/>
    <cellStyle name="Normal 5 2" xfId="99" xr:uid="{00000000-0005-0000-0000-0000E95B0000}"/>
    <cellStyle name="Normal 5 2 10" xfId="11506" xr:uid="{00000000-0005-0000-0000-0000EA5B0000}"/>
    <cellStyle name="Normal 5 2 10 2" xfId="23940" xr:uid="{00000000-0005-0000-0000-0000EB5B0000}"/>
    <cellStyle name="Normal 5 2 10 2 2" xfId="48814" xr:uid="{00000000-0005-0000-0000-0000EC5B0000}"/>
    <cellStyle name="Normal 5 2 10 3" xfId="36381" xr:uid="{00000000-0005-0000-0000-0000ED5B0000}"/>
    <cellStyle name="Normal 5 2 11" xfId="6490" xr:uid="{00000000-0005-0000-0000-0000EE5B0000}"/>
    <cellStyle name="Normal 5 2 11 2" xfId="18939" xr:uid="{00000000-0005-0000-0000-0000EF5B0000}"/>
    <cellStyle name="Normal 5 2 11 2 2" xfId="43813" xr:uid="{00000000-0005-0000-0000-0000F05B0000}"/>
    <cellStyle name="Normal 5 2 11 3" xfId="31380" xr:uid="{00000000-0005-0000-0000-0000F15B0000}"/>
    <cellStyle name="Normal 5 2 2" xfId="130" xr:uid="{00000000-0005-0000-0000-0000F25B0000}"/>
    <cellStyle name="Normal 5 2 2 10" xfId="11537" xr:uid="{00000000-0005-0000-0000-0000F35B0000}"/>
    <cellStyle name="Normal 5 2 2 10 2" xfId="23971" xr:uid="{00000000-0005-0000-0000-0000F45B0000}"/>
    <cellStyle name="Normal 5 2 2 10 2 2" xfId="48845" xr:uid="{00000000-0005-0000-0000-0000F55B0000}"/>
    <cellStyle name="Normal 5 2 2 10 3" xfId="36412" xr:uid="{00000000-0005-0000-0000-0000F65B0000}"/>
    <cellStyle name="Normal 5 2 2 11" xfId="2640" xr:uid="{00000000-0005-0000-0000-0000F75B0000}"/>
    <cellStyle name="Normal 5 2 2 11 2" xfId="15158" xr:uid="{00000000-0005-0000-0000-0000F85B0000}"/>
    <cellStyle name="Normal 5 2 2 11 2 2" xfId="40032" xr:uid="{00000000-0005-0000-0000-0000F95B0000}"/>
    <cellStyle name="Normal 5 2 2 11 3" xfId="27591" xr:uid="{00000000-0005-0000-0000-0000FA5B0000}"/>
    <cellStyle name="Normal 5 2 2 12" xfId="12960" xr:uid="{00000000-0005-0000-0000-0000FB5B0000}"/>
    <cellStyle name="Normal 5 2 2 12 2" xfId="37834" xr:uid="{00000000-0005-0000-0000-0000FC5B0000}"/>
    <cellStyle name="Normal 5 2 2 13" xfId="25393" xr:uid="{00000000-0005-0000-0000-0000FD5B0000}"/>
    <cellStyle name="Normal 5 2 2 2" xfId="154" xr:uid="{00000000-0005-0000-0000-0000FE5B0000}"/>
    <cellStyle name="Normal 5 2 2 2 10" xfId="11495" xr:uid="{00000000-0005-0000-0000-0000FF5B0000}"/>
    <cellStyle name="Normal 5 2 2 2 11" xfId="6529" xr:uid="{00000000-0005-0000-0000-0000005C0000}"/>
    <cellStyle name="Normal 5 2 2 2 11 2" xfId="18978" xr:uid="{00000000-0005-0000-0000-0000015C0000}"/>
    <cellStyle name="Normal 5 2 2 2 11 2 2" xfId="43852" xr:uid="{00000000-0005-0000-0000-0000025C0000}"/>
    <cellStyle name="Normal 5 2 2 2 11 3" xfId="31419" xr:uid="{00000000-0005-0000-0000-0000035C0000}"/>
    <cellStyle name="Normal 5 2 2 2 12" xfId="2629" xr:uid="{00000000-0005-0000-0000-0000045C0000}"/>
    <cellStyle name="Normal 5 2 2 2 13" xfId="12984" xr:uid="{00000000-0005-0000-0000-0000055C0000}"/>
    <cellStyle name="Normal 5 2 2 2 13 2" xfId="37858" xr:uid="{00000000-0005-0000-0000-0000065C0000}"/>
    <cellStyle name="Normal 5 2 2 2 14" xfId="25417" xr:uid="{00000000-0005-0000-0000-0000075C0000}"/>
    <cellStyle name="Normal 5 2 2 2 2" xfId="298" xr:uid="{00000000-0005-0000-0000-0000085C0000}"/>
    <cellStyle name="Normal 5 2 2 2 2 10" xfId="6633" xr:uid="{00000000-0005-0000-0000-0000095C0000}"/>
    <cellStyle name="Normal 5 2 2 2 2 10 2" xfId="19082" xr:uid="{00000000-0005-0000-0000-00000A5C0000}"/>
    <cellStyle name="Normal 5 2 2 2 2 10 2 2" xfId="43956" xr:uid="{00000000-0005-0000-0000-00000B5C0000}"/>
    <cellStyle name="Normal 5 2 2 2 2 10 3" xfId="31523" xr:uid="{00000000-0005-0000-0000-00000C5C0000}"/>
    <cellStyle name="Normal 5 2 2 2 2 11" xfId="2697" xr:uid="{00000000-0005-0000-0000-00000D5C0000}"/>
    <cellStyle name="Normal 5 2 2 2 2 11 2" xfId="15215" xr:uid="{00000000-0005-0000-0000-00000E5C0000}"/>
    <cellStyle name="Normal 5 2 2 2 2 11 2 2" xfId="40089" xr:uid="{00000000-0005-0000-0000-00000F5C0000}"/>
    <cellStyle name="Normal 5 2 2 2 2 11 3" xfId="27648" xr:uid="{00000000-0005-0000-0000-0000105C0000}"/>
    <cellStyle name="Normal 5 2 2 2 2 12" xfId="13116" xr:uid="{00000000-0005-0000-0000-0000115C0000}"/>
    <cellStyle name="Normal 5 2 2 2 2 12 2" xfId="37990" xr:uid="{00000000-0005-0000-0000-0000125C0000}"/>
    <cellStyle name="Normal 5 2 2 2 2 13" xfId="25549" xr:uid="{00000000-0005-0000-0000-0000135C0000}"/>
    <cellStyle name="Normal 5 2 2 2 2 2" xfId="507" xr:uid="{00000000-0005-0000-0000-0000145C0000}"/>
    <cellStyle name="Normal 5 2 2 2 2 2 10" xfId="13320" xr:uid="{00000000-0005-0000-0000-0000155C0000}"/>
    <cellStyle name="Normal 5 2 2 2 2 2 10 2" xfId="38194" xr:uid="{00000000-0005-0000-0000-0000165C0000}"/>
    <cellStyle name="Normal 5 2 2 2 2 2 11" xfId="25753" xr:uid="{00000000-0005-0000-0000-0000175C0000}"/>
    <cellStyle name="Normal 5 2 2 2 2 2 2" xfId="866" xr:uid="{00000000-0005-0000-0000-0000185C0000}"/>
    <cellStyle name="Normal 5 2 2 2 2 2 2 2" xfId="1443" xr:uid="{00000000-0005-0000-0000-0000195C0000}"/>
    <cellStyle name="Normal 5 2 2 2 2 2 2 2 2" xfId="9547" xr:uid="{00000000-0005-0000-0000-00001A5C0000}"/>
    <cellStyle name="Normal 5 2 2 2 2 2 2 2 2 2" xfId="21990" xr:uid="{00000000-0005-0000-0000-00001B5C0000}"/>
    <cellStyle name="Normal 5 2 2 2 2 2 2 2 2 2 2" xfId="46864" xr:uid="{00000000-0005-0000-0000-00001C5C0000}"/>
    <cellStyle name="Normal 5 2 2 2 2 2 2 2 2 3" xfId="34431" xr:uid="{00000000-0005-0000-0000-00001D5C0000}"/>
    <cellStyle name="Normal 5 2 2 2 2 2 2 2 3" xfId="4529" xr:uid="{00000000-0005-0000-0000-00001E5C0000}"/>
    <cellStyle name="Normal 5 2 2 2 2 2 2 2 3 2" xfId="16983" xr:uid="{00000000-0005-0000-0000-00001F5C0000}"/>
    <cellStyle name="Normal 5 2 2 2 2 2 2 2 3 2 2" xfId="41857" xr:uid="{00000000-0005-0000-0000-0000205C0000}"/>
    <cellStyle name="Normal 5 2 2 2 2 2 2 2 3 3" xfId="29424" xr:uid="{00000000-0005-0000-0000-0000215C0000}"/>
    <cellStyle name="Normal 5 2 2 2 2 2 2 2 4" xfId="14243" xr:uid="{00000000-0005-0000-0000-0000225C0000}"/>
    <cellStyle name="Normal 5 2 2 2 2 2 2 2 4 2" xfId="39117" xr:uid="{00000000-0005-0000-0000-0000235C0000}"/>
    <cellStyle name="Normal 5 2 2 2 2 2 2 2 5" xfId="26676" xr:uid="{00000000-0005-0000-0000-0000245C0000}"/>
    <cellStyle name="Normal 5 2 2 2 2 2 2 3" xfId="5588" xr:uid="{00000000-0005-0000-0000-0000255C0000}"/>
    <cellStyle name="Normal 5 2 2 2 2 2 2 3 2" xfId="10604" xr:uid="{00000000-0005-0000-0000-0000265C0000}"/>
    <cellStyle name="Normal 5 2 2 2 2 2 2 3 2 2" xfId="23047" xr:uid="{00000000-0005-0000-0000-0000275C0000}"/>
    <cellStyle name="Normal 5 2 2 2 2 2 2 3 2 2 2" xfId="47921" xr:uid="{00000000-0005-0000-0000-0000285C0000}"/>
    <cellStyle name="Normal 5 2 2 2 2 2 2 3 2 3" xfId="35488" xr:uid="{00000000-0005-0000-0000-0000295C0000}"/>
    <cellStyle name="Normal 5 2 2 2 2 2 2 3 3" xfId="18040" xr:uid="{00000000-0005-0000-0000-00002A5C0000}"/>
    <cellStyle name="Normal 5 2 2 2 2 2 2 3 3 2" xfId="42914" xr:uid="{00000000-0005-0000-0000-00002B5C0000}"/>
    <cellStyle name="Normal 5 2 2 2 2 2 2 3 4" xfId="30481" xr:uid="{00000000-0005-0000-0000-00002C5C0000}"/>
    <cellStyle name="Normal 5 2 2 2 2 2 2 4" xfId="8663" xr:uid="{00000000-0005-0000-0000-00002D5C0000}"/>
    <cellStyle name="Normal 5 2 2 2 2 2 2 4 2" xfId="21107" xr:uid="{00000000-0005-0000-0000-00002E5C0000}"/>
    <cellStyle name="Normal 5 2 2 2 2 2 2 4 2 2" xfId="45981" xr:uid="{00000000-0005-0000-0000-00002F5C0000}"/>
    <cellStyle name="Normal 5 2 2 2 2 2 2 4 3" xfId="33548" xr:uid="{00000000-0005-0000-0000-0000305C0000}"/>
    <cellStyle name="Normal 5 2 2 2 2 2 2 5" xfId="12058" xr:uid="{00000000-0005-0000-0000-0000315C0000}"/>
    <cellStyle name="Normal 5 2 2 2 2 2 2 5 2" xfId="24492" xr:uid="{00000000-0005-0000-0000-0000325C0000}"/>
    <cellStyle name="Normal 5 2 2 2 2 2 2 5 2 2" xfId="49366" xr:uid="{00000000-0005-0000-0000-0000335C0000}"/>
    <cellStyle name="Normal 5 2 2 2 2 2 2 5 3" xfId="36933" xr:uid="{00000000-0005-0000-0000-0000345C0000}"/>
    <cellStyle name="Normal 5 2 2 2 2 2 2 6" xfId="7140" xr:uid="{00000000-0005-0000-0000-0000355C0000}"/>
    <cellStyle name="Normal 5 2 2 2 2 2 2 6 2" xfId="19589" xr:uid="{00000000-0005-0000-0000-0000365C0000}"/>
    <cellStyle name="Normal 5 2 2 2 2 2 2 6 2 2" xfId="44463" xr:uid="{00000000-0005-0000-0000-0000375C0000}"/>
    <cellStyle name="Normal 5 2 2 2 2 2 2 6 3" xfId="32030" xr:uid="{00000000-0005-0000-0000-0000385C0000}"/>
    <cellStyle name="Normal 5 2 2 2 2 2 2 7" xfId="3594" xr:uid="{00000000-0005-0000-0000-0000395C0000}"/>
    <cellStyle name="Normal 5 2 2 2 2 2 2 7 2" xfId="16100" xr:uid="{00000000-0005-0000-0000-00003A5C0000}"/>
    <cellStyle name="Normal 5 2 2 2 2 2 2 7 2 2" xfId="40974" xr:uid="{00000000-0005-0000-0000-00003B5C0000}"/>
    <cellStyle name="Normal 5 2 2 2 2 2 2 7 3" xfId="28533" xr:uid="{00000000-0005-0000-0000-00003C5C0000}"/>
    <cellStyle name="Normal 5 2 2 2 2 2 2 8" xfId="13667" xr:uid="{00000000-0005-0000-0000-00003D5C0000}"/>
    <cellStyle name="Normal 5 2 2 2 2 2 2 8 2" xfId="38541" xr:uid="{00000000-0005-0000-0000-00003E5C0000}"/>
    <cellStyle name="Normal 5 2 2 2 2 2 2 9" xfId="26100" xr:uid="{00000000-0005-0000-0000-00003F5C0000}"/>
    <cellStyle name="Normal 5 2 2 2 2 2 3" xfId="1791" xr:uid="{00000000-0005-0000-0000-0000405C0000}"/>
    <cellStyle name="Normal 5 2 2 2 2 2 3 2" xfId="5049" xr:uid="{00000000-0005-0000-0000-0000415C0000}"/>
    <cellStyle name="Normal 5 2 2 2 2 2 3 2 2" xfId="10066" xr:uid="{00000000-0005-0000-0000-0000425C0000}"/>
    <cellStyle name="Normal 5 2 2 2 2 2 3 2 2 2" xfId="22509" xr:uid="{00000000-0005-0000-0000-0000435C0000}"/>
    <cellStyle name="Normal 5 2 2 2 2 2 3 2 2 2 2" xfId="47383" xr:uid="{00000000-0005-0000-0000-0000445C0000}"/>
    <cellStyle name="Normal 5 2 2 2 2 2 3 2 2 3" xfId="34950" xr:uid="{00000000-0005-0000-0000-0000455C0000}"/>
    <cellStyle name="Normal 5 2 2 2 2 2 3 2 3" xfId="17502" xr:uid="{00000000-0005-0000-0000-0000465C0000}"/>
    <cellStyle name="Normal 5 2 2 2 2 2 3 2 3 2" xfId="42376" xr:uid="{00000000-0005-0000-0000-0000475C0000}"/>
    <cellStyle name="Normal 5 2 2 2 2 2 3 2 4" xfId="29943" xr:uid="{00000000-0005-0000-0000-0000485C0000}"/>
    <cellStyle name="Normal 5 2 2 2 2 2 3 3" xfId="5937" xr:uid="{00000000-0005-0000-0000-0000495C0000}"/>
    <cellStyle name="Normal 5 2 2 2 2 2 3 3 2" xfId="10952" xr:uid="{00000000-0005-0000-0000-00004A5C0000}"/>
    <cellStyle name="Normal 5 2 2 2 2 2 3 3 2 2" xfId="23395" xr:uid="{00000000-0005-0000-0000-00004B5C0000}"/>
    <cellStyle name="Normal 5 2 2 2 2 2 3 3 2 2 2" xfId="48269" xr:uid="{00000000-0005-0000-0000-00004C5C0000}"/>
    <cellStyle name="Normal 5 2 2 2 2 2 3 3 2 3" xfId="35836" xr:uid="{00000000-0005-0000-0000-00004D5C0000}"/>
    <cellStyle name="Normal 5 2 2 2 2 2 3 3 3" xfId="18388" xr:uid="{00000000-0005-0000-0000-00004E5C0000}"/>
    <cellStyle name="Normal 5 2 2 2 2 2 3 3 3 2" xfId="43262" xr:uid="{00000000-0005-0000-0000-00004F5C0000}"/>
    <cellStyle name="Normal 5 2 2 2 2 2 3 3 4" xfId="30829" xr:uid="{00000000-0005-0000-0000-0000505C0000}"/>
    <cellStyle name="Normal 5 2 2 2 2 2 3 4" xfId="8473" xr:uid="{00000000-0005-0000-0000-0000515C0000}"/>
    <cellStyle name="Normal 5 2 2 2 2 2 3 4 2" xfId="20917" xr:uid="{00000000-0005-0000-0000-0000525C0000}"/>
    <cellStyle name="Normal 5 2 2 2 2 2 3 4 2 2" xfId="45791" xr:uid="{00000000-0005-0000-0000-0000535C0000}"/>
    <cellStyle name="Normal 5 2 2 2 2 2 3 4 3" xfId="33358" xr:uid="{00000000-0005-0000-0000-0000545C0000}"/>
    <cellStyle name="Normal 5 2 2 2 2 2 3 5" xfId="12406" xr:uid="{00000000-0005-0000-0000-0000555C0000}"/>
    <cellStyle name="Normal 5 2 2 2 2 2 3 5 2" xfId="24840" xr:uid="{00000000-0005-0000-0000-0000565C0000}"/>
    <cellStyle name="Normal 5 2 2 2 2 2 3 5 2 2" xfId="49714" xr:uid="{00000000-0005-0000-0000-0000575C0000}"/>
    <cellStyle name="Normal 5 2 2 2 2 2 3 5 3" xfId="37281" xr:uid="{00000000-0005-0000-0000-0000585C0000}"/>
    <cellStyle name="Normal 5 2 2 2 2 2 3 6" xfId="7660" xr:uid="{00000000-0005-0000-0000-0000595C0000}"/>
    <cellStyle name="Normal 5 2 2 2 2 2 3 6 2" xfId="20108" xr:uid="{00000000-0005-0000-0000-00005A5C0000}"/>
    <cellStyle name="Normal 5 2 2 2 2 2 3 6 2 2" xfId="44982" xr:uid="{00000000-0005-0000-0000-00005B5C0000}"/>
    <cellStyle name="Normal 5 2 2 2 2 2 3 6 3" xfId="32549" xr:uid="{00000000-0005-0000-0000-00005C5C0000}"/>
    <cellStyle name="Normal 5 2 2 2 2 2 3 7" xfId="3404" xr:uid="{00000000-0005-0000-0000-00005D5C0000}"/>
    <cellStyle name="Normal 5 2 2 2 2 2 3 7 2" xfId="15910" xr:uid="{00000000-0005-0000-0000-00005E5C0000}"/>
    <cellStyle name="Normal 5 2 2 2 2 2 3 7 2 2" xfId="40784" xr:uid="{00000000-0005-0000-0000-00005F5C0000}"/>
    <cellStyle name="Normal 5 2 2 2 2 2 3 7 3" xfId="28343" xr:uid="{00000000-0005-0000-0000-0000605C0000}"/>
    <cellStyle name="Normal 5 2 2 2 2 2 3 8" xfId="14591" xr:uid="{00000000-0005-0000-0000-0000615C0000}"/>
    <cellStyle name="Normal 5 2 2 2 2 2 3 8 2" xfId="39465" xr:uid="{00000000-0005-0000-0000-0000625C0000}"/>
    <cellStyle name="Normal 5 2 2 2 2 2 3 9" xfId="27024" xr:uid="{00000000-0005-0000-0000-0000635C0000}"/>
    <cellStyle name="Normal 5 2 2 2 2 2 4" xfId="2425" xr:uid="{00000000-0005-0000-0000-0000645C0000}"/>
    <cellStyle name="Normal 5 2 2 2 2 2 4 2" xfId="6447" xr:uid="{00000000-0005-0000-0000-0000655C0000}"/>
    <cellStyle name="Normal 5 2 2 2 2 2 4 2 2" xfId="11462" xr:uid="{00000000-0005-0000-0000-0000665C0000}"/>
    <cellStyle name="Normal 5 2 2 2 2 2 4 2 2 2" xfId="23905" xr:uid="{00000000-0005-0000-0000-0000675C0000}"/>
    <cellStyle name="Normal 5 2 2 2 2 2 4 2 2 2 2" xfId="48779" xr:uid="{00000000-0005-0000-0000-0000685C0000}"/>
    <cellStyle name="Normal 5 2 2 2 2 2 4 2 2 3" xfId="36346" xr:uid="{00000000-0005-0000-0000-0000695C0000}"/>
    <cellStyle name="Normal 5 2 2 2 2 2 4 2 3" xfId="18898" xr:uid="{00000000-0005-0000-0000-00006A5C0000}"/>
    <cellStyle name="Normal 5 2 2 2 2 2 4 2 3 2" xfId="43772" xr:uid="{00000000-0005-0000-0000-00006B5C0000}"/>
    <cellStyle name="Normal 5 2 2 2 2 2 4 2 4" xfId="31339" xr:uid="{00000000-0005-0000-0000-00006C5C0000}"/>
    <cellStyle name="Normal 5 2 2 2 2 2 4 3" xfId="12916" xr:uid="{00000000-0005-0000-0000-00006D5C0000}"/>
    <cellStyle name="Normal 5 2 2 2 2 2 4 3 2" xfId="25350" xr:uid="{00000000-0005-0000-0000-00006E5C0000}"/>
    <cellStyle name="Normal 5 2 2 2 2 2 4 3 2 2" xfId="50224" xr:uid="{00000000-0005-0000-0000-00006F5C0000}"/>
    <cellStyle name="Normal 5 2 2 2 2 2 4 3 3" xfId="37791" xr:uid="{00000000-0005-0000-0000-0000705C0000}"/>
    <cellStyle name="Normal 5 2 2 2 2 2 4 4" xfId="9357" xr:uid="{00000000-0005-0000-0000-0000715C0000}"/>
    <cellStyle name="Normal 5 2 2 2 2 2 4 4 2" xfId="21800" xr:uid="{00000000-0005-0000-0000-0000725C0000}"/>
    <cellStyle name="Normal 5 2 2 2 2 2 4 4 2 2" xfId="46674" xr:uid="{00000000-0005-0000-0000-0000735C0000}"/>
    <cellStyle name="Normal 5 2 2 2 2 2 4 4 3" xfId="34241" xr:uid="{00000000-0005-0000-0000-0000745C0000}"/>
    <cellStyle name="Normal 5 2 2 2 2 2 4 5" xfId="4339" xr:uid="{00000000-0005-0000-0000-0000755C0000}"/>
    <cellStyle name="Normal 5 2 2 2 2 2 4 5 2" xfId="16793" xr:uid="{00000000-0005-0000-0000-0000765C0000}"/>
    <cellStyle name="Normal 5 2 2 2 2 2 4 5 2 2" xfId="41667" xr:uid="{00000000-0005-0000-0000-0000775C0000}"/>
    <cellStyle name="Normal 5 2 2 2 2 2 4 5 3" xfId="29234" xr:uid="{00000000-0005-0000-0000-0000785C0000}"/>
    <cellStyle name="Normal 5 2 2 2 2 2 4 6" xfId="15101" xr:uid="{00000000-0005-0000-0000-0000795C0000}"/>
    <cellStyle name="Normal 5 2 2 2 2 2 4 6 2" xfId="39975" xr:uid="{00000000-0005-0000-0000-00007A5C0000}"/>
    <cellStyle name="Normal 5 2 2 2 2 2 4 7" xfId="27534" xr:uid="{00000000-0005-0000-0000-00007B5C0000}"/>
    <cellStyle name="Normal 5 2 2 2 2 2 5" xfId="1258" xr:uid="{00000000-0005-0000-0000-00007C5C0000}"/>
    <cellStyle name="Normal 5 2 2 2 2 2 5 2" xfId="10419" xr:uid="{00000000-0005-0000-0000-00007D5C0000}"/>
    <cellStyle name="Normal 5 2 2 2 2 2 5 2 2" xfId="22862" xr:uid="{00000000-0005-0000-0000-00007E5C0000}"/>
    <cellStyle name="Normal 5 2 2 2 2 2 5 2 2 2" xfId="47736" xr:uid="{00000000-0005-0000-0000-00007F5C0000}"/>
    <cellStyle name="Normal 5 2 2 2 2 2 5 2 3" xfId="35303" xr:uid="{00000000-0005-0000-0000-0000805C0000}"/>
    <cellStyle name="Normal 5 2 2 2 2 2 5 3" xfId="5403" xr:uid="{00000000-0005-0000-0000-0000815C0000}"/>
    <cellStyle name="Normal 5 2 2 2 2 2 5 3 2" xfId="17855" xr:uid="{00000000-0005-0000-0000-0000825C0000}"/>
    <cellStyle name="Normal 5 2 2 2 2 2 5 3 2 2" xfId="42729" xr:uid="{00000000-0005-0000-0000-0000835C0000}"/>
    <cellStyle name="Normal 5 2 2 2 2 2 5 3 3" xfId="30296" xr:uid="{00000000-0005-0000-0000-0000845C0000}"/>
    <cellStyle name="Normal 5 2 2 2 2 2 5 4" xfId="14058" xr:uid="{00000000-0005-0000-0000-0000855C0000}"/>
    <cellStyle name="Normal 5 2 2 2 2 2 5 4 2" xfId="38932" xr:uid="{00000000-0005-0000-0000-0000865C0000}"/>
    <cellStyle name="Normal 5 2 2 2 2 2 5 5" xfId="26491" xr:uid="{00000000-0005-0000-0000-0000875C0000}"/>
    <cellStyle name="Normal 5 2 2 2 2 2 6" xfId="7980" xr:uid="{00000000-0005-0000-0000-0000885C0000}"/>
    <cellStyle name="Normal 5 2 2 2 2 2 6 2" xfId="20426" xr:uid="{00000000-0005-0000-0000-0000895C0000}"/>
    <cellStyle name="Normal 5 2 2 2 2 2 6 2 2" xfId="45300" xr:uid="{00000000-0005-0000-0000-00008A5C0000}"/>
    <cellStyle name="Normal 5 2 2 2 2 2 6 3" xfId="32867" xr:uid="{00000000-0005-0000-0000-00008B5C0000}"/>
    <cellStyle name="Normal 5 2 2 2 2 2 7" xfId="11873" xr:uid="{00000000-0005-0000-0000-00008C5C0000}"/>
    <cellStyle name="Normal 5 2 2 2 2 2 7 2" xfId="24307" xr:uid="{00000000-0005-0000-0000-00008D5C0000}"/>
    <cellStyle name="Normal 5 2 2 2 2 2 7 2 2" xfId="49181" xr:uid="{00000000-0005-0000-0000-00008E5C0000}"/>
    <cellStyle name="Normal 5 2 2 2 2 2 7 3" xfId="36748" xr:uid="{00000000-0005-0000-0000-00008F5C0000}"/>
    <cellStyle name="Normal 5 2 2 2 2 2 8" xfId="6950" xr:uid="{00000000-0005-0000-0000-0000905C0000}"/>
    <cellStyle name="Normal 5 2 2 2 2 2 8 2" xfId="19399" xr:uid="{00000000-0005-0000-0000-0000915C0000}"/>
    <cellStyle name="Normal 5 2 2 2 2 2 8 2 2" xfId="44273" xr:uid="{00000000-0005-0000-0000-0000925C0000}"/>
    <cellStyle name="Normal 5 2 2 2 2 2 8 3" xfId="31840" xr:uid="{00000000-0005-0000-0000-0000935C0000}"/>
    <cellStyle name="Normal 5 2 2 2 2 2 9" xfId="2901" xr:uid="{00000000-0005-0000-0000-0000945C0000}"/>
    <cellStyle name="Normal 5 2 2 2 2 2 9 2" xfId="15419" xr:uid="{00000000-0005-0000-0000-0000955C0000}"/>
    <cellStyle name="Normal 5 2 2 2 2 2 9 2 2" xfId="40293" xr:uid="{00000000-0005-0000-0000-0000965C0000}"/>
    <cellStyle name="Normal 5 2 2 2 2 2 9 3" xfId="27852" xr:uid="{00000000-0005-0000-0000-0000975C0000}"/>
    <cellStyle name="Normal 5 2 2 2 2 2_Degree data" xfId="2006" xr:uid="{00000000-0005-0000-0000-0000985C0000}"/>
    <cellStyle name="Normal 5 2 2 2 2 3" xfId="659" xr:uid="{00000000-0005-0000-0000-0000995C0000}"/>
    <cellStyle name="Normal 5 2 2 2 2 3 2" xfId="1442" xr:uid="{00000000-0005-0000-0000-00009A5C0000}"/>
    <cellStyle name="Normal 5 2 2 2 2 3 2 2" xfId="9153" xr:uid="{00000000-0005-0000-0000-00009B5C0000}"/>
    <cellStyle name="Normal 5 2 2 2 2 3 2 2 2" xfId="21596" xr:uid="{00000000-0005-0000-0000-00009C5C0000}"/>
    <cellStyle name="Normal 5 2 2 2 2 3 2 2 2 2" xfId="46470" xr:uid="{00000000-0005-0000-0000-00009D5C0000}"/>
    <cellStyle name="Normal 5 2 2 2 2 3 2 2 3" xfId="34037" xr:uid="{00000000-0005-0000-0000-00009E5C0000}"/>
    <cellStyle name="Normal 5 2 2 2 2 3 2 3" xfId="4135" xr:uid="{00000000-0005-0000-0000-00009F5C0000}"/>
    <cellStyle name="Normal 5 2 2 2 2 3 2 3 2" xfId="16589" xr:uid="{00000000-0005-0000-0000-0000A05C0000}"/>
    <cellStyle name="Normal 5 2 2 2 2 3 2 3 2 2" xfId="41463" xr:uid="{00000000-0005-0000-0000-0000A15C0000}"/>
    <cellStyle name="Normal 5 2 2 2 2 3 2 3 3" xfId="29030" xr:uid="{00000000-0005-0000-0000-0000A25C0000}"/>
    <cellStyle name="Normal 5 2 2 2 2 3 2 4" xfId="14242" xr:uid="{00000000-0005-0000-0000-0000A35C0000}"/>
    <cellStyle name="Normal 5 2 2 2 2 3 2 4 2" xfId="39116" xr:uid="{00000000-0005-0000-0000-0000A45C0000}"/>
    <cellStyle name="Normal 5 2 2 2 2 3 2 5" xfId="26675" xr:uid="{00000000-0005-0000-0000-0000A55C0000}"/>
    <cellStyle name="Normal 5 2 2 2 2 3 3" xfId="5587" xr:uid="{00000000-0005-0000-0000-0000A65C0000}"/>
    <cellStyle name="Normal 5 2 2 2 2 3 3 2" xfId="10603" xr:uid="{00000000-0005-0000-0000-0000A75C0000}"/>
    <cellStyle name="Normal 5 2 2 2 2 3 3 2 2" xfId="23046" xr:uid="{00000000-0005-0000-0000-0000A85C0000}"/>
    <cellStyle name="Normal 5 2 2 2 2 3 3 2 2 2" xfId="47920" xr:uid="{00000000-0005-0000-0000-0000A95C0000}"/>
    <cellStyle name="Normal 5 2 2 2 2 3 3 2 3" xfId="35487" xr:uid="{00000000-0005-0000-0000-0000AA5C0000}"/>
    <cellStyle name="Normal 5 2 2 2 2 3 3 3" xfId="18039" xr:uid="{00000000-0005-0000-0000-0000AB5C0000}"/>
    <cellStyle name="Normal 5 2 2 2 2 3 3 3 2" xfId="42913" xr:uid="{00000000-0005-0000-0000-0000AC5C0000}"/>
    <cellStyle name="Normal 5 2 2 2 2 3 3 4" xfId="30480" xr:uid="{00000000-0005-0000-0000-0000AD5C0000}"/>
    <cellStyle name="Normal 5 2 2 2 2 3 4" xfId="8269" xr:uid="{00000000-0005-0000-0000-0000AE5C0000}"/>
    <cellStyle name="Normal 5 2 2 2 2 3 4 2" xfId="20713" xr:uid="{00000000-0005-0000-0000-0000AF5C0000}"/>
    <cellStyle name="Normal 5 2 2 2 2 3 4 2 2" xfId="45587" xr:uid="{00000000-0005-0000-0000-0000B05C0000}"/>
    <cellStyle name="Normal 5 2 2 2 2 3 4 3" xfId="33154" xr:uid="{00000000-0005-0000-0000-0000B15C0000}"/>
    <cellStyle name="Normal 5 2 2 2 2 3 5" xfId="12057" xr:uid="{00000000-0005-0000-0000-0000B25C0000}"/>
    <cellStyle name="Normal 5 2 2 2 2 3 5 2" xfId="24491" xr:uid="{00000000-0005-0000-0000-0000B35C0000}"/>
    <cellStyle name="Normal 5 2 2 2 2 3 5 2 2" xfId="49365" xr:uid="{00000000-0005-0000-0000-0000B45C0000}"/>
    <cellStyle name="Normal 5 2 2 2 2 3 5 3" xfId="36932" xr:uid="{00000000-0005-0000-0000-0000B55C0000}"/>
    <cellStyle name="Normal 5 2 2 2 2 3 6" xfId="6746" xr:uid="{00000000-0005-0000-0000-0000B65C0000}"/>
    <cellStyle name="Normal 5 2 2 2 2 3 6 2" xfId="19195" xr:uid="{00000000-0005-0000-0000-0000B75C0000}"/>
    <cellStyle name="Normal 5 2 2 2 2 3 6 2 2" xfId="44069" xr:uid="{00000000-0005-0000-0000-0000B85C0000}"/>
    <cellStyle name="Normal 5 2 2 2 2 3 6 3" xfId="31636" xr:uid="{00000000-0005-0000-0000-0000B95C0000}"/>
    <cellStyle name="Normal 5 2 2 2 2 3 7" xfId="3200" xr:uid="{00000000-0005-0000-0000-0000BA5C0000}"/>
    <cellStyle name="Normal 5 2 2 2 2 3 7 2" xfId="15706" xr:uid="{00000000-0005-0000-0000-0000BB5C0000}"/>
    <cellStyle name="Normal 5 2 2 2 2 3 7 2 2" xfId="40580" xr:uid="{00000000-0005-0000-0000-0000BC5C0000}"/>
    <cellStyle name="Normal 5 2 2 2 2 3 7 3" xfId="28139" xr:uid="{00000000-0005-0000-0000-0000BD5C0000}"/>
    <cellStyle name="Normal 5 2 2 2 2 3 8" xfId="13463" xr:uid="{00000000-0005-0000-0000-0000BE5C0000}"/>
    <cellStyle name="Normal 5 2 2 2 2 3 8 2" xfId="38337" xr:uid="{00000000-0005-0000-0000-0000BF5C0000}"/>
    <cellStyle name="Normal 5 2 2 2 2 3 9" xfId="25896" xr:uid="{00000000-0005-0000-0000-0000C05C0000}"/>
    <cellStyle name="Normal 5 2 2 2 2 4" xfId="1790" xr:uid="{00000000-0005-0000-0000-0000C15C0000}"/>
    <cellStyle name="Normal 5 2 2 2 2 4 2" xfId="4528" xr:uid="{00000000-0005-0000-0000-0000C25C0000}"/>
    <cellStyle name="Normal 5 2 2 2 2 4 2 2" xfId="9546" xr:uid="{00000000-0005-0000-0000-0000C35C0000}"/>
    <cellStyle name="Normal 5 2 2 2 2 4 2 2 2" xfId="21989" xr:uid="{00000000-0005-0000-0000-0000C45C0000}"/>
    <cellStyle name="Normal 5 2 2 2 2 4 2 2 2 2" xfId="46863" xr:uid="{00000000-0005-0000-0000-0000C55C0000}"/>
    <cellStyle name="Normal 5 2 2 2 2 4 2 2 3" xfId="34430" xr:uid="{00000000-0005-0000-0000-0000C65C0000}"/>
    <cellStyle name="Normal 5 2 2 2 2 4 2 3" xfId="16982" xr:uid="{00000000-0005-0000-0000-0000C75C0000}"/>
    <cellStyle name="Normal 5 2 2 2 2 4 2 3 2" xfId="41856" xr:uid="{00000000-0005-0000-0000-0000C85C0000}"/>
    <cellStyle name="Normal 5 2 2 2 2 4 2 4" xfId="29423" xr:uid="{00000000-0005-0000-0000-0000C95C0000}"/>
    <cellStyle name="Normal 5 2 2 2 2 4 3" xfId="5936" xr:uid="{00000000-0005-0000-0000-0000CA5C0000}"/>
    <cellStyle name="Normal 5 2 2 2 2 4 3 2" xfId="10951" xr:uid="{00000000-0005-0000-0000-0000CB5C0000}"/>
    <cellStyle name="Normal 5 2 2 2 2 4 3 2 2" xfId="23394" xr:uid="{00000000-0005-0000-0000-0000CC5C0000}"/>
    <cellStyle name="Normal 5 2 2 2 2 4 3 2 2 2" xfId="48268" xr:uid="{00000000-0005-0000-0000-0000CD5C0000}"/>
    <cellStyle name="Normal 5 2 2 2 2 4 3 2 3" xfId="35835" xr:uid="{00000000-0005-0000-0000-0000CE5C0000}"/>
    <cellStyle name="Normal 5 2 2 2 2 4 3 3" xfId="18387" xr:uid="{00000000-0005-0000-0000-0000CF5C0000}"/>
    <cellStyle name="Normal 5 2 2 2 2 4 3 3 2" xfId="43261" xr:uid="{00000000-0005-0000-0000-0000D05C0000}"/>
    <cellStyle name="Normal 5 2 2 2 2 4 3 4" xfId="30828" xr:uid="{00000000-0005-0000-0000-0000D15C0000}"/>
    <cellStyle name="Normal 5 2 2 2 2 4 4" xfId="8662" xr:uid="{00000000-0005-0000-0000-0000D25C0000}"/>
    <cellStyle name="Normal 5 2 2 2 2 4 4 2" xfId="21106" xr:uid="{00000000-0005-0000-0000-0000D35C0000}"/>
    <cellStyle name="Normal 5 2 2 2 2 4 4 2 2" xfId="45980" xr:uid="{00000000-0005-0000-0000-0000D45C0000}"/>
    <cellStyle name="Normal 5 2 2 2 2 4 4 3" xfId="33547" xr:uid="{00000000-0005-0000-0000-0000D55C0000}"/>
    <cellStyle name="Normal 5 2 2 2 2 4 5" xfId="12405" xr:uid="{00000000-0005-0000-0000-0000D65C0000}"/>
    <cellStyle name="Normal 5 2 2 2 2 4 5 2" xfId="24839" xr:uid="{00000000-0005-0000-0000-0000D75C0000}"/>
    <cellStyle name="Normal 5 2 2 2 2 4 5 2 2" xfId="49713" xr:uid="{00000000-0005-0000-0000-0000D85C0000}"/>
    <cellStyle name="Normal 5 2 2 2 2 4 5 3" xfId="37280" xr:uid="{00000000-0005-0000-0000-0000D95C0000}"/>
    <cellStyle name="Normal 5 2 2 2 2 4 6" xfId="7139" xr:uid="{00000000-0005-0000-0000-0000DA5C0000}"/>
    <cellStyle name="Normal 5 2 2 2 2 4 6 2" xfId="19588" xr:uid="{00000000-0005-0000-0000-0000DB5C0000}"/>
    <cellStyle name="Normal 5 2 2 2 2 4 6 2 2" xfId="44462" xr:uid="{00000000-0005-0000-0000-0000DC5C0000}"/>
    <cellStyle name="Normal 5 2 2 2 2 4 6 3" xfId="32029" xr:uid="{00000000-0005-0000-0000-0000DD5C0000}"/>
    <cellStyle name="Normal 5 2 2 2 2 4 7" xfId="3593" xr:uid="{00000000-0005-0000-0000-0000DE5C0000}"/>
    <cellStyle name="Normal 5 2 2 2 2 4 7 2" xfId="16099" xr:uid="{00000000-0005-0000-0000-0000DF5C0000}"/>
    <cellStyle name="Normal 5 2 2 2 2 4 7 2 2" xfId="40973" xr:uid="{00000000-0005-0000-0000-0000E05C0000}"/>
    <cellStyle name="Normal 5 2 2 2 2 4 7 3" xfId="28532" xr:uid="{00000000-0005-0000-0000-0000E15C0000}"/>
    <cellStyle name="Normal 5 2 2 2 2 4 8" xfId="14590" xr:uid="{00000000-0005-0000-0000-0000E25C0000}"/>
    <cellStyle name="Normal 5 2 2 2 2 4 8 2" xfId="39464" xr:uid="{00000000-0005-0000-0000-0000E35C0000}"/>
    <cellStyle name="Normal 5 2 2 2 2 4 9" xfId="27023" xr:uid="{00000000-0005-0000-0000-0000E45C0000}"/>
    <cellStyle name="Normal 5 2 2 2 2 5" xfId="2216" xr:uid="{00000000-0005-0000-0000-0000E55C0000}"/>
    <cellStyle name="Normal 5 2 2 2 2 5 2" xfId="4845" xr:uid="{00000000-0005-0000-0000-0000E65C0000}"/>
    <cellStyle name="Normal 5 2 2 2 2 5 2 2" xfId="9862" xr:uid="{00000000-0005-0000-0000-0000E75C0000}"/>
    <cellStyle name="Normal 5 2 2 2 2 5 2 2 2" xfId="22305" xr:uid="{00000000-0005-0000-0000-0000E85C0000}"/>
    <cellStyle name="Normal 5 2 2 2 2 5 2 2 2 2" xfId="47179" xr:uid="{00000000-0005-0000-0000-0000E95C0000}"/>
    <cellStyle name="Normal 5 2 2 2 2 5 2 2 3" xfId="34746" xr:uid="{00000000-0005-0000-0000-0000EA5C0000}"/>
    <cellStyle name="Normal 5 2 2 2 2 5 2 3" xfId="17298" xr:uid="{00000000-0005-0000-0000-0000EB5C0000}"/>
    <cellStyle name="Normal 5 2 2 2 2 5 2 3 2" xfId="42172" xr:uid="{00000000-0005-0000-0000-0000EC5C0000}"/>
    <cellStyle name="Normal 5 2 2 2 2 5 2 4" xfId="29739" xr:uid="{00000000-0005-0000-0000-0000ED5C0000}"/>
    <cellStyle name="Normal 5 2 2 2 2 5 3" xfId="6243" xr:uid="{00000000-0005-0000-0000-0000EE5C0000}"/>
    <cellStyle name="Normal 5 2 2 2 2 5 3 2" xfId="11258" xr:uid="{00000000-0005-0000-0000-0000EF5C0000}"/>
    <cellStyle name="Normal 5 2 2 2 2 5 3 2 2" xfId="23701" xr:uid="{00000000-0005-0000-0000-0000F05C0000}"/>
    <cellStyle name="Normal 5 2 2 2 2 5 3 2 2 2" xfId="48575" xr:uid="{00000000-0005-0000-0000-0000F15C0000}"/>
    <cellStyle name="Normal 5 2 2 2 2 5 3 2 3" xfId="36142" xr:uid="{00000000-0005-0000-0000-0000F25C0000}"/>
    <cellStyle name="Normal 5 2 2 2 2 5 3 3" xfId="18694" xr:uid="{00000000-0005-0000-0000-0000F35C0000}"/>
    <cellStyle name="Normal 5 2 2 2 2 5 3 3 2" xfId="43568" xr:uid="{00000000-0005-0000-0000-0000F45C0000}"/>
    <cellStyle name="Normal 5 2 2 2 2 5 3 4" xfId="31135" xr:uid="{00000000-0005-0000-0000-0000F55C0000}"/>
    <cellStyle name="Normal 5 2 2 2 2 5 4" xfId="8154" xr:uid="{00000000-0005-0000-0000-0000F65C0000}"/>
    <cellStyle name="Normal 5 2 2 2 2 5 4 2" xfId="20600" xr:uid="{00000000-0005-0000-0000-0000F75C0000}"/>
    <cellStyle name="Normal 5 2 2 2 2 5 4 2 2" xfId="45474" xr:uid="{00000000-0005-0000-0000-0000F85C0000}"/>
    <cellStyle name="Normal 5 2 2 2 2 5 4 3" xfId="33041" xr:uid="{00000000-0005-0000-0000-0000F95C0000}"/>
    <cellStyle name="Normal 5 2 2 2 2 5 5" xfId="12712" xr:uid="{00000000-0005-0000-0000-0000FA5C0000}"/>
    <cellStyle name="Normal 5 2 2 2 2 5 5 2" xfId="25146" xr:uid="{00000000-0005-0000-0000-0000FB5C0000}"/>
    <cellStyle name="Normal 5 2 2 2 2 5 5 2 2" xfId="50020" xr:uid="{00000000-0005-0000-0000-0000FC5C0000}"/>
    <cellStyle name="Normal 5 2 2 2 2 5 5 3" xfId="37587" xr:uid="{00000000-0005-0000-0000-0000FD5C0000}"/>
    <cellStyle name="Normal 5 2 2 2 2 5 6" xfId="7456" xr:uid="{00000000-0005-0000-0000-0000FE5C0000}"/>
    <cellStyle name="Normal 5 2 2 2 2 5 6 2" xfId="19904" xr:uid="{00000000-0005-0000-0000-0000FF5C0000}"/>
    <cellStyle name="Normal 5 2 2 2 2 5 6 2 2" xfId="44778" xr:uid="{00000000-0005-0000-0000-0000005D0000}"/>
    <cellStyle name="Normal 5 2 2 2 2 5 6 3" xfId="32345" xr:uid="{00000000-0005-0000-0000-0000015D0000}"/>
    <cellStyle name="Normal 5 2 2 2 2 5 7" xfId="3084" xr:uid="{00000000-0005-0000-0000-0000025D0000}"/>
    <cellStyle name="Normal 5 2 2 2 2 5 7 2" xfId="15593" xr:uid="{00000000-0005-0000-0000-0000035D0000}"/>
    <cellStyle name="Normal 5 2 2 2 2 5 7 2 2" xfId="40467" xr:uid="{00000000-0005-0000-0000-0000045D0000}"/>
    <cellStyle name="Normal 5 2 2 2 2 5 7 3" xfId="28026" xr:uid="{00000000-0005-0000-0000-0000055D0000}"/>
    <cellStyle name="Normal 5 2 2 2 2 5 8" xfId="14897" xr:uid="{00000000-0005-0000-0000-0000065D0000}"/>
    <cellStyle name="Normal 5 2 2 2 2 5 8 2" xfId="39771" xr:uid="{00000000-0005-0000-0000-0000075D0000}"/>
    <cellStyle name="Normal 5 2 2 2 2 5 9" xfId="27330" xr:uid="{00000000-0005-0000-0000-0000085D0000}"/>
    <cellStyle name="Normal 5 2 2 2 2 6" xfId="1054" xr:uid="{00000000-0005-0000-0000-0000095D0000}"/>
    <cellStyle name="Normal 5 2 2 2 2 6 2" xfId="9040" xr:uid="{00000000-0005-0000-0000-00000A5D0000}"/>
    <cellStyle name="Normal 5 2 2 2 2 6 2 2" xfId="21483" xr:uid="{00000000-0005-0000-0000-00000B5D0000}"/>
    <cellStyle name="Normal 5 2 2 2 2 6 2 2 2" xfId="46357" xr:uid="{00000000-0005-0000-0000-00000C5D0000}"/>
    <cellStyle name="Normal 5 2 2 2 2 6 2 3" xfId="33924" xr:uid="{00000000-0005-0000-0000-00000D5D0000}"/>
    <cellStyle name="Normal 5 2 2 2 2 6 3" xfId="4022" xr:uid="{00000000-0005-0000-0000-00000E5D0000}"/>
    <cellStyle name="Normal 5 2 2 2 2 6 3 2" xfId="16476" xr:uid="{00000000-0005-0000-0000-00000F5D0000}"/>
    <cellStyle name="Normal 5 2 2 2 2 6 3 2 2" xfId="41350" xr:uid="{00000000-0005-0000-0000-0000105D0000}"/>
    <cellStyle name="Normal 5 2 2 2 2 6 3 3" xfId="28917" xr:uid="{00000000-0005-0000-0000-0000115D0000}"/>
    <cellStyle name="Normal 5 2 2 2 2 6 4" xfId="13854" xr:uid="{00000000-0005-0000-0000-0000125D0000}"/>
    <cellStyle name="Normal 5 2 2 2 2 6 4 2" xfId="38728" xr:uid="{00000000-0005-0000-0000-0000135D0000}"/>
    <cellStyle name="Normal 5 2 2 2 2 6 5" xfId="26287" xr:uid="{00000000-0005-0000-0000-0000145D0000}"/>
    <cellStyle name="Normal 5 2 2 2 2 7" xfId="5199" xr:uid="{00000000-0005-0000-0000-0000155D0000}"/>
    <cellStyle name="Normal 5 2 2 2 2 7 2" xfId="10215" xr:uid="{00000000-0005-0000-0000-0000165D0000}"/>
    <cellStyle name="Normal 5 2 2 2 2 7 2 2" xfId="22658" xr:uid="{00000000-0005-0000-0000-0000175D0000}"/>
    <cellStyle name="Normal 5 2 2 2 2 7 2 2 2" xfId="47532" xr:uid="{00000000-0005-0000-0000-0000185D0000}"/>
    <cellStyle name="Normal 5 2 2 2 2 7 2 3" xfId="35099" xr:uid="{00000000-0005-0000-0000-0000195D0000}"/>
    <cellStyle name="Normal 5 2 2 2 2 7 3" xfId="17651" xr:uid="{00000000-0005-0000-0000-00001A5D0000}"/>
    <cellStyle name="Normal 5 2 2 2 2 7 3 2" xfId="42525" xr:uid="{00000000-0005-0000-0000-00001B5D0000}"/>
    <cellStyle name="Normal 5 2 2 2 2 7 4" xfId="30092" xr:uid="{00000000-0005-0000-0000-00001C5D0000}"/>
    <cellStyle name="Normal 5 2 2 2 2 8" xfId="7776" xr:uid="{00000000-0005-0000-0000-00001D5D0000}"/>
    <cellStyle name="Normal 5 2 2 2 2 8 2" xfId="20222" xr:uid="{00000000-0005-0000-0000-00001E5D0000}"/>
    <cellStyle name="Normal 5 2 2 2 2 8 2 2" xfId="45096" xr:uid="{00000000-0005-0000-0000-00001F5D0000}"/>
    <cellStyle name="Normal 5 2 2 2 2 8 3" xfId="32663" xr:uid="{00000000-0005-0000-0000-0000205D0000}"/>
    <cellStyle name="Normal 5 2 2 2 2 9" xfId="11669" xr:uid="{00000000-0005-0000-0000-0000215D0000}"/>
    <cellStyle name="Normal 5 2 2 2 2 9 2" xfId="24103" xr:uid="{00000000-0005-0000-0000-0000225D0000}"/>
    <cellStyle name="Normal 5 2 2 2 2 9 2 2" xfId="48977" xr:uid="{00000000-0005-0000-0000-0000235D0000}"/>
    <cellStyle name="Normal 5 2 2 2 2 9 3" xfId="36544" xr:uid="{00000000-0005-0000-0000-0000245D0000}"/>
    <cellStyle name="Normal 5 2 2 2 2_Degree data" xfId="2007" xr:uid="{00000000-0005-0000-0000-0000255D0000}"/>
    <cellStyle name="Normal 5 2 2 2 3" xfId="453" xr:uid="{00000000-0005-0000-0000-0000265D0000}"/>
    <cellStyle name="Normal 5 2 2 2 4" xfId="400" xr:uid="{00000000-0005-0000-0000-0000275D0000}"/>
    <cellStyle name="Normal 5 2 2 2 4 10" xfId="13216" xr:uid="{00000000-0005-0000-0000-0000285D0000}"/>
    <cellStyle name="Normal 5 2 2 2 4 10 2" xfId="38090" xr:uid="{00000000-0005-0000-0000-0000295D0000}"/>
    <cellStyle name="Normal 5 2 2 2 4 11" xfId="25649" xr:uid="{00000000-0005-0000-0000-00002A5D0000}"/>
    <cellStyle name="Normal 5 2 2 2 4 2" xfId="760" xr:uid="{00000000-0005-0000-0000-00002B5D0000}"/>
    <cellStyle name="Normal 5 2 2 2 4 2 2" xfId="1444" xr:uid="{00000000-0005-0000-0000-00002C5D0000}"/>
    <cellStyle name="Normal 5 2 2 2 4 2 2 2" xfId="9548" xr:uid="{00000000-0005-0000-0000-00002D5D0000}"/>
    <cellStyle name="Normal 5 2 2 2 4 2 2 2 2" xfId="21991" xr:uid="{00000000-0005-0000-0000-00002E5D0000}"/>
    <cellStyle name="Normal 5 2 2 2 4 2 2 2 2 2" xfId="46865" xr:uid="{00000000-0005-0000-0000-00002F5D0000}"/>
    <cellStyle name="Normal 5 2 2 2 4 2 2 2 3" xfId="34432" xr:uid="{00000000-0005-0000-0000-0000305D0000}"/>
    <cellStyle name="Normal 5 2 2 2 4 2 2 3" xfId="4530" xr:uid="{00000000-0005-0000-0000-0000315D0000}"/>
    <cellStyle name="Normal 5 2 2 2 4 2 2 3 2" xfId="16984" xr:uid="{00000000-0005-0000-0000-0000325D0000}"/>
    <cellStyle name="Normal 5 2 2 2 4 2 2 3 2 2" xfId="41858" xr:uid="{00000000-0005-0000-0000-0000335D0000}"/>
    <cellStyle name="Normal 5 2 2 2 4 2 2 3 3" xfId="29425" xr:uid="{00000000-0005-0000-0000-0000345D0000}"/>
    <cellStyle name="Normal 5 2 2 2 4 2 2 4" xfId="14244" xr:uid="{00000000-0005-0000-0000-0000355D0000}"/>
    <cellStyle name="Normal 5 2 2 2 4 2 2 4 2" xfId="39118" xr:uid="{00000000-0005-0000-0000-0000365D0000}"/>
    <cellStyle name="Normal 5 2 2 2 4 2 2 5" xfId="26677" xr:uid="{00000000-0005-0000-0000-0000375D0000}"/>
    <cellStyle name="Normal 5 2 2 2 4 2 3" xfId="5589" xr:uid="{00000000-0005-0000-0000-0000385D0000}"/>
    <cellStyle name="Normal 5 2 2 2 4 2 3 2" xfId="10605" xr:uid="{00000000-0005-0000-0000-0000395D0000}"/>
    <cellStyle name="Normal 5 2 2 2 4 2 3 2 2" xfId="23048" xr:uid="{00000000-0005-0000-0000-00003A5D0000}"/>
    <cellStyle name="Normal 5 2 2 2 4 2 3 2 2 2" xfId="47922" xr:uid="{00000000-0005-0000-0000-00003B5D0000}"/>
    <cellStyle name="Normal 5 2 2 2 4 2 3 2 3" xfId="35489" xr:uid="{00000000-0005-0000-0000-00003C5D0000}"/>
    <cellStyle name="Normal 5 2 2 2 4 2 3 3" xfId="18041" xr:uid="{00000000-0005-0000-0000-00003D5D0000}"/>
    <cellStyle name="Normal 5 2 2 2 4 2 3 3 2" xfId="42915" xr:uid="{00000000-0005-0000-0000-00003E5D0000}"/>
    <cellStyle name="Normal 5 2 2 2 4 2 3 4" xfId="30482" xr:uid="{00000000-0005-0000-0000-00003F5D0000}"/>
    <cellStyle name="Normal 5 2 2 2 4 2 4" xfId="8664" xr:uid="{00000000-0005-0000-0000-0000405D0000}"/>
    <cellStyle name="Normal 5 2 2 2 4 2 4 2" xfId="21108" xr:uid="{00000000-0005-0000-0000-0000415D0000}"/>
    <cellStyle name="Normal 5 2 2 2 4 2 4 2 2" xfId="45982" xr:uid="{00000000-0005-0000-0000-0000425D0000}"/>
    <cellStyle name="Normal 5 2 2 2 4 2 4 3" xfId="33549" xr:uid="{00000000-0005-0000-0000-0000435D0000}"/>
    <cellStyle name="Normal 5 2 2 2 4 2 5" xfId="12059" xr:uid="{00000000-0005-0000-0000-0000445D0000}"/>
    <cellStyle name="Normal 5 2 2 2 4 2 5 2" xfId="24493" xr:uid="{00000000-0005-0000-0000-0000455D0000}"/>
    <cellStyle name="Normal 5 2 2 2 4 2 5 2 2" xfId="49367" xr:uid="{00000000-0005-0000-0000-0000465D0000}"/>
    <cellStyle name="Normal 5 2 2 2 4 2 5 3" xfId="36934" xr:uid="{00000000-0005-0000-0000-0000475D0000}"/>
    <cellStyle name="Normal 5 2 2 2 4 2 6" xfId="7141" xr:uid="{00000000-0005-0000-0000-0000485D0000}"/>
    <cellStyle name="Normal 5 2 2 2 4 2 6 2" xfId="19590" xr:uid="{00000000-0005-0000-0000-0000495D0000}"/>
    <cellStyle name="Normal 5 2 2 2 4 2 6 2 2" xfId="44464" xr:uid="{00000000-0005-0000-0000-00004A5D0000}"/>
    <cellStyle name="Normal 5 2 2 2 4 2 6 3" xfId="32031" xr:uid="{00000000-0005-0000-0000-00004B5D0000}"/>
    <cellStyle name="Normal 5 2 2 2 4 2 7" xfId="3595" xr:uid="{00000000-0005-0000-0000-00004C5D0000}"/>
    <cellStyle name="Normal 5 2 2 2 4 2 7 2" xfId="16101" xr:uid="{00000000-0005-0000-0000-00004D5D0000}"/>
    <cellStyle name="Normal 5 2 2 2 4 2 7 2 2" xfId="40975" xr:uid="{00000000-0005-0000-0000-00004E5D0000}"/>
    <cellStyle name="Normal 5 2 2 2 4 2 7 3" xfId="28534" xr:uid="{00000000-0005-0000-0000-00004F5D0000}"/>
    <cellStyle name="Normal 5 2 2 2 4 2 8" xfId="13563" xr:uid="{00000000-0005-0000-0000-0000505D0000}"/>
    <cellStyle name="Normal 5 2 2 2 4 2 8 2" xfId="38437" xr:uid="{00000000-0005-0000-0000-0000515D0000}"/>
    <cellStyle name="Normal 5 2 2 2 4 2 9" xfId="25996" xr:uid="{00000000-0005-0000-0000-0000525D0000}"/>
    <cellStyle name="Normal 5 2 2 2 4 3" xfId="1792" xr:uid="{00000000-0005-0000-0000-0000535D0000}"/>
    <cellStyle name="Normal 5 2 2 2 4 3 2" xfId="4945" xr:uid="{00000000-0005-0000-0000-0000545D0000}"/>
    <cellStyle name="Normal 5 2 2 2 4 3 2 2" xfId="9962" xr:uid="{00000000-0005-0000-0000-0000555D0000}"/>
    <cellStyle name="Normal 5 2 2 2 4 3 2 2 2" xfId="22405" xr:uid="{00000000-0005-0000-0000-0000565D0000}"/>
    <cellStyle name="Normal 5 2 2 2 4 3 2 2 2 2" xfId="47279" xr:uid="{00000000-0005-0000-0000-0000575D0000}"/>
    <cellStyle name="Normal 5 2 2 2 4 3 2 2 3" xfId="34846" xr:uid="{00000000-0005-0000-0000-0000585D0000}"/>
    <cellStyle name="Normal 5 2 2 2 4 3 2 3" xfId="17398" xr:uid="{00000000-0005-0000-0000-0000595D0000}"/>
    <cellStyle name="Normal 5 2 2 2 4 3 2 3 2" xfId="42272" xr:uid="{00000000-0005-0000-0000-00005A5D0000}"/>
    <cellStyle name="Normal 5 2 2 2 4 3 2 4" xfId="29839" xr:uid="{00000000-0005-0000-0000-00005B5D0000}"/>
    <cellStyle name="Normal 5 2 2 2 4 3 3" xfId="5938" xr:uid="{00000000-0005-0000-0000-00005C5D0000}"/>
    <cellStyle name="Normal 5 2 2 2 4 3 3 2" xfId="10953" xr:uid="{00000000-0005-0000-0000-00005D5D0000}"/>
    <cellStyle name="Normal 5 2 2 2 4 3 3 2 2" xfId="23396" xr:uid="{00000000-0005-0000-0000-00005E5D0000}"/>
    <cellStyle name="Normal 5 2 2 2 4 3 3 2 2 2" xfId="48270" xr:uid="{00000000-0005-0000-0000-00005F5D0000}"/>
    <cellStyle name="Normal 5 2 2 2 4 3 3 2 3" xfId="35837" xr:uid="{00000000-0005-0000-0000-0000605D0000}"/>
    <cellStyle name="Normal 5 2 2 2 4 3 3 3" xfId="18389" xr:uid="{00000000-0005-0000-0000-0000615D0000}"/>
    <cellStyle name="Normal 5 2 2 2 4 3 3 3 2" xfId="43263" xr:uid="{00000000-0005-0000-0000-0000625D0000}"/>
    <cellStyle name="Normal 5 2 2 2 4 3 3 4" xfId="30830" xr:uid="{00000000-0005-0000-0000-0000635D0000}"/>
    <cellStyle name="Normal 5 2 2 2 4 3 4" xfId="8369" xr:uid="{00000000-0005-0000-0000-0000645D0000}"/>
    <cellStyle name="Normal 5 2 2 2 4 3 4 2" xfId="20813" xr:uid="{00000000-0005-0000-0000-0000655D0000}"/>
    <cellStyle name="Normal 5 2 2 2 4 3 4 2 2" xfId="45687" xr:uid="{00000000-0005-0000-0000-0000665D0000}"/>
    <cellStyle name="Normal 5 2 2 2 4 3 4 3" xfId="33254" xr:uid="{00000000-0005-0000-0000-0000675D0000}"/>
    <cellStyle name="Normal 5 2 2 2 4 3 5" xfId="12407" xr:uid="{00000000-0005-0000-0000-0000685D0000}"/>
    <cellStyle name="Normal 5 2 2 2 4 3 5 2" xfId="24841" xr:uid="{00000000-0005-0000-0000-0000695D0000}"/>
    <cellStyle name="Normal 5 2 2 2 4 3 5 2 2" xfId="49715" xr:uid="{00000000-0005-0000-0000-00006A5D0000}"/>
    <cellStyle name="Normal 5 2 2 2 4 3 5 3" xfId="37282" xr:uid="{00000000-0005-0000-0000-00006B5D0000}"/>
    <cellStyle name="Normal 5 2 2 2 4 3 6" xfId="7556" xr:uid="{00000000-0005-0000-0000-00006C5D0000}"/>
    <cellStyle name="Normal 5 2 2 2 4 3 6 2" xfId="20004" xr:uid="{00000000-0005-0000-0000-00006D5D0000}"/>
    <cellStyle name="Normal 5 2 2 2 4 3 6 2 2" xfId="44878" xr:uid="{00000000-0005-0000-0000-00006E5D0000}"/>
    <cellStyle name="Normal 5 2 2 2 4 3 6 3" xfId="32445" xr:uid="{00000000-0005-0000-0000-00006F5D0000}"/>
    <cellStyle name="Normal 5 2 2 2 4 3 7" xfId="3300" xr:uid="{00000000-0005-0000-0000-0000705D0000}"/>
    <cellStyle name="Normal 5 2 2 2 4 3 7 2" xfId="15806" xr:uid="{00000000-0005-0000-0000-0000715D0000}"/>
    <cellStyle name="Normal 5 2 2 2 4 3 7 2 2" xfId="40680" xr:uid="{00000000-0005-0000-0000-0000725D0000}"/>
    <cellStyle name="Normal 5 2 2 2 4 3 7 3" xfId="28239" xr:uid="{00000000-0005-0000-0000-0000735D0000}"/>
    <cellStyle name="Normal 5 2 2 2 4 3 8" xfId="14592" xr:uid="{00000000-0005-0000-0000-0000745D0000}"/>
    <cellStyle name="Normal 5 2 2 2 4 3 8 2" xfId="39466" xr:uid="{00000000-0005-0000-0000-0000755D0000}"/>
    <cellStyle name="Normal 5 2 2 2 4 3 9" xfId="27025" xr:uid="{00000000-0005-0000-0000-0000765D0000}"/>
    <cellStyle name="Normal 5 2 2 2 4 4" xfId="2318" xr:uid="{00000000-0005-0000-0000-0000775D0000}"/>
    <cellStyle name="Normal 5 2 2 2 4 4 2" xfId="6343" xr:uid="{00000000-0005-0000-0000-0000785D0000}"/>
    <cellStyle name="Normal 5 2 2 2 4 4 2 2" xfId="11358" xr:uid="{00000000-0005-0000-0000-0000795D0000}"/>
    <cellStyle name="Normal 5 2 2 2 4 4 2 2 2" xfId="23801" xr:uid="{00000000-0005-0000-0000-00007A5D0000}"/>
    <cellStyle name="Normal 5 2 2 2 4 4 2 2 2 2" xfId="48675" xr:uid="{00000000-0005-0000-0000-00007B5D0000}"/>
    <cellStyle name="Normal 5 2 2 2 4 4 2 2 3" xfId="36242" xr:uid="{00000000-0005-0000-0000-00007C5D0000}"/>
    <cellStyle name="Normal 5 2 2 2 4 4 2 3" xfId="18794" xr:uid="{00000000-0005-0000-0000-00007D5D0000}"/>
    <cellStyle name="Normal 5 2 2 2 4 4 2 3 2" xfId="43668" xr:uid="{00000000-0005-0000-0000-00007E5D0000}"/>
    <cellStyle name="Normal 5 2 2 2 4 4 2 4" xfId="31235" xr:uid="{00000000-0005-0000-0000-00007F5D0000}"/>
    <cellStyle name="Normal 5 2 2 2 4 4 3" xfId="12812" xr:uid="{00000000-0005-0000-0000-0000805D0000}"/>
    <cellStyle name="Normal 5 2 2 2 4 4 3 2" xfId="25246" xr:uid="{00000000-0005-0000-0000-0000815D0000}"/>
    <cellStyle name="Normal 5 2 2 2 4 4 3 2 2" xfId="50120" xr:uid="{00000000-0005-0000-0000-0000825D0000}"/>
    <cellStyle name="Normal 5 2 2 2 4 4 3 3" xfId="37687" xr:uid="{00000000-0005-0000-0000-0000835D0000}"/>
    <cellStyle name="Normal 5 2 2 2 4 4 4" xfId="9253" xr:uid="{00000000-0005-0000-0000-0000845D0000}"/>
    <cellStyle name="Normal 5 2 2 2 4 4 4 2" xfId="21696" xr:uid="{00000000-0005-0000-0000-0000855D0000}"/>
    <cellStyle name="Normal 5 2 2 2 4 4 4 2 2" xfId="46570" xr:uid="{00000000-0005-0000-0000-0000865D0000}"/>
    <cellStyle name="Normal 5 2 2 2 4 4 4 3" xfId="34137" xr:uid="{00000000-0005-0000-0000-0000875D0000}"/>
    <cellStyle name="Normal 5 2 2 2 4 4 5" xfId="4235" xr:uid="{00000000-0005-0000-0000-0000885D0000}"/>
    <cellStyle name="Normal 5 2 2 2 4 4 5 2" xfId="16689" xr:uid="{00000000-0005-0000-0000-0000895D0000}"/>
    <cellStyle name="Normal 5 2 2 2 4 4 5 2 2" xfId="41563" xr:uid="{00000000-0005-0000-0000-00008A5D0000}"/>
    <cellStyle name="Normal 5 2 2 2 4 4 5 3" xfId="29130" xr:uid="{00000000-0005-0000-0000-00008B5D0000}"/>
    <cellStyle name="Normal 5 2 2 2 4 4 6" xfId="14997" xr:uid="{00000000-0005-0000-0000-00008C5D0000}"/>
    <cellStyle name="Normal 5 2 2 2 4 4 6 2" xfId="39871" xr:uid="{00000000-0005-0000-0000-00008D5D0000}"/>
    <cellStyle name="Normal 5 2 2 2 4 4 7" xfId="27430" xr:uid="{00000000-0005-0000-0000-00008E5D0000}"/>
    <cellStyle name="Normal 5 2 2 2 4 5" xfId="1154" xr:uid="{00000000-0005-0000-0000-00008F5D0000}"/>
    <cellStyle name="Normal 5 2 2 2 4 5 2" xfId="10315" xr:uid="{00000000-0005-0000-0000-0000905D0000}"/>
    <cellStyle name="Normal 5 2 2 2 4 5 2 2" xfId="22758" xr:uid="{00000000-0005-0000-0000-0000915D0000}"/>
    <cellStyle name="Normal 5 2 2 2 4 5 2 2 2" xfId="47632" xr:uid="{00000000-0005-0000-0000-0000925D0000}"/>
    <cellStyle name="Normal 5 2 2 2 4 5 2 3" xfId="35199" xr:uid="{00000000-0005-0000-0000-0000935D0000}"/>
    <cellStyle name="Normal 5 2 2 2 4 5 3" xfId="5299" xr:uid="{00000000-0005-0000-0000-0000945D0000}"/>
    <cellStyle name="Normal 5 2 2 2 4 5 3 2" xfId="17751" xr:uid="{00000000-0005-0000-0000-0000955D0000}"/>
    <cellStyle name="Normal 5 2 2 2 4 5 3 2 2" xfId="42625" xr:uid="{00000000-0005-0000-0000-0000965D0000}"/>
    <cellStyle name="Normal 5 2 2 2 4 5 3 3" xfId="30192" xr:uid="{00000000-0005-0000-0000-0000975D0000}"/>
    <cellStyle name="Normal 5 2 2 2 4 5 4" xfId="13954" xr:uid="{00000000-0005-0000-0000-0000985D0000}"/>
    <cellStyle name="Normal 5 2 2 2 4 5 4 2" xfId="38828" xr:uid="{00000000-0005-0000-0000-0000995D0000}"/>
    <cellStyle name="Normal 5 2 2 2 4 5 5" xfId="26387" xr:uid="{00000000-0005-0000-0000-00009A5D0000}"/>
    <cellStyle name="Normal 5 2 2 2 4 6" xfId="7876" xr:uid="{00000000-0005-0000-0000-00009B5D0000}"/>
    <cellStyle name="Normal 5 2 2 2 4 6 2" xfId="20322" xr:uid="{00000000-0005-0000-0000-00009C5D0000}"/>
    <cellStyle name="Normal 5 2 2 2 4 6 2 2" xfId="45196" xr:uid="{00000000-0005-0000-0000-00009D5D0000}"/>
    <cellStyle name="Normal 5 2 2 2 4 6 3" xfId="32763" xr:uid="{00000000-0005-0000-0000-00009E5D0000}"/>
    <cellStyle name="Normal 5 2 2 2 4 7" xfId="11769" xr:uid="{00000000-0005-0000-0000-00009F5D0000}"/>
    <cellStyle name="Normal 5 2 2 2 4 7 2" xfId="24203" xr:uid="{00000000-0005-0000-0000-0000A05D0000}"/>
    <cellStyle name="Normal 5 2 2 2 4 7 2 2" xfId="49077" xr:uid="{00000000-0005-0000-0000-0000A15D0000}"/>
    <cellStyle name="Normal 5 2 2 2 4 7 3" xfId="36644" xr:uid="{00000000-0005-0000-0000-0000A25D0000}"/>
    <cellStyle name="Normal 5 2 2 2 4 8" xfId="6846" xr:uid="{00000000-0005-0000-0000-0000A35D0000}"/>
    <cellStyle name="Normal 5 2 2 2 4 8 2" xfId="19295" xr:uid="{00000000-0005-0000-0000-0000A45D0000}"/>
    <cellStyle name="Normal 5 2 2 2 4 8 2 2" xfId="44169" xr:uid="{00000000-0005-0000-0000-0000A55D0000}"/>
    <cellStyle name="Normal 5 2 2 2 4 8 3" xfId="31736" xr:uid="{00000000-0005-0000-0000-0000A65D0000}"/>
    <cellStyle name="Normal 5 2 2 2 4 9" xfId="2797" xr:uid="{00000000-0005-0000-0000-0000A75D0000}"/>
    <cellStyle name="Normal 5 2 2 2 4 9 2" xfId="15315" xr:uid="{00000000-0005-0000-0000-0000A85D0000}"/>
    <cellStyle name="Normal 5 2 2 2 4 9 2 2" xfId="40189" xr:uid="{00000000-0005-0000-0000-0000A95D0000}"/>
    <cellStyle name="Normal 5 2 2 2 4 9 3" xfId="27748" xr:uid="{00000000-0005-0000-0000-0000AA5D0000}"/>
    <cellStyle name="Normal 5 2 2 2 4_Degree data" xfId="2005" xr:uid="{00000000-0005-0000-0000-0000AB5D0000}"/>
    <cellStyle name="Normal 5 2 2 2 5" xfId="221" xr:uid="{00000000-0005-0000-0000-0000AC5D0000}"/>
    <cellStyle name="Normal 5 2 2 2 5 2" xfId="8050" xr:uid="{00000000-0005-0000-0000-0000AD5D0000}"/>
    <cellStyle name="Normal 5 2 2 2 5 2 2" xfId="20496" xr:uid="{00000000-0005-0000-0000-0000AE5D0000}"/>
    <cellStyle name="Normal 5 2 2 2 5 2 2 2" xfId="45370" xr:uid="{00000000-0005-0000-0000-0000AF5D0000}"/>
    <cellStyle name="Normal 5 2 2 2 5 2 3" xfId="32937" xr:uid="{00000000-0005-0000-0000-0000B05D0000}"/>
    <cellStyle name="Normal 5 2 2 2 5 3" xfId="2977" xr:uid="{00000000-0005-0000-0000-0000B15D0000}"/>
    <cellStyle name="Normal 5 2 2 2 5 3 2" xfId="15489" xr:uid="{00000000-0005-0000-0000-0000B25D0000}"/>
    <cellStyle name="Normal 5 2 2 2 5 3 2 2" xfId="40363" xr:uid="{00000000-0005-0000-0000-0000B35D0000}"/>
    <cellStyle name="Normal 5 2 2 2 5 3 3" xfId="27922" xr:uid="{00000000-0005-0000-0000-0000B45D0000}"/>
    <cellStyle name="Normal 5 2 2 2 6" xfId="3918" xr:uid="{00000000-0005-0000-0000-0000B55D0000}"/>
    <cellStyle name="Normal 5 2 2 2 6 2" xfId="8936" xr:uid="{00000000-0005-0000-0000-0000B65D0000}"/>
    <cellStyle name="Normal 5 2 2 2 6 2 2" xfId="21379" xr:uid="{00000000-0005-0000-0000-0000B75D0000}"/>
    <cellStyle name="Normal 5 2 2 2 6 2 2 2" xfId="46253" xr:uid="{00000000-0005-0000-0000-0000B85D0000}"/>
    <cellStyle name="Normal 5 2 2 2 6 2 3" xfId="33820" xr:uid="{00000000-0005-0000-0000-0000B95D0000}"/>
    <cellStyle name="Normal 5 2 2 2 6 3" xfId="16372" xr:uid="{00000000-0005-0000-0000-0000BA5D0000}"/>
    <cellStyle name="Normal 5 2 2 2 6 3 2" xfId="41246" xr:uid="{00000000-0005-0000-0000-0000BB5D0000}"/>
    <cellStyle name="Normal 5 2 2 2 6 4" xfId="28813" xr:uid="{00000000-0005-0000-0000-0000BC5D0000}"/>
    <cellStyle name="Normal 5 2 2 2 7" xfId="7680" xr:uid="{00000000-0005-0000-0000-0000BD5D0000}"/>
    <cellStyle name="Normal 5 2 2 2 8" xfId="11496" xr:uid="{00000000-0005-0000-0000-0000BE5D0000}"/>
    <cellStyle name="Normal 5 2 2 2 9" xfId="11494" xr:uid="{00000000-0005-0000-0000-0000BF5D0000}"/>
    <cellStyle name="Normal 5 2 2 3" xfId="184" xr:uid="{00000000-0005-0000-0000-0000C05D0000}"/>
    <cellStyle name="Normal 5 2 2 3 10" xfId="6572" xr:uid="{00000000-0005-0000-0000-0000C15D0000}"/>
    <cellStyle name="Normal 5 2 2 3 10 2" xfId="19021" xr:uid="{00000000-0005-0000-0000-0000C25D0000}"/>
    <cellStyle name="Normal 5 2 2 3 10 2 2" xfId="43895" xr:uid="{00000000-0005-0000-0000-0000C35D0000}"/>
    <cellStyle name="Normal 5 2 2 3 10 3" xfId="31462" xr:uid="{00000000-0005-0000-0000-0000C45D0000}"/>
    <cellStyle name="Normal 5 2 2 3 11" xfId="2740" xr:uid="{00000000-0005-0000-0000-0000C55D0000}"/>
    <cellStyle name="Normal 5 2 2 3 11 2" xfId="15258" xr:uid="{00000000-0005-0000-0000-0000C65D0000}"/>
    <cellStyle name="Normal 5 2 2 3 11 2 2" xfId="40132" xr:uid="{00000000-0005-0000-0000-0000C75D0000}"/>
    <cellStyle name="Normal 5 2 2 3 11 3" xfId="27691" xr:uid="{00000000-0005-0000-0000-0000C85D0000}"/>
    <cellStyle name="Normal 5 2 2 3 12" xfId="13014" xr:uid="{00000000-0005-0000-0000-0000C95D0000}"/>
    <cellStyle name="Normal 5 2 2 3 12 2" xfId="37888" xr:uid="{00000000-0005-0000-0000-0000CA5D0000}"/>
    <cellStyle name="Normal 5 2 2 3 13" xfId="25447" xr:uid="{00000000-0005-0000-0000-0000CB5D0000}"/>
    <cellStyle name="Normal 5 2 2 3 2" xfId="445" xr:uid="{00000000-0005-0000-0000-0000CC5D0000}"/>
    <cellStyle name="Normal 5 2 2 3 2 10" xfId="13259" xr:uid="{00000000-0005-0000-0000-0000CD5D0000}"/>
    <cellStyle name="Normal 5 2 2 3 2 10 2" xfId="38133" xr:uid="{00000000-0005-0000-0000-0000CE5D0000}"/>
    <cellStyle name="Normal 5 2 2 3 2 11" xfId="25692" xr:uid="{00000000-0005-0000-0000-0000CF5D0000}"/>
    <cellStyle name="Normal 5 2 2 3 2 2" xfId="805" xr:uid="{00000000-0005-0000-0000-0000D05D0000}"/>
    <cellStyle name="Normal 5 2 2 3 2 2 2" xfId="1446" xr:uid="{00000000-0005-0000-0000-0000D15D0000}"/>
    <cellStyle name="Normal 5 2 2 3 2 2 2 2" xfId="9550" xr:uid="{00000000-0005-0000-0000-0000D25D0000}"/>
    <cellStyle name="Normal 5 2 2 3 2 2 2 2 2" xfId="21993" xr:uid="{00000000-0005-0000-0000-0000D35D0000}"/>
    <cellStyle name="Normal 5 2 2 3 2 2 2 2 2 2" xfId="46867" xr:uid="{00000000-0005-0000-0000-0000D45D0000}"/>
    <cellStyle name="Normal 5 2 2 3 2 2 2 2 3" xfId="34434" xr:uid="{00000000-0005-0000-0000-0000D55D0000}"/>
    <cellStyle name="Normal 5 2 2 3 2 2 2 3" xfId="4532" xr:uid="{00000000-0005-0000-0000-0000D65D0000}"/>
    <cellStyle name="Normal 5 2 2 3 2 2 2 3 2" xfId="16986" xr:uid="{00000000-0005-0000-0000-0000D75D0000}"/>
    <cellStyle name="Normal 5 2 2 3 2 2 2 3 2 2" xfId="41860" xr:uid="{00000000-0005-0000-0000-0000D85D0000}"/>
    <cellStyle name="Normal 5 2 2 3 2 2 2 3 3" xfId="29427" xr:uid="{00000000-0005-0000-0000-0000D95D0000}"/>
    <cellStyle name="Normal 5 2 2 3 2 2 2 4" xfId="14246" xr:uid="{00000000-0005-0000-0000-0000DA5D0000}"/>
    <cellStyle name="Normal 5 2 2 3 2 2 2 4 2" xfId="39120" xr:uid="{00000000-0005-0000-0000-0000DB5D0000}"/>
    <cellStyle name="Normal 5 2 2 3 2 2 2 5" xfId="26679" xr:uid="{00000000-0005-0000-0000-0000DC5D0000}"/>
    <cellStyle name="Normal 5 2 2 3 2 2 3" xfId="5591" xr:uid="{00000000-0005-0000-0000-0000DD5D0000}"/>
    <cellStyle name="Normal 5 2 2 3 2 2 3 2" xfId="10607" xr:uid="{00000000-0005-0000-0000-0000DE5D0000}"/>
    <cellStyle name="Normal 5 2 2 3 2 2 3 2 2" xfId="23050" xr:uid="{00000000-0005-0000-0000-0000DF5D0000}"/>
    <cellStyle name="Normal 5 2 2 3 2 2 3 2 2 2" xfId="47924" xr:uid="{00000000-0005-0000-0000-0000E05D0000}"/>
    <cellStyle name="Normal 5 2 2 3 2 2 3 2 3" xfId="35491" xr:uid="{00000000-0005-0000-0000-0000E15D0000}"/>
    <cellStyle name="Normal 5 2 2 3 2 2 3 3" xfId="18043" xr:uid="{00000000-0005-0000-0000-0000E25D0000}"/>
    <cellStyle name="Normal 5 2 2 3 2 2 3 3 2" xfId="42917" xr:uid="{00000000-0005-0000-0000-0000E35D0000}"/>
    <cellStyle name="Normal 5 2 2 3 2 2 3 4" xfId="30484" xr:uid="{00000000-0005-0000-0000-0000E45D0000}"/>
    <cellStyle name="Normal 5 2 2 3 2 2 4" xfId="8666" xr:uid="{00000000-0005-0000-0000-0000E55D0000}"/>
    <cellStyle name="Normal 5 2 2 3 2 2 4 2" xfId="21110" xr:uid="{00000000-0005-0000-0000-0000E65D0000}"/>
    <cellStyle name="Normal 5 2 2 3 2 2 4 2 2" xfId="45984" xr:uid="{00000000-0005-0000-0000-0000E75D0000}"/>
    <cellStyle name="Normal 5 2 2 3 2 2 4 3" xfId="33551" xr:uid="{00000000-0005-0000-0000-0000E85D0000}"/>
    <cellStyle name="Normal 5 2 2 3 2 2 5" xfId="12061" xr:uid="{00000000-0005-0000-0000-0000E95D0000}"/>
    <cellStyle name="Normal 5 2 2 3 2 2 5 2" xfId="24495" xr:uid="{00000000-0005-0000-0000-0000EA5D0000}"/>
    <cellStyle name="Normal 5 2 2 3 2 2 5 2 2" xfId="49369" xr:uid="{00000000-0005-0000-0000-0000EB5D0000}"/>
    <cellStyle name="Normal 5 2 2 3 2 2 5 3" xfId="36936" xr:uid="{00000000-0005-0000-0000-0000EC5D0000}"/>
    <cellStyle name="Normal 5 2 2 3 2 2 6" xfId="7143" xr:uid="{00000000-0005-0000-0000-0000ED5D0000}"/>
    <cellStyle name="Normal 5 2 2 3 2 2 6 2" xfId="19592" xr:uid="{00000000-0005-0000-0000-0000EE5D0000}"/>
    <cellStyle name="Normal 5 2 2 3 2 2 6 2 2" xfId="44466" xr:uid="{00000000-0005-0000-0000-0000EF5D0000}"/>
    <cellStyle name="Normal 5 2 2 3 2 2 6 3" xfId="32033" xr:uid="{00000000-0005-0000-0000-0000F05D0000}"/>
    <cellStyle name="Normal 5 2 2 3 2 2 7" xfId="3597" xr:uid="{00000000-0005-0000-0000-0000F15D0000}"/>
    <cellStyle name="Normal 5 2 2 3 2 2 7 2" xfId="16103" xr:uid="{00000000-0005-0000-0000-0000F25D0000}"/>
    <cellStyle name="Normal 5 2 2 3 2 2 7 2 2" xfId="40977" xr:uid="{00000000-0005-0000-0000-0000F35D0000}"/>
    <cellStyle name="Normal 5 2 2 3 2 2 7 3" xfId="28536" xr:uid="{00000000-0005-0000-0000-0000F45D0000}"/>
    <cellStyle name="Normal 5 2 2 3 2 2 8" xfId="13606" xr:uid="{00000000-0005-0000-0000-0000F55D0000}"/>
    <cellStyle name="Normal 5 2 2 3 2 2 8 2" xfId="38480" xr:uid="{00000000-0005-0000-0000-0000F65D0000}"/>
    <cellStyle name="Normal 5 2 2 3 2 2 9" xfId="26039" xr:uid="{00000000-0005-0000-0000-0000F75D0000}"/>
    <cellStyle name="Normal 5 2 2 3 2 3" xfId="1794" xr:uid="{00000000-0005-0000-0000-0000F85D0000}"/>
    <cellStyle name="Normal 5 2 2 3 2 3 2" xfId="4988" xr:uid="{00000000-0005-0000-0000-0000F95D0000}"/>
    <cellStyle name="Normal 5 2 2 3 2 3 2 2" xfId="10005" xr:uid="{00000000-0005-0000-0000-0000FA5D0000}"/>
    <cellStyle name="Normal 5 2 2 3 2 3 2 2 2" xfId="22448" xr:uid="{00000000-0005-0000-0000-0000FB5D0000}"/>
    <cellStyle name="Normal 5 2 2 3 2 3 2 2 2 2" xfId="47322" xr:uid="{00000000-0005-0000-0000-0000FC5D0000}"/>
    <cellStyle name="Normal 5 2 2 3 2 3 2 2 3" xfId="34889" xr:uid="{00000000-0005-0000-0000-0000FD5D0000}"/>
    <cellStyle name="Normal 5 2 2 3 2 3 2 3" xfId="17441" xr:uid="{00000000-0005-0000-0000-0000FE5D0000}"/>
    <cellStyle name="Normal 5 2 2 3 2 3 2 3 2" xfId="42315" xr:uid="{00000000-0005-0000-0000-0000FF5D0000}"/>
    <cellStyle name="Normal 5 2 2 3 2 3 2 4" xfId="29882" xr:uid="{00000000-0005-0000-0000-0000005E0000}"/>
    <cellStyle name="Normal 5 2 2 3 2 3 3" xfId="5940" xr:uid="{00000000-0005-0000-0000-0000015E0000}"/>
    <cellStyle name="Normal 5 2 2 3 2 3 3 2" xfId="10955" xr:uid="{00000000-0005-0000-0000-0000025E0000}"/>
    <cellStyle name="Normal 5 2 2 3 2 3 3 2 2" xfId="23398" xr:uid="{00000000-0005-0000-0000-0000035E0000}"/>
    <cellStyle name="Normal 5 2 2 3 2 3 3 2 2 2" xfId="48272" xr:uid="{00000000-0005-0000-0000-0000045E0000}"/>
    <cellStyle name="Normal 5 2 2 3 2 3 3 2 3" xfId="35839" xr:uid="{00000000-0005-0000-0000-0000055E0000}"/>
    <cellStyle name="Normal 5 2 2 3 2 3 3 3" xfId="18391" xr:uid="{00000000-0005-0000-0000-0000065E0000}"/>
    <cellStyle name="Normal 5 2 2 3 2 3 3 3 2" xfId="43265" xr:uid="{00000000-0005-0000-0000-0000075E0000}"/>
    <cellStyle name="Normal 5 2 2 3 2 3 3 4" xfId="30832" xr:uid="{00000000-0005-0000-0000-0000085E0000}"/>
    <cellStyle name="Normal 5 2 2 3 2 3 4" xfId="8412" xr:uid="{00000000-0005-0000-0000-0000095E0000}"/>
    <cellStyle name="Normal 5 2 2 3 2 3 4 2" xfId="20856" xr:uid="{00000000-0005-0000-0000-00000A5E0000}"/>
    <cellStyle name="Normal 5 2 2 3 2 3 4 2 2" xfId="45730" xr:uid="{00000000-0005-0000-0000-00000B5E0000}"/>
    <cellStyle name="Normal 5 2 2 3 2 3 4 3" xfId="33297" xr:uid="{00000000-0005-0000-0000-00000C5E0000}"/>
    <cellStyle name="Normal 5 2 2 3 2 3 5" xfId="12409" xr:uid="{00000000-0005-0000-0000-00000D5E0000}"/>
    <cellStyle name="Normal 5 2 2 3 2 3 5 2" xfId="24843" xr:uid="{00000000-0005-0000-0000-00000E5E0000}"/>
    <cellStyle name="Normal 5 2 2 3 2 3 5 2 2" xfId="49717" xr:uid="{00000000-0005-0000-0000-00000F5E0000}"/>
    <cellStyle name="Normal 5 2 2 3 2 3 5 3" xfId="37284" xr:uid="{00000000-0005-0000-0000-0000105E0000}"/>
    <cellStyle name="Normal 5 2 2 3 2 3 6" xfId="7599" xr:uid="{00000000-0005-0000-0000-0000115E0000}"/>
    <cellStyle name="Normal 5 2 2 3 2 3 6 2" xfId="20047" xr:uid="{00000000-0005-0000-0000-0000125E0000}"/>
    <cellStyle name="Normal 5 2 2 3 2 3 6 2 2" xfId="44921" xr:uid="{00000000-0005-0000-0000-0000135E0000}"/>
    <cellStyle name="Normal 5 2 2 3 2 3 6 3" xfId="32488" xr:uid="{00000000-0005-0000-0000-0000145E0000}"/>
    <cellStyle name="Normal 5 2 2 3 2 3 7" xfId="3343" xr:uid="{00000000-0005-0000-0000-0000155E0000}"/>
    <cellStyle name="Normal 5 2 2 3 2 3 7 2" xfId="15849" xr:uid="{00000000-0005-0000-0000-0000165E0000}"/>
    <cellStyle name="Normal 5 2 2 3 2 3 7 2 2" xfId="40723" xr:uid="{00000000-0005-0000-0000-0000175E0000}"/>
    <cellStyle name="Normal 5 2 2 3 2 3 7 3" xfId="28282" xr:uid="{00000000-0005-0000-0000-0000185E0000}"/>
    <cellStyle name="Normal 5 2 2 3 2 3 8" xfId="14594" xr:uid="{00000000-0005-0000-0000-0000195E0000}"/>
    <cellStyle name="Normal 5 2 2 3 2 3 8 2" xfId="39468" xr:uid="{00000000-0005-0000-0000-00001A5E0000}"/>
    <cellStyle name="Normal 5 2 2 3 2 3 9" xfId="27027" xr:uid="{00000000-0005-0000-0000-00001B5E0000}"/>
    <cellStyle name="Normal 5 2 2 3 2 4" xfId="2363" xr:uid="{00000000-0005-0000-0000-00001C5E0000}"/>
    <cellStyle name="Normal 5 2 2 3 2 4 2" xfId="6386" xr:uid="{00000000-0005-0000-0000-00001D5E0000}"/>
    <cellStyle name="Normal 5 2 2 3 2 4 2 2" xfId="11401" xr:uid="{00000000-0005-0000-0000-00001E5E0000}"/>
    <cellStyle name="Normal 5 2 2 3 2 4 2 2 2" xfId="23844" xr:uid="{00000000-0005-0000-0000-00001F5E0000}"/>
    <cellStyle name="Normal 5 2 2 3 2 4 2 2 2 2" xfId="48718" xr:uid="{00000000-0005-0000-0000-0000205E0000}"/>
    <cellStyle name="Normal 5 2 2 3 2 4 2 2 3" xfId="36285" xr:uid="{00000000-0005-0000-0000-0000215E0000}"/>
    <cellStyle name="Normal 5 2 2 3 2 4 2 3" xfId="18837" xr:uid="{00000000-0005-0000-0000-0000225E0000}"/>
    <cellStyle name="Normal 5 2 2 3 2 4 2 3 2" xfId="43711" xr:uid="{00000000-0005-0000-0000-0000235E0000}"/>
    <cellStyle name="Normal 5 2 2 3 2 4 2 4" xfId="31278" xr:uid="{00000000-0005-0000-0000-0000245E0000}"/>
    <cellStyle name="Normal 5 2 2 3 2 4 3" xfId="12855" xr:uid="{00000000-0005-0000-0000-0000255E0000}"/>
    <cellStyle name="Normal 5 2 2 3 2 4 3 2" xfId="25289" xr:uid="{00000000-0005-0000-0000-0000265E0000}"/>
    <cellStyle name="Normal 5 2 2 3 2 4 3 2 2" xfId="50163" xr:uid="{00000000-0005-0000-0000-0000275E0000}"/>
    <cellStyle name="Normal 5 2 2 3 2 4 3 3" xfId="37730" xr:uid="{00000000-0005-0000-0000-0000285E0000}"/>
    <cellStyle name="Normal 5 2 2 3 2 4 4" xfId="9296" xr:uid="{00000000-0005-0000-0000-0000295E0000}"/>
    <cellStyle name="Normal 5 2 2 3 2 4 4 2" xfId="21739" xr:uid="{00000000-0005-0000-0000-00002A5E0000}"/>
    <cellStyle name="Normal 5 2 2 3 2 4 4 2 2" xfId="46613" xr:uid="{00000000-0005-0000-0000-00002B5E0000}"/>
    <cellStyle name="Normal 5 2 2 3 2 4 4 3" xfId="34180" xr:uid="{00000000-0005-0000-0000-00002C5E0000}"/>
    <cellStyle name="Normal 5 2 2 3 2 4 5" xfId="4278" xr:uid="{00000000-0005-0000-0000-00002D5E0000}"/>
    <cellStyle name="Normal 5 2 2 3 2 4 5 2" xfId="16732" xr:uid="{00000000-0005-0000-0000-00002E5E0000}"/>
    <cellStyle name="Normal 5 2 2 3 2 4 5 2 2" xfId="41606" xr:uid="{00000000-0005-0000-0000-00002F5E0000}"/>
    <cellStyle name="Normal 5 2 2 3 2 4 5 3" xfId="29173" xr:uid="{00000000-0005-0000-0000-0000305E0000}"/>
    <cellStyle name="Normal 5 2 2 3 2 4 6" xfId="15040" xr:uid="{00000000-0005-0000-0000-0000315E0000}"/>
    <cellStyle name="Normal 5 2 2 3 2 4 6 2" xfId="39914" xr:uid="{00000000-0005-0000-0000-0000325E0000}"/>
    <cellStyle name="Normal 5 2 2 3 2 4 7" xfId="27473" xr:uid="{00000000-0005-0000-0000-0000335E0000}"/>
    <cellStyle name="Normal 5 2 2 3 2 5" xfId="1197" xr:uid="{00000000-0005-0000-0000-0000345E0000}"/>
    <cellStyle name="Normal 5 2 2 3 2 5 2" xfId="10358" xr:uid="{00000000-0005-0000-0000-0000355E0000}"/>
    <cellStyle name="Normal 5 2 2 3 2 5 2 2" xfId="22801" xr:uid="{00000000-0005-0000-0000-0000365E0000}"/>
    <cellStyle name="Normal 5 2 2 3 2 5 2 2 2" xfId="47675" xr:uid="{00000000-0005-0000-0000-0000375E0000}"/>
    <cellStyle name="Normal 5 2 2 3 2 5 2 3" xfId="35242" xr:uid="{00000000-0005-0000-0000-0000385E0000}"/>
    <cellStyle name="Normal 5 2 2 3 2 5 3" xfId="5342" xr:uid="{00000000-0005-0000-0000-0000395E0000}"/>
    <cellStyle name="Normal 5 2 2 3 2 5 3 2" xfId="17794" xr:uid="{00000000-0005-0000-0000-00003A5E0000}"/>
    <cellStyle name="Normal 5 2 2 3 2 5 3 2 2" xfId="42668" xr:uid="{00000000-0005-0000-0000-00003B5E0000}"/>
    <cellStyle name="Normal 5 2 2 3 2 5 3 3" xfId="30235" xr:uid="{00000000-0005-0000-0000-00003C5E0000}"/>
    <cellStyle name="Normal 5 2 2 3 2 5 4" xfId="13997" xr:uid="{00000000-0005-0000-0000-00003D5E0000}"/>
    <cellStyle name="Normal 5 2 2 3 2 5 4 2" xfId="38871" xr:uid="{00000000-0005-0000-0000-00003E5E0000}"/>
    <cellStyle name="Normal 5 2 2 3 2 5 5" xfId="26430" xr:uid="{00000000-0005-0000-0000-00003F5E0000}"/>
    <cellStyle name="Normal 5 2 2 3 2 6" xfId="7919" xr:uid="{00000000-0005-0000-0000-0000405E0000}"/>
    <cellStyle name="Normal 5 2 2 3 2 6 2" xfId="20365" xr:uid="{00000000-0005-0000-0000-0000415E0000}"/>
    <cellStyle name="Normal 5 2 2 3 2 6 2 2" xfId="45239" xr:uid="{00000000-0005-0000-0000-0000425E0000}"/>
    <cellStyle name="Normal 5 2 2 3 2 6 3" xfId="32806" xr:uid="{00000000-0005-0000-0000-0000435E0000}"/>
    <cellStyle name="Normal 5 2 2 3 2 7" xfId="11812" xr:uid="{00000000-0005-0000-0000-0000445E0000}"/>
    <cellStyle name="Normal 5 2 2 3 2 7 2" xfId="24246" xr:uid="{00000000-0005-0000-0000-0000455E0000}"/>
    <cellStyle name="Normal 5 2 2 3 2 7 2 2" xfId="49120" xr:uid="{00000000-0005-0000-0000-0000465E0000}"/>
    <cellStyle name="Normal 5 2 2 3 2 7 3" xfId="36687" xr:uid="{00000000-0005-0000-0000-0000475E0000}"/>
    <cellStyle name="Normal 5 2 2 3 2 8" xfId="6889" xr:uid="{00000000-0005-0000-0000-0000485E0000}"/>
    <cellStyle name="Normal 5 2 2 3 2 8 2" xfId="19338" xr:uid="{00000000-0005-0000-0000-0000495E0000}"/>
    <cellStyle name="Normal 5 2 2 3 2 8 2 2" xfId="44212" xr:uid="{00000000-0005-0000-0000-00004A5E0000}"/>
    <cellStyle name="Normal 5 2 2 3 2 8 3" xfId="31779" xr:uid="{00000000-0005-0000-0000-00004B5E0000}"/>
    <cellStyle name="Normal 5 2 2 3 2 9" xfId="2840" xr:uid="{00000000-0005-0000-0000-00004C5E0000}"/>
    <cellStyle name="Normal 5 2 2 3 2 9 2" xfId="15358" xr:uid="{00000000-0005-0000-0000-00004D5E0000}"/>
    <cellStyle name="Normal 5 2 2 3 2 9 2 2" xfId="40232" xr:uid="{00000000-0005-0000-0000-00004E5E0000}"/>
    <cellStyle name="Normal 5 2 2 3 2 9 3" xfId="27791" xr:uid="{00000000-0005-0000-0000-00004F5E0000}"/>
    <cellStyle name="Normal 5 2 2 3 2_Degree data" xfId="2439" xr:uid="{00000000-0005-0000-0000-0000505E0000}"/>
    <cellStyle name="Normal 5 2 2 3 3" xfId="343" xr:uid="{00000000-0005-0000-0000-0000515E0000}"/>
    <cellStyle name="Normal 5 2 2 3 3 2" xfId="1445" xr:uid="{00000000-0005-0000-0000-0000525E0000}"/>
    <cellStyle name="Normal 5 2 2 3 3 2 2" xfId="9196" xr:uid="{00000000-0005-0000-0000-0000535E0000}"/>
    <cellStyle name="Normal 5 2 2 3 3 2 2 2" xfId="21639" xr:uid="{00000000-0005-0000-0000-0000545E0000}"/>
    <cellStyle name="Normal 5 2 2 3 3 2 2 2 2" xfId="46513" xr:uid="{00000000-0005-0000-0000-0000555E0000}"/>
    <cellStyle name="Normal 5 2 2 3 3 2 2 3" xfId="34080" xr:uid="{00000000-0005-0000-0000-0000565E0000}"/>
    <cellStyle name="Normal 5 2 2 3 3 2 3" xfId="4178" xr:uid="{00000000-0005-0000-0000-0000575E0000}"/>
    <cellStyle name="Normal 5 2 2 3 3 2 3 2" xfId="16632" xr:uid="{00000000-0005-0000-0000-0000585E0000}"/>
    <cellStyle name="Normal 5 2 2 3 3 2 3 2 2" xfId="41506" xr:uid="{00000000-0005-0000-0000-0000595E0000}"/>
    <cellStyle name="Normal 5 2 2 3 3 2 3 3" xfId="29073" xr:uid="{00000000-0005-0000-0000-00005A5E0000}"/>
    <cellStyle name="Normal 5 2 2 3 3 2 4" xfId="14245" xr:uid="{00000000-0005-0000-0000-00005B5E0000}"/>
    <cellStyle name="Normal 5 2 2 3 3 2 4 2" xfId="39119" xr:uid="{00000000-0005-0000-0000-00005C5E0000}"/>
    <cellStyle name="Normal 5 2 2 3 3 2 5" xfId="26678" xr:uid="{00000000-0005-0000-0000-00005D5E0000}"/>
    <cellStyle name="Normal 5 2 2 3 3 3" xfId="5590" xr:uid="{00000000-0005-0000-0000-00005E5E0000}"/>
    <cellStyle name="Normal 5 2 2 3 3 3 2" xfId="10606" xr:uid="{00000000-0005-0000-0000-00005F5E0000}"/>
    <cellStyle name="Normal 5 2 2 3 3 3 2 2" xfId="23049" xr:uid="{00000000-0005-0000-0000-0000605E0000}"/>
    <cellStyle name="Normal 5 2 2 3 3 3 2 2 2" xfId="47923" xr:uid="{00000000-0005-0000-0000-0000615E0000}"/>
    <cellStyle name="Normal 5 2 2 3 3 3 2 3" xfId="35490" xr:uid="{00000000-0005-0000-0000-0000625E0000}"/>
    <cellStyle name="Normal 5 2 2 3 3 3 3" xfId="18042" xr:uid="{00000000-0005-0000-0000-0000635E0000}"/>
    <cellStyle name="Normal 5 2 2 3 3 3 3 2" xfId="42916" xr:uid="{00000000-0005-0000-0000-0000645E0000}"/>
    <cellStyle name="Normal 5 2 2 3 3 3 4" xfId="30483" xr:uid="{00000000-0005-0000-0000-0000655E0000}"/>
    <cellStyle name="Normal 5 2 2 3 3 4" xfId="8312" xr:uid="{00000000-0005-0000-0000-0000665E0000}"/>
    <cellStyle name="Normal 5 2 2 3 3 4 2" xfId="20756" xr:uid="{00000000-0005-0000-0000-0000675E0000}"/>
    <cellStyle name="Normal 5 2 2 3 3 4 2 2" xfId="45630" xr:uid="{00000000-0005-0000-0000-0000685E0000}"/>
    <cellStyle name="Normal 5 2 2 3 3 4 3" xfId="33197" xr:uid="{00000000-0005-0000-0000-0000695E0000}"/>
    <cellStyle name="Normal 5 2 2 3 3 5" xfId="12060" xr:uid="{00000000-0005-0000-0000-00006A5E0000}"/>
    <cellStyle name="Normal 5 2 2 3 3 5 2" xfId="24494" xr:uid="{00000000-0005-0000-0000-00006B5E0000}"/>
    <cellStyle name="Normal 5 2 2 3 3 5 2 2" xfId="49368" xr:uid="{00000000-0005-0000-0000-00006C5E0000}"/>
    <cellStyle name="Normal 5 2 2 3 3 5 3" xfId="36935" xr:uid="{00000000-0005-0000-0000-00006D5E0000}"/>
    <cellStyle name="Normal 5 2 2 3 3 6" xfId="6789" xr:uid="{00000000-0005-0000-0000-00006E5E0000}"/>
    <cellStyle name="Normal 5 2 2 3 3 6 2" xfId="19238" xr:uid="{00000000-0005-0000-0000-00006F5E0000}"/>
    <cellStyle name="Normal 5 2 2 3 3 6 2 2" xfId="44112" xr:uid="{00000000-0005-0000-0000-0000705E0000}"/>
    <cellStyle name="Normal 5 2 2 3 3 6 3" xfId="31679" xr:uid="{00000000-0005-0000-0000-0000715E0000}"/>
    <cellStyle name="Normal 5 2 2 3 3 7" xfId="3243" xr:uid="{00000000-0005-0000-0000-0000725E0000}"/>
    <cellStyle name="Normal 5 2 2 3 3 7 2" xfId="15749" xr:uid="{00000000-0005-0000-0000-0000735E0000}"/>
    <cellStyle name="Normal 5 2 2 3 3 7 2 2" xfId="40623" xr:uid="{00000000-0005-0000-0000-0000745E0000}"/>
    <cellStyle name="Normal 5 2 2 3 3 7 3" xfId="28182" xr:uid="{00000000-0005-0000-0000-0000755E0000}"/>
    <cellStyle name="Normal 5 2 2 3 3 8" xfId="13159" xr:uid="{00000000-0005-0000-0000-0000765E0000}"/>
    <cellStyle name="Normal 5 2 2 3 3 8 2" xfId="38033" xr:uid="{00000000-0005-0000-0000-0000775E0000}"/>
    <cellStyle name="Normal 5 2 2 3 3 9" xfId="25592" xr:uid="{00000000-0005-0000-0000-0000785E0000}"/>
    <cellStyle name="Normal 5 2 2 3 4" xfId="703" xr:uid="{00000000-0005-0000-0000-0000795E0000}"/>
    <cellStyle name="Normal 5 2 2 3 4 2" xfId="1793" xr:uid="{00000000-0005-0000-0000-00007A5E0000}"/>
    <cellStyle name="Normal 5 2 2 3 4 2 2" xfId="9549" xr:uid="{00000000-0005-0000-0000-00007B5E0000}"/>
    <cellStyle name="Normal 5 2 2 3 4 2 2 2" xfId="21992" xr:uid="{00000000-0005-0000-0000-00007C5E0000}"/>
    <cellStyle name="Normal 5 2 2 3 4 2 2 2 2" xfId="46866" xr:uid="{00000000-0005-0000-0000-00007D5E0000}"/>
    <cellStyle name="Normal 5 2 2 3 4 2 2 3" xfId="34433" xr:uid="{00000000-0005-0000-0000-00007E5E0000}"/>
    <cellStyle name="Normal 5 2 2 3 4 2 3" xfId="4531" xr:uid="{00000000-0005-0000-0000-00007F5E0000}"/>
    <cellStyle name="Normal 5 2 2 3 4 2 3 2" xfId="16985" xr:uid="{00000000-0005-0000-0000-0000805E0000}"/>
    <cellStyle name="Normal 5 2 2 3 4 2 3 2 2" xfId="41859" xr:uid="{00000000-0005-0000-0000-0000815E0000}"/>
    <cellStyle name="Normal 5 2 2 3 4 2 3 3" xfId="29426" xr:uid="{00000000-0005-0000-0000-0000825E0000}"/>
    <cellStyle name="Normal 5 2 2 3 4 2 4" xfId="14593" xr:uid="{00000000-0005-0000-0000-0000835E0000}"/>
    <cellStyle name="Normal 5 2 2 3 4 2 4 2" xfId="39467" xr:uid="{00000000-0005-0000-0000-0000845E0000}"/>
    <cellStyle name="Normal 5 2 2 3 4 2 5" xfId="27026" xr:uid="{00000000-0005-0000-0000-0000855E0000}"/>
    <cellStyle name="Normal 5 2 2 3 4 3" xfId="5939" xr:uid="{00000000-0005-0000-0000-0000865E0000}"/>
    <cellStyle name="Normal 5 2 2 3 4 3 2" xfId="10954" xr:uid="{00000000-0005-0000-0000-0000875E0000}"/>
    <cellStyle name="Normal 5 2 2 3 4 3 2 2" xfId="23397" xr:uid="{00000000-0005-0000-0000-0000885E0000}"/>
    <cellStyle name="Normal 5 2 2 3 4 3 2 2 2" xfId="48271" xr:uid="{00000000-0005-0000-0000-0000895E0000}"/>
    <cellStyle name="Normal 5 2 2 3 4 3 2 3" xfId="35838" xr:uid="{00000000-0005-0000-0000-00008A5E0000}"/>
    <cellStyle name="Normal 5 2 2 3 4 3 3" xfId="18390" xr:uid="{00000000-0005-0000-0000-00008B5E0000}"/>
    <cellStyle name="Normal 5 2 2 3 4 3 3 2" xfId="43264" xr:uid="{00000000-0005-0000-0000-00008C5E0000}"/>
    <cellStyle name="Normal 5 2 2 3 4 3 4" xfId="30831" xr:uid="{00000000-0005-0000-0000-00008D5E0000}"/>
    <cellStyle name="Normal 5 2 2 3 4 4" xfId="8665" xr:uid="{00000000-0005-0000-0000-00008E5E0000}"/>
    <cellStyle name="Normal 5 2 2 3 4 4 2" xfId="21109" xr:uid="{00000000-0005-0000-0000-00008F5E0000}"/>
    <cellStyle name="Normal 5 2 2 3 4 4 2 2" xfId="45983" xr:uid="{00000000-0005-0000-0000-0000905E0000}"/>
    <cellStyle name="Normal 5 2 2 3 4 4 3" xfId="33550" xr:uid="{00000000-0005-0000-0000-0000915E0000}"/>
    <cellStyle name="Normal 5 2 2 3 4 5" xfId="12408" xr:uid="{00000000-0005-0000-0000-0000925E0000}"/>
    <cellStyle name="Normal 5 2 2 3 4 5 2" xfId="24842" xr:uid="{00000000-0005-0000-0000-0000935E0000}"/>
    <cellStyle name="Normal 5 2 2 3 4 5 2 2" xfId="49716" xr:uid="{00000000-0005-0000-0000-0000945E0000}"/>
    <cellStyle name="Normal 5 2 2 3 4 5 3" xfId="37283" xr:uid="{00000000-0005-0000-0000-0000955E0000}"/>
    <cellStyle name="Normal 5 2 2 3 4 6" xfId="7142" xr:uid="{00000000-0005-0000-0000-0000965E0000}"/>
    <cellStyle name="Normal 5 2 2 3 4 6 2" xfId="19591" xr:uid="{00000000-0005-0000-0000-0000975E0000}"/>
    <cellStyle name="Normal 5 2 2 3 4 6 2 2" xfId="44465" xr:uid="{00000000-0005-0000-0000-0000985E0000}"/>
    <cellStyle name="Normal 5 2 2 3 4 6 3" xfId="32032" xr:uid="{00000000-0005-0000-0000-0000995E0000}"/>
    <cellStyle name="Normal 5 2 2 3 4 7" xfId="3596" xr:uid="{00000000-0005-0000-0000-00009A5E0000}"/>
    <cellStyle name="Normal 5 2 2 3 4 7 2" xfId="16102" xr:uid="{00000000-0005-0000-0000-00009B5E0000}"/>
    <cellStyle name="Normal 5 2 2 3 4 7 2 2" xfId="40976" xr:uid="{00000000-0005-0000-0000-00009C5E0000}"/>
    <cellStyle name="Normal 5 2 2 3 4 7 3" xfId="28535" xr:uid="{00000000-0005-0000-0000-00009D5E0000}"/>
    <cellStyle name="Normal 5 2 2 3 4 8" xfId="13506" xr:uid="{00000000-0005-0000-0000-00009E5E0000}"/>
    <cellStyle name="Normal 5 2 2 3 4 8 2" xfId="38380" xr:uid="{00000000-0005-0000-0000-00009F5E0000}"/>
    <cellStyle name="Normal 5 2 2 3 4 9" xfId="25939" xr:uid="{00000000-0005-0000-0000-0000A05E0000}"/>
    <cellStyle name="Normal 5 2 2 3 5" xfId="2261" xr:uid="{00000000-0005-0000-0000-0000A15E0000}"/>
    <cellStyle name="Normal 5 2 2 3 5 2" xfId="4888" xr:uid="{00000000-0005-0000-0000-0000A25E0000}"/>
    <cellStyle name="Normal 5 2 2 3 5 2 2" xfId="9905" xr:uid="{00000000-0005-0000-0000-0000A35E0000}"/>
    <cellStyle name="Normal 5 2 2 3 5 2 2 2" xfId="22348" xr:uid="{00000000-0005-0000-0000-0000A45E0000}"/>
    <cellStyle name="Normal 5 2 2 3 5 2 2 2 2" xfId="47222" xr:uid="{00000000-0005-0000-0000-0000A55E0000}"/>
    <cellStyle name="Normal 5 2 2 3 5 2 2 3" xfId="34789" xr:uid="{00000000-0005-0000-0000-0000A65E0000}"/>
    <cellStyle name="Normal 5 2 2 3 5 2 3" xfId="17341" xr:uid="{00000000-0005-0000-0000-0000A75E0000}"/>
    <cellStyle name="Normal 5 2 2 3 5 2 3 2" xfId="42215" xr:uid="{00000000-0005-0000-0000-0000A85E0000}"/>
    <cellStyle name="Normal 5 2 2 3 5 2 4" xfId="29782" xr:uid="{00000000-0005-0000-0000-0000A95E0000}"/>
    <cellStyle name="Normal 5 2 2 3 5 3" xfId="6286" xr:uid="{00000000-0005-0000-0000-0000AA5E0000}"/>
    <cellStyle name="Normal 5 2 2 3 5 3 2" xfId="11301" xr:uid="{00000000-0005-0000-0000-0000AB5E0000}"/>
    <cellStyle name="Normal 5 2 2 3 5 3 2 2" xfId="23744" xr:uid="{00000000-0005-0000-0000-0000AC5E0000}"/>
    <cellStyle name="Normal 5 2 2 3 5 3 2 2 2" xfId="48618" xr:uid="{00000000-0005-0000-0000-0000AD5E0000}"/>
    <cellStyle name="Normal 5 2 2 3 5 3 2 3" xfId="36185" xr:uid="{00000000-0005-0000-0000-0000AE5E0000}"/>
    <cellStyle name="Normal 5 2 2 3 5 3 3" xfId="18737" xr:uid="{00000000-0005-0000-0000-0000AF5E0000}"/>
    <cellStyle name="Normal 5 2 2 3 5 3 3 2" xfId="43611" xr:uid="{00000000-0005-0000-0000-0000B05E0000}"/>
    <cellStyle name="Normal 5 2 2 3 5 3 4" xfId="31178" xr:uid="{00000000-0005-0000-0000-0000B15E0000}"/>
    <cellStyle name="Normal 5 2 2 3 5 4" xfId="8093" xr:uid="{00000000-0005-0000-0000-0000B25E0000}"/>
    <cellStyle name="Normal 5 2 2 3 5 4 2" xfId="20539" xr:uid="{00000000-0005-0000-0000-0000B35E0000}"/>
    <cellStyle name="Normal 5 2 2 3 5 4 2 2" xfId="45413" xr:uid="{00000000-0005-0000-0000-0000B45E0000}"/>
    <cellStyle name="Normal 5 2 2 3 5 4 3" xfId="32980" xr:uid="{00000000-0005-0000-0000-0000B55E0000}"/>
    <cellStyle name="Normal 5 2 2 3 5 5" xfId="12755" xr:uid="{00000000-0005-0000-0000-0000B65E0000}"/>
    <cellStyle name="Normal 5 2 2 3 5 5 2" xfId="25189" xr:uid="{00000000-0005-0000-0000-0000B75E0000}"/>
    <cellStyle name="Normal 5 2 2 3 5 5 2 2" xfId="50063" xr:uid="{00000000-0005-0000-0000-0000B85E0000}"/>
    <cellStyle name="Normal 5 2 2 3 5 5 3" xfId="37630" xr:uid="{00000000-0005-0000-0000-0000B95E0000}"/>
    <cellStyle name="Normal 5 2 2 3 5 6" xfId="7499" xr:uid="{00000000-0005-0000-0000-0000BA5E0000}"/>
    <cellStyle name="Normal 5 2 2 3 5 6 2" xfId="19947" xr:uid="{00000000-0005-0000-0000-0000BB5E0000}"/>
    <cellStyle name="Normal 5 2 2 3 5 6 2 2" xfId="44821" xr:uid="{00000000-0005-0000-0000-0000BC5E0000}"/>
    <cellStyle name="Normal 5 2 2 3 5 6 3" xfId="32388" xr:uid="{00000000-0005-0000-0000-0000BD5E0000}"/>
    <cellStyle name="Normal 5 2 2 3 5 7" xfId="3023" xr:uid="{00000000-0005-0000-0000-0000BE5E0000}"/>
    <cellStyle name="Normal 5 2 2 3 5 7 2" xfId="15532" xr:uid="{00000000-0005-0000-0000-0000BF5E0000}"/>
    <cellStyle name="Normal 5 2 2 3 5 7 2 2" xfId="40406" xr:uid="{00000000-0005-0000-0000-0000C05E0000}"/>
    <cellStyle name="Normal 5 2 2 3 5 7 3" xfId="27965" xr:uid="{00000000-0005-0000-0000-0000C15E0000}"/>
    <cellStyle name="Normal 5 2 2 3 5 8" xfId="14940" xr:uid="{00000000-0005-0000-0000-0000C25E0000}"/>
    <cellStyle name="Normal 5 2 2 3 5 8 2" xfId="39814" xr:uid="{00000000-0005-0000-0000-0000C35E0000}"/>
    <cellStyle name="Normal 5 2 2 3 5 9" xfId="27373" xr:uid="{00000000-0005-0000-0000-0000C45E0000}"/>
    <cellStyle name="Normal 5 2 2 3 6" xfId="1097" xr:uid="{00000000-0005-0000-0000-0000C55E0000}"/>
    <cellStyle name="Normal 5 2 2 3 6 2" xfId="8979" xr:uid="{00000000-0005-0000-0000-0000C65E0000}"/>
    <cellStyle name="Normal 5 2 2 3 6 2 2" xfId="21422" xr:uid="{00000000-0005-0000-0000-0000C75E0000}"/>
    <cellStyle name="Normal 5 2 2 3 6 2 2 2" xfId="46296" xr:uid="{00000000-0005-0000-0000-0000C85E0000}"/>
    <cellStyle name="Normal 5 2 2 3 6 2 3" xfId="33863" xr:uid="{00000000-0005-0000-0000-0000C95E0000}"/>
    <cellStyle name="Normal 5 2 2 3 6 3" xfId="3961" xr:uid="{00000000-0005-0000-0000-0000CA5E0000}"/>
    <cellStyle name="Normal 5 2 2 3 6 3 2" xfId="16415" xr:uid="{00000000-0005-0000-0000-0000CB5E0000}"/>
    <cellStyle name="Normal 5 2 2 3 6 3 2 2" xfId="41289" xr:uid="{00000000-0005-0000-0000-0000CC5E0000}"/>
    <cellStyle name="Normal 5 2 2 3 6 3 3" xfId="28856" xr:uid="{00000000-0005-0000-0000-0000CD5E0000}"/>
    <cellStyle name="Normal 5 2 2 3 6 4" xfId="13897" xr:uid="{00000000-0005-0000-0000-0000CE5E0000}"/>
    <cellStyle name="Normal 5 2 2 3 6 4 2" xfId="38771" xr:uid="{00000000-0005-0000-0000-0000CF5E0000}"/>
    <cellStyle name="Normal 5 2 2 3 6 5" xfId="26330" xr:uid="{00000000-0005-0000-0000-0000D05E0000}"/>
    <cellStyle name="Normal 5 2 2 3 7" xfId="5242" xr:uid="{00000000-0005-0000-0000-0000D15E0000}"/>
    <cellStyle name="Normal 5 2 2 3 7 2" xfId="10258" xr:uid="{00000000-0005-0000-0000-0000D25E0000}"/>
    <cellStyle name="Normal 5 2 2 3 7 2 2" xfId="22701" xr:uid="{00000000-0005-0000-0000-0000D35E0000}"/>
    <cellStyle name="Normal 5 2 2 3 7 2 2 2" xfId="47575" xr:uid="{00000000-0005-0000-0000-0000D45E0000}"/>
    <cellStyle name="Normal 5 2 2 3 7 2 3" xfId="35142" xr:uid="{00000000-0005-0000-0000-0000D55E0000}"/>
    <cellStyle name="Normal 5 2 2 3 7 3" xfId="17694" xr:uid="{00000000-0005-0000-0000-0000D65E0000}"/>
    <cellStyle name="Normal 5 2 2 3 7 3 2" xfId="42568" xr:uid="{00000000-0005-0000-0000-0000D75E0000}"/>
    <cellStyle name="Normal 5 2 2 3 7 4" xfId="30135" xr:uid="{00000000-0005-0000-0000-0000D85E0000}"/>
    <cellStyle name="Normal 5 2 2 3 8" xfId="7819" xr:uid="{00000000-0005-0000-0000-0000D95E0000}"/>
    <cellStyle name="Normal 5 2 2 3 8 2" xfId="20265" xr:uid="{00000000-0005-0000-0000-0000DA5E0000}"/>
    <cellStyle name="Normal 5 2 2 3 8 2 2" xfId="45139" xr:uid="{00000000-0005-0000-0000-0000DB5E0000}"/>
    <cellStyle name="Normal 5 2 2 3 8 3" xfId="32706" xr:uid="{00000000-0005-0000-0000-0000DC5E0000}"/>
    <cellStyle name="Normal 5 2 2 3 9" xfId="11712" xr:uid="{00000000-0005-0000-0000-0000DD5E0000}"/>
    <cellStyle name="Normal 5 2 2 3 9 2" xfId="24146" xr:uid="{00000000-0005-0000-0000-0000DE5E0000}"/>
    <cellStyle name="Normal 5 2 2 3 9 2 2" xfId="49020" xr:uid="{00000000-0005-0000-0000-0000DF5E0000}"/>
    <cellStyle name="Normal 5 2 2 3 9 3" xfId="36587" xr:uid="{00000000-0005-0000-0000-0000E05E0000}"/>
    <cellStyle name="Normal 5 2 2 3_Degree data" xfId="2441" xr:uid="{00000000-0005-0000-0000-0000E15E0000}"/>
    <cellStyle name="Normal 5 2 2 4" xfId="233" xr:uid="{00000000-0005-0000-0000-0000E25E0000}"/>
    <cellStyle name="Normal 5 2 2 4 10" xfId="13059" xr:uid="{00000000-0005-0000-0000-0000E35E0000}"/>
    <cellStyle name="Normal 5 2 2 4 10 2" xfId="37933" xr:uid="{00000000-0005-0000-0000-0000E45E0000}"/>
    <cellStyle name="Normal 5 2 2 4 11" xfId="25492" xr:uid="{00000000-0005-0000-0000-0000E55E0000}"/>
    <cellStyle name="Normal 5 2 2 4 2" xfId="597" xr:uid="{00000000-0005-0000-0000-0000E65E0000}"/>
    <cellStyle name="Normal 5 2 2 4 2 2" xfId="1447" xr:uid="{00000000-0005-0000-0000-0000E75E0000}"/>
    <cellStyle name="Normal 5 2 2 4 2 2 2" xfId="9551" xr:uid="{00000000-0005-0000-0000-0000E85E0000}"/>
    <cellStyle name="Normal 5 2 2 4 2 2 2 2" xfId="21994" xr:uid="{00000000-0005-0000-0000-0000E95E0000}"/>
    <cellStyle name="Normal 5 2 2 4 2 2 2 2 2" xfId="46868" xr:uid="{00000000-0005-0000-0000-0000EA5E0000}"/>
    <cellStyle name="Normal 5 2 2 4 2 2 2 3" xfId="34435" xr:uid="{00000000-0005-0000-0000-0000EB5E0000}"/>
    <cellStyle name="Normal 5 2 2 4 2 2 3" xfId="4533" xr:uid="{00000000-0005-0000-0000-0000EC5E0000}"/>
    <cellStyle name="Normal 5 2 2 4 2 2 3 2" xfId="16987" xr:uid="{00000000-0005-0000-0000-0000ED5E0000}"/>
    <cellStyle name="Normal 5 2 2 4 2 2 3 2 2" xfId="41861" xr:uid="{00000000-0005-0000-0000-0000EE5E0000}"/>
    <cellStyle name="Normal 5 2 2 4 2 2 3 3" xfId="29428" xr:uid="{00000000-0005-0000-0000-0000EF5E0000}"/>
    <cellStyle name="Normal 5 2 2 4 2 2 4" xfId="14247" xr:uid="{00000000-0005-0000-0000-0000F05E0000}"/>
    <cellStyle name="Normal 5 2 2 4 2 2 4 2" xfId="39121" xr:uid="{00000000-0005-0000-0000-0000F15E0000}"/>
    <cellStyle name="Normal 5 2 2 4 2 2 5" xfId="26680" xr:uid="{00000000-0005-0000-0000-0000F25E0000}"/>
    <cellStyle name="Normal 5 2 2 4 2 3" xfId="5592" xr:uid="{00000000-0005-0000-0000-0000F35E0000}"/>
    <cellStyle name="Normal 5 2 2 4 2 3 2" xfId="10608" xr:uid="{00000000-0005-0000-0000-0000F45E0000}"/>
    <cellStyle name="Normal 5 2 2 4 2 3 2 2" xfId="23051" xr:uid="{00000000-0005-0000-0000-0000F55E0000}"/>
    <cellStyle name="Normal 5 2 2 4 2 3 2 2 2" xfId="47925" xr:uid="{00000000-0005-0000-0000-0000F65E0000}"/>
    <cellStyle name="Normal 5 2 2 4 2 3 2 3" xfId="35492" xr:uid="{00000000-0005-0000-0000-0000F75E0000}"/>
    <cellStyle name="Normal 5 2 2 4 2 3 3" xfId="18044" xr:uid="{00000000-0005-0000-0000-0000F85E0000}"/>
    <cellStyle name="Normal 5 2 2 4 2 3 3 2" xfId="42918" xr:uid="{00000000-0005-0000-0000-0000F95E0000}"/>
    <cellStyle name="Normal 5 2 2 4 2 3 4" xfId="30485" xr:uid="{00000000-0005-0000-0000-0000FA5E0000}"/>
    <cellStyle name="Normal 5 2 2 4 2 4" xfId="8667" xr:uid="{00000000-0005-0000-0000-0000FB5E0000}"/>
    <cellStyle name="Normal 5 2 2 4 2 4 2" xfId="21111" xr:uid="{00000000-0005-0000-0000-0000FC5E0000}"/>
    <cellStyle name="Normal 5 2 2 4 2 4 2 2" xfId="45985" xr:uid="{00000000-0005-0000-0000-0000FD5E0000}"/>
    <cellStyle name="Normal 5 2 2 4 2 4 3" xfId="33552" xr:uid="{00000000-0005-0000-0000-0000FE5E0000}"/>
    <cellStyle name="Normal 5 2 2 4 2 5" xfId="12062" xr:uid="{00000000-0005-0000-0000-0000FF5E0000}"/>
    <cellStyle name="Normal 5 2 2 4 2 5 2" xfId="24496" xr:uid="{00000000-0005-0000-0000-0000005F0000}"/>
    <cellStyle name="Normal 5 2 2 4 2 5 2 2" xfId="49370" xr:uid="{00000000-0005-0000-0000-0000015F0000}"/>
    <cellStyle name="Normal 5 2 2 4 2 5 3" xfId="36937" xr:uid="{00000000-0005-0000-0000-0000025F0000}"/>
    <cellStyle name="Normal 5 2 2 4 2 6" xfId="7144" xr:uid="{00000000-0005-0000-0000-0000035F0000}"/>
    <cellStyle name="Normal 5 2 2 4 2 6 2" xfId="19593" xr:uid="{00000000-0005-0000-0000-0000045F0000}"/>
    <cellStyle name="Normal 5 2 2 4 2 6 2 2" xfId="44467" xr:uid="{00000000-0005-0000-0000-0000055F0000}"/>
    <cellStyle name="Normal 5 2 2 4 2 6 3" xfId="32034" xr:uid="{00000000-0005-0000-0000-0000065F0000}"/>
    <cellStyle name="Normal 5 2 2 4 2 7" xfId="3598" xr:uid="{00000000-0005-0000-0000-0000075F0000}"/>
    <cellStyle name="Normal 5 2 2 4 2 7 2" xfId="16104" xr:uid="{00000000-0005-0000-0000-0000085F0000}"/>
    <cellStyle name="Normal 5 2 2 4 2 7 2 2" xfId="40978" xr:uid="{00000000-0005-0000-0000-0000095F0000}"/>
    <cellStyle name="Normal 5 2 2 4 2 7 3" xfId="28537" xr:uid="{00000000-0005-0000-0000-00000A5F0000}"/>
    <cellStyle name="Normal 5 2 2 4 2 8" xfId="13406" xr:uid="{00000000-0005-0000-0000-00000B5F0000}"/>
    <cellStyle name="Normal 5 2 2 4 2 8 2" xfId="38280" xr:uid="{00000000-0005-0000-0000-00000C5F0000}"/>
    <cellStyle name="Normal 5 2 2 4 2 9" xfId="25839" xr:uid="{00000000-0005-0000-0000-00000D5F0000}"/>
    <cellStyle name="Normal 5 2 2 4 3" xfId="1795" xr:uid="{00000000-0005-0000-0000-00000E5F0000}"/>
    <cellStyle name="Normal 5 2 2 4 3 2" xfId="4788" xr:uid="{00000000-0005-0000-0000-00000F5F0000}"/>
    <cellStyle name="Normal 5 2 2 4 3 2 2" xfId="9805" xr:uid="{00000000-0005-0000-0000-0000105F0000}"/>
    <cellStyle name="Normal 5 2 2 4 3 2 2 2" xfId="22248" xr:uid="{00000000-0005-0000-0000-0000115F0000}"/>
    <cellStyle name="Normal 5 2 2 4 3 2 2 2 2" xfId="47122" xr:uid="{00000000-0005-0000-0000-0000125F0000}"/>
    <cellStyle name="Normal 5 2 2 4 3 2 2 3" xfId="34689" xr:uid="{00000000-0005-0000-0000-0000135F0000}"/>
    <cellStyle name="Normal 5 2 2 4 3 2 3" xfId="17241" xr:uid="{00000000-0005-0000-0000-0000145F0000}"/>
    <cellStyle name="Normal 5 2 2 4 3 2 3 2" xfId="42115" xr:uid="{00000000-0005-0000-0000-0000155F0000}"/>
    <cellStyle name="Normal 5 2 2 4 3 2 4" xfId="29682" xr:uid="{00000000-0005-0000-0000-0000165F0000}"/>
    <cellStyle name="Normal 5 2 2 4 3 3" xfId="5941" xr:uid="{00000000-0005-0000-0000-0000175F0000}"/>
    <cellStyle name="Normal 5 2 2 4 3 3 2" xfId="10956" xr:uid="{00000000-0005-0000-0000-0000185F0000}"/>
    <cellStyle name="Normal 5 2 2 4 3 3 2 2" xfId="23399" xr:uid="{00000000-0005-0000-0000-0000195F0000}"/>
    <cellStyle name="Normal 5 2 2 4 3 3 2 2 2" xfId="48273" xr:uid="{00000000-0005-0000-0000-00001A5F0000}"/>
    <cellStyle name="Normal 5 2 2 4 3 3 2 3" xfId="35840" xr:uid="{00000000-0005-0000-0000-00001B5F0000}"/>
    <cellStyle name="Normal 5 2 2 4 3 3 3" xfId="18392" xr:uid="{00000000-0005-0000-0000-00001C5F0000}"/>
    <cellStyle name="Normal 5 2 2 4 3 3 3 2" xfId="43266" xr:uid="{00000000-0005-0000-0000-00001D5F0000}"/>
    <cellStyle name="Normal 5 2 2 4 3 3 4" xfId="30833" xr:uid="{00000000-0005-0000-0000-00001E5F0000}"/>
    <cellStyle name="Normal 5 2 2 4 3 4" xfId="8861" xr:uid="{00000000-0005-0000-0000-00001F5F0000}"/>
    <cellStyle name="Normal 5 2 2 4 3 4 2" xfId="21304" xr:uid="{00000000-0005-0000-0000-0000205F0000}"/>
    <cellStyle name="Normal 5 2 2 4 3 4 2 2" xfId="46178" xr:uid="{00000000-0005-0000-0000-0000215F0000}"/>
    <cellStyle name="Normal 5 2 2 4 3 4 3" xfId="33745" xr:uid="{00000000-0005-0000-0000-0000225F0000}"/>
    <cellStyle name="Normal 5 2 2 4 3 5" xfId="12410" xr:uid="{00000000-0005-0000-0000-0000235F0000}"/>
    <cellStyle name="Normal 5 2 2 4 3 5 2" xfId="24844" xr:uid="{00000000-0005-0000-0000-0000245F0000}"/>
    <cellStyle name="Normal 5 2 2 4 3 5 2 2" xfId="49718" xr:uid="{00000000-0005-0000-0000-0000255F0000}"/>
    <cellStyle name="Normal 5 2 2 4 3 5 3" xfId="37285" xr:uid="{00000000-0005-0000-0000-0000265F0000}"/>
    <cellStyle name="Normal 5 2 2 4 3 6" xfId="7399" xr:uid="{00000000-0005-0000-0000-0000275F0000}"/>
    <cellStyle name="Normal 5 2 2 4 3 6 2" xfId="19847" xr:uid="{00000000-0005-0000-0000-0000285F0000}"/>
    <cellStyle name="Normal 5 2 2 4 3 6 2 2" xfId="44721" xr:uid="{00000000-0005-0000-0000-0000295F0000}"/>
    <cellStyle name="Normal 5 2 2 4 3 6 3" xfId="32288" xr:uid="{00000000-0005-0000-0000-00002A5F0000}"/>
    <cellStyle name="Normal 5 2 2 4 3 7" xfId="3843" xr:uid="{00000000-0005-0000-0000-00002B5F0000}"/>
    <cellStyle name="Normal 5 2 2 4 3 7 2" xfId="16297" xr:uid="{00000000-0005-0000-0000-00002C5F0000}"/>
    <cellStyle name="Normal 5 2 2 4 3 7 2 2" xfId="41171" xr:uid="{00000000-0005-0000-0000-00002D5F0000}"/>
    <cellStyle name="Normal 5 2 2 4 3 7 3" xfId="28738" xr:uid="{00000000-0005-0000-0000-00002E5F0000}"/>
    <cellStyle name="Normal 5 2 2 4 3 8" xfId="14595" xr:uid="{00000000-0005-0000-0000-00002F5F0000}"/>
    <cellStyle name="Normal 5 2 2 4 3 8 2" xfId="39469" xr:uid="{00000000-0005-0000-0000-0000305F0000}"/>
    <cellStyle name="Normal 5 2 2 4 3 9" xfId="27028" xr:uid="{00000000-0005-0000-0000-0000315F0000}"/>
    <cellStyle name="Normal 5 2 2 4 4" xfId="2151" xr:uid="{00000000-0005-0000-0000-0000325F0000}"/>
    <cellStyle name="Normal 5 2 2 4 4 2" xfId="6186" xr:uid="{00000000-0005-0000-0000-0000335F0000}"/>
    <cellStyle name="Normal 5 2 2 4 4 2 2" xfId="11201" xr:uid="{00000000-0005-0000-0000-0000345F0000}"/>
    <cellStyle name="Normal 5 2 2 4 4 2 2 2" xfId="23644" xr:uid="{00000000-0005-0000-0000-0000355F0000}"/>
    <cellStyle name="Normal 5 2 2 4 4 2 2 2 2" xfId="48518" xr:uid="{00000000-0005-0000-0000-0000365F0000}"/>
    <cellStyle name="Normal 5 2 2 4 4 2 2 3" xfId="36085" xr:uid="{00000000-0005-0000-0000-0000375F0000}"/>
    <cellStyle name="Normal 5 2 2 4 4 2 3" xfId="18637" xr:uid="{00000000-0005-0000-0000-0000385F0000}"/>
    <cellStyle name="Normal 5 2 2 4 4 2 3 2" xfId="43511" xr:uid="{00000000-0005-0000-0000-0000395F0000}"/>
    <cellStyle name="Normal 5 2 2 4 4 2 4" xfId="31078" xr:uid="{00000000-0005-0000-0000-00003A5F0000}"/>
    <cellStyle name="Normal 5 2 2 4 4 3" xfId="12655" xr:uid="{00000000-0005-0000-0000-00003B5F0000}"/>
    <cellStyle name="Normal 5 2 2 4 4 3 2" xfId="25089" xr:uid="{00000000-0005-0000-0000-00003C5F0000}"/>
    <cellStyle name="Normal 5 2 2 4 4 3 2 2" xfId="49963" xr:uid="{00000000-0005-0000-0000-00003D5F0000}"/>
    <cellStyle name="Normal 5 2 2 4 4 3 3" xfId="37530" xr:uid="{00000000-0005-0000-0000-00003E5F0000}"/>
    <cellStyle name="Normal 5 2 2 4 4 4" xfId="9096" xr:uid="{00000000-0005-0000-0000-00003F5F0000}"/>
    <cellStyle name="Normal 5 2 2 4 4 4 2" xfId="21539" xr:uid="{00000000-0005-0000-0000-0000405F0000}"/>
    <cellStyle name="Normal 5 2 2 4 4 4 2 2" xfId="46413" xr:uid="{00000000-0005-0000-0000-0000415F0000}"/>
    <cellStyle name="Normal 5 2 2 4 4 4 3" xfId="33980" xr:uid="{00000000-0005-0000-0000-0000425F0000}"/>
    <cellStyle name="Normal 5 2 2 4 4 5" xfId="4078" xr:uid="{00000000-0005-0000-0000-0000435F0000}"/>
    <cellStyle name="Normal 5 2 2 4 4 5 2" xfId="16532" xr:uid="{00000000-0005-0000-0000-0000445F0000}"/>
    <cellStyle name="Normal 5 2 2 4 4 5 2 2" xfId="41406" xr:uid="{00000000-0005-0000-0000-0000455F0000}"/>
    <cellStyle name="Normal 5 2 2 4 4 5 3" xfId="28973" xr:uid="{00000000-0005-0000-0000-0000465F0000}"/>
    <cellStyle name="Normal 5 2 2 4 4 6" xfId="14840" xr:uid="{00000000-0005-0000-0000-0000475F0000}"/>
    <cellStyle name="Normal 5 2 2 4 4 6 2" xfId="39714" xr:uid="{00000000-0005-0000-0000-0000485F0000}"/>
    <cellStyle name="Normal 5 2 2 4 4 7" xfId="27273" xr:uid="{00000000-0005-0000-0000-0000495F0000}"/>
    <cellStyle name="Normal 5 2 2 4 5" xfId="997" xr:uid="{00000000-0005-0000-0000-00004A5F0000}"/>
    <cellStyle name="Normal 5 2 2 4 5 2" xfId="10156" xr:uid="{00000000-0005-0000-0000-00004B5F0000}"/>
    <cellStyle name="Normal 5 2 2 4 5 2 2" xfId="22599" xr:uid="{00000000-0005-0000-0000-00004C5F0000}"/>
    <cellStyle name="Normal 5 2 2 4 5 2 2 2" xfId="47473" xr:uid="{00000000-0005-0000-0000-00004D5F0000}"/>
    <cellStyle name="Normal 5 2 2 4 5 2 3" xfId="35040" xr:uid="{00000000-0005-0000-0000-00004E5F0000}"/>
    <cellStyle name="Normal 5 2 2 4 5 3" xfId="5140" xr:uid="{00000000-0005-0000-0000-00004F5F0000}"/>
    <cellStyle name="Normal 5 2 2 4 5 3 2" xfId="17592" xr:uid="{00000000-0005-0000-0000-0000505F0000}"/>
    <cellStyle name="Normal 5 2 2 4 5 3 2 2" xfId="42466" xr:uid="{00000000-0005-0000-0000-0000515F0000}"/>
    <cellStyle name="Normal 5 2 2 4 5 3 3" xfId="30033" xr:uid="{00000000-0005-0000-0000-0000525F0000}"/>
    <cellStyle name="Normal 5 2 2 4 5 4" xfId="13797" xr:uid="{00000000-0005-0000-0000-0000535F0000}"/>
    <cellStyle name="Normal 5 2 2 4 5 4 2" xfId="38671" xr:uid="{00000000-0005-0000-0000-0000545F0000}"/>
    <cellStyle name="Normal 5 2 2 4 5 5" xfId="26230" xr:uid="{00000000-0005-0000-0000-0000555F0000}"/>
    <cellStyle name="Normal 5 2 2 4 6" xfId="8212" xr:uid="{00000000-0005-0000-0000-0000565F0000}"/>
    <cellStyle name="Normal 5 2 2 4 6 2" xfId="20656" xr:uid="{00000000-0005-0000-0000-0000575F0000}"/>
    <cellStyle name="Normal 5 2 2 4 6 2 2" xfId="45530" xr:uid="{00000000-0005-0000-0000-0000585F0000}"/>
    <cellStyle name="Normal 5 2 2 4 6 3" xfId="33097" xr:uid="{00000000-0005-0000-0000-0000595F0000}"/>
    <cellStyle name="Normal 5 2 2 4 7" xfId="11612" xr:uid="{00000000-0005-0000-0000-00005A5F0000}"/>
    <cellStyle name="Normal 5 2 2 4 7 2" xfId="24046" xr:uid="{00000000-0005-0000-0000-00005B5F0000}"/>
    <cellStyle name="Normal 5 2 2 4 7 2 2" xfId="48920" xr:uid="{00000000-0005-0000-0000-00005C5F0000}"/>
    <cellStyle name="Normal 5 2 2 4 7 3" xfId="36487" xr:uid="{00000000-0005-0000-0000-00005D5F0000}"/>
    <cellStyle name="Normal 5 2 2 4 8" xfId="6689" xr:uid="{00000000-0005-0000-0000-00005E5F0000}"/>
    <cellStyle name="Normal 5 2 2 4 8 2" xfId="19138" xr:uid="{00000000-0005-0000-0000-00005F5F0000}"/>
    <cellStyle name="Normal 5 2 2 4 8 2 2" xfId="44012" xr:uid="{00000000-0005-0000-0000-0000605F0000}"/>
    <cellStyle name="Normal 5 2 2 4 8 3" xfId="31579" xr:uid="{00000000-0005-0000-0000-0000615F0000}"/>
    <cellStyle name="Normal 5 2 2 4 9" xfId="3143" xr:uid="{00000000-0005-0000-0000-0000625F0000}"/>
    <cellStyle name="Normal 5 2 2 4 9 2" xfId="15649" xr:uid="{00000000-0005-0000-0000-0000635F0000}"/>
    <cellStyle name="Normal 5 2 2 4 9 2 2" xfId="40523" xr:uid="{00000000-0005-0000-0000-0000645F0000}"/>
    <cellStyle name="Normal 5 2 2 4 9 3" xfId="28082" xr:uid="{00000000-0005-0000-0000-0000655F0000}"/>
    <cellStyle name="Normal 5 2 2 4_Degree data" xfId="2061" xr:uid="{00000000-0005-0000-0000-0000665F0000}"/>
    <cellStyle name="Normal 5 2 2 5" xfId="551" xr:uid="{00000000-0005-0000-0000-0000675F0000}"/>
    <cellStyle name="Normal 5 2 2 5 2" xfId="1441" xr:uid="{00000000-0005-0000-0000-0000685F0000}"/>
    <cellStyle name="Normal 5 2 2 5 2 2" xfId="9545" xr:uid="{00000000-0005-0000-0000-0000695F0000}"/>
    <cellStyle name="Normal 5 2 2 5 2 2 2" xfId="21988" xr:uid="{00000000-0005-0000-0000-00006A5F0000}"/>
    <cellStyle name="Normal 5 2 2 5 2 2 2 2" xfId="46862" xr:uid="{00000000-0005-0000-0000-00006B5F0000}"/>
    <cellStyle name="Normal 5 2 2 5 2 2 3" xfId="34429" xr:uid="{00000000-0005-0000-0000-00006C5F0000}"/>
    <cellStyle name="Normal 5 2 2 5 2 3" xfId="4527" xr:uid="{00000000-0005-0000-0000-00006D5F0000}"/>
    <cellStyle name="Normal 5 2 2 5 2 3 2" xfId="16981" xr:uid="{00000000-0005-0000-0000-00006E5F0000}"/>
    <cellStyle name="Normal 5 2 2 5 2 3 2 2" xfId="41855" xr:uid="{00000000-0005-0000-0000-00006F5F0000}"/>
    <cellStyle name="Normal 5 2 2 5 2 3 3" xfId="29422" xr:uid="{00000000-0005-0000-0000-0000705F0000}"/>
    <cellStyle name="Normal 5 2 2 5 2 4" xfId="14241" xr:uid="{00000000-0005-0000-0000-0000715F0000}"/>
    <cellStyle name="Normal 5 2 2 5 2 4 2" xfId="39115" xr:uid="{00000000-0005-0000-0000-0000725F0000}"/>
    <cellStyle name="Normal 5 2 2 5 2 5" xfId="26674" xr:uid="{00000000-0005-0000-0000-0000735F0000}"/>
    <cellStyle name="Normal 5 2 2 5 3" xfId="5586" xr:uid="{00000000-0005-0000-0000-0000745F0000}"/>
    <cellStyle name="Normal 5 2 2 5 3 2" xfId="10602" xr:uid="{00000000-0005-0000-0000-0000755F0000}"/>
    <cellStyle name="Normal 5 2 2 5 3 2 2" xfId="23045" xr:uid="{00000000-0005-0000-0000-0000765F0000}"/>
    <cellStyle name="Normal 5 2 2 5 3 2 2 2" xfId="47919" xr:uid="{00000000-0005-0000-0000-0000775F0000}"/>
    <cellStyle name="Normal 5 2 2 5 3 2 3" xfId="35486" xr:uid="{00000000-0005-0000-0000-0000785F0000}"/>
    <cellStyle name="Normal 5 2 2 5 3 3" xfId="18038" xr:uid="{00000000-0005-0000-0000-0000795F0000}"/>
    <cellStyle name="Normal 5 2 2 5 3 3 2" xfId="42912" xr:uid="{00000000-0005-0000-0000-00007A5F0000}"/>
    <cellStyle name="Normal 5 2 2 5 3 4" xfId="30479" xr:uid="{00000000-0005-0000-0000-00007B5F0000}"/>
    <cellStyle name="Normal 5 2 2 5 4" xfId="8661" xr:uid="{00000000-0005-0000-0000-00007C5F0000}"/>
    <cellStyle name="Normal 5 2 2 5 4 2" xfId="21105" xr:uid="{00000000-0005-0000-0000-00007D5F0000}"/>
    <cellStyle name="Normal 5 2 2 5 4 2 2" xfId="45979" xr:uid="{00000000-0005-0000-0000-00007E5F0000}"/>
    <cellStyle name="Normal 5 2 2 5 4 3" xfId="33546" xr:uid="{00000000-0005-0000-0000-00007F5F0000}"/>
    <cellStyle name="Normal 5 2 2 5 5" xfId="12056" xr:uid="{00000000-0005-0000-0000-0000805F0000}"/>
    <cellStyle name="Normal 5 2 2 5 5 2" xfId="24490" xr:uid="{00000000-0005-0000-0000-0000815F0000}"/>
    <cellStyle name="Normal 5 2 2 5 5 2 2" xfId="49364" xr:uid="{00000000-0005-0000-0000-0000825F0000}"/>
    <cellStyle name="Normal 5 2 2 5 5 3" xfId="36931" xr:uid="{00000000-0005-0000-0000-0000835F0000}"/>
    <cellStyle name="Normal 5 2 2 5 6" xfId="7138" xr:uid="{00000000-0005-0000-0000-0000845F0000}"/>
    <cellStyle name="Normal 5 2 2 5 6 2" xfId="19587" xr:uid="{00000000-0005-0000-0000-0000855F0000}"/>
    <cellStyle name="Normal 5 2 2 5 6 2 2" xfId="44461" xr:uid="{00000000-0005-0000-0000-0000865F0000}"/>
    <cellStyle name="Normal 5 2 2 5 6 3" xfId="32028" xr:uid="{00000000-0005-0000-0000-0000875F0000}"/>
    <cellStyle name="Normal 5 2 2 5 7" xfId="3592" xr:uid="{00000000-0005-0000-0000-0000885F0000}"/>
    <cellStyle name="Normal 5 2 2 5 7 2" xfId="16098" xr:uid="{00000000-0005-0000-0000-0000895F0000}"/>
    <cellStyle name="Normal 5 2 2 5 7 2 2" xfId="40972" xr:uid="{00000000-0005-0000-0000-00008A5F0000}"/>
    <cellStyle name="Normal 5 2 2 5 7 3" xfId="28531" xr:uid="{00000000-0005-0000-0000-00008B5F0000}"/>
    <cellStyle name="Normal 5 2 2 5 8" xfId="13361" xr:uid="{00000000-0005-0000-0000-00008C5F0000}"/>
    <cellStyle name="Normal 5 2 2 5 8 2" xfId="38235" xr:uid="{00000000-0005-0000-0000-00008D5F0000}"/>
    <cellStyle name="Normal 5 2 2 5 9" xfId="25794" xr:uid="{00000000-0005-0000-0000-00008E5F0000}"/>
    <cellStyle name="Normal 5 2 2 6" xfId="1789" xr:uid="{00000000-0005-0000-0000-00008F5F0000}"/>
    <cellStyle name="Normal 5 2 2 6 2" xfId="4743" xr:uid="{00000000-0005-0000-0000-0000905F0000}"/>
    <cellStyle name="Normal 5 2 2 6 2 2" xfId="9760" xr:uid="{00000000-0005-0000-0000-0000915F0000}"/>
    <cellStyle name="Normal 5 2 2 6 2 2 2" xfId="22203" xr:uid="{00000000-0005-0000-0000-0000925F0000}"/>
    <cellStyle name="Normal 5 2 2 6 2 2 2 2" xfId="47077" xr:uid="{00000000-0005-0000-0000-0000935F0000}"/>
    <cellStyle name="Normal 5 2 2 6 2 2 3" xfId="34644" xr:uid="{00000000-0005-0000-0000-0000945F0000}"/>
    <cellStyle name="Normal 5 2 2 6 2 3" xfId="17196" xr:uid="{00000000-0005-0000-0000-0000955F0000}"/>
    <cellStyle name="Normal 5 2 2 6 2 3 2" xfId="42070" xr:uid="{00000000-0005-0000-0000-0000965F0000}"/>
    <cellStyle name="Normal 5 2 2 6 2 4" xfId="29637" xr:uid="{00000000-0005-0000-0000-0000975F0000}"/>
    <cellStyle name="Normal 5 2 2 6 3" xfId="5935" xr:uid="{00000000-0005-0000-0000-0000985F0000}"/>
    <cellStyle name="Normal 5 2 2 6 3 2" xfId="10950" xr:uid="{00000000-0005-0000-0000-0000995F0000}"/>
    <cellStyle name="Normal 5 2 2 6 3 2 2" xfId="23393" xr:uid="{00000000-0005-0000-0000-00009A5F0000}"/>
    <cellStyle name="Normal 5 2 2 6 3 2 2 2" xfId="48267" xr:uid="{00000000-0005-0000-0000-00009B5F0000}"/>
    <cellStyle name="Normal 5 2 2 6 3 2 3" xfId="35834" xr:uid="{00000000-0005-0000-0000-00009C5F0000}"/>
    <cellStyle name="Normal 5 2 2 6 3 3" xfId="18386" xr:uid="{00000000-0005-0000-0000-00009D5F0000}"/>
    <cellStyle name="Normal 5 2 2 6 3 3 2" xfId="43260" xr:uid="{00000000-0005-0000-0000-00009E5F0000}"/>
    <cellStyle name="Normal 5 2 2 6 3 4" xfId="30827" xr:uid="{00000000-0005-0000-0000-00009F5F0000}"/>
    <cellStyle name="Normal 5 2 2 6 4" xfId="8869" xr:uid="{00000000-0005-0000-0000-0000A05F0000}"/>
    <cellStyle name="Normal 5 2 2 6 4 2" xfId="21312" xr:uid="{00000000-0005-0000-0000-0000A15F0000}"/>
    <cellStyle name="Normal 5 2 2 6 4 2 2" xfId="46186" xr:uid="{00000000-0005-0000-0000-0000A25F0000}"/>
    <cellStyle name="Normal 5 2 2 6 4 3" xfId="33753" xr:uid="{00000000-0005-0000-0000-0000A35F0000}"/>
    <cellStyle name="Normal 5 2 2 6 5" xfId="12404" xr:uid="{00000000-0005-0000-0000-0000A45F0000}"/>
    <cellStyle name="Normal 5 2 2 6 5 2" xfId="24838" xr:uid="{00000000-0005-0000-0000-0000A55F0000}"/>
    <cellStyle name="Normal 5 2 2 6 5 2 2" xfId="49712" xr:uid="{00000000-0005-0000-0000-0000A65F0000}"/>
    <cellStyle name="Normal 5 2 2 6 5 3" xfId="37279" xr:uid="{00000000-0005-0000-0000-0000A75F0000}"/>
    <cellStyle name="Normal 5 2 2 6 6" xfId="7354" xr:uid="{00000000-0005-0000-0000-0000A85F0000}"/>
    <cellStyle name="Normal 5 2 2 6 6 2" xfId="19802" xr:uid="{00000000-0005-0000-0000-0000A95F0000}"/>
    <cellStyle name="Normal 5 2 2 6 6 2 2" xfId="44676" xr:uid="{00000000-0005-0000-0000-0000AA5F0000}"/>
    <cellStyle name="Normal 5 2 2 6 6 3" xfId="32243" xr:uid="{00000000-0005-0000-0000-0000AB5F0000}"/>
    <cellStyle name="Normal 5 2 2 6 7" xfId="3851" xr:uid="{00000000-0005-0000-0000-0000AC5F0000}"/>
    <cellStyle name="Normal 5 2 2 6 7 2" xfId="16305" xr:uid="{00000000-0005-0000-0000-0000AD5F0000}"/>
    <cellStyle name="Normal 5 2 2 6 7 2 2" xfId="41179" xr:uid="{00000000-0005-0000-0000-0000AE5F0000}"/>
    <cellStyle name="Normal 5 2 2 6 7 3" xfId="28746" xr:uid="{00000000-0005-0000-0000-0000AF5F0000}"/>
    <cellStyle name="Normal 5 2 2 6 8" xfId="14589" xr:uid="{00000000-0005-0000-0000-0000B05F0000}"/>
    <cellStyle name="Normal 5 2 2 6 8 2" xfId="39463" xr:uid="{00000000-0005-0000-0000-0000B15F0000}"/>
    <cellStyle name="Normal 5 2 2 6 9" xfId="27022" xr:uid="{00000000-0005-0000-0000-0000B25F0000}"/>
    <cellStyle name="Normal 5 2 2 7" xfId="2102" xr:uid="{00000000-0005-0000-0000-0000B35F0000}"/>
    <cellStyle name="Normal 5 2 2 7 2" xfId="6141" xr:uid="{00000000-0005-0000-0000-0000B45F0000}"/>
    <cellStyle name="Normal 5 2 2 7 2 2" xfId="11156" xr:uid="{00000000-0005-0000-0000-0000B55F0000}"/>
    <cellStyle name="Normal 5 2 2 7 2 2 2" xfId="23599" xr:uid="{00000000-0005-0000-0000-0000B65F0000}"/>
    <cellStyle name="Normal 5 2 2 7 2 2 2 2" xfId="48473" xr:uid="{00000000-0005-0000-0000-0000B75F0000}"/>
    <cellStyle name="Normal 5 2 2 7 2 2 3" xfId="36040" xr:uid="{00000000-0005-0000-0000-0000B85F0000}"/>
    <cellStyle name="Normal 5 2 2 7 2 3" xfId="18592" xr:uid="{00000000-0005-0000-0000-0000B95F0000}"/>
    <cellStyle name="Normal 5 2 2 7 2 3 2" xfId="43466" xr:uid="{00000000-0005-0000-0000-0000BA5F0000}"/>
    <cellStyle name="Normal 5 2 2 7 2 4" xfId="31033" xr:uid="{00000000-0005-0000-0000-0000BB5F0000}"/>
    <cellStyle name="Normal 5 2 2 7 3" xfId="12610" xr:uid="{00000000-0005-0000-0000-0000BC5F0000}"/>
    <cellStyle name="Normal 5 2 2 7 3 2" xfId="25044" xr:uid="{00000000-0005-0000-0000-0000BD5F0000}"/>
    <cellStyle name="Normal 5 2 2 7 3 2 2" xfId="49918" xr:uid="{00000000-0005-0000-0000-0000BE5F0000}"/>
    <cellStyle name="Normal 5 2 2 7 3 3" xfId="37485" xr:uid="{00000000-0005-0000-0000-0000BF5F0000}"/>
    <cellStyle name="Normal 5 2 2 7 4" xfId="8905" xr:uid="{00000000-0005-0000-0000-0000C05F0000}"/>
    <cellStyle name="Normal 5 2 2 7 4 2" xfId="21348" xr:uid="{00000000-0005-0000-0000-0000C15F0000}"/>
    <cellStyle name="Normal 5 2 2 7 4 2 2" xfId="46222" xr:uid="{00000000-0005-0000-0000-0000C25F0000}"/>
    <cellStyle name="Normal 5 2 2 7 4 3" xfId="33789" xr:uid="{00000000-0005-0000-0000-0000C35F0000}"/>
    <cellStyle name="Normal 5 2 2 7 5" xfId="3887" xr:uid="{00000000-0005-0000-0000-0000C45F0000}"/>
    <cellStyle name="Normal 5 2 2 7 5 2" xfId="16341" xr:uid="{00000000-0005-0000-0000-0000C55F0000}"/>
    <cellStyle name="Normal 5 2 2 7 5 2 2" xfId="41215" xr:uid="{00000000-0005-0000-0000-0000C65F0000}"/>
    <cellStyle name="Normal 5 2 2 7 5 3" xfId="28782" xr:uid="{00000000-0005-0000-0000-0000C75F0000}"/>
    <cellStyle name="Normal 5 2 2 7 6" xfId="14795" xr:uid="{00000000-0005-0000-0000-0000C85F0000}"/>
    <cellStyle name="Normal 5 2 2 7 6 2" xfId="39669" xr:uid="{00000000-0005-0000-0000-0000C95F0000}"/>
    <cellStyle name="Normal 5 2 2 7 7" xfId="27228" xr:uid="{00000000-0005-0000-0000-0000CA5F0000}"/>
    <cellStyle name="Normal 5 2 2 8" xfId="952" xr:uid="{00000000-0005-0000-0000-0000CB5F0000}"/>
    <cellStyle name="Normal 5 2 2 8 2" xfId="11567" xr:uid="{00000000-0005-0000-0000-0000CC5F0000}"/>
    <cellStyle name="Normal 5 2 2 8 2 2" xfId="24001" xr:uid="{00000000-0005-0000-0000-0000CD5F0000}"/>
    <cellStyle name="Normal 5 2 2 8 2 2 2" xfId="48875" xr:uid="{00000000-0005-0000-0000-0000CE5F0000}"/>
    <cellStyle name="Normal 5 2 2 8 2 3" xfId="36442" xr:uid="{00000000-0005-0000-0000-0000CF5F0000}"/>
    <cellStyle name="Normal 5 2 2 8 3" xfId="10111" xr:uid="{00000000-0005-0000-0000-0000D05F0000}"/>
    <cellStyle name="Normal 5 2 2 8 3 2" xfId="22554" xr:uid="{00000000-0005-0000-0000-0000D15F0000}"/>
    <cellStyle name="Normal 5 2 2 8 3 2 2" xfId="47428" xr:uid="{00000000-0005-0000-0000-0000D25F0000}"/>
    <cellStyle name="Normal 5 2 2 8 3 3" xfId="34995" xr:uid="{00000000-0005-0000-0000-0000D35F0000}"/>
    <cellStyle name="Normal 5 2 2 8 4" xfId="5095" xr:uid="{00000000-0005-0000-0000-0000D45F0000}"/>
    <cellStyle name="Normal 5 2 2 8 4 2" xfId="17547" xr:uid="{00000000-0005-0000-0000-0000D55F0000}"/>
    <cellStyle name="Normal 5 2 2 8 4 2 2" xfId="42421" xr:uid="{00000000-0005-0000-0000-0000D65F0000}"/>
    <cellStyle name="Normal 5 2 2 8 4 3" xfId="29988" xr:uid="{00000000-0005-0000-0000-0000D75F0000}"/>
    <cellStyle name="Normal 5 2 2 8 5" xfId="13752" xr:uid="{00000000-0005-0000-0000-0000D85F0000}"/>
    <cellStyle name="Normal 5 2 2 8 5 2" xfId="38626" xr:uid="{00000000-0005-0000-0000-0000D95F0000}"/>
    <cellStyle name="Normal 5 2 2 8 6" xfId="26185" xr:uid="{00000000-0005-0000-0000-0000DA5F0000}"/>
    <cellStyle name="Normal 5 2 2 9" xfId="922" xr:uid="{00000000-0005-0000-0000-0000DB5F0000}"/>
    <cellStyle name="Normal 5 2 2 9 2" xfId="7719" xr:uid="{00000000-0005-0000-0000-0000DC5F0000}"/>
    <cellStyle name="Normal 5 2 2 9 2 2" xfId="20165" xr:uid="{00000000-0005-0000-0000-0000DD5F0000}"/>
    <cellStyle name="Normal 5 2 2 9 2 2 2" xfId="45039" xr:uid="{00000000-0005-0000-0000-0000DE5F0000}"/>
    <cellStyle name="Normal 5 2 2 9 2 3" xfId="32606" xr:uid="{00000000-0005-0000-0000-0000DF5F0000}"/>
    <cellStyle name="Normal 5 2 2 9 3" xfId="13722" xr:uid="{00000000-0005-0000-0000-0000E05F0000}"/>
    <cellStyle name="Normal 5 2 2 9 3 2" xfId="38596" xr:uid="{00000000-0005-0000-0000-0000E15F0000}"/>
    <cellStyle name="Normal 5 2 2 9 4" xfId="26155" xr:uid="{00000000-0005-0000-0000-0000E25F0000}"/>
    <cellStyle name="Normal 5 2 2_Degree data" xfId="2008" xr:uid="{00000000-0005-0000-0000-0000E35F0000}"/>
    <cellStyle name="Normal 5 2 3" xfId="334" xr:uid="{00000000-0005-0000-0000-0000E45F0000}"/>
    <cellStyle name="Normal 5 2 4" xfId="315" xr:uid="{00000000-0005-0000-0000-0000E55F0000}"/>
    <cellStyle name="Normal 5 2 4 10" xfId="6545" xr:uid="{00000000-0005-0000-0000-0000E65F0000}"/>
    <cellStyle name="Normal 5 2 4 10 2" xfId="18994" xr:uid="{00000000-0005-0000-0000-0000E75F0000}"/>
    <cellStyle name="Normal 5 2 4 10 2 2" xfId="43868" xr:uid="{00000000-0005-0000-0000-0000E85F0000}"/>
    <cellStyle name="Normal 5 2 4 10 3" xfId="31435" xr:uid="{00000000-0005-0000-0000-0000E95F0000}"/>
    <cellStyle name="Normal 5 2 4 11" xfId="2713" xr:uid="{00000000-0005-0000-0000-0000EA5F0000}"/>
    <cellStyle name="Normal 5 2 4 11 2" xfId="15231" xr:uid="{00000000-0005-0000-0000-0000EB5F0000}"/>
    <cellStyle name="Normal 5 2 4 11 2 2" xfId="40105" xr:uid="{00000000-0005-0000-0000-0000EC5F0000}"/>
    <cellStyle name="Normal 5 2 4 11 3" xfId="27664" xr:uid="{00000000-0005-0000-0000-0000ED5F0000}"/>
    <cellStyle name="Normal 5 2 4 12" xfId="13132" xr:uid="{00000000-0005-0000-0000-0000EE5F0000}"/>
    <cellStyle name="Normal 5 2 4 12 2" xfId="38006" xr:uid="{00000000-0005-0000-0000-0000EF5F0000}"/>
    <cellStyle name="Normal 5 2 4 13" xfId="25565" xr:uid="{00000000-0005-0000-0000-0000F05F0000}"/>
    <cellStyle name="Normal 5 2 4 2" xfId="417" xr:uid="{00000000-0005-0000-0000-0000F15F0000}"/>
    <cellStyle name="Normal 5 2 4 2 10" xfId="13232" xr:uid="{00000000-0005-0000-0000-0000F25F0000}"/>
    <cellStyle name="Normal 5 2 4 2 10 2" xfId="38106" xr:uid="{00000000-0005-0000-0000-0000F35F0000}"/>
    <cellStyle name="Normal 5 2 4 2 11" xfId="25665" xr:uid="{00000000-0005-0000-0000-0000F45F0000}"/>
    <cellStyle name="Normal 5 2 4 2 2" xfId="777" xr:uid="{00000000-0005-0000-0000-0000F55F0000}"/>
    <cellStyle name="Normal 5 2 4 2 2 2" xfId="1449" xr:uid="{00000000-0005-0000-0000-0000F65F0000}"/>
    <cellStyle name="Normal 5 2 4 2 2 2 2" xfId="9553" xr:uid="{00000000-0005-0000-0000-0000F75F0000}"/>
    <cellStyle name="Normal 5 2 4 2 2 2 2 2" xfId="21996" xr:uid="{00000000-0005-0000-0000-0000F85F0000}"/>
    <cellStyle name="Normal 5 2 4 2 2 2 2 2 2" xfId="46870" xr:uid="{00000000-0005-0000-0000-0000F95F0000}"/>
    <cellStyle name="Normal 5 2 4 2 2 2 2 3" xfId="34437" xr:uid="{00000000-0005-0000-0000-0000FA5F0000}"/>
    <cellStyle name="Normal 5 2 4 2 2 2 3" xfId="4535" xr:uid="{00000000-0005-0000-0000-0000FB5F0000}"/>
    <cellStyle name="Normal 5 2 4 2 2 2 3 2" xfId="16989" xr:uid="{00000000-0005-0000-0000-0000FC5F0000}"/>
    <cellStyle name="Normal 5 2 4 2 2 2 3 2 2" xfId="41863" xr:uid="{00000000-0005-0000-0000-0000FD5F0000}"/>
    <cellStyle name="Normal 5 2 4 2 2 2 3 3" xfId="29430" xr:uid="{00000000-0005-0000-0000-0000FE5F0000}"/>
    <cellStyle name="Normal 5 2 4 2 2 2 4" xfId="14249" xr:uid="{00000000-0005-0000-0000-0000FF5F0000}"/>
    <cellStyle name="Normal 5 2 4 2 2 2 4 2" xfId="39123" xr:uid="{00000000-0005-0000-0000-000000600000}"/>
    <cellStyle name="Normal 5 2 4 2 2 2 5" xfId="26682" xr:uid="{00000000-0005-0000-0000-000001600000}"/>
    <cellStyle name="Normal 5 2 4 2 2 3" xfId="5594" xr:uid="{00000000-0005-0000-0000-000002600000}"/>
    <cellStyle name="Normal 5 2 4 2 2 3 2" xfId="10610" xr:uid="{00000000-0005-0000-0000-000003600000}"/>
    <cellStyle name="Normal 5 2 4 2 2 3 2 2" xfId="23053" xr:uid="{00000000-0005-0000-0000-000004600000}"/>
    <cellStyle name="Normal 5 2 4 2 2 3 2 2 2" xfId="47927" xr:uid="{00000000-0005-0000-0000-000005600000}"/>
    <cellStyle name="Normal 5 2 4 2 2 3 2 3" xfId="35494" xr:uid="{00000000-0005-0000-0000-000006600000}"/>
    <cellStyle name="Normal 5 2 4 2 2 3 3" xfId="18046" xr:uid="{00000000-0005-0000-0000-000007600000}"/>
    <cellStyle name="Normal 5 2 4 2 2 3 3 2" xfId="42920" xr:uid="{00000000-0005-0000-0000-000008600000}"/>
    <cellStyle name="Normal 5 2 4 2 2 3 4" xfId="30487" xr:uid="{00000000-0005-0000-0000-000009600000}"/>
    <cellStyle name="Normal 5 2 4 2 2 4" xfId="8669" xr:uid="{00000000-0005-0000-0000-00000A600000}"/>
    <cellStyle name="Normal 5 2 4 2 2 4 2" xfId="21113" xr:uid="{00000000-0005-0000-0000-00000B600000}"/>
    <cellStyle name="Normal 5 2 4 2 2 4 2 2" xfId="45987" xr:uid="{00000000-0005-0000-0000-00000C600000}"/>
    <cellStyle name="Normal 5 2 4 2 2 4 3" xfId="33554" xr:uid="{00000000-0005-0000-0000-00000D600000}"/>
    <cellStyle name="Normal 5 2 4 2 2 5" xfId="12064" xr:uid="{00000000-0005-0000-0000-00000E600000}"/>
    <cellStyle name="Normal 5 2 4 2 2 5 2" xfId="24498" xr:uid="{00000000-0005-0000-0000-00000F600000}"/>
    <cellStyle name="Normal 5 2 4 2 2 5 2 2" xfId="49372" xr:uid="{00000000-0005-0000-0000-000010600000}"/>
    <cellStyle name="Normal 5 2 4 2 2 5 3" xfId="36939" xr:uid="{00000000-0005-0000-0000-000011600000}"/>
    <cellStyle name="Normal 5 2 4 2 2 6" xfId="7146" xr:uid="{00000000-0005-0000-0000-000012600000}"/>
    <cellStyle name="Normal 5 2 4 2 2 6 2" xfId="19595" xr:uid="{00000000-0005-0000-0000-000013600000}"/>
    <cellStyle name="Normal 5 2 4 2 2 6 2 2" xfId="44469" xr:uid="{00000000-0005-0000-0000-000014600000}"/>
    <cellStyle name="Normal 5 2 4 2 2 6 3" xfId="32036" xr:uid="{00000000-0005-0000-0000-000015600000}"/>
    <cellStyle name="Normal 5 2 4 2 2 7" xfId="3600" xr:uid="{00000000-0005-0000-0000-000016600000}"/>
    <cellStyle name="Normal 5 2 4 2 2 7 2" xfId="16106" xr:uid="{00000000-0005-0000-0000-000017600000}"/>
    <cellStyle name="Normal 5 2 4 2 2 7 2 2" xfId="40980" xr:uid="{00000000-0005-0000-0000-000018600000}"/>
    <cellStyle name="Normal 5 2 4 2 2 7 3" xfId="28539" xr:uid="{00000000-0005-0000-0000-000019600000}"/>
    <cellStyle name="Normal 5 2 4 2 2 8" xfId="13579" xr:uid="{00000000-0005-0000-0000-00001A600000}"/>
    <cellStyle name="Normal 5 2 4 2 2 8 2" xfId="38453" xr:uid="{00000000-0005-0000-0000-00001B600000}"/>
    <cellStyle name="Normal 5 2 4 2 2 9" xfId="26012" xr:uid="{00000000-0005-0000-0000-00001C600000}"/>
    <cellStyle name="Normal 5 2 4 2 3" xfId="1797" xr:uid="{00000000-0005-0000-0000-00001D600000}"/>
    <cellStyle name="Normal 5 2 4 2 3 2" xfId="4961" xr:uid="{00000000-0005-0000-0000-00001E600000}"/>
    <cellStyle name="Normal 5 2 4 2 3 2 2" xfId="9978" xr:uid="{00000000-0005-0000-0000-00001F600000}"/>
    <cellStyle name="Normal 5 2 4 2 3 2 2 2" xfId="22421" xr:uid="{00000000-0005-0000-0000-000020600000}"/>
    <cellStyle name="Normal 5 2 4 2 3 2 2 2 2" xfId="47295" xr:uid="{00000000-0005-0000-0000-000021600000}"/>
    <cellStyle name="Normal 5 2 4 2 3 2 2 3" xfId="34862" xr:uid="{00000000-0005-0000-0000-000022600000}"/>
    <cellStyle name="Normal 5 2 4 2 3 2 3" xfId="17414" xr:uid="{00000000-0005-0000-0000-000023600000}"/>
    <cellStyle name="Normal 5 2 4 2 3 2 3 2" xfId="42288" xr:uid="{00000000-0005-0000-0000-000024600000}"/>
    <cellStyle name="Normal 5 2 4 2 3 2 4" xfId="29855" xr:uid="{00000000-0005-0000-0000-000025600000}"/>
    <cellStyle name="Normal 5 2 4 2 3 3" xfId="5943" xr:uid="{00000000-0005-0000-0000-000026600000}"/>
    <cellStyle name="Normal 5 2 4 2 3 3 2" xfId="10958" xr:uid="{00000000-0005-0000-0000-000027600000}"/>
    <cellStyle name="Normal 5 2 4 2 3 3 2 2" xfId="23401" xr:uid="{00000000-0005-0000-0000-000028600000}"/>
    <cellStyle name="Normal 5 2 4 2 3 3 2 2 2" xfId="48275" xr:uid="{00000000-0005-0000-0000-000029600000}"/>
    <cellStyle name="Normal 5 2 4 2 3 3 2 3" xfId="35842" xr:uid="{00000000-0005-0000-0000-00002A600000}"/>
    <cellStyle name="Normal 5 2 4 2 3 3 3" xfId="18394" xr:uid="{00000000-0005-0000-0000-00002B600000}"/>
    <cellStyle name="Normal 5 2 4 2 3 3 3 2" xfId="43268" xr:uid="{00000000-0005-0000-0000-00002C600000}"/>
    <cellStyle name="Normal 5 2 4 2 3 3 4" xfId="30835" xr:uid="{00000000-0005-0000-0000-00002D600000}"/>
    <cellStyle name="Normal 5 2 4 2 3 4" xfId="8385" xr:uid="{00000000-0005-0000-0000-00002E600000}"/>
    <cellStyle name="Normal 5 2 4 2 3 4 2" xfId="20829" xr:uid="{00000000-0005-0000-0000-00002F600000}"/>
    <cellStyle name="Normal 5 2 4 2 3 4 2 2" xfId="45703" xr:uid="{00000000-0005-0000-0000-000030600000}"/>
    <cellStyle name="Normal 5 2 4 2 3 4 3" xfId="33270" xr:uid="{00000000-0005-0000-0000-000031600000}"/>
    <cellStyle name="Normal 5 2 4 2 3 5" xfId="12412" xr:uid="{00000000-0005-0000-0000-000032600000}"/>
    <cellStyle name="Normal 5 2 4 2 3 5 2" xfId="24846" xr:uid="{00000000-0005-0000-0000-000033600000}"/>
    <cellStyle name="Normal 5 2 4 2 3 5 2 2" xfId="49720" xr:uid="{00000000-0005-0000-0000-000034600000}"/>
    <cellStyle name="Normal 5 2 4 2 3 5 3" xfId="37287" xr:uid="{00000000-0005-0000-0000-000035600000}"/>
    <cellStyle name="Normal 5 2 4 2 3 6" xfId="7572" xr:uid="{00000000-0005-0000-0000-000036600000}"/>
    <cellStyle name="Normal 5 2 4 2 3 6 2" xfId="20020" xr:uid="{00000000-0005-0000-0000-000037600000}"/>
    <cellStyle name="Normal 5 2 4 2 3 6 2 2" xfId="44894" xr:uid="{00000000-0005-0000-0000-000038600000}"/>
    <cellStyle name="Normal 5 2 4 2 3 6 3" xfId="32461" xr:uid="{00000000-0005-0000-0000-000039600000}"/>
    <cellStyle name="Normal 5 2 4 2 3 7" xfId="3316" xr:uid="{00000000-0005-0000-0000-00003A600000}"/>
    <cellStyle name="Normal 5 2 4 2 3 7 2" xfId="15822" xr:uid="{00000000-0005-0000-0000-00003B600000}"/>
    <cellStyle name="Normal 5 2 4 2 3 7 2 2" xfId="40696" xr:uid="{00000000-0005-0000-0000-00003C600000}"/>
    <cellStyle name="Normal 5 2 4 2 3 7 3" xfId="28255" xr:uid="{00000000-0005-0000-0000-00003D600000}"/>
    <cellStyle name="Normal 5 2 4 2 3 8" xfId="14597" xr:uid="{00000000-0005-0000-0000-00003E600000}"/>
    <cellStyle name="Normal 5 2 4 2 3 8 2" xfId="39471" xr:uid="{00000000-0005-0000-0000-00003F600000}"/>
    <cellStyle name="Normal 5 2 4 2 3 9" xfId="27030" xr:uid="{00000000-0005-0000-0000-000040600000}"/>
    <cellStyle name="Normal 5 2 4 2 4" xfId="2335" xr:uid="{00000000-0005-0000-0000-000041600000}"/>
    <cellStyle name="Normal 5 2 4 2 4 2" xfId="6359" xr:uid="{00000000-0005-0000-0000-000042600000}"/>
    <cellStyle name="Normal 5 2 4 2 4 2 2" xfId="11374" xr:uid="{00000000-0005-0000-0000-000043600000}"/>
    <cellStyle name="Normal 5 2 4 2 4 2 2 2" xfId="23817" xr:uid="{00000000-0005-0000-0000-000044600000}"/>
    <cellStyle name="Normal 5 2 4 2 4 2 2 2 2" xfId="48691" xr:uid="{00000000-0005-0000-0000-000045600000}"/>
    <cellStyle name="Normal 5 2 4 2 4 2 2 3" xfId="36258" xr:uid="{00000000-0005-0000-0000-000046600000}"/>
    <cellStyle name="Normal 5 2 4 2 4 2 3" xfId="18810" xr:uid="{00000000-0005-0000-0000-000047600000}"/>
    <cellStyle name="Normal 5 2 4 2 4 2 3 2" xfId="43684" xr:uid="{00000000-0005-0000-0000-000048600000}"/>
    <cellStyle name="Normal 5 2 4 2 4 2 4" xfId="31251" xr:uid="{00000000-0005-0000-0000-000049600000}"/>
    <cellStyle name="Normal 5 2 4 2 4 3" xfId="12828" xr:uid="{00000000-0005-0000-0000-00004A600000}"/>
    <cellStyle name="Normal 5 2 4 2 4 3 2" xfId="25262" xr:uid="{00000000-0005-0000-0000-00004B600000}"/>
    <cellStyle name="Normal 5 2 4 2 4 3 2 2" xfId="50136" xr:uid="{00000000-0005-0000-0000-00004C600000}"/>
    <cellStyle name="Normal 5 2 4 2 4 3 3" xfId="37703" xr:uid="{00000000-0005-0000-0000-00004D600000}"/>
    <cellStyle name="Normal 5 2 4 2 4 4" xfId="9269" xr:uid="{00000000-0005-0000-0000-00004E600000}"/>
    <cellStyle name="Normal 5 2 4 2 4 4 2" xfId="21712" xr:uid="{00000000-0005-0000-0000-00004F600000}"/>
    <cellStyle name="Normal 5 2 4 2 4 4 2 2" xfId="46586" xr:uid="{00000000-0005-0000-0000-000050600000}"/>
    <cellStyle name="Normal 5 2 4 2 4 4 3" xfId="34153" xr:uid="{00000000-0005-0000-0000-000051600000}"/>
    <cellStyle name="Normal 5 2 4 2 4 5" xfId="4251" xr:uid="{00000000-0005-0000-0000-000052600000}"/>
    <cellStyle name="Normal 5 2 4 2 4 5 2" xfId="16705" xr:uid="{00000000-0005-0000-0000-000053600000}"/>
    <cellStyle name="Normal 5 2 4 2 4 5 2 2" xfId="41579" xr:uid="{00000000-0005-0000-0000-000054600000}"/>
    <cellStyle name="Normal 5 2 4 2 4 5 3" xfId="29146" xr:uid="{00000000-0005-0000-0000-000055600000}"/>
    <cellStyle name="Normal 5 2 4 2 4 6" xfId="15013" xr:uid="{00000000-0005-0000-0000-000056600000}"/>
    <cellStyle name="Normal 5 2 4 2 4 6 2" xfId="39887" xr:uid="{00000000-0005-0000-0000-000057600000}"/>
    <cellStyle name="Normal 5 2 4 2 4 7" xfId="27446" xr:uid="{00000000-0005-0000-0000-000058600000}"/>
    <cellStyle name="Normal 5 2 4 2 5" xfId="1170" xr:uid="{00000000-0005-0000-0000-000059600000}"/>
    <cellStyle name="Normal 5 2 4 2 5 2" xfId="10331" xr:uid="{00000000-0005-0000-0000-00005A600000}"/>
    <cellStyle name="Normal 5 2 4 2 5 2 2" xfId="22774" xr:uid="{00000000-0005-0000-0000-00005B600000}"/>
    <cellStyle name="Normal 5 2 4 2 5 2 2 2" xfId="47648" xr:uid="{00000000-0005-0000-0000-00005C600000}"/>
    <cellStyle name="Normal 5 2 4 2 5 2 3" xfId="35215" xr:uid="{00000000-0005-0000-0000-00005D600000}"/>
    <cellStyle name="Normal 5 2 4 2 5 3" xfId="5315" xr:uid="{00000000-0005-0000-0000-00005E600000}"/>
    <cellStyle name="Normal 5 2 4 2 5 3 2" xfId="17767" xr:uid="{00000000-0005-0000-0000-00005F600000}"/>
    <cellStyle name="Normal 5 2 4 2 5 3 2 2" xfId="42641" xr:uid="{00000000-0005-0000-0000-000060600000}"/>
    <cellStyle name="Normal 5 2 4 2 5 3 3" xfId="30208" xr:uid="{00000000-0005-0000-0000-000061600000}"/>
    <cellStyle name="Normal 5 2 4 2 5 4" xfId="13970" xr:uid="{00000000-0005-0000-0000-000062600000}"/>
    <cellStyle name="Normal 5 2 4 2 5 4 2" xfId="38844" xr:uid="{00000000-0005-0000-0000-000063600000}"/>
    <cellStyle name="Normal 5 2 4 2 5 5" xfId="26403" xr:uid="{00000000-0005-0000-0000-000064600000}"/>
    <cellStyle name="Normal 5 2 4 2 6" xfId="7892" xr:uid="{00000000-0005-0000-0000-000065600000}"/>
    <cellStyle name="Normal 5 2 4 2 6 2" xfId="20338" xr:uid="{00000000-0005-0000-0000-000066600000}"/>
    <cellStyle name="Normal 5 2 4 2 6 2 2" xfId="45212" xr:uid="{00000000-0005-0000-0000-000067600000}"/>
    <cellStyle name="Normal 5 2 4 2 6 3" xfId="32779" xr:uid="{00000000-0005-0000-0000-000068600000}"/>
    <cellStyle name="Normal 5 2 4 2 7" xfId="11785" xr:uid="{00000000-0005-0000-0000-000069600000}"/>
    <cellStyle name="Normal 5 2 4 2 7 2" xfId="24219" xr:uid="{00000000-0005-0000-0000-00006A600000}"/>
    <cellStyle name="Normal 5 2 4 2 7 2 2" xfId="49093" xr:uid="{00000000-0005-0000-0000-00006B600000}"/>
    <cellStyle name="Normal 5 2 4 2 7 3" xfId="36660" xr:uid="{00000000-0005-0000-0000-00006C600000}"/>
    <cellStyle name="Normal 5 2 4 2 8" xfId="6862" xr:uid="{00000000-0005-0000-0000-00006D600000}"/>
    <cellStyle name="Normal 5 2 4 2 8 2" xfId="19311" xr:uid="{00000000-0005-0000-0000-00006E600000}"/>
    <cellStyle name="Normal 5 2 4 2 8 2 2" xfId="44185" xr:uid="{00000000-0005-0000-0000-00006F600000}"/>
    <cellStyle name="Normal 5 2 4 2 8 3" xfId="31752" xr:uid="{00000000-0005-0000-0000-000070600000}"/>
    <cellStyle name="Normal 5 2 4 2 9" xfId="2813" xr:uid="{00000000-0005-0000-0000-000071600000}"/>
    <cellStyle name="Normal 5 2 4 2 9 2" xfId="15331" xr:uid="{00000000-0005-0000-0000-000072600000}"/>
    <cellStyle name="Normal 5 2 4 2 9 2 2" xfId="40205" xr:uid="{00000000-0005-0000-0000-000073600000}"/>
    <cellStyle name="Normal 5 2 4 2 9 3" xfId="27764" xr:uid="{00000000-0005-0000-0000-000074600000}"/>
    <cellStyle name="Normal 5 2 4 2_Degree data" xfId="2052" xr:uid="{00000000-0005-0000-0000-000075600000}"/>
    <cellStyle name="Normal 5 2 4 3" xfId="676" xr:uid="{00000000-0005-0000-0000-000076600000}"/>
    <cellStyle name="Normal 5 2 4 3 2" xfId="1448" xr:uid="{00000000-0005-0000-0000-000077600000}"/>
    <cellStyle name="Normal 5 2 4 3 2 2" xfId="9169" xr:uid="{00000000-0005-0000-0000-000078600000}"/>
    <cellStyle name="Normal 5 2 4 3 2 2 2" xfId="21612" xr:uid="{00000000-0005-0000-0000-000079600000}"/>
    <cellStyle name="Normal 5 2 4 3 2 2 2 2" xfId="46486" xr:uid="{00000000-0005-0000-0000-00007A600000}"/>
    <cellStyle name="Normal 5 2 4 3 2 2 3" xfId="34053" xr:uid="{00000000-0005-0000-0000-00007B600000}"/>
    <cellStyle name="Normal 5 2 4 3 2 3" xfId="4151" xr:uid="{00000000-0005-0000-0000-00007C600000}"/>
    <cellStyle name="Normal 5 2 4 3 2 3 2" xfId="16605" xr:uid="{00000000-0005-0000-0000-00007D600000}"/>
    <cellStyle name="Normal 5 2 4 3 2 3 2 2" xfId="41479" xr:uid="{00000000-0005-0000-0000-00007E600000}"/>
    <cellStyle name="Normal 5 2 4 3 2 3 3" xfId="29046" xr:uid="{00000000-0005-0000-0000-00007F600000}"/>
    <cellStyle name="Normal 5 2 4 3 2 4" xfId="14248" xr:uid="{00000000-0005-0000-0000-000080600000}"/>
    <cellStyle name="Normal 5 2 4 3 2 4 2" xfId="39122" xr:uid="{00000000-0005-0000-0000-000081600000}"/>
    <cellStyle name="Normal 5 2 4 3 2 5" xfId="26681" xr:uid="{00000000-0005-0000-0000-000082600000}"/>
    <cellStyle name="Normal 5 2 4 3 3" xfId="5593" xr:uid="{00000000-0005-0000-0000-000083600000}"/>
    <cellStyle name="Normal 5 2 4 3 3 2" xfId="10609" xr:uid="{00000000-0005-0000-0000-000084600000}"/>
    <cellStyle name="Normal 5 2 4 3 3 2 2" xfId="23052" xr:uid="{00000000-0005-0000-0000-000085600000}"/>
    <cellStyle name="Normal 5 2 4 3 3 2 2 2" xfId="47926" xr:uid="{00000000-0005-0000-0000-000086600000}"/>
    <cellStyle name="Normal 5 2 4 3 3 2 3" xfId="35493" xr:uid="{00000000-0005-0000-0000-000087600000}"/>
    <cellStyle name="Normal 5 2 4 3 3 3" xfId="18045" xr:uid="{00000000-0005-0000-0000-000088600000}"/>
    <cellStyle name="Normal 5 2 4 3 3 3 2" xfId="42919" xr:uid="{00000000-0005-0000-0000-000089600000}"/>
    <cellStyle name="Normal 5 2 4 3 3 4" xfId="30486" xr:uid="{00000000-0005-0000-0000-00008A600000}"/>
    <cellStyle name="Normal 5 2 4 3 4" xfId="8285" xr:uid="{00000000-0005-0000-0000-00008B600000}"/>
    <cellStyle name="Normal 5 2 4 3 4 2" xfId="20729" xr:uid="{00000000-0005-0000-0000-00008C600000}"/>
    <cellStyle name="Normal 5 2 4 3 4 2 2" xfId="45603" xr:uid="{00000000-0005-0000-0000-00008D600000}"/>
    <cellStyle name="Normal 5 2 4 3 4 3" xfId="33170" xr:uid="{00000000-0005-0000-0000-00008E600000}"/>
    <cellStyle name="Normal 5 2 4 3 5" xfId="12063" xr:uid="{00000000-0005-0000-0000-00008F600000}"/>
    <cellStyle name="Normal 5 2 4 3 5 2" xfId="24497" xr:uid="{00000000-0005-0000-0000-000090600000}"/>
    <cellStyle name="Normal 5 2 4 3 5 2 2" xfId="49371" xr:uid="{00000000-0005-0000-0000-000091600000}"/>
    <cellStyle name="Normal 5 2 4 3 5 3" xfId="36938" xr:uid="{00000000-0005-0000-0000-000092600000}"/>
    <cellStyle name="Normal 5 2 4 3 6" xfId="6762" xr:uid="{00000000-0005-0000-0000-000093600000}"/>
    <cellStyle name="Normal 5 2 4 3 6 2" xfId="19211" xr:uid="{00000000-0005-0000-0000-000094600000}"/>
    <cellStyle name="Normal 5 2 4 3 6 2 2" xfId="44085" xr:uid="{00000000-0005-0000-0000-000095600000}"/>
    <cellStyle name="Normal 5 2 4 3 6 3" xfId="31652" xr:uid="{00000000-0005-0000-0000-000096600000}"/>
    <cellStyle name="Normal 5 2 4 3 7" xfId="3216" xr:uid="{00000000-0005-0000-0000-000097600000}"/>
    <cellStyle name="Normal 5 2 4 3 7 2" xfId="15722" xr:uid="{00000000-0005-0000-0000-000098600000}"/>
    <cellStyle name="Normal 5 2 4 3 7 2 2" xfId="40596" xr:uid="{00000000-0005-0000-0000-000099600000}"/>
    <cellStyle name="Normal 5 2 4 3 7 3" xfId="28155" xr:uid="{00000000-0005-0000-0000-00009A600000}"/>
    <cellStyle name="Normal 5 2 4 3 8" xfId="13479" xr:uid="{00000000-0005-0000-0000-00009B600000}"/>
    <cellStyle name="Normal 5 2 4 3 8 2" xfId="38353" xr:uid="{00000000-0005-0000-0000-00009C600000}"/>
    <cellStyle name="Normal 5 2 4 3 9" xfId="25912" xr:uid="{00000000-0005-0000-0000-00009D600000}"/>
    <cellStyle name="Normal 5 2 4 4" xfId="1796" xr:uid="{00000000-0005-0000-0000-00009E600000}"/>
    <cellStyle name="Normal 5 2 4 4 2" xfId="4534" xr:uid="{00000000-0005-0000-0000-00009F600000}"/>
    <cellStyle name="Normal 5 2 4 4 2 2" xfId="9552" xr:uid="{00000000-0005-0000-0000-0000A0600000}"/>
    <cellStyle name="Normal 5 2 4 4 2 2 2" xfId="21995" xr:uid="{00000000-0005-0000-0000-0000A1600000}"/>
    <cellStyle name="Normal 5 2 4 4 2 2 2 2" xfId="46869" xr:uid="{00000000-0005-0000-0000-0000A2600000}"/>
    <cellStyle name="Normal 5 2 4 4 2 2 3" xfId="34436" xr:uid="{00000000-0005-0000-0000-0000A3600000}"/>
    <cellStyle name="Normal 5 2 4 4 2 3" xfId="16988" xr:uid="{00000000-0005-0000-0000-0000A4600000}"/>
    <cellStyle name="Normal 5 2 4 4 2 3 2" xfId="41862" xr:uid="{00000000-0005-0000-0000-0000A5600000}"/>
    <cellStyle name="Normal 5 2 4 4 2 4" xfId="29429" xr:uid="{00000000-0005-0000-0000-0000A6600000}"/>
    <cellStyle name="Normal 5 2 4 4 3" xfId="5942" xr:uid="{00000000-0005-0000-0000-0000A7600000}"/>
    <cellStyle name="Normal 5 2 4 4 3 2" xfId="10957" xr:uid="{00000000-0005-0000-0000-0000A8600000}"/>
    <cellStyle name="Normal 5 2 4 4 3 2 2" xfId="23400" xr:uid="{00000000-0005-0000-0000-0000A9600000}"/>
    <cellStyle name="Normal 5 2 4 4 3 2 2 2" xfId="48274" xr:uid="{00000000-0005-0000-0000-0000AA600000}"/>
    <cellStyle name="Normal 5 2 4 4 3 2 3" xfId="35841" xr:uid="{00000000-0005-0000-0000-0000AB600000}"/>
    <cellStyle name="Normal 5 2 4 4 3 3" xfId="18393" xr:uid="{00000000-0005-0000-0000-0000AC600000}"/>
    <cellStyle name="Normal 5 2 4 4 3 3 2" xfId="43267" xr:uid="{00000000-0005-0000-0000-0000AD600000}"/>
    <cellStyle name="Normal 5 2 4 4 3 4" xfId="30834" xr:uid="{00000000-0005-0000-0000-0000AE600000}"/>
    <cellStyle name="Normal 5 2 4 4 4" xfId="8668" xr:uid="{00000000-0005-0000-0000-0000AF600000}"/>
    <cellStyle name="Normal 5 2 4 4 4 2" xfId="21112" xr:uid="{00000000-0005-0000-0000-0000B0600000}"/>
    <cellStyle name="Normal 5 2 4 4 4 2 2" xfId="45986" xr:uid="{00000000-0005-0000-0000-0000B1600000}"/>
    <cellStyle name="Normal 5 2 4 4 4 3" xfId="33553" xr:uid="{00000000-0005-0000-0000-0000B2600000}"/>
    <cellStyle name="Normal 5 2 4 4 5" xfId="12411" xr:uid="{00000000-0005-0000-0000-0000B3600000}"/>
    <cellStyle name="Normal 5 2 4 4 5 2" xfId="24845" xr:uid="{00000000-0005-0000-0000-0000B4600000}"/>
    <cellStyle name="Normal 5 2 4 4 5 2 2" xfId="49719" xr:uid="{00000000-0005-0000-0000-0000B5600000}"/>
    <cellStyle name="Normal 5 2 4 4 5 3" xfId="37286" xr:uid="{00000000-0005-0000-0000-0000B6600000}"/>
    <cellStyle name="Normal 5 2 4 4 6" xfId="7145" xr:uid="{00000000-0005-0000-0000-0000B7600000}"/>
    <cellStyle name="Normal 5 2 4 4 6 2" xfId="19594" xr:uid="{00000000-0005-0000-0000-0000B8600000}"/>
    <cellStyle name="Normal 5 2 4 4 6 2 2" xfId="44468" xr:uid="{00000000-0005-0000-0000-0000B9600000}"/>
    <cellStyle name="Normal 5 2 4 4 6 3" xfId="32035" xr:uid="{00000000-0005-0000-0000-0000BA600000}"/>
    <cellStyle name="Normal 5 2 4 4 7" xfId="3599" xr:uid="{00000000-0005-0000-0000-0000BB600000}"/>
    <cellStyle name="Normal 5 2 4 4 7 2" xfId="16105" xr:uid="{00000000-0005-0000-0000-0000BC600000}"/>
    <cellStyle name="Normal 5 2 4 4 7 2 2" xfId="40979" xr:uid="{00000000-0005-0000-0000-0000BD600000}"/>
    <cellStyle name="Normal 5 2 4 4 7 3" xfId="28538" xr:uid="{00000000-0005-0000-0000-0000BE600000}"/>
    <cellStyle name="Normal 5 2 4 4 8" xfId="14596" xr:uid="{00000000-0005-0000-0000-0000BF600000}"/>
    <cellStyle name="Normal 5 2 4 4 8 2" xfId="39470" xr:uid="{00000000-0005-0000-0000-0000C0600000}"/>
    <cellStyle name="Normal 5 2 4 4 9" xfId="27029" xr:uid="{00000000-0005-0000-0000-0000C1600000}"/>
    <cellStyle name="Normal 5 2 4 5" xfId="2233" xr:uid="{00000000-0005-0000-0000-0000C2600000}"/>
    <cellStyle name="Normal 5 2 4 5 2" xfId="4861" xr:uid="{00000000-0005-0000-0000-0000C3600000}"/>
    <cellStyle name="Normal 5 2 4 5 2 2" xfId="9878" xr:uid="{00000000-0005-0000-0000-0000C4600000}"/>
    <cellStyle name="Normal 5 2 4 5 2 2 2" xfId="22321" xr:uid="{00000000-0005-0000-0000-0000C5600000}"/>
    <cellStyle name="Normal 5 2 4 5 2 2 2 2" xfId="47195" xr:uid="{00000000-0005-0000-0000-0000C6600000}"/>
    <cellStyle name="Normal 5 2 4 5 2 2 3" xfId="34762" xr:uid="{00000000-0005-0000-0000-0000C7600000}"/>
    <cellStyle name="Normal 5 2 4 5 2 3" xfId="17314" xr:uid="{00000000-0005-0000-0000-0000C8600000}"/>
    <cellStyle name="Normal 5 2 4 5 2 3 2" xfId="42188" xr:uid="{00000000-0005-0000-0000-0000C9600000}"/>
    <cellStyle name="Normal 5 2 4 5 2 4" xfId="29755" xr:uid="{00000000-0005-0000-0000-0000CA600000}"/>
    <cellStyle name="Normal 5 2 4 5 3" xfId="6259" xr:uid="{00000000-0005-0000-0000-0000CB600000}"/>
    <cellStyle name="Normal 5 2 4 5 3 2" xfId="11274" xr:uid="{00000000-0005-0000-0000-0000CC600000}"/>
    <cellStyle name="Normal 5 2 4 5 3 2 2" xfId="23717" xr:uid="{00000000-0005-0000-0000-0000CD600000}"/>
    <cellStyle name="Normal 5 2 4 5 3 2 2 2" xfId="48591" xr:uid="{00000000-0005-0000-0000-0000CE600000}"/>
    <cellStyle name="Normal 5 2 4 5 3 2 3" xfId="36158" xr:uid="{00000000-0005-0000-0000-0000CF600000}"/>
    <cellStyle name="Normal 5 2 4 5 3 3" xfId="18710" xr:uid="{00000000-0005-0000-0000-0000D0600000}"/>
    <cellStyle name="Normal 5 2 4 5 3 3 2" xfId="43584" xr:uid="{00000000-0005-0000-0000-0000D1600000}"/>
    <cellStyle name="Normal 5 2 4 5 3 4" xfId="31151" xr:uid="{00000000-0005-0000-0000-0000D2600000}"/>
    <cellStyle name="Normal 5 2 4 5 4" xfId="8066" xr:uid="{00000000-0005-0000-0000-0000D3600000}"/>
    <cellStyle name="Normal 5 2 4 5 4 2" xfId="20512" xr:uid="{00000000-0005-0000-0000-0000D4600000}"/>
    <cellStyle name="Normal 5 2 4 5 4 2 2" xfId="45386" xr:uid="{00000000-0005-0000-0000-0000D5600000}"/>
    <cellStyle name="Normal 5 2 4 5 4 3" xfId="32953" xr:uid="{00000000-0005-0000-0000-0000D6600000}"/>
    <cellStyle name="Normal 5 2 4 5 5" xfId="12728" xr:uid="{00000000-0005-0000-0000-0000D7600000}"/>
    <cellStyle name="Normal 5 2 4 5 5 2" xfId="25162" xr:uid="{00000000-0005-0000-0000-0000D8600000}"/>
    <cellStyle name="Normal 5 2 4 5 5 2 2" xfId="50036" xr:uid="{00000000-0005-0000-0000-0000D9600000}"/>
    <cellStyle name="Normal 5 2 4 5 5 3" xfId="37603" xr:uid="{00000000-0005-0000-0000-0000DA600000}"/>
    <cellStyle name="Normal 5 2 4 5 6" xfId="7472" xr:uid="{00000000-0005-0000-0000-0000DB600000}"/>
    <cellStyle name="Normal 5 2 4 5 6 2" xfId="19920" xr:uid="{00000000-0005-0000-0000-0000DC600000}"/>
    <cellStyle name="Normal 5 2 4 5 6 2 2" xfId="44794" xr:uid="{00000000-0005-0000-0000-0000DD600000}"/>
    <cellStyle name="Normal 5 2 4 5 6 3" xfId="32361" xr:uid="{00000000-0005-0000-0000-0000DE600000}"/>
    <cellStyle name="Normal 5 2 4 5 7" xfId="2995" xr:uid="{00000000-0005-0000-0000-0000DF600000}"/>
    <cellStyle name="Normal 5 2 4 5 7 2" xfId="15505" xr:uid="{00000000-0005-0000-0000-0000E0600000}"/>
    <cellStyle name="Normal 5 2 4 5 7 2 2" xfId="40379" xr:uid="{00000000-0005-0000-0000-0000E1600000}"/>
    <cellStyle name="Normal 5 2 4 5 7 3" xfId="27938" xr:uid="{00000000-0005-0000-0000-0000E2600000}"/>
    <cellStyle name="Normal 5 2 4 5 8" xfId="14913" xr:uid="{00000000-0005-0000-0000-0000E3600000}"/>
    <cellStyle name="Normal 5 2 4 5 8 2" xfId="39787" xr:uid="{00000000-0005-0000-0000-0000E4600000}"/>
    <cellStyle name="Normal 5 2 4 5 9" xfId="27346" xr:uid="{00000000-0005-0000-0000-0000E5600000}"/>
    <cellStyle name="Normal 5 2 4 6" xfId="1070" xr:uid="{00000000-0005-0000-0000-0000E6600000}"/>
    <cellStyle name="Normal 5 2 4 6 2" xfId="8952" xr:uid="{00000000-0005-0000-0000-0000E7600000}"/>
    <cellStyle name="Normal 5 2 4 6 2 2" xfId="21395" xr:uid="{00000000-0005-0000-0000-0000E8600000}"/>
    <cellStyle name="Normal 5 2 4 6 2 2 2" xfId="46269" xr:uid="{00000000-0005-0000-0000-0000E9600000}"/>
    <cellStyle name="Normal 5 2 4 6 2 3" xfId="33836" xr:uid="{00000000-0005-0000-0000-0000EA600000}"/>
    <cellStyle name="Normal 5 2 4 6 3" xfId="3934" xr:uid="{00000000-0005-0000-0000-0000EB600000}"/>
    <cellStyle name="Normal 5 2 4 6 3 2" xfId="16388" xr:uid="{00000000-0005-0000-0000-0000EC600000}"/>
    <cellStyle name="Normal 5 2 4 6 3 2 2" xfId="41262" xr:uid="{00000000-0005-0000-0000-0000ED600000}"/>
    <cellStyle name="Normal 5 2 4 6 3 3" xfId="28829" xr:uid="{00000000-0005-0000-0000-0000EE600000}"/>
    <cellStyle name="Normal 5 2 4 6 4" xfId="13870" xr:uid="{00000000-0005-0000-0000-0000EF600000}"/>
    <cellStyle name="Normal 5 2 4 6 4 2" xfId="38744" xr:uid="{00000000-0005-0000-0000-0000F0600000}"/>
    <cellStyle name="Normal 5 2 4 6 5" xfId="26303" xr:uid="{00000000-0005-0000-0000-0000F1600000}"/>
    <cellStyle name="Normal 5 2 4 7" xfId="5215" xr:uid="{00000000-0005-0000-0000-0000F2600000}"/>
    <cellStyle name="Normal 5 2 4 7 2" xfId="10231" xr:uid="{00000000-0005-0000-0000-0000F3600000}"/>
    <cellStyle name="Normal 5 2 4 7 2 2" xfId="22674" xr:uid="{00000000-0005-0000-0000-0000F4600000}"/>
    <cellStyle name="Normal 5 2 4 7 2 2 2" xfId="47548" xr:uid="{00000000-0005-0000-0000-0000F5600000}"/>
    <cellStyle name="Normal 5 2 4 7 2 3" xfId="35115" xr:uid="{00000000-0005-0000-0000-0000F6600000}"/>
    <cellStyle name="Normal 5 2 4 7 3" xfId="17667" xr:uid="{00000000-0005-0000-0000-0000F7600000}"/>
    <cellStyle name="Normal 5 2 4 7 3 2" xfId="42541" xr:uid="{00000000-0005-0000-0000-0000F8600000}"/>
    <cellStyle name="Normal 5 2 4 7 4" xfId="30108" xr:uid="{00000000-0005-0000-0000-0000F9600000}"/>
    <cellStyle name="Normal 5 2 4 8" xfId="7792" xr:uid="{00000000-0005-0000-0000-0000FA600000}"/>
    <cellStyle name="Normal 5 2 4 8 2" xfId="20238" xr:uid="{00000000-0005-0000-0000-0000FB600000}"/>
    <cellStyle name="Normal 5 2 4 8 2 2" xfId="45112" xr:uid="{00000000-0005-0000-0000-0000FC600000}"/>
    <cellStyle name="Normal 5 2 4 8 3" xfId="32679" xr:uid="{00000000-0005-0000-0000-0000FD600000}"/>
    <cellStyle name="Normal 5 2 4 9" xfId="11685" xr:uid="{00000000-0005-0000-0000-0000FE600000}"/>
    <cellStyle name="Normal 5 2 4 9 2" xfId="24119" xr:uid="{00000000-0005-0000-0000-0000FF600000}"/>
    <cellStyle name="Normal 5 2 4 9 2 2" xfId="48993" xr:uid="{00000000-0005-0000-0000-000000610000}"/>
    <cellStyle name="Normal 5 2 4 9 3" xfId="36560" xr:uid="{00000000-0005-0000-0000-000001610000}"/>
    <cellStyle name="Normal 5 2 4_Degree data" xfId="2053" xr:uid="{00000000-0005-0000-0000-000002610000}"/>
    <cellStyle name="Normal 5 2 5" xfId="255" xr:uid="{00000000-0005-0000-0000-000003610000}"/>
    <cellStyle name="Normal 5 2 5 10" xfId="6595" xr:uid="{00000000-0005-0000-0000-000004610000}"/>
    <cellStyle name="Normal 5 2 5 10 2" xfId="19044" xr:uid="{00000000-0005-0000-0000-000005610000}"/>
    <cellStyle name="Normal 5 2 5 10 2 2" xfId="43918" xr:uid="{00000000-0005-0000-0000-000006610000}"/>
    <cellStyle name="Normal 5 2 5 10 3" xfId="31485" xr:uid="{00000000-0005-0000-0000-000007610000}"/>
    <cellStyle name="Normal 5 2 5 11" xfId="2658" xr:uid="{00000000-0005-0000-0000-000008610000}"/>
    <cellStyle name="Normal 5 2 5 11 2" xfId="15176" xr:uid="{00000000-0005-0000-0000-000009610000}"/>
    <cellStyle name="Normal 5 2 5 11 2 2" xfId="40050" xr:uid="{00000000-0005-0000-0000-00000A610000}"/>
    <cellStyle name="Normal 5 2 5 11 3" xfId="27609" xr:uid="{00000000-0005-0000-0000-00000B610000}"/>
    <cellStyle name="Normal 5 2 5 12" xfId="13077" xr:uid="{00000000-0005-0000-0000-00000C610000}"/>
    <cellStyle name="Normal 5 2 5 12 2" xfId="37951" xr:uid="{00000000-0005-0000-0000-00000D610000}"/>
    <cellStyle name="Normal 5 2 5 13" xfId="25510" xr:uid="{00000000-0005-0000-0000-00000E610000}"/>
    <cellStyle name="Normal 5 2 5 2" xfId="469" xr:uid="{00000000-0005-0000-0000-00000F610000}"/>
    <cellStyle name="Normal 5 2 5 2 10" xfId="13282" xr:uid="{00000000-0005-0000-0000-000010610000}"/>
    <cellStyle name="Normal 5 2 5 2 10 2" xfId="38156" xr:uid="{00000000-0005-0000-0000-000011610000}"/>
    <cellStyle name="Normal 5 2 5 2 11" xfId="25715" xr:uid="{00000000-0005-0000-0000-000012610000}"/>
    <cellStyle name="Normal 5 2 5 2 2" xfId="828" xr:uid="{00000000-0005-0000-0000-000013610000}"/>
    <cellStyle name="Normal 5 2 5 2 2 2" xfId="1451" xr:uid="{00000000-0005-0000-0000-000014610000}"/>
    <cellStyle name="Normal 5 2 5 2 2 2 2" xfId="9555" xr:uid="{00000000-0005-0000-0000-000015610000}"/>
    <cellStyle name="Normal 5 2 5 2 2 2 2 2" xfId="21998" xr:uid="{00000000-0005-0000-0000-000016610000}"/>
    <cellStyle name="Normal 5 2 5 2 2 2 2 2 2" xfId="46872" xr:uid="{00000000-0005-0000-0000-000017610000}"/>
    <cellStyle name="Normal 5 2 5 2 2 2 2 3" xfId="34439" xr:uid="{00000000-0005-0000-0000-000018610000}"/>
    <cellStyle name="Normal 5 2 5 2 2 2 3" xfId="4537" xr:uid="{00000000-0005-0000-0000-000019610000}"/>
    <cellStyle name="Normal 5 2 5 2 2 2 3 2" xfId="16991" xr:uid="{00000000-0005-0000-0000-00001A610000}"/>
    <cellStyle name="Normal 5 2 5 2 2 2 3 2 2" xfId="41865" xr:uid="{00000000-0005-0000-0000-00001B610000}"/>
    <cellStyle name="Normal 5 2 5 2 2 2 3 3" xfId="29432" xr:uid="{00000000-0005-0000-0000-00001C610000}"/>
    <cellStyle name="Normal 5 2 5 2 2 2 4" xfId="14251" xr:uid="{00000000-0005-0000-0000-00001D610000}"/>
    <cellStyle name="Normal 5 2 5 2 2 2 4 2" xfId="39125" xr:uid="{00000000-0005-0000-0000-00001E610000}"/>
    <cellStyle name="Normal 5 2 5 2 2 2 5" xfId="26684" xr:uid="{00000000-0005-0000-0000-00001F610000}"/>
    <cellStyle name="Normal 5 2 5 2 2 3" xfId="5596" xr:uid="{00000000-0005-0000-0000-000020610000}"/>
    <cellStyle name="Normal 5 2 5 2 2 3 2" xfId="10612" xr:uid="{00000000-0005-0000-0000-000021610000}"/>
    <cellStyle name="Normal 5 2 5 2 2 3 2 2" xfId="23055" xr:uid="{00000000-0005-0000-0000-000022610000}"/>
    <cellStyle name="Normal 5 2 5 2 2 3 2 2 2" xfId="47929" xr:uid="{00000000-0005-0000-0000-000023610000}"/>
    <cellStyle name="Normal 5 2 5 2 2 3 2 3" xfId="35496" xr:uid="{00000000-0005-0000-0000-000024610000}"/>
    <cellStyle name="Normal 5 2 5 2 2 3 3" xfId="18048" xr:uid="{00000000-0005-0000-0000-000025610000}"/>
    <cellStyle name="Normal 5 2 5 2 2 3 3 2" xfId="42922" xr:uid="{00000000-0005-0000-0000-000026610000}"/>
    <cellStyle name="Normal 5 2 5 2 2 3 4" xfId="30489" xr:uid="{00000000-0005-0000-0000-000027610000}"/>
    <cellStyle name="Normal 5 2 5 2 2 4" xfId="8671" xr:uid="{00000000-0005-0000-0000-000028610000}"/>
    <cellStyle name="Normal 5 2 5 2 2 4 2" xfId="21115" xr:uid="{00000000-0005-0000-0000-000029610000}"/>
    <cellStyle name="Normal 5 2 5 2 2 4 2 2" xfId="45989" xr:uid="{00000000-0005-0000-0000-00002A610000}"/>
    <cellStyle name="Normal 5 2 5 2 2 4 3" xfId="33556" xr:uid="{00000000-0005-0000-0000-00002B610000}"/>
    <cellStyle name="Normal 5 2 5 2 2 5" xfId="12066" xr:uid="{00000000-0005-0000-0000-00002C610000}"/>
    <cellStyle name="Normal 5 2 5 2 2 5 2" xfId="24500" xr:uid="{00000000-0005-0000-0000-00002D610000}"/>
    <cellStyle name="Normal 5 2 5 2 2 5 2 2" xfId="49374" xr:uid="{00000000-0005-0000-0000-00002E610000}"/>
    <cellStyle name="Normal 5 2 5 2 2 5 3" xfId="36941" xr:uid="{00000000-0005-0000-0000-00002F610000}"/>
    <cellStyle name="Normal 5 2 5 2 2 6" xfId="7148" xr:uid="{00000000-0005-0000-0000-000030610000}"/>
    <cellStyle name="Normal 5 2 5 2 2 6 2" xfId="19597" xr:uid="{00000000-0005-0000-0000-000031610000}"/>
    <cellStyle name="Normal 5 2 5 2 2 6 2 2" xfId="44471" xr:uid="{00000000-0005-0000-0000-000032610000}"/>
    <cellStyle name="Normal 5 2 5 2 2 6 3" xfId="32038" xr:uid="{00000000-0005-0000-0000-000033610000}"/>
    <cellStyle name="Normal 5 2 5 2 2 7" xfId="3602" xr:uid="{00000000-0005-0000-0000-000034610000}"/>
    <cellStyle name="Normal 5 2 5 2 2 7 2" xfId="16108" xr:uid="{00000000-0005-0000-0000-000035610000}"/>
    <cellStyle name="Normal 5 2 5 2 2 7 2 2" xfId="40982" xr:uid="{00000000-0005-0000-0000-000036610000}"/>
    <cellStyle name="Normal 5 2 5 2 2 7 3" xfId="28541" xr:uid="{00000000-0005-0000-0000-000037610000}"/>
    <cellStyle name="Normal 5 2 5 2 2 8" xfId="13629" xr:uid="{00000000-0005-0000-0000-000038610000}"/>
    <cellStyle name="Normal 5 2 5 2 2 8 2" xfId="38503" xr:uid="{00000000-0005-0000-0000-000039610000}"/>
    <cellStyle name="Normal 5 2 5 2 2 9" xfId="26062" xr:uid="{00000000-0005-0000-0000-00003A610000}"/>
    <cellStyle name="Normal 5 2 5 2 3" xfId="1799" xr:uid="{00000000-0005-0000-0000-00003B610000}"/>
    <cellStyle name="Normal 5 2 5 2 3 2" xfId="5011" xr:uid="{00000000-0005-0000-0000-00003C610000}"/>
    <cellStyle name="Normal 5 2 5 2 3 2 2" xfId="10028" xr:uid="{00000000-0005-0000-0000-00003D610000}"/>
    <cellStyle name="Normal 5 2 5 2 3 2 2 2" xfId="22471" xr:uid="{00000000-0005-0000-0000-00003E610000}"/>
    <cellStyle name="Normal 5 2 5 2 3 2 2 2 2" xfId="47345" xr:uid="{00000000-0005-0000-0000-00003F610000}"/>
    <cellStyle name="Normal 5 2 5 2 3 2 2 3" xfId="34912" xr:uid="{00000000-0005-0000-0000-000040610000}"/>
    <cellStyle name="Normal 5 2 5 2 3 2 3" xfId="17464" xr:uid="{00000000-0005-0000-0000-000041610000}"/>
    <cellStyle name="Normal 5 2 5 2 3 2 3 2" xfId="42338" xr:uid="{00000000-0005-0000-0000-000042610000}"/>
    <cellStyle name="Normal 5 2 5 2 3 2 4" xfId="29905" xr:uid="{00000000-0005-0000-0000-000043610000}"/>
    <cellStyle name="Normal 5 2 5 2 3 3" xfId="5945" xr:uid="{00000000-0005-0000-0000-000044610000}"/>
    <cellStyle name="Normal 5 2 5 2 3 3 2" xfId="10960" xr:uid="{00000000-0005-0000-0000-000045610000}"/>
    <cellStyle name="Normal 5 2 5 2 3 3 2 2" xfId="23403" xr:uid="{00000000-0005-0000-0000-000046610000}"/>
    <cellStyle name="Normal 5 2 5 2 3 3 2 2 2" xfId="48277" xr:uid="{00000000-0005-0000-0000-000047610000}"/>
    <cellStyle name="Normal 5 2 5 2 3 3 2 3" xfId="35844" xr:uid="{00000000-0005-0000-0000-000048610000}"/>
    <cellStyle name="Normal 5 2 5 2 3 3 3" xfId="18396" xr:uid="{00000000-0005-0000-0000-000049610000}"/>
    <cellStyle name="Normal 5 2 5 2 3 3 3 2" xfId="43270" xr:uid="{00000000-0005-0000-0000-00004A610000}"/>
    <cellStyle name="Normal 5 2 5 2 3 3 4" xfId="30837" xr:uid="{00000000-0005-0000-0000-00004B610000}"/>
    <cellStyle name="Normal 5 2 5 2 3 4" xfId="8435" xr:uid="{00000000-0005-0000-0000-00004C610000}"/>
    <cellStyle name="Normal 5 2 5 2 3 4 2" xfId="20879" xr:uid="{00000000-0005-0000-0000-00004D610000}"/>
    <cellStyle name="Normal 5 2 5 2 3 4 2 2" xfId="45753" xr:uid="{00000000-0005-0000-0000-00004E610000}"/>
    <cellStyle name="Normal 5 2 5 2 3 4 3" xfId="33320" xr:uid="{00000000-0005-0000-0000-00004F610000}"/>
    <cellStyle name="Normal 5 2 5 2 3 5" xfId="12414" xr:uid="{00000000-0005-0000-0000-000050610000}"/>
    <cellStyle name="Normal 5 2 5 2 3 5 2" xfId="24848" xr:uid="{00000000-0005-0000-0000-000051610000}"/>
    <cellStyle name="Normal 5 2 5 2 3 5 2 2" xfId="49722" xr:uid="{00000000-0005-0000-0000-000052610000}"/>
    <cellStyle name="Normal 5 2 5 2 3 5 3" xfId="37289" xr:uid="{00000000-0005-0000-0000-000053610000}"/>
    <cellStyle name="Normal 5 2 5 2 3 6" xfId="7622" xr:uid="{00000000-0005-0000-0000-000054610000}"/>
    <cellStyle name="Normal 5 2 5 2 3 6 2" xfId="20070" xr:uid="{00000000-0005-0000-0000-000055610000}"/>
    <cellStyle name="Normal 5 2 5 2 3 6 2 2" xfId="44944" xr:uid="{00000000-0005-0000-0000-000056610000}"/>
    <cellStyle name="Normal 5 2 5 2 3 6 3" xfId="32511" xr:uid="{00000000-0005-0000-0000-000057610000}"/>
    <cellStyle name="Normal 5 2 5 2 3 7" xfId="3366" xr:uid="{00000000-0005-0000-0000-000058610000}"/>
    <cellStyle name="Normal 5 2 5 2 3 7 2" xfId="15872" xr:uid="{00000000-0005-0000-0000-000059610000}"/>
    <cellStyle name="Normal 5 2 5 2 3 7 2 2" xfId="40746" xr:uid="{00000000-0005-0000-0000-00005A610000}"/>
    <cellStyle name="Normal 5 2 5 2 3 7 3" xfId="28305" xr:uid="{00000000-0005-0000-0000-00005B610000}"/>
    <cellStyle name="Normal 5 2 5 2 3 8" xfId="14599" xr:uid="{00000000-0005-0000-0000-00005C610000}"/>
    <cellStyle name="Normal 5 2 5 2 3 8 2" xfId="39473" xr:uid="{00000000-0005-0000-0000-00005D610000}"/>
    <cellStyle name="Normal 5 2 5 2 3 9" xfId="27032" xr:uid="{00000000-0005-0000-0000-00005E610000}"/>
    <cellStyle name="Normal 5 2 5 2 4" xfId="2387" xr:uid="{00000000-0005-0000-0000-00005F610000}"/>
    <cellStyle name="Normal 5 2 5 2 4 2" xfId="6409" xr:uid="{00000000-0005-0000-0000-000060610000}"/>
    <cellStyle name="Normal 5 2 5 2 4 2 2" xfId="11424" xr:uid="{00000000-0005-0000-0000-000061610000}"/>
    <cellStyle name="Normal 5 2 5 2 4 2 2 2" xfId="23867" xr:uid="{00000000-0005-0000-0000-000062610000}"/>
    <cellStyle name="Normal 5 2 5 2 4 2 2 2 2" xfId="48741" xr:uid="{00000000-0005-0000-0000-000063610000}"/>
    <cellStyle name="Normal 5 2 5 2 4 2 2 3" xfId="36308" xr:uid="{00000000-0005-0000-0000-000064610000}"/>
    <cellStyle name="Normal 5 2 5 2 4 2 3" xfId="18860" xr:uid="{00000000-0005-0000-0000-000065610000}"/>
    <cellStyle name="Normal 5 2 5 2 4 2 3 2" xfId="43734" xr:uid="{00000000-0005-0000-0000-000066610000}"/>
    <cellStyle name="Normal 5 2 5 2 4 2 4" xfId="31301" xr:uid="{00000000-0005-0000-0000-000067610000}"/>
    <cellStyle name="Normal 5 2 5 2 4 3" xfId="12878" xr:uid="{00000000-0005-0000-0000-000068610000}"/>
    <cellStyle name="Normal 5 2 5 2 4 3 2" xfId="25312" xr:uid="{00000000-0005-0000-0000-000069610000}"/>
    <cellStyle name="Normal 5 2 5 2 4 3 2 2" xfId="50186" xr:uid="{00000000-0005-0000-0000-00006A610000}"/>
    <cellStyle name="Normal 5 2 5 2 4 3 3" xfId="37753" xr:uid="{00000000-0005-0000-0000-00006B610000}"/>
    <cellStyle name="Normal 5 2 5 2 4 4" xfId="9319" xr:uid="{00000000-0005-0000-0000-00006C610000}"/>
    <cellStyle name="Normal 5 2 5 2 4 4 2" xfId="21762" xr:uid="{00000000-0005-0000-0000-00006D610000}"/>
    <cellStyle name="Normal 5 2 5 2 4 4 2 2" xfId="46636" xr:uid="{00000000-0005-0000-0000-00006E610000}"/>
    <cellStyle name="Normal 5 2 5 2 4 4 3" xfId="34203" xr:uid="{00000000-0005-0000-0000-00006F610000}"/>
    <cellStyle name="Normal 5 2 5 2 4 5" xfId="4301" xr:uid="{00000000-0005-0000-0000-000070610000}"/>
    <cellStyle name="Normal 5 2 5 2 4 5 2" xfId="16755" xr:uid="{00000000-0005-0000-0000-000071610000}"/>
    <cellStyle name="Normal 5 2 5 2 4 5 2 2" xfId="41629" xr:uid="{00000000-0005-0000-0000-000072610000}"/>
    <cellStyle name="Normal 5 2 5 2 4 5 3" xfId="29196" xr:uid="{00000000-0005-0000-0000-000073610000}"/>
    <cellStyle name="Normal 5 2 5 2 4 6" xfId="15063" xr:uid="{00000000-0005-0000-0000-000074610000}"/>
    <cellStyle name="Normal 5 2 5 2 4 6 2" xfId="39937" xr:uid="{00000000-0005-0000-0000-000075610000}"/>
    <cellStyle name="Normal 5 2 5 2 4 7" xfId="27496" xr:uid="{00000000-0005-0000-0000-000076610000}"/>
    <cellStyle name="Normal 5 2 5 2 5" xfId="1220" xr:uid="{00000000-0005-0000-0000-000077610000}"/>
    <cellStyle name="Normal 5 2 5 2 5 2" xfId="10381" xr:uid="{00000000-0005-0000-0000-000078610000}"/>
    <cellStyle name="Normal 5 2 5 2 5 2 2" xfId="22824" xr:uid="{00000000-0005-0000-0000-000079610000}"/>
    <cellStyle name="Normal 5 2 5 2 5 2 2 2" xfId="47698" xr:uid="{00000000-0005-0000-0000-00007A610000}"/>
    <cellStyle name="Normal 5 2 5 2 5 2 3" xfId="35265" xr:uid="{00000000-0005-0000-0000-00007B610000}"/>
    <cellStyle name="Normal 5 2 5 2 5 3" xfId="5365" xr:uid="{00000000-0005-0000-0000-00007C610000}"/>
    <cellStyle name="Normal 5 2 5 2 5 3 2" xfId="17817" xr:uid="{00000000-0005-0000-0000-00007D610000}"/>
    <cellStyle name="Normal 5 2 5 2 5 3 2 2" xfId="42691" xr:uid="{00000000-0005-0000-0000-00007E610000}"/>
    <cellStyle name="Normal 5 2 5 2 5 3 3" xfId="30258" xr:uid="{00000000-0005-0000-0000-00007F610000}"/>
    <cellStyle name="Normal 5 2 5 2 5 4" xfId="14020" xr:uid="{00000000-0005-0000-0000-000080610000}"/>
    <cellStyle name="Normal 5 2 5 2 5 4 2" xfId="38894" xr:uid="{00000000-0005-0000-0000-000081610000}"/>
    <cellStyle name="Normal 5 2 5 2 5 5" xfId="26453" xr:uid="{00000000-0005-0000-0000-000082610000}"/>
    <cellStyle name="Normal 5 2 5 2 6" xfId="7942" xr:uid="{00000000-0005-0000-0000-000083610000}"/>
    <cellStyle name="Normal 5 2 5 2 6 2" xfId="20388" xr:uid="{00000000-0005-0000-0000-000084610000}"/>
    <cellStyle name="Normal 5 2 5 2 6 2 2" xfId="45262" xr:uid="{00000000-0005-0000-0000-000085610000}"/>
    <cellStyle name="Normal 5 2 5 2 6 3" xfId="32829" xr:uid="{00000000-0005-0000-0000-000086610000}"/>
    <cellStyle name="Normal 5 2 5 2 7" xfId="11835" xr:uid="{00000000-0005-0000-0000-000087610000}"/>
    <cellStyle name="Normal 5 2 5 2 7 2" xfId="24269" xr:uid="{00000000-0005-0000-0000-000088610000}"/>
    <cellStyle name="Normal 5 2 5 2 7 2 2" xfId="49143" xr:uid="{00000000-0005-0000-0000-000089610000}"/>
    <cellStyle name="Normal 5 2 5 2 7 3" xfId="36710" xr:uid="{00000000-0005-0000-0000-00008A610000}"/>
    <cellStyle name="Normal 5 2 5 2 8" xfId="6912" xr:uid="{00000000-0005-0000-0000-00008B610000}"/>
    <cellStyle name="Normal 5 2 5 2 8 2" xfId="19361" xr:uid="{00000000-0005-0000-0000-00008C610000}"/>
    <cellStyle name="Normal 5 2 5 2 8 2 2" xfId="44235" xr:uid="{00000000-0005-0000-0000-00008D610000}"/>
    <cellStyle name="Normal 5 2 5 2 8 3" xfId="31802" xr:uid="{00000000-0005-0000-0000-00008E610000}"/>
    <cellStyle name="Normal 5 2 5 2 9" xfId="2863" xr:uid="{00000000-0005-0000-0000-00008F610000}"/>
    <cellStyle name="Normal 5 2 5 2 9 2" xfId="15381" xr:uid="{00000000-0005-0000-0000-000090610000}"/>
    <cellStyle name="Normal 5 2 5 2 9 2 2" xfId="40255" xr:uid="{00000000-0005-0000-0000-000091610000}"/>
    <cellStyle name="Normal 5 2 5 2 9 3" xfId="27814" xr:uid="{00000000-0005-0000-0000-000092610000}"/>
    <cellStyle name="Normal 5 2 5 2_Degree data" xfId="2022" xr:uid="{00000000-0005-0000-0000-000093610000}"/>
    <cellStyle name="Normal 5 2 5 3" xfId="617" xr:uid="{00000000-0005-0000-0000-000094610000}"/>
    <cellStyle name="Normal 5 2 5 3 2" xfId="1450" xr:uid="{00000000-0005-0000-0000-000095610000}"/>
    <cellStyle name="Normal 5 2 5 3 2 2" xfId="9114" xr:uid="{00000000-0005-0000-0000-000096610000}"/>
    <cellStyle name="Normal 5 2 5 3 2 2 2" xfId="21557" xr:uid="{00000000-0005-0000-0000-000097610000}"/>
    <cellStyle name="Normal 5 2 5 3 2 2 2 2" xfId="46431" xr:uid="{00000000-0005-0000-0000-000098610000}"/>
    <cellStyle name="Normal 5 2 5 3 2 2 3" xfId="33998" xr:uid="{00000000-0005-0000-0000-000099610000}"/>
    <cellStyle name="Normal 5 2 5 3 2 3" xfId="4096" xr:uid="{00000000-0005-0000-0000-00009A610000}"/>
    <cellStyle name="Normal 5 2 5 3 2 3 2" xfId="16550" xr:uid="{00000000-0005-0000-0000-00009B610000}"/>
    <cellStyle name="Normal 5 2 5 3 2 3 2 2" xfId="41424" xr:uid="{00000000-0005-0000-0000-00009C610000}"/>
    <cellStyle name="Normal 5 2 5 3 2 3 3" xfId="28991" xr:uid="{00000000-0005-0000-0000-00009D610000}"/>
    <cellStyle name="Normal 5 2 5 3 2 4" xfId="14250" xr:uid="{00000000-0005-0000-0000-00009E610000}"/>
    <cellStyle name="Normal 5 2 5 3 2 4 2" xfId="39124" xr:uid="{00000000-0005-0000-0000-00009F610000}"/>
    <cellStyle name="Normal 5 2 5 3 2 5" xfId="26683" xr:uid="{00000000-0005-0000-0000-0000A0610000}"/>
    <cellStyle name="Normal 5 2 5 3 3" xfId="5595" xr:uid="{00000000-0005-0000-0000-0000A1610000}"/>
    <cellStyle name="Normal 5 2 5 3 3 2" xfId="10611" xr:uid="{00000000-0005-0000-0000-0000A2610000}"/>
    <cellStyle name="Normal 5 2 5 3 3 2 2" xfId="23054" xr:uid="{00000000-0005-0000-0000-0000A3610000}"/>
    <cellStyle name="Normal 5 2 5 3 3 2 2 2" xfId="47928" xr:uid="{00000000-0005-0000-0000-0000A4610000}"/>
    <cellStyle name="Normal 5 2 5 3 3 2 3" xfId="35495" xr:uid="{00000000-0005-0000-0000-0000A5610000}"/>
    <cellStyle name="Normal 5 2 5 3 3 3" xfId="18047" xr:uid="{00000000-0005-0000-0000-0000A6610000}"/>
    <cellStyle name="Normal 5 2 5 3 3 3 2" xfId="42921" xr:uid="{00000000-0005-0000-0000-0000A7610000}"/>
    <cellStyle name="Normal 5 2 5 3 3 4" xfId="30488" xr:uid="{00000000-0005-0000-0000-0000A8610000}"/>
    <cellStyle name="Normal 5 2 5 3 4" xfId="8230" xr:uid="{00000000-0005-0000-0000-0000A9610000}"/>
    <cellStyle name="Normal 5 2 5 3 4 2" xfId="20674" xr:uid="{00000000-0005-0000-0000-0000AA610000}"/>
    <cellStyle name="Normal 5 2 5 3 4 2 2" xfId="45548" xr:uid="{00000000-0005-0000-0000-0000AB610000}"/>
    <cellStyle name="Normal 5 2 5 3 4 3" xfId="33115" xr:uid="{00000000-0005-0000-0000-0000AC610000}"/>
    <cellStyle name="Normal 5 2 5 3 5" xfId="12065" xr:uid="{00000000-0005-0000-0000-0000AD610000}"/>
    <cellStyle name="Normal 5 2 5 3 5 2" xfId="24499" xr:uid="{00000000-0005-0000-0000-0000AE610000}"/>
    <cellStyle name="Normal 5 2 5 3 5 2 2" xfId="49373" xr:uid="{00000000-0005-0000-0000-0000AF610000}"/>
    <cellStyle name="Normal 5 2 5 3 5 3" xfId="36940" xr:uid="{00000000-0005-0000-0000-0000B0610000}"/>
    <cellStyle name="Normal 5 2 5 3 6" xfId="6707" xr:uid="{00000000-0005-0000-0000-0000B1610000}"/>
    <cellStyle name="Normal 5 2 5 3 6 2" xfId="19156" xr:uid="{00000000-0005-0000-0000-0000B2610000}"/>
    <cellStyle name="Normal 5 2 5 3 6 2 2" xfId="44030" xr:uid="{00000000-0005-0000-0000-0000B3610000}"/>
    <cellStyle name="Normal 5 2 5 3 6 3" xfId="31597" xr:uid="{00000000-0005-0000-0000-0000B4610000}"/>
    <cellStyle name="Normal 5 2 5 3 7" xfId="3161" xr:uid="{00000000-0005-0000-0000-0000B5610000}"/>
    <cellStyle name="Normal 5 2 5 3 7 2" xfId="15667" xr:uid="{00000000-0005-0000-0000-0000B6610000}"/>
    <cellStyle name="Normal 5 2 5 3 7 2 2" xfId="40541" xr:uid="{00000000-0005-0000-0000-0000B7610000}"/>
    <cellStyle name="Normal 5 2 5 3 7 3" xfId="28100" xr:uid="{00000000-0005-0000-0000-0000B8610000}"/>
    <cellStyle name="Normal 5 2 5 3 8" xfId="13424" xr:uid="{00000000-0005-0000-0000-0000B9610000}"/>
    <cellStyle name="Normal 5 2 5 3 8 2" xfId="38298" xr:uid="{00000000-0005-0000-0000-0000BA610000}"/>
    <cellStyle name="Normal 5 2 5 3 9" xfId="25857" xr:uid="{00000000-0005-0000-0000-0000BB610000}"/>
    <cellStyle name="Normal 5 2 5 4" xfId="1798" xr:uid="{00000000-0005-0000-0000-0000BC610000}"/>
    <cellStyle name="Normal 5 2 5 4 2" xfId="4536" xr:uid="{00000000-0005-0000-0000-0000BD610000}"/>
    <cellStyle name="Normal 5 2 5 4 2 2" xfId="9554" xr:uid="{00000000-0005-0000-0000-0000BE610000}"/>
    <cellStyle name="Normal 5 2 5 4 2 2 2" xfId="21997" xr:uid="{00000000-0005-0000-0000-0000BF610000}"/>
    <cellStyle name="Normal 5 2 5 4 2 2 2 2" xfId="46871" xr:uid="{00000000-0005-0000-0000-0000C0610000}"/>
    <cellStyle name="Normal 5 2 5 4 2 2 3" xfId="34438" xr:uid="{00000000-0005-0000-0000-0000C1610000}"/>
    <cellStyle name="Normal 5 2 5 4 2 3" xfId="16990" xr:uid="{00000000-0005-0000-0000-0000C2610000}"/>
    <cellStyle name="Normal 5 2 5 4 2 3 2" xfId="41864" xr:uid="{00000000-0005-0000-0000-0000C3610000}"/>
    <cellStyle name="Normal 5 2 5 4 2 4" xfId="29431" xr:uid="{00000000-0005-0000-0000-0000C4610000}"/>
    <cellStyle name="Normal 5 2 5 4 3" xfId="5944" xr:uid="{00000000-0005-0000-0000-0000C5610000}"/>
    <cellStyle name="Normal 5 2 5 4 3 2" xfId="10959" xr:uid="{00000000-0005-0000-0000-0000C6610000}"/>
    <cellStyle name="Normal 5 2 5 4 3 2 2" xfId="23402" xr:uid="{00000000-0005-0000-0000-0000C7610000}"/>
    <cellStyle name="Normal 5 2 5 4 3 2 2 2" xfId="48276" xr:uid="{00000000-0005-0000-0000-0000C8610000}"/>
    <cellStyle name="Normal 5 2 5 4 3 2 3" xfId="35843" xr:uid="{00000000-0005-0000-0000-0000C9610000}"/>
    <cellStyle name="Normal 5 2 5 4 3 3" xfId="18395" xr:uid="{00000000-0005-0000-0000-0000CA610000}"/>
    <cellStyle name="Normal 5 2 5 4 3 3 2" xfId="43269" xr:uid="{00000000-0005-0000-0000-0000CB610000}"/>
    <cellStyle name="Normal 5 2 5 4 3 4" xfId="30836" xr:uid="{00000000-0005-0000-0000-0000CC610000}"/>
    <cellStyle name="Normal 5 2 5 4 4" xfId="8670" xr:uid="{00000000-0005-0000-0000-0000CD610000}"/>
    <cellStyle name="Normal 5 2 5 4 4 2" xfId="21114" xr:uid="{00000000-0005-0000-0000-0000CE610000}"/>
    <cellStyle name="Normal 5 2 5 4 4 2 2" xfId="45988" xr:uid="{00000000-0005-0000-0000-0000CF610000}"/>
    <cellStyle name="Normal 5 2 5 4 4 3" xfId="33555" xr:uid="{00000000-0005-0000-0000-0000D0610000}"/>
    <cellStyle name="Normal 5 2 5 4 5" xfId="12413" xr:uid="{00000000-0005-0000-0000-0000D1610000}"/>
    <cellStyle name="Normal 5 2 5 4 5 2" xfId="24847" xr:uid="{00000000-0005-0000-0000-0000D2610000}"/>
    <cellStyle name="Normal 5 2 5 4 5 2 2" xfId="49721" xr:uid="{00000000-0005-0000-0000-0000D3610000}"/>
    <cellStyle name="Normal 5 2 5 4 5 3" xfId="37288" xr:uid="{00000000-0005-0000-0000-0000D4610000}"/>
    <cellStyle name="Normal 5 2 5 4 6" xfId="7147" xr:uid="{00000000-0005-0000-0000-0000D5610000}"/>
    <cellStyle name="Normal 5 2 5 4 6 2" xfId="19596" xr:uid="{00000000-0005-0000-0000-0000D6610000}"/>
    <cellStyle name="Normal 5 2 5 4 6 2 2" xfId="44470" xr:uid="{00000000-0005-0000-0000-0000D7610000}"/>
    <cellStyle name="Normal 5 2 5 4 6 3" xfId="32037" xr:uid="{00000000-0005-0000-0000-0000D8610000}"/>
    <cellStyle name="Normal 5 2 5 4 7" xfId="3601" xr:uid="{00000000-0005-0000-0000-0000D9610000}"/>
    <cellStyle name="Normal 5 2 5 4 7 2" xfId="16107" xr:uid="{00000000-0005-0000-0000-0000DA610000}"/>
    <cellStyle name="Normal 5 2 5 4 7 2 2" xfId="40981" xr:uid="{00000000-0005-0000-0000-0000DB610000}"/>
    <cellStyle name="Normal 5 2 5 4 7 3" xfId="28540" xr:uid="{00000000-0005-0000-0000-0000DC610000}"/>
    <cellStyle name="Normal 5 2 5 4 8" xfId="14598" xr:uid="{00000000-0005-0000-0000-0000DD610000}"/>
    <cellStyle name="Normal 5 2 5 4 8 2" xfId="39472" xr:uid="{00000000-0005-0000-0000-0000DE610000}"/>
    <cellStyle name="Normal 5 2 5 4 9" xfId="27031" xr:uid="{00000000-0005-0000-0000-0000DF610000}"/>
    <cellStyle name="Normal 5 2 5 5" xfId="2173" xr:uid="{00000000-0005-0000-0000-0000E0610000}"/>
    <cellStyle name="Normal 5 2 5 5 2" xfId="4806" xr:uid="{00000000-0005-0000-0000-0000E1610000}"/>
    <cellStyle name="Normal 5 2 5 5 2 2" xfId="9823" xr:uid="{00000000-0005-0000-0000-0000E2610000}"/>
    <cellStyle name="Normal 5 2 5 5 2 2 2" xfId="22266" xr:uid="{00000000-0005-0000-0000-0000E3610000}"/>
    <cellStyle name="Normal 5 2 5 5 2 2 2 2" xfId="47140" xr:uid="{00000000-0005-0000-0000-0000E4610000}"/>
    <cellStyle name="Normal 5 2 5 5 2 2 3" xfId="34707" xr:uid="{00000000-0005-0000-0000-0000E5610000}"/>
    <cellStyle name="Normal 5 2 5 5 2 3" xfId="17259" xr:uid="{00000000-0005-0000-0000-0000E6610000}"/>
    <cellStyle name="Normal 5 2 5 5 2 3 2" xfId="42133" xr:uid="{00000000-0005-0000-0000-0000E7610000}"/>
    <cellStyle name="Normal 5 2 5 5 2 4" xfId="29700" xr:uid="{00000000-0005-0000-0000-0000E8610000}"/>
    <cellStyle name="Normal 5 2 5 5 3" xfId="6204" xr:uid="{00000000-0005-0000-0000-0000E9610000}"/>
    <cellStyle name="Normal 5 2 5 5 3 2" xfId="11219" xr:uid="{00000000-0005-0000-0000-0000EA610000}"/>
    <cellStyle name="Normal 5 2 5 5 3 2 2" xfId="23662" xr:uid="{00000000-0005-0000-0000-0000EB610000}"/>
    <cellStyle name="Normal 5 2 5 5 3 2 2 2" xfId="48536" xr:uid="{00000000-0005-0000-0000-0000EC610000}"/>
    <cellStyle name="Normal 5 2 5 5 3 2 3" xfId="36103" xr:uid="{00000000-0005-0000-0000-0000ED610000}"/>
    <cellStyle name="Normal 5 2 5 5 3 3" xfId="18655" xr:uid="{00000000-0005-0000-0000-0000EE610000}"/>
    <cellStyle name="Normal 5 2 5 5 3 3 2" xfId="43529" xr:uid="{00000000-0005-0000-0000-0000EF610000}"/>
    <cellStyle name="Normal 5 2 5 5 3 4" xfId="31096" xr:uid="{00000000-0005-0000-0000-0000F0610000}"/>
    <cellStyle name="Normal 5 2 5 5 4" xfId="8116" xr:uid="{00000000-0005-0000-0000-0000F1610000}"/>
    <cellStyle name="Normal 5 2 5 5 4 2" xfId="20562" xr:uid="{00000000-0005-0000-0000-0000F2610000}"/>
    <cellStyle name="Normal 5 2 5 5 4 2 2" xfId="45436" xr:uid="{00000000-0005-0000-0000-0000F3610000}"/>
    <cellStyle name="Normal 5 2 5 5 4 3" xfId="33003" xr:uid="{00000000-0005-0000-0000-0000F4610000}"/>
    <cellStyle name="Normal 5 2 5 5 5" xfId="12673" xr:uid="{00000000-0005-0000-0000-0000F5610000}"/>
    <cellStyle name="Normal 5 2 5 5 5 2" xfId="25107" xr:uid="{00000000-0005-0000-0000-0000F6610000}"/>
    <cellStyle name="Normal 5 2 5 5 5 2 2" xfId="49981" xr:uid="{00000000-0005-0000-0000-0000F7610000}"/>
    <cellStyle name="Normal 5 2 5 5 5 3" xfId="37548" xr:uid="{00000000-0005-0000-0000-0000F8610000}"/>
    <cellStyle name="Normal 5 2 5 5 6" xfId="7417" xr:uid="{00000000-0005-0000-0000-0000F9610000}"/>
    <cellStyle name="Normal 5 2 5 5 6 2" xfId="19865" xr:uid="{00000000-0005-0000-0000-0000FA610000}"/>
    <cellStyle name="Normal 5 2 5 5 6 2 2" xfId="44739" xr:uid="{00000000-0005-0000-0000-0000FB610000}"/>
    <cellStyle name="Normal 5 2 5 5 6 3" xfId="32306" xr:uid="{00000000-0005-0000-0000-0000FC610000}"/>
    <cellStyle name="Normal 5 2 5 5 7" xfId="3046" xr:uid="{00000000-0005-0000-0000-0000FD610000}"/>
    <cellStyle name="Normal 5 2 5 5 7 2" xfId="15555" xr:uid="{00000000-0005-0000-0000-0000FE610000}"/>
    <cellStyle name="Normal 5 2 5 5 7 2 2" xfId="40429" xr:uid="{00000000-0005-0000-0000-0000FF610000}"/>
    <cellStyle name="Normal 5 2 5 5 7 3" xfId="27988" xr:uid="{00000000-0005-0000-0000-000000620000}"/>
    <cellStyle name="Normal 5 2 5 5 8" xfId="14858" xr:uid="{00000000-0005-0000-0000-000001620000}"/>
    <cellStyle name="Normal 5 2 5 5 8 2" xfId="39732" xr:uid="{00000000-0005-0000-0000-000002620000}"/>
    <cellStyle name="Normal 5 2 5 5 9" xfId="27291" xr:uid="{00000000-0005-0000-0000-000003620000}"/>
    <cellStyle name="Normal 5 2 5 6" xfId="1015" xr:uid="{00000000-0005-0000-0000-000004620000}"/>
    <cellStyle name="Normal 5 2 5 6 2" xfId="9002" xr:uid="{00000000-0005-0000-0000-000005620000}"/>
    <cellStyle name="Normal 5 2 5 6 2 2" xfId="21445" xr:uid="{00000000-0005-0000-0000-000006620000}"/>
    <cellStyle name="Normal 5 2 5 6 2 2 2" xfId="46319" xr:uid="{00000000-0005-0000-0000-000007620000}"/>
    <cellStyle name="Normal 5 2 5 6 2 3" xfId="33886" xr:uid="{00000000-0005-0000-0000-000008620000}"/>
    <cellStyle name="Normal 5 2 5 6 3" xfId="3984" xr:uid="{00000000-0005-0000-0000-000009620000}"/>
    <cellStyle name="Normal 5 2 5 6 3 2" xfId="16438" xr:uid="{00000000-0005-0000-0000-00000A620000}"/>
    <cellStyle name="Normal 5 2 5 6 3 2 2" xfId="41312" xr:uid="{00000000-0005-0000-0000-00000B620000}"/>
    <cellStyle name="Normal 5 2 5 6 3 3" xfId="28879" xr:uid="{00000000-0005-0000-0000-00000C620000}"/>
    <cellStyle name="Normal 5 2 5 6 4" xfId="13815" xr:uid="{00000000-0005-0000-0000-00000D620000}"/>
    <cellStyle name="Normal 5 2 5 6 4 2" xfId="38689" xr:uid="{00000000-0005-0000-0000-00000E620000}"/>
    <cellStyle name="Normal 5 2 5 6 5" xfId="26248" xr:uid="{00000000-0005-0000-0000-00000F620000}"/>
    <cellStyle name="Normal 5 2 5 7" xfId="5160" xr:uid="{00000000-0005-0000-0000-000010620000}"/>
    <cellStyle name="Normal 5 2 5 7 2" xfId="10176" xr:uid="{00000000-0005-0000-0000-000011620000}"/>
    <cellStyle name="Normal 5 2 5 7 2 2" xfId="22619" xr:uid="{00000000-0005-0000-0000-000012620000}"/>
    <cellStyle name="Normal 5 2 5 7 2 2 2" xfId="47493" xr:uid="{00000000-0005-0000-0000-000013620000}"/>
    <cellStyle name="Normal 5 2 5 7 2 3" xfId="35060" xr:uid="{00000000-0005-0000-0000-000014620000}"/>
    <cellStyle name="Normal 5 2 5 7 3" xfId="17612" xr:uid="{00000000-0005-0000-0000-000015620000}"/>
    <cellStyle name="Normal 5 2 5 7 3 2" xfId="42486" xr:uid="{00000000-0005-0000-0000-000016620000}"/>
    <cellStyle name="Normal 5 2 5 7 4" xfId="30053" xr:uid="{00000000-0005-0000-0000-000017620000}"/>
    <cellStyle name="Normal 5 2 5 8" xfId="7737" xr:uid="{00000000-0005-0000-0000-000018620000}"/>
    <cellStyle name="Normal 5 2 5 8 2" xfId="20183" xr:uid="{00000000-0005-0000-0000-000019620000}"/>
    <cellStyle name="Normal 5 2 5 8 2 2" xfId="45057" xr:uid="{00000000-0005-0000-0000-00001A620000}"/>
    <cellStyle name="Normal 5 2 5 8 3" xfId="32624" xr:uid="{00000000-0005-0000-0000-00001B620000}"/>
    <cellStyle name="Normal 5 2 5 9" xfId="11630" xr:uid="{00000000-0005-0000-0000-00001C620000}"/>
    <cellStyle name="Normal 5 2 5 9 2" xfId="24064" xr:uid="{00000000-0005-0000-0000-00001D620000}"/>
    <cellStyle name="Normal 5 2 5 9 2 2" xfId="48938" xr:uid="{00000000-0005-0000-0000-00001E620000}"/>
    <cellStyle name="Normal 5 2 5 9 3" xfId="36505" xr:uid="{00000000-0005-0000-0000-00001F620000}"/>
    <cellStyle name="Normal 5 2 5_Degree data" xfId="2026" xr:uid="{00000000-0005-0000-0000-000020620000}"/>
    <cellStyle name="Normal 5 2 6" xfId="527" xr:uid="{00000000-0005-0000-0000-000021620000}"/>
    <cellStyle name="Normal 5 2 6 10" xfId="2918" xr:uid="{00000000-0005-0000-0000-000022620000}"/>
    <cellStyle name="Normal 5 2 6 10 2" xfId="15436" xr:uid="{00000000-0005-0000-0000-000023620000}"/>
    <cellStyle name="Normal 5 2 6 10 2 2" xfId="40310" xr:uid="{00000000-0005-0000-0000-000024620000}"/>
    <cellStyle name="Normal 5 2 6 10 3" xfId="27869" xr:uid="{00000000-0005-0000-0000-000025620000}"/>
    <cellStyle name="Normal 5 2 6 11" xfId="13337" xr:uid="{00000000-0005-0000-0000-000026620000}"/>
    <cellStyle name="Normal 5 2 6 11 2" xfId="38211" xr:uid="{00000000-0005-0000-0000-000027620000}"/>
    <cellStyle name="Normal 5 2 6 12" xfId="25770" xr:uid="{00000000-0005-0000-0000-000028620000}"/>
    <cellStyle name="Normal 5 2 6 2" xfId="883" xr:uid="{00000000-0005-0000-0000-000029620000}"/>
    <cellStyle name="Normal 5 2 6 2 2" xfId="1452" xr:uid="{00000000-0005-0000-0000-00002A620000}"/>
    <cellStyle name="Normal 5 2 6 2 2 2" xfId="9374" xr:uid="{00000000-0005-0000-0000-00002B620000}"/>
    <cellStyle name="Normal 5 2 6 2 2 2 2" xfId="21817" xr:uid="{00000000-0005-0000-0000-00002C620000}"/>
    <cellStyle name="Normal 5 2 6 2 2 2 2 2" xfId="46691" xr:uid="{00000000-0005-0000-0000-00002D620000}"/>
    <cellStyle name="Normal 5 2 6 2 2 2 3" xfId="34258" xr:uid="{00000000-0005-0000-0000-00002E620000}"/>
    <cellStyle name="Normal 5 2 6 2 2 3" xfId="4356" xr:uid="{00000000-0005-0000-0000-00002F620000}"/>
    <cellStyle name="Normal 5 2 6 2 2 3 2" xfId="16810" xr:uid="{00000000-0005-0000-0000-000030620000}"/>
    <cellStyle name="Normal 5 2 6 2 2 3 2 2" xfId="41684" xr:uid="{00000000-0005-0000-0000-000031620000}"/>
    <cellStyle name="Normal 5 2 6 2 2 3 3" xfId="29251" xr:uid="{00000000-0005-0000-0000-000032620000}"/>
    <cellStyle name="Normal 5 2 6 2 2 4" xfId="14252" xr:uid="{00000000-0005-0000-0000-000033620000}"/>
    <cellStyle name="Normal 5 2 6 2 2 4 2" xfId="39126" xr:uid="{00000000-0005-0000-0000-000034620000}"/>
    <cellStyle name="Normal 5 2 6 2 2 5" xfId="26685" xr:uid="{00000000-0005-0000-0000-000035620000}"/>
    <cellStyle name="Normal 5 2 6 2 3" xfId="5597" xr:uid="{00000000-0005-0000-0000-000036620000}"/>
    <cellStyle name="Normal 5 2 6 2 3 2" xfId="10613" xr:uid="{00000000-0005-0000-0000-000037620000}"/>
    <cellStyle name="Normal 5 2 6 2 3 2 2" xfId="23056" xr:uid="{00000000-0005-0000-0000-000038620000}"/>
    <cellStyle name="Normal 5 2 6 2 3 2 2 2" xfId="47930" xr:uid="{00000000-0005-0000-0000-000039620000}"/>
    <cellStyle name="Normal 5 2 6 2 3 2 3" xfId="35497" xr:uid="{00000000-0005-0000-0000-00003A620000}"/>
    <cellStyle name="Normal 5 2 6 2 3 3" xfId="18049" xr:uid="{00000000-0005-0000-0000-00003B620000}"/>
    <cellStyle name="Normal 5 2 6 2 3 3 2" xfId="42923" xr:uid="{00000000-0005-0000-0000-00003C620000}"/>
    <cellStyle name="Normal 5 2 6 2 3 4" xfId="30490" xr:uid="{00000000-0005-0000-0000-00003D620000}"/>
    <cellStyle name="Normal 5 2 6 2 4" xfId="8490" xr:uid="{00000000-0005-0000-0000-00003E620000}"/>
    <cellStyle name="Normal 5 2 6 2 4 2" xfId="20934" xr:uid="{00000000-0005-0000-0000-00003F620000}"/>
    <cellStyle name="Normal 5 2 6 2 4 2 2" xfId="45808" xr:uid="{00000000-0005-0000-0000-000040620000}"/>
    <cellStyle name="Normal 5 2 6 2 4 3" xfId="33375" xr:uid="{00000000-0005-0000-0000-000041620000}"/>
    <cellStyle name="Normal 5 2 6 2 5" xfId="12067" xr:uid="{00000000-0005-0000-0000-000042620000}"/>
    <cellStyle name="Normal 5 2 6 2 5 2" xfId="24501" xr:uid="{00000000-0005-0000-0000-000043620000}"/>
    <cellStyle name="Normal 5 2 6 2 5 2 2" xfId="49375" xr:uid="{00000000-0005-0000-0000-000044620000}"/>
    <cellStyle name="Normal 5 2 6 2 5 3" xfId="36942" xr:uid="{00000000-0005-0000-0000-000045620000}"/>
    <cellStyle name="Normal 5 2 6 2 6" xfId="6967" xr:uid="{00000000-0005-0000-0000-000046620000}"/>
    <cellStyle name="Normal 5 2 6 2 6 2" xfId="19416" xr:uid="{00000000-0005-0000-0000-000047620000}"/>
    <cellStyle name="Normal 5 2 6 2 6 2 2" xfId="44290" xr:uid="{00000000-0005-0000-0000-000048620000}"/>
    <cellStyle name="Normal 5 2 6 2 6 3" xfId="31857" xr:uid="{00000000-0005-0000-0000-000049620000}"/>
    <cellStyle name="Normal 5 2 6 2 7" xfId="3421" xr:uid="{00000000-0005-0000-0000-00004A620000}"/>
    <cellStyle name="Normal 5 2 6 2 7 2" xfId="15927" xr:uid="{00000000-0005-0000-0000-00004B620000}"/>
    <cellStyle name="Normal 5 2 6 2 7 2 2" xfId="40801" xr:uid="{00000000-0005-0000-0000-00004C620000}"/>
    <cellStyle name="Normal 5 2 6 2 7 3" xfId="28360" xr:uid="{00000000-0005-0000-0000-00004D620000}"/>
    <cellStyle name="Normal 5 2 6 2 8" xfId="13684" xr:uid="{00000000-0005-0000-0000-00004E620000}"/>
    <cellStyle name="Normal 5 2 6 2 8 2" xfId="38558" xr:uid="{00000000-0005-0000-0000-00004F620000}"/>
    <cellStyle name="Normal 5 2 6 2 9" xfId="26117" xr:uid="{00000000-0005-0000-0000-000050620000}"/>
    <cellStyle name="Normal 5 2 6 3" xfId="1800" xr:uid="{00000000-0005-0000-0000-000051620000}"/>
    <cellStyle name="Normal 5 2 6 3 2" xfId="4538" xr:uid="{00000000-0005-0000-0000-000052620000}"/>
    <cellStyle name="Normal 5 2 6 3 2 2" xfId="9556" xr:uid="{00000000-0005-0000-0000-000053620000}"/>
    <cellStyle name="Normal 5 2 6 3 2 2 2" xfId="21999" xr:uid="{00000000-0005-0000-0000-000054620000}"/>
    <cellStyle name="Normal 5 2 6 3 2 2 2 2" xfId="46873" xr:uid="{00000000-0005-0000-0000-000055620000}"/>
    <cellStyle name="Normal 5 2 6 3 2 2 3" xfId="34440" xr:uid="{00000000-0005-0000-0000-000056620000}"/>
    <cellStyle name="Normal 5 2 6 3 2 3" xfId="16992" xr:uid="{00000000-0005-0000-0000-000057620000}"/>
    <cellStyle name="Normal 5 2 6 3 2 3 2" xfId="41866" xr:uid="{00000000-0005-0000-0000-000058620000}"/>
    <cellStyle name="Normal 5 2 6 3 2 4" xfId="29433" xr:uid="{00000000-0005-0000-0000-000059620000}"/>
    <cellStyle name="Normal 5 2 6 3 3" xfId="5946" xr:uid="{00000000-0005-0000-0000-00005A620000}"/>
    <cellStyle name="Normal 5 2 6 3 3 2" xfId="10961" xr:uid="{00000000-0005-0000-0000-00005B620000}"/>
    <cellStyle name="Normal 5 2 6 3 3 2 2" xfId="23404" xr:uid="{00000000-0005-0000-0000-00005C620000}"/>
    <cellStyle name="Normal 5 2 6 3 3 2 2 2" xfId="48278" xr:uid="{00000000-0005-0000-0000-00005D620000}"/>
    <cellStyle name="Normal 5 2 6 3 3 2 3" xfId="35845" xr:uid="{00000000-0005-0000-0000-00005E620000}"/>
    <cellStyle name="Normal 5 2 6 3 3 3" xfId="18397" xr:uid="{00000000-0005-0000-0000-00005F620000}"/>
    <cellStyle name="Normal 5 2 6 3 3 3 2" xfId="43271" xr:uid="{00000000-0005-0000-0000-000060620000}"/>
    <cellStyle name="Normal 5 2 6 3 3 4" xfId="30838" xr:uid="{00000000-0005-0000-0000-000061620000}"/>
    <cellStyle name="Normal 5 2 6 3 4" xfId="8672" xr:uid="{00000000-0005-0000-0000-000062620000}"/>
    <cellStyle name="Normal 5 2 6 3 4 2" xfId="21116" xr:uid="{00000000-0005-0000-0000-000063620000}"/>
    <cellStyle name="Normal 5 2 6 3 4 2 2" xfId="45990" xr:uid="{00000000-0005-0000-0000-000064620000}"/>
    <cellStyle name="Normal 5 2 6 3 4 3" xfId="33557" xr:uid="{00000000-0005-0000-0000-000065620000}"/>
    <cellStyle name="Normal 5 2 6 3 5" xfId="12415" xr:uid="{00000000-0005-0000-0000-000066620000}"/>
    <cellStyle name="Normal 5 2 6 3 5 2" xfId="24849" xr:uid="{00000000-0005-0000-0000-000067620000}"/>
    <cellStyle name="Normal 5 2 6 3 5 2 2" xfId="49723" xr:uid="{00000000-0005-0000-0000-000068620000}"/>
    <cellStyle name="Normal 5 2 6 3 5 3" xfId="37290" xr:uid="{00000000-0005-0000-0000-000069620000}"/>
    <cellStyle name="Normal 5 2 6 3 6" xfId="7149" xr:uid="{00000000-0005-0000-0000-00006A620000}"/>
    <cellStyle name="Normal 5 2 6 3 6 2" xfId="19598" xr:uid="{00000000-0005-0000-0000-00006B620000}"/>
    <cellStyle name="Normal 5 2 6 3 6 2 2" xfId="44472" xr:uid="{00000000-0005-0000-0000-00006C620000}"/>
    <cellStyle name="Normal 5 2 6 3 6 3" xfId="32039" xr:uid="{00000000-0005-0000-0000-00006D620000}"/>
    <cellStyle name="Normal 5 2 6 3 7" xfId="3603" xr:uid="{00000000-0005-0000-0000-00006E620000}"/>
    <cellStyle name="Normal 5 2 6 3 7 2" xfId="16109" xr:uid="{00000000-0005-0000-0000-00006F620000}"/>
    <cellStyle name="Normal 5 2 6 3 7 2 2" xfId="40983" xr:uid="{00000000-0005-0000-0000-000070620000}"/>
    <cellStyle name="Normal 5 2 6 3 7 3" xfId="28542" xr:uid="{00000000-0005-0000-0000-000071620000}"/>
    <cellStyle name="Normal 5 2 6 3 8" xfId="14600" xr:uid="{00000000-0005-0000-0000-000072620000}"/>
    <cellStyle name="Normal 5 2 6 3 8 2" xfId="39474" xr:uid="{00000000-0005-0000-0000-000073620000}"/>
    <cellStyle name="Normal 5 2 6 3 9" xfId="27033" xr:uid="{00000000-0005-0000-0000-000074620000}"/>
    <cellStyle name="Normal 5 2 6 4" xfId="2445" xr:uid="{00000000-0005-0000-0000-000075620000}"/>
    <cellStyle name="Normal 5 2 6 4 2" xfId="5066" xr:uid="{00000000-0005-0000-0000-000076620000}"/>
    <cellStyle name="Normal 5 2 6 4 2 2" xfId="10083" xr:uid="{00000000-0005-0000-0000-000077620000}"/>
    <cellStyle name="Normal 5 2 6 4 2 2 2" xfId="22526" xr:uid="{00000000-0005-0000-0000-000078620000}"/>
    <cellStyle name="Normal 5 2 6 4 2 2 2 2" xfId="47400" xr:uid="{00000000-0005-0000-0000-000079620000}"/>
    <cellStyle name="Normal 5 2 6 4 2 2 3" xfId="34967" xr:uid="{00000000-0005-0000-0000-00007A620000}"/>
    <cellStyle name="Normal 5 2 6 4 2 3" xfId="17519" xr:uid="{00000000-0005-0000-0000-00007B620000}"/>
    <cellStyle name="Normal 5 2 6 4 2 3 2" xfId="42393" xr:uid="{00000000-0005-0000-0000-00007C620000}"/>
    <cellStyle name="Normal 5 2 6 4 2 4" xfId="29960" xr:uid="{00000000-0005-0000-0000-00007D620000}"/>
    <cellStyle name="Normal 5 2 6 4 3" xfId="6464" xr:uid="{00000000-0005-0000-0000-00007E620000}"/>
    <cellStyle name="Normal 5 2 6 4 3 2" xfId="11479" xr:uid="{00000000-0005-0000-0000-00007F620000}"/>
    <cellStyle name="Normal 5 2 6 4 3 2 2" xfId="23922" xr:uid="{00000000-0005-0000-0000-000080620000}"/>
    <cellStyle name="Normal 5 2 6 4 3 2 2 2" xfId="48796" xr:uid="{00000000-0005-0000-0000-000081620000}"/>
    <cellStyle name="Normal 5 2 6 4 3 2 3" xfId="36363" xr:uid="{00000000-0005-0000-0000-000082620000}"/>
    <cellStyle name="Normal 5 2 6 4 3 3" xfId="18915" xr:uid="{00000000-0005-0000-0000-000083620000}"/>
    <cellStyle name="Normal 5 2 6 4 3 3 2" xfId="43789" xr:uid="{00000000-0005-0000-0000-000084620000}"/>
    <cellStyle name="Normal 5 2 6 4 3 4" xfId="31356" xr:uid="{00000000-0005-0000-0000-000085620000}"/>
    <cellStyle name="Normal 5 2 6 4 4" xfId="8171" xr:uid="{00000000-0005-0000-0000-000086620000}"/>
    <cellStyle name="Normal 5 2 6 4 4 2" xfId="20617" xr:uid="{00000000-0005-0000-0000-000087620000}"/>
    <cellStyle name="Normal 5 2 6 4 4 2 2" xfId="45491" xr:uid="{00000000-0005-0000-0000-000088620000}"/>
    <cellStyle name="Normal 5 2 6 4 4 3" xfId="33058" xr:uid="{00000000-0005-0000-0000-000089620000}"/>
    <cellStyle name="Normal 5 2 6 4 5" xfId="12933" xr:uid="{00000000-0005-0000-0000-00008A620000}"/>
    <cellStyle name="Normal 5 2 6 4 5 2" xfId="25367" xr:uid="{00000000-0005-0000-0000-00008B620000}"/>
    <cellStyle name="Normal 5 2 6 4 5 2 2" xfId="50241" xr:uid="{00000000-0005-0000-0000-00008C620000}"/>
    <cellStyle name="Normal 5 2 6 4 5 3" xfId="37808" xr:uid="{00000000-0005-0000-0000-00008D620000}"/>
    <cellStyle name="Normal 5 2 6 4 6" xfId="7677" xr:uid="{00000000-0005-0000-0000-00008E620000}"/>
    <cellStyle name="Normal 5 2 6 4 6 2" xfId="20125" xr:uid="{00000000-0005-0000-0000-00008F620000}"/>
    <cellStyle name="Normal 5 2 6 4 6 2 2" xfId="44999" xr:uid="{00000000-0005-0000-0000-000090620000}"/>
    <cellStyle name="Normal 5 2 6 4 6 3" xfId="32566" xr:uid="{00000000-0005-0000-0000-000091620000}"/>
    <cellStyle name="Normal 5 2 6 4 7" xfId="3102" xr:uid="{00000000-0005-0000-0000-000092620000}"/>
    <cellStyle name="Normal 5 2 6 4 7 2" xfId="15610" xr:uid="{00000000-0005-0000-0000-000093620000}"/>
    <cellStyle name="Normal 5 2 6 4 7 2 2" xfId="40484" xr:uid="{00000000-0005-0000-0000-000094620000}"/>
    <cellStyle name="Normal 5 2 6 4 7 3" xfId="28043" xr:uid="{00000000-0005-0000-0000-000095620000}"/>
    <cellStyle name="Normal 5 2 6 4 8" xfId="15118" xr:uid="{00000000-0005-0000-0000-000096620000}"/>
    <cellStyle name="Normal 5 2 6 4 8 2" xfId="39992" xr:uid="{00000000-0005-0000-0000-000097620000}"/>
    <cellStyle name="Normal 5 2 6 4 9" xfId="27551" xr:uid="{00000000-0005-0000-0000-000098620000}"/>
    <cellStyle name="Normal 5 2 6 5" xfId="1275" xr:uid="{00000000-0005-0000-0000-000099620000}"/>
    <cellStyle name="Normal 5 2 6 5 2" xfId="9057" xr:uid="{00000000-0005-0000-0000-00009A620000}"/>
    <cellStyle name="Normal 5 2 6 5 2 2" xfId="21500" xr:uid="{00000000-0005-0000-0000-00009B620000}"/>
    <cellStyle name="Normal 5 2 6 5 2 2 2" xfId="46374" xr:uid="{00000000-0005-0000-0000-00009C620000}"/>
    <cellStyle name="Normal 5 2 6 5 2 3" xfId="33941" xr:uid="{00000000-0005-0000-0000-00009D620000}"/>
    <cellStyle name="Normal 5 2 6 5 3" xfId="4039" xr:uid="{00000000-0005-0000-0000-00009E620000}"/>
    <cellStyle name="Normal 5 2 6 5 3 2" xfId="16493" xr:uid="{00000000-0005-0000-0000-00009F620000}"/>
    <cellStyle name="Normal 5 2 6 5 3 2 2" xfId="41367" xr:uid="{00000000-0005-0000-0000-0000A0620000}"/>
    <cellStyle name="Normal 5 2 6 5 3 3" xfId="28934" xr:uid="{00000000-0005-0000-0000-0000A1620000}"/>
    <cellStyle name="Normal 5 2 6 5 4" xfId="14075" xr:uid="{00000000-0005-0000-0000-0000A2620000}"/>
    <cellStyle name="Normal 5 2 6 5 4 2" xfId="38949" xr:uid="{00000000-0005-0000-0000-0000A3620000}"/>
    <cellStyle name="Normal 5 2 6 5 5" xfId="26508" xr:uid="{00000000-0005-0000-0000-0000A4620000}"/>
    <cellStyle name="Normal 5 2 6 6" xfId="5420" xr:uid="{00000000-0005-0000-0000-0000A5620000}"/>
    <cellStyle name="Normal 5 2 6 6 2" xfId="10436" xr:uid="{00000000-0005-0000-0000-0000A6620000}"/>
    <cellStyle name="Normal 5 2 6 6 2 2" xfId="22879" xr:uid="{00000000-0005-0000-0000-0000A7620000}"/>
    <cellStyle name="Normal 5 2 6 6 2 2 2" xfId="47753" xr:uid="{00000000-0005-0000-0000-0000A8620000}"/>
    <cellStyle name="Normal 5 2 6 6 2 3" xfId="35320" xr:uid="{00000000-0005-0000-0000-0000A9620000}"/>
    <cellStyle name="Normal 5 2 6 6 3" xfId="17872" xr:uid="{00000000-0005-0000-0000-0000AA620000}"/>
    <cellStyle name="Normal 5 2 6 6 3 2" xfId="42746" xr:uid="{00000000-0005-0000-0000-0000AB620000}"/>
    <cellStyle name="Normal 5 2 6 6 4" xfId="30313" xr:uid="{00000000-0005-0000-0000-0000AC620000}"/>
    <cellStyle name="Normal 5 2 6 7" xfId="7997" xr:uid="{00000000-0005-0000-0000-0000AD620000}"/>
    <cellStyle name="Normal 5 2 6 7 2" xfId="20443" xr:uid="{00000000-0005-0000-0000-0000AE620000}"/>
    <cellStyle name="Normal 5 2 6 7 2 2" xfId="45317" xr:uid="{00000000-0005-0000-0000-0000AF620000}"/>
    <cellStyle name="Normal 5 2 6 7 3" xfId="32884" xr:uid="{00000000-0005-0000-0000-0000B0620000}"/>
    <cellStyle name="Normal 5 2 6 8" xfId="11890" xr:uid="{00000000-0005-0000-0000-0000B1620000}"/>
    <cellStyle name="Normal 5 2 6 8 2" xfId="24324" xr:uid="{00000000-0005-0000-0000-0000B2620000}"/>
    <cellStyle name="Normal 5 2 6 8 2 2" xfId="49198" xr:uid="{00000000-0005-0000-0000-0000B3620000}"/>
    <cellStyle name="Normal 5 2 6 8 3" xfId="36765" xr:uid="{00000000-0005-0000-0000-0000B4620000}"/>
    <cellStyle name="Normal 5 2 6 9" xfId="6650" xr:uid="{00000000-0005-0000-0000-0000B5620000}"/>
    <cellStyle name="Normal 5 2 6 9 2" xfId="19099" xr:uid="{00000000-0005-0000-0000-0000B6620000}"/>
    <cellStyle name="Normal 5 2 6 9 2 2" xfId="43973" xr:uid="{00000000-0005-0000-0000-0000B7620000}"/>
    <cellStyle name="Normal 5 2 6 9 3" xfId="31540" xr:uid="{00000000-0005-0000-0000-0000B8620000}"/>
    <cellStyle name="Normal 5 2 6_Degree data" xfId="2014" xr:uid="{00000000-0005-0000-0000-0000B9620000}"/>
    <cellStyle name="Normal 5 2 7" xfId="361" xr:uid="{00000000-0005-0000-0000-0000BA620000}"/>
    <cellStyle name="Normal 5 2 7 10" xfId="13177" xr:uid="{00000000-0005-0000-0000-0000BB620000}"/>
    <cellStyle name="Normal 5 2 7 10 2" xfId="38051" xr:uid="{00000000-0005-0000-0000-0000BC620000}"/>
    <cellStyle name="Normal 5 2 7 11" xfId="25610" xr:uid="{00000000-0005-0000-0000-0000BD620000}"/>
    <cellStyle name="Normal 5 2 7 2" xfId="721" xr:uid="{00000000-0005-0000-0000-0000BE620000}"/>
    <cellStyle name="Normal 5 2 7 2 2" xfId="1453" xr:uid="{00000000-0005-0000-0000-0000BF620000}"/>
    <cellStyle name="Normal 5 2 7 2 2 2" xfId="9557" xr:uid="{00000000-0005-0000-0000-0000C0620000}"/>
    <cellStyle name="Normal 5 2 7 2 2 2 2" xfId="22000" xr:uid="{00000000-0005-0000-0000-0000C1620000}"/>
    <cellStyle name="Normal 5 2 7 2 2 2 2 2" xfId="46874" xr:uid="{00000000-0005-0000-0000-0000C2620000}"/>
    <cellStyle name="Normal 5 2 7 2 2 2 3" xfId="34441" xr:uid="{00000000-0005-0000-0000-0000C3620000}"/>
    <cellStyle name="Normal 5 2 7 2 2 3" xfId="4539" xr:uid="{00000000-0005-0000-0000-0000C4620000}"/>
    <cellStyle name="Normal 5 2 7 2 2 3 2" xfId="16993" xr:uid="{00000000-0005-0000-0000-0000C5620000}"/>
    <cellStyle name="Normal 5 2 7 2 2 3 2 2" xfId="41867" xr:uid="{00000000-0005-0000-0000-0000C6620000}"/>
    <cellStyle name="Normal 5 2 7 2 2 3 3" xfId="29434" xr:uid="{00000000-0005-0000-0000-0000C7620000}"/>
    <cellStyle name="Normal 5 2 7 2 2 4" xfId="14253" xr:uid="{00000000-0005-0000-0000-0000C8620000}"/>
    <cellStyle name="Normal 5 2 7 2 2 4 2" xfId="39127" xr:uid="{00000000-0005-0000-0000-0000C9620000}"/>
    <cellStyle name="Normal 5 2 7 2 2 5" xfId="26686" xr:uid="{00000000-0005-0000-0000-0000CA620000}"/>
    <cellStyle name="Normal 5 2 7 2 3" xfId="5598" xr:uid="{00000000-0005-0000-0000-0000CB620000}"/>
    <cellStyle name="Normal 5 2 7 2 3 2" xfId="10614" xr:uid="{00000000-0005-0000-0000-0000CC620000}"/>
    <cellStyle name="Normal 5 2 7 2 3 2 2" xfId="23057" xr:uid="{00000000-0005-0000-0000-0000CD620000}"/>
    <cellStyle name="Normal 5 2 7 2 3 2 2 2" xfId="47931" xr:uid="{00000000-0005-0000-0000-0000CE620000}"/>
    <cellStyle name="Normal 5 2 7 2 3 2 3" xfId="35498" xr:uid="{00000000-0005-0000-0000-0000CF620000}"/>
    <cellStyle name="Normal 5 2 7 2 3 3" xfId="18050" xr:uid="{00000000-0005-0000-0000-0000D0620000}"/>
    <cellStyle name="Normal 5 2 7 2 3 3 2" xfId="42924" xr:uid="{00000000-0005-0000-0000-0000D1620000}"/>
    <cellStyle name="Normal 5 2 7 2 3 4" xfId="30491" xr:uid="{00000000-0005-0000-0000-0000D2620000}"/>
    <cellStyle name="Normal 5 2 7 2 4" xfId="8673" xr:uid="{00000000-0005-0000-0000-0000D3620000}"/>
    <cellStyle name="Normal 5 2 7 2 4 2" xfId="21117" xr:uid="{00000000-0005-0000-0000-0000D4620000}"/>
    <cellStyle name="Normal 5 2 7 2 4 2 2" xfId="45991" xr:uid="{00000000-0005-0000-0000-0000D5620000}"/>
    <cellStyle name="Normal 5 2 7 2 4 3" xfId="33558" xr:uid="{00000000-0005-0000-0000-0000D6620000}"/>
    <cellStyle name="Normal 5 2 7 2 5" xfId="12068" xr:uid="{00000000-0005-0000-0000-0000D7620000}"/>
    <cellStyle name="Normal 5 2 7 2 5 2" xfId="24502" xr:uid="{00000000-0005-0000-0000-0000D8620000}"/>
    <cellStyle name="Normal 5 2 7 2 5 2 2" xfId="49376" xr:uid="{00000000-0005-0000-0000-0000D9620000}"/>
    <cellStyle name="Normal 5 2 7 2 5 3" xfId="36943" xr:uid="{00000000-0005-0000-0000-0000DA620000}"/>
    <cellStyle name="Normal 5 2 7 2 6" xfId="7150" xr:uid="{00000000-0005-0000-0000-0000DB620000}"/>
    <cellStyle name="Normal 5 2 7 2 6 2" xfId="19599" xr:uid="{00000000-0005-0000-0000-0000DC620000}"/>
    <cellStyle name="Normal 5 2 7 2 6 2 2" xfId="44473" xr:uid="{00000000-0005-0000-0000-0000DD620000}"/>
    <cellStyle name="Normal 5 2 7 2 6 3" xfId="32040" xr:uid="{00000000-0005-0000-0000-0000DE620000}"/>
    <cellStyle name="Normal 5 2 7 2 7" xfId="3604" xr:uid="{00000000-0005-0000-0000-0000DF620000}"/>
    <cellStyle name="Normal 5 2 7 2 7 2" xfId="16110" xr:uid="{00000000-0005-0000-0000-0000E0620000}"/>
    <cellStyle name="Normal 5 2 7 2 7 2 2" xfId="40984" xr:uid="{00000000-0005-0000-0000-0000E1620000}"/>
    <cellStyle name="Normal 5 2 7 2 7 3" xfId="28543" xr:uid="{00000000-0005-0000-0000-0000E2620000}"/>
    <cellStyle name="Normal 5 2 7 2 8" xfId="13524" xr:uid="{00000000-0005-0000-0000-0000E3620000}"/>
    <cellStyle name="Normal 5 2 7 2 8 2" xfId="38398" xr:uid="{00000000-0005-0000-0000-0000E4620000}"/>
    <cellStyle name="Normal 5 2 7 2 9" xfId="25957" xr:uid="{00000000-0005-0000-0000-0000E5620000}"/>
    <cellStyle name="Normal 5 2 7 3" xfId="1801" xr:uid="{00000000-0005-0000-0000-0000E6620000}"/>
    <cellStyle name="Normal 5 2 7 3 2" xfId="4906" xr:uid="{00000000-0005-0000-0000-0000E7620000}"/>
    <cellStyle name="Normal 5 2 7 3 2 2" xfId="9923" xr:uid="{00000000-0005-0000-0000-0000E8620000}"/>
    <cellStyle name="Normal 5 2 7 3 2 2 2" xfId="22366" xr:uid="{00000000-0005-0000-0000-0000E9620000}"/>
    <cellStyle name="Normal 5 2 7 3 2 2 2 2" xfId="47240" xr:uid="{00000000-0005-0000-0000-0000EA620000}"/>
    <cellStyle name="Normal 5 2 7 3 2 2 3" xfId="34807" xr:uid="{00000000-0005-0000-0000-0000EB620000}"/>
    <cellStyle name="Normal 5 2 7 3 2 3" xfId="17359" xr:uid="{00000000-0005-0000-0000-0000EC620000}"/>
    <cellStyle name="Normal 5 2 7 3 2 3 2" xfId="42233" xr:uid="{00000000-0005-0000-0000-0000ED620000}"/>
    <cellStyle name="Normal 5 2 7 3 2 4" xfId="29800" xr:uid="{00000000-0005-0000-0000-0000EE620000}"/>
    <cellStyle name="Normal 5 2 7 3 3" xfId="5947" xr:uid="{00000000-0005-0000-0000-0000EF620000}"/>
    <cellStyle name="Normal 5 2 7 3 3 2" xfId="10962" xr:uid="{00000000-0005-0000-0000-0000F0620000}"/>
    <cellStyle name="Normal 5 2 7 3 3 2 2" xfId="23405" xr:uid="{00000000-0005-0000-0000-0000F1620000}"/>
    <cellStyle name="Normal 5 2 7 3 3 2 2 2" xfId="48279" xr:uid="{00000000-0005-0000-0000-0000F2620000}"/>
    <cellStyle name="Normal 5 2 7 3 3 2 3" xfId="35846" xr:uid="{00000000-0005-0000-0000-0000F3620000}"/>
    <cellStyle name="Normal 5 2 7 3 3 3" xfId="18398" xr:uid="{00000000-0005-0000-0000-0000F4620000}"/>
    <cellStyle name="Normal 5 2 7 3 3 3 2" xfId="43272" xr:uid="{00000000-0005-0000-0000-0000F5620000}"/>
    <cellStyle name="Normal 5 2 7 3 3 4" xfId="30839" xr:uid="{00000000-0005-0000-0000-0000F6620000}"/>
    <cellStyle name="Normal 5 2 7 3 4" xfId="8330" xr:uid="{00000000-0005-0000-0000-0000F7620000}"/>
    <cellStyle name="Normal 5 2 7 3 4 2" xfId="20774" xr:uid="{00000000-0005-0000-0000-0000F8620000}"/>
    <cellStyle name="Normal 5 2 7 3 4 2 2" xfId="45648" xr:uid="{00000000-0005-0000-0000-0000F9620000}"/>
    <cellStyle name="Normal 5 2 7 3 4 3" xfId="33215" xr:uid="{00000000-0005-0000-0000-0000FA620000}"/>
    <cellStyle name="Normal 5 2 7 3 5" xfId="12416" xr:uid="{00000000-0005-0000-0000-0000FB620000}"/>
    <cellStyle name="Normal 5 2 7 3 5 2" xfId="24850" xr:uid="{00000000-0005-0000-0000-0000FC620000}"/>
    <cellStyle name="Normal 5 2 7 3 5 2 2" xfId="49724" xr:uid="{00000000-0005-0000-0000-0000FD620000}"/>
    <cellStyle name="Normal 5 2 7 3 5 3" xfId="37291" xr:uid="{00000000-0005-0000-0000-0000FE620000}"/>
    <cellStyle name="Normal 5 2 7 3 6" xfId="7517" xr:uid="{00000000-0005-0000-0000-0000FF620000}"/>
    <cellStyle name="Normal 5 2 7 3 6 2" xfId="19965" xr:uid="{00000000-0005-0000-0000-000000630000}"/>
    <cellStyle name="Normal 5 2 7 3 6 2 2" xfId="44839" xr:uid="{00000000-0005-0000-0000-000001630000}"/>
    <cellStyle name="Normal 5 2 7 3 6 3" xfId="32406" xr:uid="{00000000-0005-0000-0000-000002630000}"/>
    <cellStyle name="Normal 5 2 7 3 7" xfId="3261" xr:uid="{00000000-0005-0000-0000-000003630000}"/>
    <cellStyle name="Normal 5 2 7 3 7 2" xfId="15767" xr:uid="{00000000-0005-0000-0000-000004630000}"/>
    <cellStyle name="Normal 5 2 7 3 7 2 2" xfId="40641" xr:uid="{00000000-0005-0000-0000-000005630000}"/>
    <cellStyle name="Normal 5 2 7 3 7 3" xfId="28200" xr:uid="{00000000-0005-0000-0000-000006630000}"/>
    <cellStyle name="Normal 5 2 7 3 8" xfId="14601" xr:uid="{00000000-0005-0000-0000-000007630000}"/>
    <cellStyle name="Normal 5 2 7 3 8 2" xfId="39475" xr:uid="{00000000-0005-0000-0000-000008630000}"/>
    <cellStyle name="Normal 5 2 7 3 9" xfId="27034" xr:uid="{00000000-0005-0000-0000-000009630000}"/>
    <cellStyle name="Normal 5 2 7 4" xfId="2279" xr:uid="{00000000-0005-0000-0000-00000A630000}"/>
    <cellStyle name="Normal 5 2 7 4 2" xfId="6304" xr:uid="{00000000-0005-0000-0000-00000B630000}"/>
    <cellStyle name="Normal 5 2 7 4 2 2" xfId="11319" xr:uid="{00000000-0005-0000-0000-00000C630000}"/>
    <cellStyle name="Normal 5 2 7 4 2 2 2" xfId="23762" xr:uid="{00000000-0005-0000-0000-00000D630000}"/>
    <cellStyle name="Normal 5 2 7 4 2 2 2 2" xfId="48636" xr:uid="{00000000-0005-0000-0000-00000E630000}"/>
    <cellStyle name="Normal 5 2 7 4 2 2 3" xfId="36203" xr:uid="{00000000-0005-0000-0000-00000F630000}"/>
    <cellStyle name="Normal 5 2 7 4 2 3" xfId="18755" xr:uid="{00000000-0005-0000-0000-000010630000}"/>
    <cellStyle name="Normal 5 2 7 4 2 3 2" xfId="43629" xr:uid="{00000000-0005-0000-0000-000011630000}"/>
    <cellStyle name="Normal 5 2 7 4 2 4" xfId="31196" xr:uid="{00000000-0005-0000-0000-000012630000}"/>
    <cellStyle name="Normal 5 2 7 4 3" xfId="12773" xr:uid="{00000000-0005-0000-0000-000013630000}"/>
    <cellStyle name="Normal 5 2 7 4 3 2" xfId="25207" xr:uid="{00000000-0005-0000-0000-000014630000}"/>
    <cellStyle name="Normal 5 2 7 4 3 2 2" xfId="50081" xr:uid="{00000000-0005-0000-0000-000015630000}"/>
    <cellStyle name="Normal 5 2 7 4 3 3" xfId="37648" xr:uid="{00000000-0005-0000-0000-000016630000}"/>
    <cellStyle name="Normal 5 2 7 4 4" xfId="9214" xr:uid="{00000000-0005-0000-0000-000017630000}"/>
    <cellStyle name="Normal 5 2 7 4 4 2" xfId="21657" xr:uid="{00000000-0005-0000-0000-000018630000}"/>
    <cellStyle name="Normal 5 2 7 4 4 2 2" xfId="46531" xr:uid="{00000000-0005-0000-0000-000019630000}"/>
    <cellStyle name="Normal 5 2 7 4 4 3" xfId="34098" xr:uid="{00000000-0005-0000-0000-00001A630000}"/>
    <cellStyle name="Normal 5 2 7 4 5" xfId="4196" xr:uid="{00000000-0005-0000-0000-00001B630000}"/>
    <cellStyle name="Normal 5 2 7 4 5 2" xfId="16650" xr:uid="{00000000-0005-0000-0000-00001C630000}"/>
    <cellStyle name="Normal 5 2 7 4 5 2 2" xfId="41524" xr:uid="{00000000-0005-0000-0000-00001D630000}"/>
    <cellStyle name="Normal 5 2 7 4 5 3" xfId="29091" xr:uid="{00000000-0005-0000-0000-00001E630000}"/>
    <cellStyle name="Normal 5 2 7 4 6" xfId="14958" xr:uid="{00000000-0005-0000-0000-00001F630000}"/>
    <cellStyle name="Normal 5 2 7 4 6 2" xfId="39832" xr:uid="{00000000-0005-0000-0000-000020630000}"/>
    <cellStyle name="Normal 5 2 7 4 7" xfId="27391" xr:uid="{00000000-0005-0000-0000-000021630000}"/>
    <cellStyle name="Normal 5 2 7 5" xfId="1115" xr:uid="{00000000-0005-0000-0000-000022630000}"/>
    <cellStyle name="Normal 5 2 7 5 2" xfId="10276" xr:uid="{00000000-0005-0000-0000-000023630000}"/>
    <cellStyle name="Normal 5 2 7 5 2 2" xfId="22719" xr:uid="{00000000-0005-0000-0000-000024630000}"/>
    <cellStyle name="Normal 5 2 7 5 2 2 2" xfId="47593" xr:uid="{00000000-0005-0000-0000-000025630000}"/>
    <cellStyle name="Normal 5 2 7 5 2 3" xfId="35160" xr:uid="{00000000-0005-0000-0000-000026630000}"/>
    <cellStyle name="Normal 5 2 7 5 3" xfId="5260" xr:uid="{00000000-0005-0000-0000-000027630000}"/>
    <cellStyle name="Normal 5 2 7 5 3 2" xfId="17712" xr:uid="{00000000-0005-0000-0000-000028630000}"/>
    <cellStyle name="Normal 5 2 7 5 3 2 2" xfId="42586" xr:uid="{00000000-0005-0000-0000-000029630000}"/>
    <cellStyle name="Normal 5 2 7 5 3 3" xfId="30153" xr:uid="{00000000-0005-0000-0000-00002A630000}"/>
    <cellStyle name="Normal 5 2 7 5 4" xfId="13915" xr:uid="{00000000-0005-0000-0000-00002B630000}"/>
    <cellStyle name="Normal 5 2 7 5 4 2" xfId="38789" xr:uid="{00000000-0005-0000-0000-00002C630000}"/>
    <cellStyle name="Normal 5 2 7 5 5" xfId="26348" xr:uid="{00000000-0005-0000-0000-00002D630000}"/>
    <cellStyle name="Normal 5 2 7 6" xfId="7837" xr:uid="{00000000-0005-0000-0000-00002E630000}"/>
    <cellStyle name="Normal 5 2 7 6 2" xfId="20283" xr:uid="{00000000-0005-0000-0000-00002F630000}"/>
    <cellStyle name="Normal 5 2 7 6 2 2" xfId="45157" xr:uid="{00000000-0005-0000-0000-000030630000}"/>
    <cellStyle name="Normal 5 2 7 6 3" xfId="32724" xr:uid="{00000000-0005-0000-0000-000031630000}"/>
    <cellStyle name="Normal 5 2 7 7" xfId="11730" xr:uid="{00000000-0005-0000-0000-000032630000}"/>
    <cellStyle name="Normal 5 2 7 7 2" xfId="24164" xr:uid="{00000000-0005-0000-0000-000033630000}"/>
    <cellStyle name="Normal 5 2 7 7 2 2" xfId="49038" xr:uid="{00000000-0005-0000-0000-000034630000}"/>
    <cellStyle name="Normal 5 2 7 7 3" xfId="36605" xr:uid="{00000000-0005-0000-0000-000035630000}"/>
    <cellStyle name="Normal 5 2 7 8" xfId="6807" xr:uid="{00000000-0005-0000-0000-000036630000}"/>
    <cellStyle name="Normal 5 2 7 8 2" xfId="19256" xr:uid="{00000000-0005-0000-0000-000037630000}"/>
    <cellStyle name="Normal 5 2 7 8 2 2" xfId="44130" xr:uid="{00000000-0005-0000-0000-000038630000}"/>
    <cellStyle name="Normal 5 2 7 8 3" xfId="31697" xr:uid="{00000000-0005-0000-0000-000039630000}"/>
    <cellStyle name="Normal 5 2 7 9" xfId="2758" xr:uid="{00000000-0005-0000-0000-00003A630000}"/>
    <cellStyle name="Normal 5 2 7 9 2" xfId="15276" xr:uid="{00000000-0005-0000-0000-00003B630000}"/>
    <cellStyle name="Normal 5 2 7 9 2 2" xfId="40150" xr:uid="{00000000-0005-0000-0000-00003C630000}"/>
    <cellStyle name="Normal 5 2 7 9 3" xfId="27709" xr:uid="{00000000-0005-0000-0000-00003D630000}"/>
    <cellStyle name="Normal 5 2 7_Degree data" xfId="2068" xr:uid="{00000000-0005-0000-0000-00003E630000}"/>
    <cellStyle name="Normal 5 2 8" xfId="891" xr:uid="{00000000-0005-0000-0000-00003F630000}"/>
    <cellStyle name="Normal 5 2 8 2" xfId="8010" xr:uid="{00000000-0005-0000-0000-000040630000}"/>
    <cellStyle name="Normal 5 2 8 2 2" xfId="20456" xr:uid="{00000000-0005-0000-0000-000041630000}"/>
    <cellStyle name="Normal 5 2 8 2 2 2" xfId="45330" xr:uid="{00000000-0005-0000-0000-000042630000}"/>
    <cellStyle name="Normal 5 2 8 2 3" xfId="32897" xr:uid="{00000000-0005-0000-0000-000043630000}"/>
    <cellStyle name="Normal 5 2 8 3" xfId="2934" xr:uid="{00000000-0005-0000-0000-000044630000}"/>
    <cellStyle name="Normal 5 2 8 3 2" xfId="15449" xr:uid="{00000000-0005-0000-0000-000045630000}"/>
    <cellStyle name="Normal 5 2 8 3 2 2" xfId="40323" xr:uid="{00000000-0005-0000-0000-000046630000}"/>
    <cellStyle name="Normal 5 2 8 3 3" xfId="27882" xr:uid="{00000000-0005-0000-0000-000047630000}"/>
    <cellStyle name="Normal 5 2 8 4" xfId="13691" xr:uid="{00000000-0005-0000-0000-000048630000}"/>
    <cellStyle name="Normal 5 2 8 4 2" xfId="38565" xr:uid="{00000000-0005-0000-0000-000049630000}"/>
    <cellStyle name="Normal 5 2 8 5" xfId="26124" xr:uid="{00000000-0005-0000-0000-00004A630000}"/>
    <cellStyle name="Normal 5 2 9" xfId="3878" xr:uid="{00000000-0005-0000-0000-00004B630000}"/>
    <cellStyle name="Normal 5 2 9 2" xfId="8896" xr:uid="{00000000-0005-0000-0000-00004C630000}"/>
    <cellStyle name="Normal 5 2 9 2 2" xfId="21339" xr:uid="{00000000-0005-0000-0000-00004D630000}"/>
    <cellStyle name="Normal 5 2 9 2 2 2" xfId="46213" xr:uid="{00000000-0005-0000-0000-00004E630000}"/>
    <cellStyle name="Normal 5 2 9 2 3" xfId="33780" xr:uid="{00000000-0005-0000-0000-00004F630000}"/>
    <cellStyle name="Normal 5 2 9 3" xfId="16332" xr:uid="{00000000-0005-0000-0000-000050630000}"/>
    <cellStyle name="Normal 5 2 9 3 2" xfId="41206" xr:uid="{00000000-0005-0000-0000-000051630000}"/>
    <cellStyle name="Normal 5 2 9 4" xfId="28773" xr:uid="{00000000-0005-0000-0000-000052630000}"/>
    <cellStyle name="Normal 5 3" xfId="116" xr:uid="{00000000-0005-0000-0000-000053630000}"/>
    <cellStyle name="Normal 5 3 10" xfId="944" xr:uid="{00000000-0005-0000-0000-000054630000}"/>
    <cellStyle name="Normal 5 3 10 2" xfId="11559" xr:uid="{00000000-0005-0000-0000-000055630000}"/>
    <cellStyle name="Normal 5 3 10 2 2" xfId="23993" xr:uid="{00000000-0005-0000-0000-000056630000}"/>
    <cellStyle name="Normal 5 3 10 2 2 2" xfId="48867" xr:uid="{00000000-0005-0000-0000-000057630000}"/>
    <cellStyle name="Normal 5 3 10 2 3" xfId="36434" xr:uid="{00000000-0005-0000-0000-000058630000}"/>
    <cellStyle name="Normal 5 3 10 3" xfId="10103" xr:uid="{00000000-0005-0000-0000-000059630000}"/>
    <cellStyle name="Normal 5 3 10 3 2" xfId="22546" xr:uid="{00000000-0005-0000-0000-00005A630000}"/>
    <cellStyle name="Normal 5 3 10 3 2 2" xfId="47420" xr:uid="{00000000-0005-0000-0000-00005B630000}"/>
    <cellStyle name="Normal 5 3 10 3 3" xfId="34987" xr:uid="{00000000-0005-0000-0000-00005C630000}"/>
    <cellStyle name="Normal 5 3 10 4" xfId="5087" xr:uid="{00000000-0005-0000-0000-00005D630000}"/>
    <cellStyle name="Normal 5 3 10 4 2" xfId="17539" xr:uid="{00000000-0005-0000-0000-00005E630000}"/>
    <cellStyle name="Normal 5 3 10 4 2 2" xfId="42413" xr:uid="{00000000-0005-0000-0000-00005F630000}"/>
    <cellStyle name="Normal 5 3 10 4 3" xfId="29980" xr:uid="{00000000-0005-0000-0000-000060630000}"/>
    <cellStyle name="Normal 5 3 10 5" xfId="13744" xr:uid="{00000000-0005-0000-0000-000061630000}"/>
    <cellStyle name="Normal 5 3 10 5 2" xfId="38618" xr:uid="{00000000-0005-0000-0000-000062630000}"/>
    <cellStyle name="Normal 5 3 10 6" xfId="26177" xr:uid="{00000000-0005-0000-0000-000063630000}"/>
    <cellStyle name="Normal 5 3 11" xfId="914" xr:uid="{00000000-0005-0000-0000-000064630000}"/>
    <cellStyle name="Normal 5 3 11 2" xfId="7686" xr:uid="{00000000-0005-0000-0000-000065630000}"/>
    <cellStyle name="Normal 5 3 11 2 2" xfId="20132" xr:uid="{00000000-0005-0000-0000-000066630000}"/>
    <cellStyle name="Normal 5 3 11 2 2 2" xfId="45006" xr:uid="{00000000-0005-0000-0000-000067630000}"/>
    <cellStyle name="Normal 5 3 11 2 3" xfId="32573" xr:uid="{00000000-0005-0000-0000-000068630000}"/>
    <cellStyle name="Normal 5 3 11 3" xfId="13714" xr:uid="{00000000-0005-0000-0000-000069630000}"/>
    <cellStyle name="Normal 5 3 11 3 2" xfId="38588" xr:uid="{00000000-0005-0000-0000-00006A630000}"/>
    <cellStyle name="Normal 5 3 11 4" xfId="26147" xr:uid="{00000000-0005-0000-0000-00006B630000}"/>
    <cellStyle name="Normal 5 3 12" xfId="11529" xr:uid="{00000000-0005-0000-0000-00006C630000}"/>
    <cellStyle name="Normal 5 3 12 2" xfId="23963" xr:uid="{00000000-0005-0000-0000-00006D630000}"/>
    <cellStyle name="Normal 5 3 12 2 2" xfId="48837" xr:uid="{00000000-0005-0000-0000-00006E630000}"/>
    <cellStyle name="Normal 5 3 12 3" xfId="36404" xr:uid="{00000000-0005-0000-0000-00006F630000}"/>
    <cellStyle name="Normal 5 3 13" xfId="6486" xr:uid="{00000000-0005-0000-0000-000070630000}"/>
    <cellStyle name="Normal 5 3 13 2" xfId="18935" xr:uid="{00000000-0005-0000-0000-000071630000}"/>
    <cellStyle name="Normal 5 3 13 2 2" xfId="43809" xr:uid="{00000000-0005-0000-0000-000072630000}"/>
    <cellStyle name="Normal 5 3 13 3" xfId="31376" xr:uid="{00000000-0005-0000-0000-000073630000}"/>
    <cellStyle name="Normal 5 3 14" xfId="2605" xr:uid="{00000000-0005-0000-0000-000074630000}"/>
    <cellStyle name="Normal 5 3 14 2" xfId="15125" xr:uid="{00000000-0005-0000-0000-000075630000}"/>
    <cellStyle name="Normal 5 3 14 2 2" xfId="39999" xr:uid="{00000000-0005-0000-0000-000076630000}"/>
    <cellStyle name="Normal 5 3 14 3" xfId="27558" xr:uid="{00000000-0005-0000-0000-000077630000}"/>
    <cellStyle name="Normal 5 3 15" xfId="12952" xr:uid="{00000000-0005-0000-0000-000078630000}"/>
    <cellStyle name="Normal 5 3 15 2" xfId="37826" xr:uid="{00000000-0005-0000-0000-000079630000}"/>
    <cellStyle name="Normal 5 3 16" xfId="25385" xr:uid="{00000000-0005-0000-0000-00007A630000}"/>
    <cellStyle name="Normal 5 3 2" xfId="146" xr:uid="{00000000-0005-0000-0000-00007B630000}"/>
    <cellStyle name="Normal 5 3 2 10" xfId="7711" xr:uid="{00000000-0005-0000-0000-00007C630000}"/>
    <cellStyle name="Normal 5 3 2 10 2" xfId="20157" xr:uid="{00000000-0005-0000-0000-00007D630000}"/>
    <cellStyle name="Normal 5 3 2 10 2 2" xfId="45031" xr:uid="{00000000-0005-0000-0000-00007E630000}"/>
    <cellStyle name="Normal 5 3 2 10 3" xfId="32598" xr:uid="{00000000-0005-0000-0000-00007F630000}"/>
    <cellStyle name="Normal 5 3 2 11" xfId="11604" xr:uid="{00000000-0005-0000-0000-000080630000}"/>
    <cellStyle name="Normal 5 3 2 11 2" xfId="24038" xr:uid="{00000000-0005-0000-0000-000081630000}"/>
    <cellStyle name="Normal 5 3 2 11 2 2" xfId="48912" xr:uid="{00000000-0005-0000-0000-000082630000}"/>
    <cellStyle name="Normal 5 3 2 11 3" xfId="36479" xr:uid="{00000000-0005-0000-0000-000083630000}"/>
    <cellStyle name="Normal 5 3 2 12" xfId="6521" xr:uid="{00000000-0005-0000-0000-000084630000}"/>
    <cellStyle name="Normal 5 3 2 12 2" xfId="18970" xr:uid="{00000000-0005-0000-0000-000085630000}"/>
    <cellStyle name="Normal 5 3 2 12 2 2" xfId="43844" xr:uid="{00000000-0005-0000-0000-000086630000}"/>
    <cellStyle name="Normal 5 3 2 12 3" xfId="31411" xr:uid="{00000000-0005-0000-0000-000087630000}"/>
    <cellStyle name="Normal 5 3 2 13" xfId="2632" xr:uid="{00000000-0005-0000-0000-000088630000}"/>
    <cellStyle name="Normal 5 3 2 13 2" xfId="15150" xr:uid="{00000000-0005-0000-0000-000089630000}"/>
    <cellStyle name="Normal 5 3 2 13 2 2" xfId="40024" xr:uid="{00000000-0005-0000-0000-00008A630000}"/>
    <cellStyle name="Normal 5 3 2 13 3" xfId="27583" xr:uid="{00000000-0005-0000-0000-00008B630000}"/>
    <cellStyle name="Normal 5 3 2 14" xfId="12976" xr:uid="{00000000-0005-0000-0000-00008C630000}"/>
    <cellStyle name="Normal 5 3 2 14 2" xfId="37850" xr:uid="{00000000-0005-0000-0000-00008D630000}"/>
    <cellStyle name="Normal 5 3 2 15" xfId="25409" xr:uid="{00000000-0005-0000-0000-00008E630000}"/>
    <cellStyle name="Normal 5 3 2 2" xfId="290" xr:uid="{00000000-0005-0000-0000-00008F630000}"/>
    <cellStyle name="Normal 5 3 2 2 10" xfId="6625" xr:uid="{00000000-0005-0000-0000-000090630000}"/>
    <cellStyle name="Normal 5 3 2 2 10 2" xfId="19074" xr:uid="{00000000-0005-0000-0000-000091630000}"/>
    <cellStyle name="Normal 5 3 2 2 10 2 2" xfId="43948" xr:uid="{00000000-0005-0000-0000-000092630000}"/>
    <cellStyle name="Normal 5 3 2 2 10 3" xfId="31515" xr:uid="{00000000-0005-0000-0000-000093630000}"/>
    <cellStyle name="Normal 5 3 2 2 11" xfId="2689" xr:uid="{00000000-0005-0000-0000-000094630000}"/>
    <cellStyle name="Normal 5 3 2 2 11 2" xfId="15207" xr:uid="{00000000-0005-0000-0000-000095630000}"/>
    <cellStyle name="Normal 5 3 2 2 11 2 2" xfId="40081" xr:uid="{00000000-0005-0000-0000-000096630000}"/>
    <cellStyle name="Normal 5 3 2 2 11 3" xfId="27640" xr:uid="{00000000-0005-0000-0000-000097630000}"/>
    <cellStyle name="Normal 5 3 2 2 12" xfId="13108" xr:uid="{00000000-0005-0000-0000-000098630000}"/>
    <cellStyle name="Normal 5 3 2 2 12 2" xfId="37982" xr:uid="{00000000-0005-0000-0000-000099630000}"/>
    <cellStyle name="Normal 5 3 2 2 13" xfId="25541" xr:uid="{00000000-0005-0000-0000-00009A630000}"/>
    <cellStyle name="Normal 5 3 2 2 2" xfId="499" xr:uid="{00000000-0005-0000-0000-00009B630000}"/>
    <cellStyle name="Normal 5 3 2 2 2 10" xfId="13312" xr:uid="{00000000-0005-0000-0000-00009C630000}"/>
    <cellStyle name="Normal 5 3 2 2 2 10 2" xfId="38186" xr:uid="{00000000-0005-0000-0000-00009D630000}"/>
    <cellStyle name="Normal 5 3 2 2 2 11" xfId="25745" xr:uid="{00000000-0005-0000-0000-00009E630000}"/>
    <cellStyle name="Normal 5 3 2 2 2 2" xfId="858" xr:uid="{00000000-0005-0000-0000-00009F630000}"/>
    <cellStyle name="Normal 5 3 2 2 2 2 2" xfId="1457" xr:uid="{00000000-0005-0000-0000-0000A0630000}"/>
    <cellStyle name="Normal 5 3 2 2 2 2 2 2" xfId="9561" xr:uid="{00000000-0005-0000-0000-0000A1630000}"/>
    <cellStyle name="Normal 5 3 2 2 2 2 2 2 2" xfId="22004" xr:uid="{00000000-0005-0000-0000-0000A2630000}"/>
    <cellStyle name="Normal 5 3 2 2 2 2 2 2 2 2" xfId="46878" xr:uid="{00000000-0005-0000-0000-0000A3630000}"/>
    <cellStyle name="Normal 5 3 2 2 2 2 2 2 3" xfId="34445" xr:uid="{00000000-0005-0000-0000-0000A4630000}"/>
    <cellStyle name="Normal 5 3 2 2 2 2 2 3" xfId="4543" xr:uid="{00000000-0005-0000-0000-0000A5630000}"/>
    <cellStyle name="Normal 5 3 2 2 2 2 2 3 2" xfId="16997" xr:uid="{00000000-0005-0000-0000-0000A6630000}"/>
    <cellStyle name="Normal 5 3 2 2 2 2 2 3 2 2" xfId="41871" xr:uid="{00000000-0005-0000-0000-0000A7630000}"/>
    <cellStyle name="Normal 5 3 2 2 2 2 2 3 3" xfId="29438" xr:uid="{00000000-0005-0000-0000-0000A8630000}"/>
    <cellStyle name="Normal 5 3 2 2 2 2 2 4" xfId="14257" xr:uid="{00000000-0005-0000-0000-0000A9630000}"/>
    <cellStyle name="Normal 5 3 2 2 2 2 2 4 2" xfId="39131" xr:uid="{00000000-0005-0000-0000-0000AA630000}"/>
    <cellStyle name="Normal 5 3 2 2 2 2 2 5" xfId="26690" xr:uid="{00000000-0005-0000-0000-0000AB630000}"/>
    <cellStyle name="Normal 5 3 2 2 2 2 3" xfId="5602" xr:uid="{00000000-0005-0000-0000-0000AC630000}"/>
    <cellStyle name="Normal 5 3 2 2 2 2 3 2" xfId="10618" xr:uid="{00000000-0005-0000-0000-0000AD630000}"/>
    <cellStyle name="Normal 5 3 2 2 2 2 3 2 2" xfId="23061" xr:uid="{00000000-0005-0000-0000-0000AE630000}"/>
    <cellStyle name="Normal 5 3 2 2 2 2 3 2 2 2" xfId="47935" xr:uid="{00000000-0005-0000-0000-0000AF630000}"/>
    <cellStyle name="Normal 5 3 2 2 2 2 3 2 3" xfId="35502" xr:uid="{00000000-0005-0000-0000-0000B0630000}"/>
    <cellStyle name="Normal 5 3 2 2 2 2 3 3" xfId="18054" xr:uid="{00000000-0005-0000-0000-0000B1630000}"/>
    <cellStyle name="Normal 5 3 2 2 2 2 3 3 2" xfId="42928" xr:uid="{00000000-0005-0000-0000-0000B2630000}"/>
    <cellStyle name="Normal 5 3 2 2 2 2 3 4" xfId="30495" xr:uid="{00000000-0005-0000-0000-0000B3630000}"/>
    <cellStyle name="Normal 5 3 2 2 2 2 4" xfId="8677" xr:uid="{00000000-0005-0000-0000-0000B4630000}"/>
    <cellStyle name="Normal 5 3 2 2 2 2 4 2" xfId="21121" xr:uid="{00000000-0005-0000-0000-0000B5630000}"/>
    <cellStyle name="Normal 5 3 2 2 2 2 4 2 2" xfId="45995" xr:uid="{00000000-0005-0000-0000-0000B6630000}"/>
    <cellStyle name="Normal 5 3 2 2 2 2 4 3" xfId="33562" xr:uid="{00000000-0005-0000-0000-0000B7630000}"/>
    <cellStyle name="Normal 5 3 2 2 2 2 5" xfId="12072" xr:uid="{00000000-0005-0000-0000-0000B8630000}"/>
    <cellStyle name="Normal 5 3 2 2 2 2 5 2" xfId="24506" xr:uid="{00000000-0005-0000-0000-0000B9630000}"/>
    <cellStyle name="Normal 5 3 2 2 2 2 5 2 2" xfId="49380" xr:uid="{00000000-0005-0000-0000-0000BA630000}"/>
    <cellStyle name="Normal 5 3 2 2 2 2 5 3" xfId="36947" xr:uid="{00000000-0005-0000-0000-0000BB630000}"/>
    <cellStyle name="Normal 5 3 2 2 2 2 6" xfId="7154" xr:uid="{00000000-0005-0000-0000-0000BC630000}"/>
    <cellStyle name="Normal 5 3 2 2 2 2 6 2" xfId="19603" xr:uid="{00000000-0005-0000-0000-0000BD630000}"/>
    <cellStyle name="Normal 5 3 2 2 2 2 6 2 2" xfId="44477" xr:uid="{00000000-0005-0000-0000-0000BE630000}"/>
    <cellStyle name="Normal 5 3 2 2 2 2 6 3" xfId="32044" xr:uid="{00000000-0005-0000-0000-0000BF630000}"/>
    <cellStyle name="Normal 5 3 2 2 2 2 7" xfId="3608" xr:uid="{00000000-0005-0000-0000-0000C0630000}"/>
    <cellStyle name="Normal 5 3 2 2 2 2 7 2" xfId="16114" xr:uid="{00000000-0005-0000-0000-0000C1630000}"/>
    <cellStyle name="Normal 5 3 2 2 2 2 7 2 2" xfId="40988" xr:uid="{00000000-0005-0000-0000-0000C2630000}"/>
    <cellStyle name="Normal 5 3 2 2 2 2 7 3" xfId="28547" xr:uid="{00000000-0005-0000-0000-0000C3630000}"/>
    <cellStyle name="Normal 5 3 2 2 2 2 8" xfId="13659" xr:uid="{00000000-0005-0000-0000-0000C4630000}"/>
    <cellStyle name="Normal 5 3 2 2 2 2 8 2" xfId="38533" xr:uid="{00000000-0005-0000-0000-0000C5630000}"/>
    <cellStyle name="Normal 5 3 2 2 2 2 9" xfId="26092" xr:uid="{00000000-0005-0000-0000-0000C6630000}"/>
    <cellStyle name="Normal 5 3 2 2 2 3" xfId="1805" xr:uid="{00000000-0005-0000-0000-0000C7630000}"/>
    <cellStyle name="Normal 5 3 2 2 2 3 2" xfId="5041" xr:uid="{00000000-0005-0000-0000-0000C8630000}"/>
    <cellStyle name="Normal 5 3 2 2 2 3 2 2" xfId="10058" xr:uid="{00000000-0005-0000-0000-0000C9630000}"/>
    <cellStyle name="Normal 5 3 2 2 2 3 2 2 2" xfId="22501" xr:uid="{00000000-0005-0000-0000-0000CA630000}"/>
    <cellStyle name="Normal 5 3 2 2 2 3 2 2 2 2" xfId="47375" xr:uid="{00000000-0005-0000-0000-0000CB630000}"/>
    <cellStyle name="Normal 5 3 2 2 2 3 2 2 3" xfId="34942" xr:uid="{00000000-0005-0000-0000-0000CC630000}"/>
    <cellStyle name="Normal 5 3 2 2 2 3 2 3" xfId="17494" xr:uid="{00000000-0005-0000-0000-0000CD630000}"/>
    <cellStyle name="Normal 5 3 2 2 2 3 2 3 2" xfId="42368" xr:uid="{00000000-0005-0000-0000-0000CE630000}"/>
    <cellStyle name="Normal 5 3 2 2 2 3 2 4" xfId="29935" xr:uid="{00000000-0005-0000-0000-0000CF630000}"/>
    <cellStyle name="Normal 5 3 2 2 2 3 3" xfId="5951" xr:uid="{00000000-0005-0000-0000-0000D0630000}"/>
    <cellStyle name="Normal 5 3 2 2 2 3 3 2" xfId="10966" xr:uid="{00000000-0005-0000-0000-0000D1630000}"/>
    <cellStyle name="Normal 5 3 2 2 2 3 3 2 2" xfId="23409" xr:uid="{00000000-0005-0000-0000-0000D2630000}"/>
    <cellStyle name="Normal 5 3 2 2 2 3 3 2 2 2" xfId="48283" xr:uid="{00000000-0005-0000-0000-0000D3630000}"/>
    <cellStyle name="Normal 5 3 2 2 2 3 3 2 3" xfId="35850" xr:uid="{00000000-0005-0000-0000-0000D4630000}"/>
    <cellStyle name="Normal 5 3 2 2 2 3 3 3" xfId="18402" xr:uid="{00000000-0005-0000-0000-0000D5630000}"/>
    <cellStyle name="Normal 5 3 2 2 2 3 3 3 2" xfId="43276" xr:uid="{00000000-0005-0000-0000-0000D6630000}"/>
    <cellStyle name="Normal 5 3 2 2 2 3 3 4" xfId="30843" xr:uid="{00000000-0005-0000-0000-0000D7630000}"/>
    <cellStyle name="Normal 5 3 2 2 2 3 4" xfId="8465" xr:uid="{00000000-0005-0000-0000-0000D8630000}"/>
    <cellStyle name="Normal 5 3 2 2 2 3 4 2" xfId="20909" xr:uid="{00000000-0005-0000-0000-0000D9630000}"/>
    <cellStyle name="Normal 5 3 2 2 2 3 4 2 2" xfId="45783" xr:uid="{00000000-0005-0000-0000-0000DA630000}"/>
    <cellStyle name="Normal 5 3 2 2 2 3 4 3" xfId="33350" xr:uid="{00000000-0005-0000-0000-0000DB630000}"/>
    <cellStyle name="Normal 5 3 2 2 2 3 5" xfId="12420" xr:uid="{00000000-0005-0000-0000-0000DC630000}"/>
    <cellStyle name="Normal 5 3 2 2 2 3 5 2" xfId="24854" xr:uid="{00000000-0005-0000-0000-0000DD630000}"/>
    <cellStyle name="Normal 5 3 2 2 2 3 5 2 2" xfId="49728" xr:uid="{00000000-0005-0000-0000-0000DE630000}"/>
    <cellStyle name="Normal 5 3 2 2 2 3 5 3" xfId="37295" xr:uid="{00000000-0005-0000-0000-0000DF630000}"/>
    <cellStyle name="Normal 5 3 2 2 2 3 6" xfId="7652" xr:uid="{00000000-0005-0000-0000-0000E0630000}"/>
    <cellStyle name="Normal 5 3 2 2 2 3 6 2" xfId="20100" xr:uid="{00000000-0005-0000-0000-0000E1630000}"/>
    <cellStyle name="Normal 5 3 2 2 2 3 6 2 2" xfId="44974" xr:uid="{00000000-0005-0000-0000-0000E2630000}"/>
    <cellStyle name="Normal 5 3 2 2 2 3 6 3" xfId="32541" xr:uid="{00000000-0005-0000-0000-0000E3630000}"/>
    <cellStyle name="Normal 5 3 2 2 2 3 7" xfId="3396" xr:uid="{00000000-0005-0000-0000-0000E4630000}"/>
    <cellStyle name="Normal 5 3 2 2 2 3 7 2" xfId="15902" xr:uid="{00000000-0005-0000-0000-0000E5630000}"/>
    <cellStyle name="Normal 5 3 2 2 2 3 7 2 2" xfId="40776" xr:uid="{00000000-0005-0000-0000-0000E6630000}"/>
    <cellStyle name="Normal 5 3 2 2 2 3 7 3" xfId="28335" xr:uid="{00000000-0005-0000-0000-0000E7630000}"/>
    <cellStyle name="Normal 5 3 2 2 2 3 8" xfId="14605" xr:uid="{00000000-0005-0000-0000-0000E8630000}"/>
    <cellStyle name="Normal 5 3 2 2 2 3 8 2" xfId="39479" xr:uid="{00000000-0005-0000-0000-0000E9630000}"/>
    <cellStyle name="Normal 5 3 2 2 2 3 9" xfId="27038" xr:uid="{00000000-0005-0000-0000-0000EA630000}"/>
    <cellStyle name="Normal 5 3 2 2 2 4" xfId="2417" xr:uid="{00000000-0005-0000-0000-0000EB630000}"/>
    <cellStyle name="Normal 5 3 2 2 2 4 2" xfId="6439" xr:uid="{00000000-0005-0000-0000-0000EC630000}"/>
    <cellStyle name="Normal 5 3 2 2 2 4 2 2" xfId="11454" xr:uid="{00000000-0005-0000-0000-0000ED630000}"/>
    <cellStyle name="Normal 5 3 2 2 2 4 2 2 2" xfId="23897" xr:uid="{00000000-0005-0000-0000-0000EE630000}"/>
    <cellStyle name="Normal 5 3 2 2 2 4 2 2 2 2" xfId="48771" xr:uid="{00000000-0005-0000-0000-0000EF630000}"/>
    <cellStyle name="Normal 5 3 2 2 2 4 2 2 3" xfId="36338" xr:uid="{00000000-0005-0000-0000-0000F0630000}"/>
    <cellStyle name="Normal 5 3 2 2 2 4 2 3" xfId="18890" xr:uid="{00000000-0005-0000-0000-0000F1630000}"/>
    <cellStyle name="Normal 5 3 2 2 2 4 2 3 2" xfId="43764" xr:uid="{00000000-0005-0000-0000-0000F2630000}"/>
    <cellStyle name="Normal 5 3 2 2 2 4 2 4" xfId="31331" xr:uid="{00000000-0005-0000-0000-0000F3630000}"/>
    <cellStyle name="Normal 5 3 2 2 2 4 3" xfId="12908" xr:uid="{00000000-0005-0000-0000-0000F4630000}"/>
    <cellStyle name="Normal 5 3 2 2 2 4 3 2" xfId="25342" xr:uid="{00000000-0005-0000-0000-0000F5630000}"/>
    <cellStyle name="Normal 5 3 2 2 2 4 3 2 2" xfId="50216" xr:uid="{00000000-0005-0000-0000-0000F6630000}"/>
    <cellStyle name="Normal 5 3 2 2 2 4 3 3" xfId="37783" xr:uid="{00000000-0005-0000-0000-0000F7630000}"/>
    <cellStyle name="Normal 5 3 2 2 2 4 4" xfId="9349" xr:uid="{00000000-0005-0000-0000-0000F8630000}"/>
    <cellStyle name="Normal 5 3 2 2 2 4 4 2" xfId="21792" xr:uid="{00000000-0005-0000-0000-0000F9630000}"/>
    <cellStyle name="Normal 5 3 2 2 2 4 4 2 2" xfId="46666" xr:uid="{00000000-0005-0000-0000-0000FA630000}"/>
    <cellStyle name="Normal 5 3 2 2 2 4 4 3" xfId="34233" xr:uid="{00000000-0005-0000-0000-0000FB630000}"/>
    <cellStyle name="Normal 5 3 2 2 2 4 5" xfId="4331" xr:uid="{00000000-0005-0000-0000-0000FC630000}"/>
    <cellStyle name="Normal 5 3 2 2 2 4 5 2" xfId="16785" xr:uid="{00000000-0005-0000-0000-0000FD630000}"/>
    <cellStyle name="Normal 5 3 2 2 2 4 5 2 2" xfId="41659" xr:uid="{00000000-0005-0000-0000-0000FE630000}"/>
    <cellStyle name="Normal 5 3 2 2 2 4 5 3" xfId="29226" xr:uid="{00000000-0005-0000-0000-0000FF630000}"/>
    <cellStyle name="Normal 5 3 2 2 2 4 6" xfId="15093" xr:uid="{00000000-0005-0000-0000-000000640000}"/>
    <cellStyle name="Normal 5 3 2 2 2 4 6 2" xfId="39967" xr:uid="{00000000-0005-0000-0000-000001640000}"/>
    <cellStyle name="Normal 5 3 2 2 2 4 7" xfId="27526" xr:uid="{00000000-0005-0000-0000-000002640000}"/>
    <cellStyle name="Normal 5 3 2 2 2 5" xfId="1250" xr:uid="{00000000-0005-0000-0000-000003640000}"/>
    <cellStyle name="Normal 5 3 2 2 2 5 2" xfId="10411" xr:uid="{00000000-0005-0000-0000-000004640000}"/>
    <cellStyle name="Normal 5 3 2 2 2 5 2 2" xfId="22854" xr:uid="{00000000-0005-0000-0000-000005640000}"/>
    <cellStyle name="Normal 5 3 2 2 2 5 2 2 2" xfId="47728" xr:uid="{00000000-0005-0000-0000-000006640000}"/>
    <cellStyle name="Normal 5 3 2 2 2 5 2 3" xfId="35295" xr:uid="{00000000-0005-0000-0000-000007640000}"/>
    <cellStyle name="Normal 5 3 2 2 2 5 3" xfId="5395" xr:uid="{00000000-0005-0000-0000-000008640000}"/>
    <cellStyle name="Normal 5 3 2 2 2 5 3 2" xfId="17847" xr:uid="{00000000-0005-0000-0000-000009640000}"/>
    <cellStyle name="Normal 5 3 2 2 2 5 3 2 2" xfId="42721" xr:uid="{00000000-0005-0000-0000-00000A640000}"/>
    <cellStyle name="Normal 5 3 2 2 2 5 3 3" xfId="30288" xr:uid="{00000000-0005-0000-0000-00000B640000}"/>
    <cellStyle name="Normal 5 3 2 2 2 5 4" xfId="14050" xr:uid="{00000000-0005-0000-0000-00000C640000}"/>
    <cellStyle name="Normal 5 3 2 2 2 5 4 2" xfId="38924" xr:uid="{00000000-0005-0000-0000-00000D640000}"/>
    <cellStyle name="Normal 5 3 2 2 2 5 5" xfId="26483" xr:uid="{00000000-0005-0000-0000-00000E640000}"/>
    <cellStyle name="Normal 5 3 2 2 2 6" xfId="7972" xr:uid="{00000000-0005-0000-0000-00000F640000}"/>
    <cellStyle name="Normal 5 3 2 2 2 6 2" xfId="20418" xr:uid="{00000000-0005-0000-0000-000010640000}"/>
    <cellStyle name="Normal 5 3 2 2 2 6 2 2" xfId="45292" xr:uid="{00000000-0005-0000-0000-000011640000}"/>
    <cellStyle name="Normal 5 3 2 2 2 6 3" xfId="32859" xr:uid="{00000000-0005-0000-0000-000012640000}"/>
    <cellStyle name="Normal 5 3 2 2 2 7" xfId="11865" xr:uid="{00000000-0005-0000-0000-000013640000}"/>
    <cellStyle name="Normal 5 3 2 2 2 7 2" xfId="24299" xr:uid="{00000000-0005-0000-0000-000014640000}"/>
    <cellStyle name="Normal 5 3 2 2 2 7 2 2" xfId="49173" xr:uid="{00000000-0005-0000-0000-000015640000}"/>
    <cellStyle name="Normal 5 3 2 2 2 7 3" xfId="36740" xr:uid="{00000000-0005-0000-0000-000016640000}"/>
    <cellStyle name="Normal 5 3 2 2 2 8" xfId="6942" xr:uid="{00000000-0005-0000-0000-000017640000}"/>
    <cellStyle name="Normal 5 3 2 2 2 8 2" xfId="19391" xr:uid="{00000000-0005-0000-0000-000018640000}"/>
    <cellStyle name="Normal 5 3 2 2 2 8 2 2" xfId="44265" xr:uid="{00000000-0005-0000-0000-000019640000}"/>
    <cellStyle name="Normal 5 3 2 2 2 8 3" xfId="31832" xr:uid="{00000000-0005-0000-0000-00001A640000}"/>
    <cellStyle name="Normal 5 3 2 2 2 9" xfId="2893" xr:uid="{00000000-0005-0000-0000-00001B640000}"/>
    <cellStyle name="Normal 5 3 2 2 2 9 2" xfId="15411" xr:uid="{00000000-0005-0000-0000-00001C640000}"/>
    <cellStyle name="Normal 5 3 2 2 2 9 2 2" xfId="40285" xr:uid="{00000000-0005-0000-0000-00001D640000}"/>
    <cellStyle name="Normal 5 3 2 2 2 9 3" xfId="27844" xr:uid="{00000000-0005-0000-0000-00001E640000}"/>
    <cellStyle name="Normal 5 3 2 2 2_Degree data" xfId="1980" xr:uid="{00000000-0005-0000-0000-00001F640000}"/>
    <cellStyle name="Normal 5 3 2 2 3" xfId="651" xr:uid="{00000000-0005-0000-0000-000020640000}"/>
    <cellStyle name="Normal 5 3 2 2 3 2" xfId="1456" xr:uid="{00000000-0005-0000-0000-000021640000}"/>
    <cellStyle name="Normal 5 3 2 2 3 2 2" xfId="9145" xr:uid="{00000000-0005-0000-0000-000022640000}"/>
    <cellStyle name="Normal 5 3 2 2 3 2 2 2" xfId="21588" xr:uid="{00000000-0005-0000-0000-000023640000}"/>
    <cellStyle name="Normal 5 3 2 2 3 2 2 2 2" xfId="46462" xr:uid="{00000000-0005-0000-0000-000024640000}"/>
    <cellStyle name="Normal 5 3 2 2 3 2 2 3" xfId="34029" xr:uid="{00000000-0005-0000-0000-000025640000}"/>
    <cellStyle name="Normal 5 3 2 2 3 2 3" xfId="4127" xr:uid="{00000000-0005-0000-0000-000026640000}"/>
    <cellStyle name="Normal 5 3 2 2 3 2 3 2" xfId="16581" xr:uid="{00000000-0005-0000-0000-000027640000}"/>
    <cellStyle name="Normal 5 3 2 2 3 2 3 2 2" xfId="41455" xr:uid="{00000000-0005-0000-0000-000028640000}"/>
    <cellStyle name="Normal 5 3 2 2 3 2 3 3" xfId="29022" xr:uid="{00000000-0005-0000-0000-000029640000}"/>
    <cellStyle name="Normal 5 3 2 2 3 2 4" xfId="14256" xr:uid="{00000000-0005-0000-0000-00002A640000}"/>
    <cellStyle name="Normal 5 3 2 2 3 2 4 2" xfId="39130" xr:uid="{00000000-0005-0000-0000-00002B640000}"/>
    <cellStyle name="Normal 5 3 2 2 3 2 5" xfId="26689" xr:uid="{00000000-0005-0000-0000-00002C640000}"/>
    <cellStyle name="Normal 5 3 2 2 3 3" xfId="5601" xr:uid="{00000000-0005-0000-0000-00002D640000}"/>
    <cellStyle name="Normal 5 3 2 2 3 3 2" xfId="10617" xr:uid="{00000000-0005-0000-0000-00002E640000}"/>
    <cellStyle name="Normal 5 3 2 2 3 3 2 2" xfId="23060" xr:uid="{00000000-0005-0000-0000-00002F640000}"/>
    <cellStyle name="Normal 5 3 2 2 3 3 2 2 2" xfId="47934" xr:uid="{00000000-0005-0000-0000-000030640000}"/>
    <cellStyle name="Normal 5 3 2 2 3 3 2 3" xfId="35501" xr:uid="{00000000-0005-0000-0000-000031640000}"/>
    <cellStyle name="Normal 5 3 2 2 3 3 3" xfId="18053" xr:uid="{00000000-0005-0000-0000-000032640000}"/>
    <cellStyle name="Normal 5 3 2 2 3 3 3 2" xfId="42927" xr:uid="{00000000-0005-0000-0000-000033640000}"/>
    <cellStyle name="Normal 5 3 2 2 3 3 4" xfId="30494" xr:uid="{00000000-0005-0000-0000-000034640000}"/>
    <cellStyle name="Normal 5 3 2 2 3 4" xfId="8261" xr:uid="{00000000-0005-0000-0000-000035640000}"/>
    <cellStyle name="Normal 5 3 2 2 3 4 2" xfId="20705" xr:uid="{00000000-0005-0000-0000-000036640000}"/>
    <cellStyle name="Normal 5 3 2 2 3 4 2 2" xfId="45579" xr:uid="{00000000-0005-0000-0000-000037640000}"/>
    <cellStyle name="Normal 5 3 2 2 3 4 3" xfId="33146" xr:uid="{00000000-0005-0000-0000-000038640000}"/>
    <cellStyle name="Normal 5 3 2 2 3 5" xfId="12071" xr:uid="{00000000-0005-0000-0000-000039640000}"/>
    <cellStyle name="Normal 5 3 2 2 3 5 2" xfId="24505" xr:uid="{00000000-0005-0000-0000-00003A640000}"/>
    <cellStyle name="Normal 5 3 2 2 3 5 2 2" xfId="49379" xr:uid="{00000000-0005-0000-0000-00003B640000}"/>
    <cellStyle name="Normal 5 3 2 2 3 5 3" xfId="36946" xr:uid="{00000000-0005-0000-0000-00003C640000}"/>
    <cellStyle name="Normal 5 3 2 2 3 6" xfId="6738" xr:uid="{00000000-0005-0000-0000-00003D640000}"/>
    <cellStyle name="Normal 5 3 2 2 3 6 2" xfId="19187" xr:uid="{00000000-0005-0000-0000-00003E640000}"/>
    <cellStyle name="Normal 5 3 2 2 3 6 2 2" xfId="44061" xr:uid="{00000000-0005-0000-0000-00003F640000}"/>
    <cellStyle name="Normal 5 3 2 2 3 6 3" xfId="31628" xr:uid="{00000000-0005-0000-0000-000040640000}"/>
    <cellStyle name="Normal 5 3 2 2 3 7" xfId="3192" xr:uid="{00000000-0005-0000-0000-000041640000}"/>
    <cellStyle name="Normal 5 3 2 2 3 7 2" xfId="15698" xr:uid="{00000000-0005-0000-0000-000042640000}"/>
    <cellStyle name="Normal 5 3 2 2 3 7 2 2" xfId="40572" xr:uid="{00000000-0005-0000-0000-000043640000}"/>
    <cellStyle name="Normal 5 3 2 2 3 7 3" xfId="28131" xr:uid="{00000000-0005-0000-0000-000044640000}"/>
    <cellStyle name="Normal 5 3 2 2 3 8" xfId="13455" xr:uid="{00000000-0005-0000-0000-000045640000}"/>
    <cellStyle name="Normal 5 3 2 2 3 8 2" xfId="38329" xr:uid="{00000000-0005-0000-0000-000046640000}"/>
    <cellStyle name="Normal 5 3 2 2 3 9" xfId="25888" xr:uid="{00000000-0005-0000-0000-000047640000}"/>
    <cellStyle name="Normal 5 3 2 2 4" xfId="1804" xr:uid="{00000000-0005-0000-0000-000048640000}"/>
    <cellStyle name="Normal 5 3 2 2 4 2" xfId="4542" xr:uid="{00000000-0005-0000-0000-000049640000}"/>
    <cellStyle name="Normal 5 3 2 2 4 2 2" xfId="9560" xr:uid="{00000000-0005-0000-0000-00004A640000}"/>
    <cellStyle name="Normal 5 3 2 2 4 2 2 2" xfId="22003" xr:uid="{00000000-0005-0000-0000-00004B640000}"/>
    <cellStyle name="Normal 5 3 2 2 4 2 2 2 2" xfId="46877" xr:uid="{00000000-0005-0000-0000-00004C640000}"/>
    <cellStyle name="Normal 5 3 2 2 4 2 2 3" xfId="34444" xr:uid="{00000000-0005-0000-0000-00004D640000}"/>
    <cellStyle name="Normal 5 3 2 2 4 2 3" xfId="16996" xr:uid="{00000000-0005-0000-0000-00004E640000}"/>
    <cellStyle name="Normal 5 3 2 2 4 2 3 2" xfId="41870" xr:uid="{00000000-0005-0000-0000-00004F640000}"/>
    <cellStyle name="Normal 5 3 2 2 4 2 4" xfId="29437" xr:uid="{00000000-0005-0000-0000-000050640000}"/>
    <cellStyle name="Normal 5 3 2 2 4 3" xfId="5950" xr:uid="{00000000-0005-0000-0000-000051640000}"/>
    <cellStyle name="Normal 5 3 2 2 4 3 2" xfId="10965" xr:uid="{00000000-0005-0000-0000-000052640000}"/>
    <cellStyle name="Normal 5 3 2 2 4 3 2 2" xfId="23408" xr:uid="{00000000-0005-0000-0000-000053640000}"/>
    <cellStyle name="Normal 5 3 2 2 4 3 2 2 2" xfId="48282" xr:uid="{00000000-0005-0000-0000-000054640000}"/>
    <cellStyle name="Normal 5 3 2 2 4 3 2 3" xfId="35849" xr:uid="{00000000-0005-0000-0000-000055640000}"/>
    <cellStyle name="Normal 5 3 2 2 4 3 3" xfId="18401" xr:uid="{00000000-0005-0000-0000-000056640000}"/>
    <cellStyle name="Normal 5 3 2 2 4 3 3 2" xfId="43275" xr:uid="{00000000-0005-0000-0000-000057640000}"/>
    <cellStyle name="Normal 5 3 2 2 4 3 4" xfId="30842" xr:uid="{00000000-0005-0000-0000-000058640000}"/>
    <cellStyle name="Normal 5 3 2 2 4 4" xfId="8676" xr:uid="{00000000-0005-0000-0000-000059640000}"/>
    <cellStyle name="Normal 5 3 2 2 4 4 2" xfId="21120" xr:uid="{00000000-0005-0000-0000-00005A640000}"/>
    <cellStyle name="Normal 5 3 2 2 4 4 2 2" xfId="45994" xr:uid="{00000000-0005-0000-0000-00005B640000}"/>
    <cellStyle name="Normal 5 3 2 2 4 4 3" xfId="33561" xr:uid="{00000000-0005-0000-0000-00005C640000}"/>
    <cellStyle name="Normal 5 3 2 2 4 5" xfId="12419" xr:uid="{00000000-0005-0000-0000-00005D640000}"/>
    <cellStyle name="Normal 5 3 2 2 4 5 2" xfId="24853" xr:uid="{00000000-0005-0000-0000-00005E640000}"/>
    <cellStyle name="Normal 5 3 2 2 4 5 2 2" xfId="49727" xr:uid="{00000000-0005-0000-0000-00005F640000}"/>
    <cellStyle name="Normal 5 3 2 2 4 5 3" xfId="37294" xr:uid="{00000000-0005-0000-0000-000060640000}"/>
    <cellStyle name="Normal 5 3 2 2 4 6" xfId="7153" xr:uid="{00000000-0005-0000-0000-000061640000}"/>
    <cellStyle name="Normal 5 3 2 2 4 6 2" xfId="19602" xr:uid="{00000000-0005-0000-0000-000062640000}"/>
    <cellStyle name="Normal 5 3 2 2 4 6 2 2" xfId="44476" xr:uid="{00000000-0005-0000-0000-000063640000}"/>
    <cellStyle name="Normal 5 3 2 2 4 6 3" xfId="32043" xr:uid="{00000000-0005-0000-0000-000064640000}"/>
    <cellStyle name="Normal 5 3 2 2 4 7" xfId="3607" xr:uid="{00000000-0005-0000-0000-000065640000}"/>
    <cellStyle name="Normal 5 3 2 2 4 7 2" xfId="16113" xr:uid="{00000000-0005-0000-0000-000066640000}"/>
    <cellStyle name="Normal 5 3 2 2 4 7 2 2" xfId="40987" xr:uid="{00000000-0005-0000-0000-000067640000}"/>
    <cellStyle name="Normal 5 3 2 2 4 7 3" xfId="28546" xr:uid="{00000000-0005-0000-0000-000068640000}"/>
    <cellStyle name="Normal 5 3 2 2 4 8" xfId="14604" xr:uid="{00000000-0005-0000-0000-000069640000}"/>
    <cellStyle name="Normal 5 3 2 2 4 8 2" xfId="39478" xr:uid="{00000000-0005-0000-0000-00006A640000}"/>
    <cellStyle name="Normal 5 3 2 2 4 9" xfId="27037" xr:uid="{00000000-0005-0000-0000-00006B640000}"/>
    <cellStyle name="Normal 5 3 2 2 5" xfId="2208" xr:uid="{00000000-0005-0000-0000-00006C640000}"/>
    <cellStyle name="Normal 5 3 2 2 5 2" xfId="4837" xr:uid="{00000000-0005-0000-0000-00006D640000}"/>
    <cellStyle name="Normal 5 3 2 2 5 2 2" xfId="9854" xr:uid="{00000000-0005-0000-0000-00006E640000}"/>
    <cellStyle name="Normal 5 3 2 2 5 2 2 2" xfId="22297" xr:uid="{00000000-0005-0000-0000-00006F640000}"/>
    <cellStyle name="Normal 5 3 2 2 5 2 2 2 2" xfId="47171" xr:uid="{00000000-0005-0000-0000-000070640000}"/>
    <cellStyle name="Normal 5 3 2 2 5 2 2 3" xfId="34738" xr:uid="{00000000-0005-0000-0000-000071640000}"/>
    <cellStyle name="Normal 5 3 2 2 5 2 3" xfId="17290" xr:uid="{00000000-0005-0000-0000-000072640000}"/>
    <cellStyle name="Normal 5 3 2 2 5 2 3 2" xfId="42164" xr:uid="{00000000-0005-0000-0000-000073640000}"/>
    <cellStyle name="Normal 5 3 2 2 5 2 4" xfId="29731" xr:uid="{00000000-0005-0000-0000-000074640000}"/>
    <cellStyle name="Normal 5 3 2 2 5 3" xfId="6235" xr:uid="{00000000-0005-0000-0000-000075640000}"/>
    <cellStyle name="Normal 5 3 2 2 5 3 2" xfId="11250" xr:uid="{00000000-0005-0000-0000-000076640000}"/>
    <cellStyle name="Normal 5 3 2 2 5 3 2 2" xfId="23693" xr:uid="{00000000-0005-0000-0000-000077640000}"/>
    <cellStyle name="Normal 5 3 2 2 5 3 2 2 2" xfId="48567" xr:uid="{00000000-0005-0000-0000-000078640000}"/>
    <cellStyle name="Normal 5 3 2 2 5 3 2 3" xfId="36134" xr:uid="{00000000-0005-0000-0000-000079640000}"/>
    <cellStyle name="Normal 5 3 2 2 5 3 3" xfId="18686" xr:uid="{00000000-0005-0000-0000-00007A640000}"/>
    <cellStyle name="Normal 5 3 2 2 5 3 3 2" xfId="43560" xr:uid="{00000000-0005-0000-0000-00007B640000}"/>
    <cellStyle name="Normal 5 3 2 2 5 3 4" xfId="31127" xr:uid="{00000000-0005-0000-0000-00007C640000}"/>
    <cellStyle name="Normal 5 3 2 2 5 4" xfId="8146" xr:uid="{00000000-0005-0000-0000-00007D640000}"/>
    <cellStyle name="Normal 5 3 2 2 5 4 2" xfId="20592" xr:uid="{00000000-0005-0000-0000-00007E640000}"/>
    <cellStyle name="Normal 5 3 2 2 5 4 2 2" xfId="45466" xr:uid="{00000000-0005-0000-0000-00007F640000}"/>
    <cellStyle name="Normal 5 3 2 2 5 4 3" xfId="33033" xr:uid="{00000000-0005-0000-0000-000080640000}"/>
    <cellStyle name="Normal 5 3 2 2 5 5" xfId="12704" xr:uid="{00000000-0005-0000-0000-000081640000}"/>
    <cellStyle name="Normal 5 3 2 2 5 5 2" xfId="25138" xr:uid="{00000000-0005-0000-0000-000082640000}"/>
    <cellStyle name="Normal 5 3 2 2 5 5 2 2" xfId="50012" xr:uid="{00000000-0005-0000-0000-000083640000}"/>
    <cellStyle name="Normal 5 3 2 2 5 5 3" xfId="37579" xr:uid="{00000000-0005-0000-0000-000084640000}"/>
    <cellStyle name="Normal 5 3 2 2 5 6" xfId="7448" xr:uid="{00000000-0005-0000-0000-000085640000}"/>
    <cellStyle name="Normal 5 3 2 2 5 6 2" xfId="19896" xr:uid="{00000000-0005-0000-0000-000086640000}"/>
    <cellStyle name="Normal 5 3 2 2 5 6 2 2" xfId="44770" xr:uid="{00000000-0005-0000-0000-000087640000}"/>
    <cellStyle name="Normal 5 3 2 2 5 6 3" xfId="32337" xr:uid="{00000000-0005-0000-0000-000088640000}"/>
    <cellStyle name="Normal 5 3 2 2 5 7" xfId="3076" xr:uid="{00000000-0005-0000-0000-000089640000}"/>
    <cellStyle name="Normal 5 3 2 2 5 7 2" xfId="15585" xr:uid="{00000000-0005-0000-0000-00008A640000}"/>
    <cellStyle name="Normal 5 3 2 2 5 7 2 2" xfId="40459" xr:uid="{00000000-0005-0000-0000-00008B640000}"/>
    <cellStyle name="Normal 5 3 2 2 5 7 3" xfId="28018" xr:uid="{00000000-0005-0000-0000-00008C640000}"/>
    <cellStyle name="Normal 5 3 2 2 5 8" xfId="14889" xr:uid="{00000000-0005-0000-0000-00008D640000}"/>
    <cellStyle name="Normal 5 3 2 2 5 8 2" xfId="39763" xr:uid="{00000000-0005-0000-0000-00008E640000}"/>
    <cellStyle name="Normal 5 3 2 2 5 9" xfId="27322" xr:uid="{00000000-0005-0000-0000-00008F640000}"/>
    <cellStyle name="Normal 5 3 2 2 6" xfId="1046" xr:uid="{00000000-0005-0000-0000-000090640000}"/>
    <cellStyle name="Normal 5 3 2 2 6 2" xfId="9032" xr:uid="{00000000-0005-0000-0000-000091640000}"/>
    <cellStyle name="Normal 5 3 2 2 6 2 2" xfId="21475" xr:uid="{00000000-0005-0000-0000-000092640000}"/>
    <cellStyle name="Normal 5 3 2 2 6 2 2 2" xfId="46349" xr:uid="{00000000-0005-0000-0000-000093640000}"/>
    <cellStyle name="Normal 5 3 2 2 6 2 3" xfId="33916" xr:uid="{00000000-0005-0000-0000-000094640000}"/>
    <cellStyle name="Normal 5 3 2 2 6 3" xfId="4014" xr:uid="{00000000-0005-0000-0000-000095640000}"/>
    <cellStyle name="Normal 5 3 2 2 6 3 2" xfId="16468" xr:uid="{00000000-0005-0000-0000-000096640000}"/>
    <cellStyle name="Normal 5 3 2 2 6 3 2 2" xfId="41342" xr:uid="{00000000-0005-0000-0000-000097640000}"/>
    <cellStyle name="Normal 5 3 2 2 6 3 3" xfId="28909" xr:uid="{00000000-0005-0000-0000-000098640000}"/>
    <cellStyle name="Normal 5 3 2 2 6 4" xfId="13846" xr:uid="{00000000-0005-0000-0000-000099640000}"/>
    <cellStyle name="Normal 5 3 2 2 6 4 2" xfId="38720" xr:uid="{00000000-0005-0000-0000-00009A640000}"/>
    <cellStyle name="Normal 5 3 2 2 6 5" xfId="26279" xr:uid="{00000000-0005-0000-0000-00009B640000}"/>
    <cellStyle name="Normal 5 3 2 2 7" xfId="5191" xr:uid="{00000000-0005-0000-0000-00009C640000}"/>
    <cellStyle name="Normal 5 3 2 2 7 2" xfId="10207" xr:uid="{00000000-0005-0000-0000-00009D640000}"/>
    <cellStyle name="Normal 5 3 2 2 7 2 2" xfId="22650" xr:uid="{00000000-0005-0000-0000-00009E640000}"/>
    <cellStyle name="Normal 5 3 2 2 7 2 2 2" xfId="47524" xr:uid="{00000000-0005-0000-0000-00009F640000}"/>
    <cellStyle name="Normal 5 3 2 2 7 2 3" xfId="35091" xr:uid="{00000000-0005-0000-0000-0000A0640000}"/>
    <cellStyle name="Normal 5 3 2 2 7 3" xfId="17643" xr:uid="{00000000-0005-0000-0000-0000A1640000}"/>
    <cellStyle name="Normal 5 3 2 2 7 3 2" xfId="42517" xr:uid="{00000000-0005-0000-0000-0000A2640000}"/>
    <cellStyle name="Normal 5 3 2 2 7 4" xfId="30084" xr:uid="{00000000-0005-0000-0000-0000A3640000}"/>
    <cellStyle name="Normal 5 3 2 2 8" xfId="7768" xr:uid="{00000000-0005-0000-0000-0000A4640000}"/>
    <cellStyle name="Normal 5 3 2 2 8 2" xfId="20214" xr:uid="{00000000-0005-0000-0000-0000A5640000}"/>
    <cellStyle name="Normal 5 3 2 2 8 2 2" xfId="45088" xr:uid="{00000000-0005-0000-0000-0000A6640000}"/>
    <cellStyle name="Normal 5 3 2 2 8 3" xfId="32655" xr:uid="{00000000-0005-0000-0000-0000A7640000}"/>
    <cellStyle name="Normal 5 3 2 2 9" xfId="11661" xr:uid="{00000000-0005-0000-0000-0000A8640000}"/>
    <cellStyle name="Normal 5 3 2 2 9 2" xfId="24095" xr:uid="{00000000-0005-0000-0000-0000A9640000}"/>
    <cellStyle name="Normal 5 3 2 2 9 2 2" xfId="48969" xr:uid="{00000000-0005-0000-0000-0000AA640000}"/>
    <cellStyle name="Normal 5 3 2 2 9 3" xfId="36536" xr:uid="{00000000-0005-0000-0000-0000AB640000}"/>
    <cellStyle name="Normal 5 3 2 2_Degree data" xfId="1981" xr:uid="{00000000-0005-0000-0000-0000AC640000}"/>
    <cellStyle name="Normal 5 3 2 3" xfId="456" xr:uid="{00000000-0005-0000-0000-0000AD640000}"/>
    <cellStyle name="Normal 5 3 2 3 10" xfId="2850" xr:uid="{00000000-0005-0000-0000-0000AE640000}"/>
    <cellStyle name="Normal 5 3 2 3 10 2" xfId="15368" xr:uid="{00000000-0005-0000-0000-0000AF640000}"/>
    <cellStyle name="Normal 5 3 2 3 10 2 2" xfId="40242" xr:uid="{00000000-0005-0000-0000-0000B0640000}"/>
    <cellStyle name="Normal 5 3 2 3 10 3" xfId="27801" xr:uid="{00000000-0005-0000-0000-0000B1640000}"/>
    <cellStyle name="Normal 5 3 2 3 11" xfId="13269" xr:uid="{00000000-0005-0000-0000-0000B2640000}"/>
    <cellStyle name="Normal 5 3 2 3 11 2" xfId="38143" xr:uid="{00000000-0005-0000-0000-0000B3640000}"/>
    <cellStyle name="Normal 5 3 2 3 12" xfId="25702" xr:uid="{00000000-0005-0000-0000-0000B4640000}"/>
    <cellStyle name="Normal 5 3 2 3 2" xfId="815" xr:uid="{00000000-0005-0000-0000-0000B5640000}"/>
    <cellStyle name="Normal 5 3 2 3 2 2" xfId="1458" xr:uid="{00000000-0005-0000-0000-0000B6640000}"/>
    <cellStyle name="Normal 5 3 2 3 2 2 2" xfId="9306" xr:uid="{00000000-0005-0000-0000-0000B7640000}"/>
    <cellStyle name="Normal 5 3 2 3 2 2 2 2" xfId="21749" xr:uid="{00000000-0005-0000-0000-0000B8640000}"/>
    <cellStyle name="Normal 5 3 2 3 2 2 2 2 2" xfId="46623" xr:uid="{00000000-0005-0000-0000-0000B9640000}"/>
    <cellStyle name="Normal 5 3 2 3 2 2 2 3" xfId="34190" xr:uid="{00000000-0005-0000-0000-0000BA640000}"/>
    <cellStyle name="Normal 5 3 2 3 2 2 3" xfId="4288" xr:uid="{00000000-0005-0000-0000-0000BB640000}"/>
    <cellStyle name="Normal 5 3 2 3 2 2 3 2" xfId="16742" xr:uid="{00000000-0005-0000-0000-0000BC640000}"/>
    <cellStyle name="Normal 5 3 2 3 2 2 3 2 2" xfId="41616" xr:uid="{00000000-0005-0000-0000-0000BD640000}"/>
    <cellStyle name="Normal 5 3 2 3 2 2 3 3" xfId="29183" xr:uid="{00000000-0005-0000-0000-0000BE640000}"/>
    <cellStyle name="Normal 5 3 2 3 2 2 4" xfId="14258" xr:uid="{00000000-0005-0000-0000-0000BF640000}"/>
    <cellStyle name="Normal 5 3 2 3 2 2 4 2" xfId="39132" xr:uid="{00000000-0005-0000-0000-0000C0640000}"/>
    <cellStyle name="Normal 5 3 2 3 2 2 5" xfId="26691" xr:uid="{00000000-0005-0000-0000-0000C1640000}"/>
    <cellStyle name="Normal 5 3 2 3 2 3" xfId="5603" xr:uid="{00000000-0005-0000-0000-0000C2640000}"/>
    <cellStyle name="Normal 5 3 2 3 2 3 2" xfId="10619" xr:uid="{00000000-0005-0000-0000-0000C3640000}"/>
    <cellStyle name="Normal 5 3 2 3 2 3 2 2" xfId="23062" xr:uid="{00000000-0005-0000-0000-0000C4640000}"/>
    <cellStyle name="Normal 5 3 2 3 2 3 2 2 2" xfId="47936" xr:uid="{00000000-0005-0000-0000-0000C5640000}"/>
    <cellStyle name="Normal 5 3 2 3 2 3 2 3" xfId="35503" xr:uid="{00000000-0005-0000-0000-0000C6640000}"/>
    <cellStyle name="Normal 5 3 2 3 2 3 3" xfId="18055" xr:uid="{00000000-0005-0000-0000-0000C7640000}"/>
    <cellStyle name="Normal 5 3 2 3 2 3 3 2" xfId="42929" xr:uid="{00000000-0005-0000-0000-0000C8640000}"/>
    <cellStyle name="Normal 5 3 2 3 2 3 4" xfId="30496" xr:uid="{00000000-0005-0000-0000-0000C9640000}"/>
    <cellStyle name="Normal 5 3 2 3 2 4" xfId="8422" xr:uid="{00000000-0005-0000-0000-0000CA640000}"/>
    <cellStyle name="Normal 5 3 2 3 2 4 2" xfId="20866" xr:uid="{00000000-0005-0000-0000-0000CB640000}"/>
    <cellStyle name="Normal 5 3 2 3 2 4 2 2" xfId="45740" xr:uid="{00000000-0005-0000-0000-0000CC640000}"/>
    <cellStyle name="Normal 5 3 2 3 2 4 3" xfId="33307" xr:uid="{00000000-0005-0000-0000-0000CD640000}"/>
    <cellStyle name="Normal 5 3 2 3 2 5" xfId="12073" xr:uid="{00000000-0005-0000-0000-0000CE640000}"/>
    <cellStyle name="Normal 5 3 2 3 2 5 2" xfId="24507" xr:uid="{00000000-0005-0000-0000-0000CF640000}"/>
    <cellStyle name="Normal 5 3 2 3 2 5 2 2" xfId="49381" xr:uid="{00000000-0005-0000-0000-0000D0640000}"/>
    <cellStyle name="Normal 5 3 2 3 2 5 3" xfId="36948" xr:uid="{00000000-0005-0000-0000-0000D1640000}"/>
    <cellStyle name="Normal 5 3 2 3 2 6" xfId="6899" xr:uid="{00000000-0005-0000-0000-0000D2640000}"/>
    <cellStyle name="Normal 5 3 2 3 2 6 2" xfId="19348" xr:uid="{00000000-0005-0000-0000-0000D3640000}"/>
    <cellStyle name="Normal 5 3 2 3 2 6 2 2" xfId="44222" xr:uid="{00000000-0005-0000-0000-0000D4640000}"/>
    <cellStyle name="Normal 5 3 2 3 2 6 3" xfId="31789" xr:uid="{00000000-0005-0000-0000-0000D5640000}"/>
    <cellStyle name="Normal 5 3 2 3 2 7" xfId="3353" xr:uid="{00000000-0005-0000-0000-0000D6640000}"/>
    <cellStyle name="Normal 5 3 2 3 2 7 2" xfId="15859" xr:uid="{00000000-0005-0000-0000-0000D7640000}"/>
    <cellStyle name="Normal 5 3 2 3 2 7 2 2" xfId="40733" xr:uid="{00000000-0005-0000-0000-0000D8640000}"/>
    <cellStyle name="Normal 5 3 2 3 2 7 3" xfId="28292" xr:uid="{00000000-0005-0000-0000-0000D9640000}"/>
    <cellStyle name="Normal 5 3 2 3 2 8" xfId="13616" xr:uid="{00000000-0005-0000-0000-0000DA640000}"/>
    <cellStyle name="Normal 5 3 2 3 2 8 2" xfId="38490" xr:uid="{00000000-0005-0000-0000-0000DB640000}"/>
    <cellStyle name="Normal 5 3 2 3 2 9" xfId="26049" xr:uid="{00000000-0005-0000-0000-0000DC640000}"/>
    <cellStyle name="Normal 5 3 2 3 3" xfId="1806" xr:uid="{00000000-0005-0000-0000-0000DD640000}"/>
    <cellStyle name="Normal 5 3 2 3 3 2" xfId="4544" xr:uid="{00000000-0005-0000-0000-0000DE640000}"/>
    <cellStyle name="Normal 5 3 2 3 3 2 2" xfId="9562" xr:uid="{00000000-0005-0000-0000-0000DF640000}"/>
    <cellStyle name="Normal 5 3 2 3 3 2 2 2" xfId="22005" xr:uid="{00000000-0005-0000-0000-0000E0640000}"/>
    <cellStyle name="Normal 5 3 2 3 3 2 2 2 2" xfId="46879" xr:uid="{00000000-0005-0000-0000-0000E1640000}"/>
    <cellStyle name="Normal 5 3 2 3 3 2 2 3" xfId="34446" xr:uid="{00000000-0005-0000-0000-0000E2640000}"/>
    <cellStyle name="Normal 5 3 2 3 3 2 3" xfId="16998" xr:uid="{00000000-0005-0000-0000-0000E3640000}"/>
    <cellStyle name="Normal 5 3 2 3 3 2 3 2" xfId="41872" xr:uid="{00000000-0005-0000-0000-0000E4640000}"/>
    <cellStyle name="Normal 5 3 2 3 3 2 4" xfId="29439" xr:uid="{00000000-0005-0000-0000-0000E5640000}"/>
    <cellStyle name="Normal 5 3 2 3 3 3" xfId="5952" xr:uid="{00000000-0005-0000-0000-0000E6640000}"/>
    <cellStyle name="Normal 5 3 2 3 3 3 2" xfId="10967" xr:uid="{00000000-0005-0000-0000-0000E7640000}"/>
    <cellStyle name="Normal 5 3 2 3 3 3 2 2" xfId="23410" xr:uid="{00000000-0005-0000-0000-0000E8640000}"/>
    <cellStyle name="Normal 5 3 2 3 3 3 2 2 2" xfId="48284" xr:uid="{00000000-0005-0000-0000-0000E9640000}"/>
    <cellStyle name="Normal 5 3 2 3 3 3 2 3" xfId="35851" xr:uid="{00000000-0005-0000-0000-0000EA640000}"/>
    <cellStyle name="Normal 5 3 2 3 3 3 3" xfId="18403" xr:uid="{00000000-0005-0000-0000-0000EB640000}"/>
    <cellStyle name="Normal 5 3 2 3 3 3 3 2" xfId="43277" xr:uid="{00000000-0005-0000-0000-0000EC640000}"/>
    <cellStyle name="Normal 5 3 2 3 3 3 4" xfId="30844" xr:uid="{00000000-0005-0000-0000-0000ED640000}"/>
    <cellStyle name="Normal 5 3 2 3 3 4" xfId="8678" xr:uid="{00000000-0005-0000-0000-0000EE640000}"/>
    <cellStyle name="Normal 5 3 2 3 3 4 2" xfId="21122" xr:uid="{00000000-0005-0000-0000-0000EF640000}"/>
    <cellStyle name="Normal 5 3 2 3 3 4 2 2" xfId="45996" xr:uid="{00000000-0005-0000-0000-0000F0640000}"/>
    <cellStyle name="Normal 5 3 2 3 3 4 3" xfId="33563" xr:uid="{00000000-0005-0000-0000-0000F1640000}"/>
    <cellStyle name="Normal 5 3 2 3 3 5" xfId="12421" xr:uid="{00000000-0005-0000-0000-0000F2640000}"/>
    <cellStyle name="Normal 5 3 2 3 3 5 2" xfId="24855" xr:uid="{00000000-0005-0000-0000-0000F3640000}"/>
    <cellStyle name="Normal 5 3 2 3 3 5 2 2" xfId="49729" xr:uid="{00000000-0005-0000-0000-0000F4640000}"/>
    <cellStyle name="Normal 5 3 2 3 3 5 3" xfId="37296" xr:uid="{00000000-0005-0000-0000-0000F5640000}"/>
    <cellStyle name="Normal 5 3 2 3 3 6" xfId="7155" xr:uid="{00000000-0005-0000-0000-0000F6640000}"/>
    <cellStyle name="Normal 5 3 2 3 3 6 2" xfId="19604" xr:uid="{00000000-0005-0000-0000-0000F7640000}"/>
    <cellStyle name="Normal 5 3 2 3 3 6 2 2" xfId="44478" xr:uid="{00000000-0005-0000-0000-0000F8640000}"/>
    <cellStyle name="Normal 5 3 2 3 3 6 3" xfId="32045" xr:uid="{00000000-0005-0000-0000-0000F9640000}"/>
    <cellStyle name="Normal 5 3 2 3 3 7" xfId="3609" xr:uid="{00000000-0005-0000-0000-0000FA640000}"/>
    <cellStyle name="Normal 5 3 2 3 3 7 2" xfId="16115" xr:uid="{00000000-0005-0000-0000-0000FB640000}"/>
    <cellStyle name="Normal 5 3 2 3 3 7 2 2" xfId="40989" xr:uid="{00000000-0005-0000-0000-0000FC640000}"/>
    <cellStyle name="Normal 5 3 2 3 3 7 3" xfId="28548" xr:uid="{00000000-0005-0000-0000-0000FD640000}"/>
    <cellStyle name="Normal 5 3 2 3 3 8" xfId="14606" xr:uid="{00000000-0005-0000-0000-0000FE640000}"/>
    <cellStyle name="Normal 5 3 2 3 3 8 2" xfId="39480" xr:uid="{00000000-0005-0000-0000-0000FF640000}"/>
    <cellStyle name="Normal 5 3 2 3 3 9" xfId="27039" xr:uid="{00000000-0005-0000-0000-000000650000}"/>
    <cellStyle name="Normal 5 3 2 3 4" xfId="2374" xr:uid="{00000000-0005-0000-0000-000001650000}"/>
    <cellStyle name="Normal 5 3 2 3 4 2" xfId="4998" xr:uid="{00000000-0005-0000-0000-000002650000}"/>
    <cellStyle name="Normal 5 3 2 3 4 2 2" xfId="10015" xr:uid="{00000000-0005-0000-0000-000003650000}"/>
    <cellStyle name="Normal 5 3 2 3 4 2 2 2" xfId="22458" xr:uid="{00000000-0005-0000-0000-000004650000}"/>
    <cellStyle name="Normal 5 3 2 3 4 2 2 2 2" xfId="47332" xr:uid="{00000000-0005-0000-0000-000005650000}"/>
    <cellStyle name="Normal 5 3 2 3 4 2 2 3" xfId="34899" xr:uid="{00000000-0005-0000-0000-000006650000}"/>
    <cellStyle name="Normal 5 3 2 3 4 2 3" xfId="17451" xr:uid="{00000000-0005-0000-0000-000007650000}"/>
    <cellStyle name="Normal 5 3 2 3 4 2 3 2" xfId="42325" xr:uid="{00000000-0005-0000-0000-000008650000}"/>
    <cellStyle name="Normal 5 3 2 3 4 2 4" xfId="29892" xr:uid="{00000000-0005-0000-0000-000009650000}"/>
    <cellStyle name="Normal 5 3 2 3 4 3" xfId="6396" xr:uid="{00000000-0005-0000-0000-00000A650000}"/>
    <cellStyle name="Normal 5 3 2 3 4 3 2" xfId="11411" xr:uid="{00000000-0005-0000-0000-00000B650000}"/>
    <cellStyle name="Normal 5 3 2 3 4 3 2 2" xfId="23854" xr:uid="{00000000-0005-0000-0000-00000C650000}"/>
    <cellStyle name="Normal 5 3 2 3 4 3 2 2 2" xfId="48728" xr:uid="{00000000-0005-0000-0000-00000D650000}"/>
    <cellStyle name="Normal 5 3 2 3 4 3 2 3" xfId="36295" xr:uid="{00000000-0005-0000-0000-00000E650000}"/>
    <cellStyle name="Normal 5 3 2 3 4 3 3" xfId="18847" xr:uid="{00000000-0005-0000-0000-00000F650000}"/>
    <cellStyle name="Normal 5 3 2 3 4 3 3 2" xfId="43721" xr:uid="{00000000-0005-0000-0000-000010650000}"/>
    <cellStyle name="Normal 5 3 2 3 4 3 4" xfId="31288" xr:uid="{00000000-0005-0000-0000-000011650000}"/>
    <cellStyle name="Normal 5 3 2 3 4 4" xfId="8103" xr:uid="{00000000-0005-0000-0000-000012650000}"/>
    <cellStyle name="Normal 5 3 2 3 4 4 2" xfId="20549" xr:uid="{00000000-0005-0000-0000-000013650000}"/>
    <cellStyle name="Normal 5 3 2 3 4 4 2 2" xfId="45423" xr:uid="{00000000-0005-0000-0000-000014650000}"/>
    <cellStyle name="Normal 5 3 2 3 4 4 3" xfId="32990" xr:uid="{00000000-0005-0000-0000-000015650000}"/>
    <cellStyle name="Normal 5 3 2 3 4 5" xfId="12865" xr:uid="{00000000-0005-0000-0000-000016650000}"/>
    <cellStyle name="Normal 5 3 2 3 4 5 2" xfId="25299" xr:uid="{00000000-0005-0000-0000-000017650000}"/>
    <cellStyle name="Normal 5 3 2 3 4 5 2 2" xfId="50173" xr:uid="{00000000-0005-0000-0000-000018650000}"/>
    <cellStyle name="Normal 5 3 2 3 4 5 3" xfId="37740" xr:uid="{00000000-0005-0000-0000-000019650000}"/>
    <cellStyle name="Normal 5 3 2 3 4 6" xfId="7609" xr:uid="{00000000-0005-0000-0000-00001A650000}"/>
    <cellStyle name="Normal 5 3 2 3 4 6 2" xfId="20057" xr:uid="{00000000-0005-0000-0000-00001B650000}"/>
    <cellStyle name="Normal 5 3 2 3 4 6 2 2" xfId="44931" xr:uid="{00000000-0005-0000-0000-00001C650000}"/>
    <cellStyle name="Normal 5 3 2 3 4 6 3" xfId="32498" xr:uid="{00000000-0005-0000-0000-00001D650000}"/>
    <cellStyle name="Normal 5 3 2 3 4 7" xfId="3033" xr:uid="{00000000-0005-0000-0000-00001E650000}"/>
    <cellStyle name="Normal 5 3 2 3 4 7 2" xfId="15542" xr:uid="{00000000-0005-0000-0000-00001F650000}"/>
    <cellStyle name="Normal 5 3 2 3 4 7 2 2" xfId="40416" xr:uid="{00000000-0005-0000-0000-000020650000}"/>
    <cellStyle name="Normal 5 3 2 3 4 7 3" xfId="27975" xr:uid="{00000000-0005-0000-0000-000021650000}"/>
    <cellStyle name="Normal 5 3 2 3 4 8" xfId="15050" xr:uid="{00000000-0005-0000-0000-000022650000}"/>
    <cellStyle name="Normal 5 3 2 3 4 8 2" xfId="39924" xr:uid="{00000000-0005-0000-0000-000023650000}"/>
    <cellStyle name="Normal 5 3 2 3 4 9" xfId="27483" xr:uid="{00000000-0005-0000-0000-000024650000}"/>
    <cellStyle name="Normal 5 3 2 3 5" xfId="1207" xr:uid="{00000000-0005-0000-0000-000025650000}"/>
    <cellStyle name="Normal 5 3 2 3 5 2" xfId="8989" xr:uid="{00000000-0005-0000-0000-000026650000}"/>
    <cellStyle name="Normal 5 3 2 3 5 2 2" xfId="21432" xr:uid="{00000000-0005-0000-0000-000027650000}"/>
    <cellStyle name="Normal 5 3 2 3 5 2 2 2" xfId="46306" xr:uid="{00000000-0005-0000-0000-000028650000}"/>
    <cellStyle name="Normal 5 3 2 3 5 2 3" xfId="33873" xr:uid="{00000000-0005-0000-0000-000029650000}"/>
    <cellStyle name="Normal 5 3 2 3 5 3" xfId="3971" xr:uid="{00000000-0005-0000-0000-00002A650000}"/>
    <cellStyle name="Normal 5 3 2 3 5 3 2" xfId="16425" xr:uid="{00000000-0005-0000-0000-00002B650000}"/>
    <cellStyle name="Normal 5 3 2 3 5 3 2 2" xfId="41299" xr:uid="{00000000-0005-0000-0000-00002C650000}"/>
    <cellStyle name="Normal 5 3 2 3 5 3 3" xfId="28866" xr:uid="{00000000-0005-0000-0000-00002D650000}"/>
    <cellStyle name="Normal 5 3 2 3 5 4" xfId="14007" xr:uid="{00000000-0005-0000-0000-00002E650000}"/>
    <cellStyle name="Normal 5 3 2 3 5 4 2" xfId="38881" xr:uid="{00000000-0005-0000-0000-00002F650000}"/>
    <cellStyle name="Normal 5 3 2 3 5 5" xfId="26440" xr:uid="{00000000-0005-0000-0000-000030650000}"/>
    <cellStyle name="Normal 5 3 2 3 6" xfId="5352" xr:uid="{00000000-0005-0000-0000-000031650000}"/>
    <cellStyle name="Normal 5 3 2 3 6 2" xfId="10368" xr:uid="{00000000-0005-0000-0000-000032650000}"/>
    <cellStyle name="Normal 5 3 2 3 6 2 2" xfId="22811" xr:uid="{00000000-0005-0000-0000-000033650000}"/>
    <cellStyle name="Normal 5 3 2 3 6 2 2 2" xfId="47685" xr:uid="{00000000-0005-0000-0000-000034650000}"/>
    <cellStyle name="Normal 5 3 2 3 6 2 3" xfId="35252" xr:uid="{00000000-0005-0000-0000-000035650000}"/>
    <cellStyle name="Normal 5 3 2 3 6 3" xfId="17804" xr:uid="{00000000-0005-0000-0000-000036650000}"/>
    <cellStyle name="Normal 5 3 2 3 6 3 2" xfId="42678" xr:uid="{00000000-0005-0000-0000-000037650000}"/>
    <cellStyle name="Normal 5 3 2 3 6 4" xfId="30245" xr:uid="{00000000-0005-0000-0000-000038650000}"/>
    <cellStyle name="Normal 5 3 2 3 7" xfId="7929" xr:uid="{00000000-0005-0000-0000-000039650000}"/>
    <cellStyle name="Normal 5 3 2 3 7 2" xfId="20375" xr:uid="{00000000-0005-0000-0000-00003A650000}"/>
    <cellStyle name="Normal 5 3 2 3 7 2 2" xfId="45249" xr:uid="{00000000-0005-0000-0000-00003B650000}"/>
    <cellStyle name="Normal 5 3 2 3 7 3" xfId="32816" xr:uid="{00000000-0005-0000-0000-00003C650000}"/>
    <cellStyle name="Normal 5 3 2 3 8" xfId="11822" xr:uid="{00000000-0005-0000-0000-00003D650000}"/>
    <cellStyle name="Normal 5 3 2 3 8 2" xfId="24256" xr:uid="{00000000-0005-0000-0000-00003E650000}"/>
    <cellStyle name="Normal 5 3 2 3 8 2 2" xfId="49130" xr:uid="{00000000-0005-0000-0000-00003F650000}"/>
    <cellStyle name="Normal 5 3 2 3 8 3" xfId="36697" xr:uid="{00000000-0005-0000-0000-000040650000}"/>
    <cellStyle name="Normal 5 3 2 3 9" xfId="6582" xr:uid="{00000000-0005-0000-0000-000041650000}"/>
    <cellStyle name="Normal 5 3 2 3 9 2" xfId="19031" xr:uid="{00000000-0005-0000-0000-000042650000}"/>
    <cellStyle name="Normal 5 3 2 3 9 2 2" xfId="43905" xr:uid="{00000000-0005-0000-0000-000043650000}"/>
    <cellStyle name="Normal 5 3 2 3 9 3" xfId="31472" xr:uid="{00000000-0005-0000-0000-000044650000}"/>
    <cellStyle name="Normal 5 3 2 3_Degree data" xfId="1979" xr:uid="{00000000-0005-0000-0000-000045650000}"/>
    <cellStyle name="Normal 5 3 2 4" xfId="392" xr:uid="{00000000-0005-0000-0000-000046650000}"/>
    <cellStyle name="Normal 5 3 2 4 10" xfId="13208" xr:uid="{00000000-0005-0000-0000-000047650000}"/>
    <cellStyle name="Normal 5 3 2 4 10 2" xfId="38082" xr:uid="{00000000-0005-0000-0000-000048650000}"/>
    <cellStyle name="Normal 5 3 2 4 11" xfId="25641" xr:uid="{00000000-0005-0000-0000-000049650000}"/>
    <cellStyle name="Normal 5 3 2 4 2" xfId="752" xr:uid="{00000000-0005-0000-0000-00004A650000}"/>
    <cellStyle name="Normal 5 3 2 4 2 2" xfId="1459" xr:uid="{00000000-0005-0000-0000-00004B650000}"/>
    <cellStyle name="Normal 5 3 2 4 2 2 2" xfId="9563" xr:uid="{00000000-0005-0000-0000-00004C650000}"/>
    <cellStyle name="Normal 5 3 2 4 2 2 2 2" xfId="22006" xr:uid="{00000000-0005-0000-0000-00004D650000}"/>
    <cellStyle name="Normal 5 3 2 4 2 2 2 2 2" xfId="46880" xr:uid="{00000000-0005-0000-0000-00004E650000}"/>
    <cellStyle name="Normal 5 3 2 4 2 2 2 3" xfId="34447" xr:uid="{00000000-0005-0000-0000-00004F650000}"/>
    <cellStyle name="Normal 5 3 2 4 2 2 3" xfId="4545" xr:uid="{00000000-0005-0000-0000-000050650000}"/>
    <cellStyle name="Normal 5 3 2 4 2 2 3 2" xfId="16999" xr:uid="{00000000-0005-0000-0000-000051650000}"/>
    <cellStyle name="Normal 5 3 2 4 2 2 3 2 2" xfId="41873" xr:uid="{00000000-0005-0000-0000-000052650000}"/>
    <cellStyle name="Normal 5 3 2 4 2 2 3 3" xfId="29440" xr:uid="{00000000-0005-0000-0000-000053650000}"/>
    <cellStyle name="Normal 5 3 2 4 2 2 4" xfId="14259" xr:uid="{00000000-0005-0000-0000-000054650000}"/>
    <cellStyle name="Normal 5 3 2 4 2 2 4 2" xfId="39133" xr:uid="{00000000-0005-0000-0000-000055650000}"/>
    <cellStyle name="Normal 5 3 2 4 2 2 5" xfId="26692" xr:uid="{00000000-0005-0000-0000-000056650000}"/>
    <cellStyle name="Normal 5 3 2 4 2 3" xfId="5604" xr:uid="{00000000-0005-0000-0000-000057650000}"/>
    <cellStyle name="Normal 5 3 2 4 2 3 2" xfId="10620" xr:uid="{00000000-0005-0000-0000-000058650000}"/>
    <cellStyle name="Normal 5 3 2 4 2 3 2 2" xfId="23063" xr:uid="{00000000-0005-0000-0000-000059650000}"/>
    <cellStyle name="Normal 5 3 2 4 2 3 2 2 2" xfId="47937" xr:uid="{00000000-0005-0000-0000-00005A650000}"/>
    <cellStyle name="Normal 5 3 2 4 2 3 2 3" xfId="35504" xr:uid="{00000000-0005-0000-0000-00005B650000}"/>
    <cellStyle name="Normal 5 3 2 4 2 3 3" xfId="18056" xr:uid="{00000000-0005-0000-0000-00005C650000}"/>
    <cellStyle name="Normal 5 3 2 4 2 3 3 2" xfId="42930" xr:uid="{00000000-0005-0000-0000-00005D650000}"/>
    <cellStyle name="Normal 5 3 2 4 2 3 4" xfId="30497" xr:uid="{00000000-0005-0000-0000-00005E650000}"/>
    <cellStyle name="Normal 5 3 2 4 2 4" xfId="8679" xr:uid="{00000000-0005-0000-0000-00005F650000}"/>
    <cellStyle name="Normal 5 3 2 4 2 4 2" xfId="21123" xr:uid="{00000000-0005-0000-0000-000060650000}"/>
    <cellStyle name="Normal 5 3 2 4 2 4 2 2" xfId="45997" xr:uid="{00000000-0005-0000-0000-000061650000}"/>
    <cellStyle name="Normal 5 3 2 4 2 4 3" xfId="33564" xr:uid="{00000000-0005-0000-0000-000062650000}"/>
    <cellStyle name="Normal 5 3 2 4 2 5" xfId="12074" xr:uid="{00000000-0005-0000-0000-000063650000}"/>
    <cellStyle name="Normal 5 3 2 4 2 5 2" xfId="24508" xr:uid="{00000000-0005-0000-0000-000064650000}"/>
    <cellStyle name="Normal 5 3 2 4 2 5 2 2" xfId="49382" xr:uid="{00000000-0005-0000-0000-000065650000}"/>
    <cellStyle name="Normal 5 3 2 4 2 5 3" xfId="36949" xr:uid="{00000000-0005-0000-0000-000066650000}"/>
    <cellStyle name="Normal 5 3 2 4 2 6" xfId="7156" xr:uid="{00000000-0005-0000-0000-000067650000}"/>
    <cellStyle name="Normal 5 3 2 4 2 6 2" xfId="19605" xr:uid="{00000000-0005-0000-0000-000068650000}"/>
    <cellStyle name="Normal 5 3 2 4 2 6 2 2" xfId="44479" xr:uid="{00000000-0005-0000-0000-000069650000}"/>
    <cellStyle name="Normal 5 3 2 4 2 6 3" xfId="32046" xr:uid="{00000000-0005-0000-0000-00006A650000}"/>
    <cellStyle name="Normal 5 3 2 4 2 7" xfId="3610" xr:uid="{00000000-0005-0000-0000-00006B650000}"/>
    <cellStyle name="Normal 5 3 2 4 2 7 2" xfId="16116" xr:uid="{00000000-0005-0000-0000-00006C650000}"/>
    <cellStyle name="Normal 5 3 2 4 2 7 2 2" xfId="40990" xr:uid="{00000000-0005-0000-0000-00006D650000}"/>
    <cellStyle name="Normal 5 3 2 4 2 7 3" xfId="28549" xr:uid="{00000000-0005-0000-0000-00006E650000}"/>
    <cellStyle name="Normal 5 3 2 4 2 8" xfId="13555" xr:uid="{00000000-0005-0000-0000-00006F650000}"/>
    <cellStyle name="Normal 5 3 2 4 2 8 2" xfId="38429" xr:uid="{00000000-0005-0000-0000-000070650000}"/>
    <cellStyle name="Normal 5 3 2 4 2 9" xfId="25988" xr:uid="{00000000-0005-0000-0000-000071650000}"/>
    <cellStyle name="Normal 5 3 2 4 3" xfId="1807" xr:uid="{00000000-0005-0000-0000-000072650000}"/>
    <cellStyle name="Normal 5 3 2 4 3 2" xfId="4937" xr:uid="{00000000-0005-0000-0000-000073650000}"/>
    <cellStyle name="Normal 5 3 2 4 3 2 2" xfId="9954" xr:uid="{00000000-0005-0000-0000-000074650000}"/>
    <cellStyle name="Normal 5 3 2 4 3 2 2 2" xfId="22397" xr:uid="{00000000-0005-0000-0000-000075650000}"/>
    <cellStyle name="Normal 5 3 2 4 3 2 2 2 2" xfId="47271" xr:uid="{00000000-0005-0000-0000-000076650000}"/>
    <cellStyle name="Normal 5 3 2 4 3 2 2 3" xfId="34838" xr:uid="{00000000-0005-0000-0000-000077650000}"/>
    <cellStyle name="Normal 5 3 2 4 3 2 3" xfId="17390" xr:uid="{00000000-0005-0000-0000-000078650000}"/>
    <cellStyle name="Normal 5 3 2 4 3 2 3 2" xfId="42264" xr:uid="{00000000-0005-0000-0000-000079650000}"/>
    <cellStyle name="Normal 5 3 2 4 3 2 4" xfId="29831" xr:uid="{00000000-0005-0000-0000-00007A650000}"/>
    <cellStyle name="Normal 5 3 2 4 3 3" xfId="5953" xr:uid="{00000000-0005-0000-0000-00007B650000}"/>
    <cellStyle name="Normal 5 3 2 4 3 3 2" xfId="10968" xr:uid="{00000000-0005-0000-0000-00007C650000}"/>
    <cellStyle name="Normal 5 3 2 4 3 3 2 2" xfId="23411" xr:uid="{00000000-0005-0000-0000-00007D650000}"/>
    <cellStyle name="Normal 5 3 2 4 3 3 2 2 2" xfId="48285" xr:uid="{00000000-0005-0000-0000-00007E650000}"/>
    <cellStyle name="Normal 5 3 2 4 3 3 2 3" xfId="35852" xr:uid="{00000000-0005-0000-0000-00007F650000}"/>
    <cellStyle name="Normal 5 3 2 4 3 3 3" xfId="18404" xr:uid="{00000000-0005-0000-0000-000080650000}"/>
    <cellStyle name="Normal 5 3 2 4 3 3 3 2" xfId="43278" xr:uid="{00000000-0005-0000-0000-000081650000}"/>
    <cellStyle name="Normal 5 3 2 4 3 3 4" xfId="30845" xr:uid="{00000000-0005-0000-0000-000082650000}"/>
    <cellStyle name="Normal 5 3 2 4 3 4" xfId="8361" xr:uid="{00000000-0005-0000-0000-000083650000}"/>
    <cellStyle name="Normal 5 3 2 4 3 4 2" xfId="20805" xr:uid="{00000000-0005-0000-0000-000084650000}"/>
    <cellStyle name="Normal 5 3 2 4 3 4 2 2" xfId="45679" xr:uid="{00000000-0005-0000-0000-000085650000}"/>
    <cellStyle name="Normal 5 3 2 4 3 4 3" xfId="33246" xr:uid="{00000000-0005-0000-0000-000086650000}"/>
    <cellStyle name="Normal 5 3 2 4 3 5" xfId="12422" xr:uid="{00000000-0005-0000-0000-000087650000}"/>
    <cellStyle name="Normal 5 3 2 4 3 5 2" xfId="24856" xr:uid="{00000000-0005-0000-0000-000088650000}"/>
    <cellStyle name="Normal 5 3 2 4 3 5 2 2" xfId="49730" xr:uid="{00000000-0005-0000-0000-000089650000}"/>
    <cellStyle name="Normal 5 3 2 4 3 5 3" xfId="37297" xr:uid="{00000000-0005-0000-0000-00008A650000}"/>
    <cellStyle name="Normal 5 3 2 4 3 6" xfId="7548" xr:uid="{00000000-0005-0000-0000-00008B650000}"/>
    <cellStyle name="Normal 5 3 2 4 3 6 2" xfId="19996" xr:uid="{00000000-0005-0000-0000-00008C650000}"/>
    <cellStyle name="Normal 5 3 2 4 3 6 2 2" xfId="44870" xr:uid="{00000000-0005-0000-0000-00008D650000}"/>
    <cellStyle name="Normal 5 3 2 4 3 6 3" xfId="32437" xr:uid="{00000000-0005-0000-0000-00008E650000}"/>
    <cellStyle name="Normal 5 3 2 4 3 7" xfId="3292" xr:uid="{00000000-0005-0000-0000-00008F650000}"/>
    <cellStyle name="Normal 5 3 2 4 3 7 2" xfId="15798" xr:uid="{00000000-0005-0000-0000-000090650000}"/>
    <cellStyle name="Normal 5 3 2 4 3 7 2 2" xfId="40672" xr:uid="{00000000-0005-0000-0000-000091650000}"/>
    <cellStyle name="Normal 5 3 2 4 3 7 3" xfId="28231" xr:uid="{00000000-0005-0000-0000-000092650000}"/>
    <cellStyle name="Normal 5 3 2 4 3 8" xfId="14607" xr:uid="{00000000-0005-0000-0000-000093650000}"/>
    <cellStyle name="Normal 5 3 2 4 3 8 2" xfId="39481" xr:uid="{00000000-0005-0000-0000-000094650000}"/>
    <cellStyle name="Normal 5 3 2 4 3 9" xfId="27040" xr:uid="{00000000-0005-0000-0000-000095650000}"/>
    <cellStyle name="Normal 5 3 2 4 4" xfId="2310" xr:uid="{00000000-0005-0000-0000-000096650000}"/>
    <cellStyle name="Normal 5 3 2 4 4 2" xfId="6335" xr:uid="{00000000-0005-0000-0000-000097650000}"/>
    <cellStyle name="Normal 5 3 2 4 4 2 2" xfId="11350" xr:uid="{00000000-0005-0000-0000-000098650000}"/>
    <cellStyle name="Normal 5 3 2 4 4 2 2 2" xfId="23793" xr:uid="{00000000-0005-0000-0000-000099650000}"/>
    <cellStyle name="Normal 5 3 2 4 4 2 2 2 2" xfId="48667" xr:uid="{00000000-0005-0000-0000-00009A650000}"/>
    <cellStyle name="Normal 5 3 2 4 4 2 2 3" xfId="36234" xr:uid="{00000000-0005-0000-0000-00009B650000}"/>
    <cellStyle name="Normal 5 3 2 4 4 2 3" xfId="18786" xr:uid="{00000000-0005-0000-0000-00009C650000}"/>
    <cellStyle name="Normal 5 3 2 4 4 2 3 2" xfId="43660" xr:uid="{00000000-0005-0000-0000-00009D650000}"/>
    <cellStyle name="Normal 5 3 2 4 4 2 4" xfId="31227" xr:uid="{00000000-0005-0000-0000-00009E650000}"/>
    <cellStyle name="Normal 5 3 2 4 4 3" xfId="12804" xr:uid="{00000000-0005-0000-0000-00009F650000}"/>
    <cellStyle name="Normal 5 3 2 4 4 3 2" xfId="25238" xr:uid="{00000000-0005-0000-0000-0000A0650000}"/>
    <cellStyle name="Normal 5 3 2 4 4 3 2 2" xfId="50112" xr:uid="{00000000-0005-0000-0000-0000A1650000}"/>
    <cellStyle name="Normal 5 3 2 4 4 3 3" xfId="37679" xr:uid="{00000000-0005-0000-0000-0000A2650000}"/>
    <cellStyle name="Normal 5 3 2 4 4 4" xfId="9245" xr:uid="{00000000-0005-0000-0000-0000A3650000}"/>
    <cellStyle name="Normal 5 3 2 4 4 4 2" xfId="21688" xr:uid="{00000000-0005-0000-0000-0000A4650000}"/>
    <cellStyle name="Normal 5 3 2 4 4 4 2 2" xfId="46562" xr:uid="{00000000-0005-0000-0000-0000A5650000}"/>
    <cellStyle name="Normal 5 3 2 4 4 4 3" xfId="34129" xr:uid="{00000000-0005-0000-0000-0000A6650000}"/>
    <cellStyle name="Normal 5 3 2 4 4 5" xfId="4227" xr:uid="{00000000-0005-0000-0000-0000A7650000}"/>
    <cellStyle name="Normal 5 3 2 4 4 5 2" xfId="16681" xr:uid="{00000000-0005-0000-0000-0000A8650000}"/>
    <cellStyle name="Normal 5 3 2 4 4 5 2 2" xfId="41555" xr:uid="{00000000-0005-0000-0000-0000A9650000}"/>
    <cellStyle name="Normal 5 3 2 4 4 5 3" xfId="29122" xr:uid="{00000000-0005-0000-0000-0000AA650000}"/>
    <cellStyle name="Normal 5 3 2 4 4 6" xfId="14989" xr:uid="{00000000-0005-0000-0000-0000AB650000}"/>
    <cellStyle name="Normal 5 3 2 4 4 6 2" xfId="39863" xr:uid="{00000000-0005-0000-0000-0000AC650000}"/>
    <cellStyle name="Normal 5 3 2 4 4 7" xfId="27422" xr:uid="{00000000-0005-0000-0000-0000AD650000}"/>
    <cellStyle name="Normal 5 3 2 4 5" xfId="1146" xr:uid="{00000000-0005-0000-0000-0000AE650000}"/>
    <cellStyle name="Normal 5 3 2 4 5 2" xfId="10307" xr:uid="{00000000-0005-0000-0000-0000AF650000}"/>
    <cellStyle name="Normal 5 3 2 4 5 2 2" xfId="22750" xr:uid="{00000000-0005-0000-0000-0000B0650000}"/>
    <cellStyle name="Normal 5 3 2 4 5 2 2 2" xfId="47624" xr:uid="{00000000-0005-0000-0000-0000B1650000}"/>
    <cellStyle name="Normal 5 3 2 4 5 2 3" xfId="35191" xr:uid="{00000000-0005-0000-0000-0000B2650000}"/>
    <cellStyle name="Normal 5 3 2 4 5 3" xfId="5291" xr:uid="{00000000-0005-0000-0000-0000B3650000}"/>
    <cellStyle name="Normal 5 3 2 4 5 3 2" xfId="17743" xr:uid="{00000000-0005-0000-0000-0000B4650000}"/>
    <cellStyle name="Normal 5 3 2 4 5 3 2 2" xfId="42617" xr:uid="{00000000-0005-0000-0000-0000B5650000}"/>
    <cellStyle name="Normal 5 3 2 4 5 3 3" xfId="30184" xr:uid="{00000000-0005-0000-0000-0000B6650000}"/>
    <cellStyle name="Normal 5 3 2 4 5 4" xfId="13946" xr:uid="{00000000-0005-0000-0000-0000B7650000}"/>
    <cellStyle name="Normal 5 3 2 4 5 4 2" xfId="38820" xr:uid="{00000000-0005-0000-0000-0000B8650000}"/>
    <cellStyle name="Normal 5 3 2 4 5 5" xfId="26379" xr:uid="{00000000-0005-0000-0000-0000B9650000}"/>
    <cellStyle name="Normal 5 3 2 4 6" xfId="7868" xr:uid="{00000000-0005-0000-0000-0000BA650000}"/>
    <cellStyle name="Normal 5 3 2 4 6 2" xfId="20314" xr:uid="{00000000-0005-0000-0000-0000BB650000}"/>
    <cellStyle name="Normal 5 3 2 4 6 2 2" xfId="45188" xr:uid="{00000000-0005-0000-0000-0000BC650000}"/>
    <cellStyle name="Normal 5 3 2 4 6 3" xfId="32755" xr:uid="{00000000-0005-0000-0000-0000BD650000}"/>
    <cellStyle name="Normal 5 3 2 4 7" xfId="11761" xr:uid="{00000000-0005-0000-0000-0000BE650000}"/>
    <cellStyle name="Normal 5 3 2 4 7 2" xfId="24195" xr:uid="{00000000-0005-0000-0000-0000BF650000}"/>
    <cellStyle name="Normal 5 3 2 4 7 2 2" xfId="49069" xr:uid="{00000000-0005-0000-0000-0000C0650000}"/>
    <cellStyle name="Normal 5 3 2 4 7 3" xfId="36636" xr:uid="{00000000-0005-0000-0000-0000C1650000}"/>
    <cellStyle name="Normal 5 3 2 4 8" xfId="6838" xr:uid="{00000000-0005-0000-0000-0000C2650000}"/>
    <cellStyle name="Normal 5 3 2 4 8 2" xfId="19287" xr:uid="{00000000-0005-0000-0000-0000C3650000}"/>
    <cellStyle name="Normal 5 3 2 4 8 2 2" xfId="44161" xr:uid="{00000000-0005-0000-0000-0000C4650000}"/>
    <cellStyle name="Normal 5 3 2 4 8 3" xfId="31728" xr:uid="{00000000-0005-0000-0000-0000C5650000}"/>
    <cellStyle name="Normal 5 3 2 4 9" xfId="2789" xr:uid="{00000000-0005-0000-0000-0000C6650000}"/>
    <cellStyle name="Normal 5 3 2 4 9 2" xfId="15307" xr:uid="{00000000-0005-0000-0000-0000C7650000}"/>
    <cellStyle name="Normal 5 3 2 4 9 2 2" xfId="40181" xr:uid="{00000000-0005-0000-0000-0000C8650000}"/>
    <cellStyle name="Normal 5 3 2 4 9 3" xfId="27740" xr:uid="{00000000-0005-0000-0000-0000C9650000}"/>
    <cellStyle name="Normal 5 3 2 4_Degree data" xfId="2074" xr:uid="{00000000-0005-0000-0000-0000CA650000}"/>
    <cellStyle name="Normal 5 3 2 5" xfId="224" xr:uid="{00000000-0005-0000-0000-0000CB650000}"/>
    <cellStyle name="Normal 5 3 2 5 2" xfId="1455" xr:uid="{00000000-0005-0000-0000-0000CC650000}"/>
    <cellStyle name="Normal 5 3 2 5 2 2" xfId="9088" xr:uid="{00000000-0005-0000-0000-0000CD650000}"/>
    <cellStyle name="Normal 5 3 2 5 2 2 2" xfId="21531" xr:uid="{00000000-0005-0000-0000-0000CE650000}"/>
    <cellStyle name="Normal 5 3 2 5 2 2 2 2" xfId="46405" xr:uid="{00000000-0005-0000-0000-0000CF650000}"/>
    <cellStyle name="Normal 5 3 2 5 2 2 3" xfId="33972" xr:uid="{00000000-0005-0000-0000-0000D0650000}"/>
    <cellStyle name="Normal 5 3 2 5 2 3" xfId="4070" xr:uid="{00000000-0005-0000-0000-0000D1650000}"/>
    <cellStyle name="Normal 5 3 2 5 2 3 2" xfId="16524" xr:uid="{00000000-0005-0000-0000-0000D2650000}"/>
    <cellStyle name="Normal 5 3 2 5 2 3 2 2" xfId="41398" xr:uid="{00000000-0005-0000-0000-0000D3650000}"/>
    <cellStyle name="Normal 5 3 2 5 2 3 3" xfId="28965" xr:uid="{00000000-0005-0000-0000-0000D4650000}"/>
    <cellStyle name="Normal 5 3 2 5 2 4" xfId="14255" xr:uid="{00000000-0005-0000-0000-0000D5650000}"/>
    <cellStyle name="Normal 5 3 2 5 2 4 2" xfId="39129" xr:uid="{00000000-0005-0000-0000-0000D6650000}"/>
    <cellStyle name="Normal 5 3 2 5 2 5" xfId="26688" xr:uid="{00000000-0005-0000-0000-0000D7650000}"/>
    <cellStyle name="Normal 5 3 2 5 3" xfId="5600" xr:uid="{00000000-0005-0000-0000-0000D8650000}"/>
    <cellStyle name="Normal 5 3 2 5 3 2" xfId="10616" xr:uid="{00000000-0005-0000-0000-0000D9650000}"/>
    <cellStyle name="Normal 5 3 2 5 3 2 2" xfId="23059" xr:uid="{00000000-0005-0000-0000-0000DA650000}"/>
    <cellStyle name="Normal 5 3 2 5 3 2 2 2" xfId="47933" xr:uid="{00000000-0005-0000-0000-0000DB650000}"/>
    <cellStyle name="Normal 5 3 2 5 3 2 3" xfId="35500" xr:uid="{00000000-0005-0000-0000-0000DC650000}"/>
    <cellStyle name="Normal 5 3 2 5 3 3" xfId="18052" xr:uid="{00000000-0005-0000-0000-0000DD650000}"/>
    <cellStyle name="Normal 5 3 2 5 3 3 2" xfId="42926" xr:uid="{00000000-0005-0000-0000-0000DE650000}"/>
    <cellStyle name="Normal 5 3 2 5 3 4" xfId="30493" xr:uid="{00000000-0005-0000-0000-0000DF650000}"/>
    <cellStyle name="Normal 5 3 2 5 4" xfId="8204" xr:uid="{00000000-0005-0000-0000-0000E0650000}"/>
    <cellStyle name="Normal 5 3 2 5 4 2" xfId="20648" xr:uid="{00000000-0005-0000-0000-0000E1650000}"/>
    <cellStyle name="Normal 5 3 2 5 4 2 2" xfId="45522" xr:uid="{00000000-0005-0000-0000-0000E2650000}"/>
    <cellStyle name="Normal 5 3 2 5 4 3" xfId="33089" xr:uid="{00000000-0005-0000-0000-0000E3650000}"/>
    <cellStyle name="Normal 5 3 2 5 5" xfId="12070" xr:uid="{00000000-0005-0000-0000-0000E4650000}"/>
    <cellStyle name="Normal 5 3 2 5 5 2" xfId="24504" xr:uid="{00000000-0005-0000-0000-0000E5650000}"/>
    <cellStyle name="Normal 5 3 2 5 5 2 2" xfId="49378" xr:uid="{00000000-0005-0000-0000-0000E6650000}"/>
    <cellStyle name="Normal 5 3 2 5 5 3" xfId="36945" xr:uid="{00000000-0005-0000-0000-0000E7650000}"/>
    <cellStyle name="Normal 5 3 2 5 6" xfId="6681" xr:uid="{00000000-0005-0000-0000-0000E8650000}"/>
    <cellStyle name="Normal 5 3 2 5 6 2" xfId="19130" xr:uid="{00000000-0005-0000-0000-0000E9650000}"/>
    <cellStyle name="Normal 5 3 2 5 6 2 2" xfId="44004" xr:uid="{00000000-0005-0000-0000-0000EA650000}"/>
    <cellStyle name="Normal 5 3 2 5 6 3" xfId="31571" xr:uid="{00000000-0005-0000-0000-0000EB650000}"/>
    <cellStyle name="Normal 5 3 2 5 7" xfId="3135" xr:uid="{00000000-0005-0000-0000-0000EC650000}"/>
    <cellStyle name="Normal 5 3 2 5 7 2" xfId="15641" xr:uid="{00000000-0005-0000-0000-0000ED650000}"/>
    <cellStyle name="Normal 5 3 2 5 7 2 2" xfId="40515" xr:uid="{00000000-0005-0000-0000-0000EE650000}"/>
    <cellStyle name="Normal 5 3 2 5 7 3" xfId="28074" xr:uid="{00000000-0005-0000-0000-0000EF650000}"/>
    <cellStyle name="Normal 5 3 2 5 8" xfId="13051" xr:uid="{00000000-0005-0000-0000-0000F0650000}"/>
    <cellStyle name="Normal 5 3 2 5 8 2" xfId="37925" xr:uid="{00000000-0005-0000-0000-0000F1650000}"/>
    <cellStyle name="Normal 5 3 2 5 9" xfId="25484" xr:uid="{00000000-0005-0000-0000-0000F2650000}"/>
    <cellStyle name="Normal 5 3 2 6" xfId="589" xr:uid="{00000000-0005-0000-0000-0000F3650000}"/>
    <cellStyle name="Normal 5 3 2 6 2" xfId="1803" xr:uid="{00000000-0005-0000-0000-0000F4650000}"/>
    <cellStyle name="Normal 5 3 2 6 2 2" xfId="9559" xr:uid="{00000000-0005-0000-0000-0000F5650000}"/>
    <cellStyle name="Normal 5 3 2 6 2 2 2" xfId="22002" xr:uid="{00000000-0005-0000-0000-0000F6650000}"/>
    <cellStyle name="Normal 5 3 2 6 2 2 2 2" xfId="46876" xr:uid="{00000000-0005-0000-0000-0000F7650000}"/>
    <cellStyle name="Normal 5 3 2 6 2 2 3" xfId="34443" xr:uid="{00000000-0005-0000-0000-0000F8650000}"/>
    <cellStyle name="Normal 5 3 2 6 2 3" xfId="4541" xr:uid="{00000000-0005-0000-0000-0000F9650000}"/>
    <cellStyle name="Normal 5 3 2 6 2 3 2" xfId="16995" xr:uid="{00000000-0005-0000-0000-0000FA650000}"/>
    <cellStyle name="Normal 5 3 2 6 2 3 2 2" xfId="41869" xr:uid="{00000000-0005-0000-0000-0000FB650000}"/>
    <cellStyle name="Normal 5 3 2 6 2 3 3" xfId="29436" xr:uid="{00000000-0005-0000-0000-0000FC650000}"/>
    <cellStyle name="Normal 5 3 2 6 2 4" xfId="14603" xr:uid="{00000000-0005-0000-0000-0000FD650000}"/>
    <cellStyle name="Normal 5 3 2 6 2 4 2" xfId="39477" xr:uid="{00000000-0005-0000-0000-0000FE650000}"/>
    <cellStyle name="Normal 5 3 2 6 2 5" xfId="27036" xr:uid="{00000000-0005-0000-0000-0000FF650000}"/>
    <cellStyle name="Normal 5 3 2 6 3" xfId="5949" xr:uid="{00000000-0005-0000-0000-000000660000}"/>
    <cellStyle name="Normal 5 3 2 6 3 2" xfId="10964" xr:uid="{00000000-0005-0000-0000-000001660000}"/>
    <cellStyle name="Normal 5 3 2 6 3 2 2" xfId="23407" xr:uid="{00000000-0005-0000-0000-000002660000}"/>
    <cellStyle name="Normal 5 3 2 6 3 2 2 2" xfId="48281" xr:uid="{00000000-0005-0000-0000-000003660000}"/>
    <cellStyle name="Normal 5 3 2 6 3 2 3" xfId="35848" xr:uid="{00000000-0005-0000-0000-000004660000}"/>
    <cellStyle name="Normal 5 3 2 6 3 3" xfId="18400" xr:uid="{00000000-0005-0000-0000-000005660000}"/>
    <cellStyle name="Normal 5 3 2 6 3 3 2" xfId="43274" xr:uid="{00000000-0005-0000-0000-000006660000}"/>
    <cellStyle name="Normal 5 3 2 6 3 4" xfId="30841" xr:uid="{00000000-0005-0000-0000-000007660000}"/>
    <cellStyle name="Normal 5 3 2 6 4" xfId="8675" xr:uid="{00000000-0005-0000-0000-000008660000}"/>
    <cellStyle name="Normal 5 3 2 6 4 2" xfId="21119" xr:uid="{00000000-0005-0000-0000-000009660000}"/>
    <cellStyle name="Normal 5 3 2 6 4 2 2" xfId="45993" xr:uid="{00000000-0005-0000-0000-00000A660000}"/>
    <cellStyle name="Normal 5 3 2 6 4 3" xfId="33560" xr:uid="{00000000-0005-0000-0000-00000B660000}"/>
    <cellStyle name="Normal 5 3 2 6 5" xfId="12418" xr:uid="{00000000-0005-0000-0000-00000C660000}"/>
    <cellStyle name="Normal 5 3 2 6 5 2" xfId="24852" xr:uid="{00000000-0005-0000-0000-00000D660000}"/>
    <cellStyle name="Normal 5 3 2 6 5 2 2" xfId="49726" xr:uid="{00000000-0005-0000-0000-00000E660000}"/>
    <cellStyle name="Normal 5 3 2 6 5 3" xfId="37293" xr:uid="{00000000-0005-0000-0000-00000F660000}"/>
    <cellStyle name="Normal 5 3 2 6 6" xfId="7152" xr:uid="{00000000-0005-0000-0000-000010660000}"/>
    <cellStyle name="Normal 5 3 2 6 6 2" xfId="19601" xr:uid="{00000000-0005-0000-0000-000011660000}"/>
    <cellStyle name="Normal 5 3 2 6 6 2 2" xfId="44475" xr:uid="{00000000-0005-0000-0000-000012660000}"/>
    <cellStyle name="Normal 5 3 2 6 6 3" xfId="32042" xr:uid="{00000000-0005-0000-0000-000013660000}"/>
    <cellStyle name="Normal 5 3 2 6 7" xfId="3606" xr:uid="{00000000-0005-0000-0000-000014660000}"/>
    <cellStyle name="Normal 5 3 2 6 7 2" xfId="16112" xr:uid="{00000000-0005-0000-0000-000015660000}"/>
    <cellStyle name="Normal 5 3 2 6 7 2 2" xfId="40986" xr:uid="{00000000-0005-0000-0000-000016660000}"/>
    <cellStyle name="Normal 5 3 2 6 7 3" xfId="28545" xr:uid="{00000000-0005-0000-0000-000017660000}"/>
    <cellStyle name="Normal 5 3 2 6 8" xfId="13398" xr:uid="{00000000-0005-0000-0000-000018660000}"/>
    <cellStyle name="Normal 5 3 2 6 8 2" xfId="38272" xr:uid="{00000000-0005-0000-0000-000019660000}"/>
    <cellStyle name="Normal 5 3 2 6 9" xfId="25831" xr:uid="{00000000-0005-0000-0000-00001A660000}"/>
    <cellStyle name="Normal 5 3 2 7" xfId="2142" xr:uid="{00000000-0005-0000-0000-00001B660000}"/>
    <cellStyle name="Normal 5 3 2 7 2" xfId="4780" xr:uid="{00000000-0005-0000-0000-00001C660000}"/>
    <cellStyle name="Normal 5 3 2 7 2 2" xfId="9797" xr:uid="{00000000-0005-0000-0000-00001D660000}"/>
    <cellStyle name="Normal 5 3 2 7 2 2 2" xfId="22240" xr:uid="{00000000-0005-0000-0000-00001E660000}"/>
    <cellStyle name="Normal 5 3 2 7 2 2 2 2" xfId="47114" xr:uid="{00000000-0005-0000-0000-00001F660000}"/>
    <cellStyle name="Normal 5 3 2 7 2 2 3" xfId="34681" xr:uid="{00000000-0005-0000-0000-000020660000}"/>
    <cellStyle name="Normal 5 3 2 7 2 3" xfId="17233" xr:uid="{00000000-0005-0000-0000-000021660000}"/>
    <cellStyle name="Normal 5 3 2 7 2 3 2" xfId="42107" xr:uid="{00000000-0005-0000-0000-000022660000}"/>
    <cellStyle name="Normal 5 3 2 7 2 4" xfId="29674" xr:uid="{00000000-0005-0000-0000-000023660000}"/>
    <cellStyle name="Normal 5 3 2 7 3" xfId="6178" xr:uid="{00000000-0005-0000-0000-000024660000}"/>
    <cellStyle name="Normal 5 3 2 7 3 2" xfId="11193" xr:uid="{00000000-0005-0000-0000-000025660000}"/>
    <cellStyle name="Normal 5 3 2 7 3 2 2" xfId="23636" xr:uid="{00000000-0005-0000-0000-000026660000}"/>
    <cellStyle name="Normal 5 3 2 7 3 2 2 2" xfId="48510" xr:uid="{00000000-0005-0000-0000-000027660000}"/>
    <cellStyle name="Normal 5 3 2 7 3 2 3" xfId="36077" xr:uid="{00000000-0005-0000-0000-000028660000}"/>
    <cellStyle name="Normal 5 3 2 7 3 3" xfId="18629" xr:uid="{00000000-0005-0000-0000-000029660000}"/>
    <cellStyle name="Normal 5 3 2 7 3 3 2" xfId="43503" xr:uid="{00000000-0005-0000-0000-00002A660000}"/>
    <cellStyle name="Normal 5 3 2 7 3 4" xfId="31070" xr:uid="{00000000-0005-0000-0000-00002B660000}"/>
    <cellStyle name="Normal 5 3 2 7 4" xfId="8042" xr:uid="{00000000-0005-0000-0000-00002C660000}"/>
    <cellStyle name="Normal 5 3 2 7 4 2" xfId="20488" xr:uid="{00000000-0005-0000-0000-00002D660000}"/>
    <cellStyle name="Normal 5 3 2 7 4 2 2" xfId="45362" xr:uid="{00000000-0005-0000-0000-00002E660000}"/>
    <cellStyle name="Normal 5 3 2 7 4 3" xfId="32929" xr:uid="{00000000-0005-0000-0000-00002F660000}"/>
    <cellStyle name="Normal 5 3 2 7 5" xfId="12647" xr:uid="{00000000-0005-0000-0000-000030660000}"/>
    <cellStyle name="Normal 5 3 2 7 5 2" xfId="25081" xr:uid="{00000000-0005-0000-0000-000031660000}"/>
    <cellStyle name="Normal 5 3 2 7 5 2 2" xfId="49955" xr:uid="{00000000-0005-0000-0000-000032660000}"/>
    <cellStyle name="Normal 5 3 2 7 5 3" xfId="37522" xr:uid="{00000000-0005-0000-0000-000033660000}"/>
    <cellStyle name="Normal 5 3 2 7 6" xfId="7391" xr:uid="{00000000-0005-0000-0000-000034660000}"/>
    <cellStyle name="Normal 5 3 2 7 6 2" xfId="19839" xr:uid="{00000000-0005-0000-0000-000035660000}"/>
    <cellStyle name="Normal 5 3 2 7 6 2 2" xfId="44713" xr:uid="{00000000-0005-0000-0000-000036660000}"/>
    <cellStyle name="Normal 5 3 2 7 6 3" xfId="32280" xr:uid="{00000000-0005-0000-0000-000037660000}"/>
    <cellStyle name="Normal 5 3 2 7 7" xfId="2969" xr:uid="{00000000-0005-0000-0000-000038660000}"/>
    <cellStyle name="Normal 5 3 2 7 7 2" xfId="15481" xr:uid="{00000000-0005-0000-0000-000039660000}"/>
    <cellStyle name="Normal 5 3 2 7 7 2 2" xfId="40355" xr:uid="{00000000-0005-0000-0000-00003A660000}"/>
    <cellStyle name="Normal 5 3 2 7 7 3" xfId="27914" xr:uid="{00000000-0005-0000-0000-00003B660000}"/>
    <cellStyle name="Normal 5 3 2 7 8" xfId="14832" xr:uid="{00000000-0005-0000-0000-00003C660000}"/>
    <cellStyle name="Normal 5 3 2 7 8 2" xfId="39706" xr:uid="{00000000-0005-0000-0000-00003D660000}"/>
    <cellStyle name="Normal 5 3 2 7 9" xfId="27265" xr:uid="{00000000-0005-0000-0000-00003E660000}"/>
    <cellStyle name="Normal 5 3 2 8" xfId="989" xr:uid="{00000000-0005-0000-0000-00003F660000}"/>
    <cellStyle name="Normal 5 3 2 8 2" xfId="8928" xr:uid="{00000000-0005-0000-0000-000040660000}"/>
    <cellStyle name="Normal 5 3 2 8 2 2" xfId="21371" xr:uid="{00000000-0005-0000-0000-000041660000}"/>
    <cellStyle name="Normal 5 3 2 8 2 2 2" xfId="46245" xr:uid="{00000000-0005-0000-0000-000042660000}"/>
    <cellStyle name="Normal 5 3 2 8 2 3" xfId="33812" xr:uid="{00000000-0005-0000-0000-000043660000}"/>
    <cellStyle name="Normal 5 3 2 8 3" xfId="3910" xr:uid="{00000000-0005-0000-0000-000044660000}"/>
    <cellStyle name="Normal 5 3 2 8 3 2" xfId="16364" xr:uid="{00000000-0005-0000-0000-000045660000}"/>
    <cellStyle name="Normal 5 3 2 8 3 2 2" xfId="41238" xr:uid="{00000000-0005-0000-0000-000046660000}"/>
    <cellStyle name="Normal 5 3 2 8 3 3" xfId="28805" xr:uid="{00000000-0005-0000-0000-000047660000}"/>
    <cellStyle name="Normal 5 3 2 8 4" xfId="13789" xr:uid="{00000000-0005-0000-0000-000048660000}"/>
    <cellStyle name="Normal 5 3 2 8 4 2" xfId="38663" xr:uid="{00000000-0005-0000-0000-000049660000}"/>
    <cellStyle name="Normal 5 3 2 8 5" xfId="26222" xr:uid="{00000000-0005-0000-0000-00004A660000}"/>
    <cellStyle name="Normal 5 3 2 9" xfId="5132" xr:uid="{00000000-0005-0000-0000-00004B660000}"/>
    <cellStyle name="Normal 5 3 2 9 2" xfId="10148" xr:uid="{00000000-0005-0000-0000-00004C660000}"/>
    <cellStyle name="Normal 5 3 2 9 2 2" xfId="22591" xr:uid="{00000000-0005-0000-0000-00004D660000}"/>
    <cellStyle name="Normal 5 3 2 9 2 2 2" xfId="47465" xr:uid="{00000000-0005-0000-0000-00004E660000}"/>
    <cellStyle name="Normal 5 3 2 9 2 3" xfId="35032" xr:uid="{00000000-0005-0000-0000-00004F660000}"/>
    <cellStyle name="Normal 5 3 2 9 3" xfId="17584" xr:uid="{00000000-0005-0000-0000-000050660000}"/>
    <cellStyle name="Normal 5 3 2 9 3 2" xfId="42458" xr:uid="{00000000-0005-0000-0000-000051660000}"/>
    <cellStyle name="Normal 5 3 2 9 4" xfId="30025" xr:uid="{00000000-0005-0000-0000-000052660000}"/>
    <cellStyle name="Normal 5 3 2_Degree data" xfId="2004" xr:uid="{00000000-0005-0000-0000-000053660000}"/>
    <cellStyle name="Normal 5 3 3" xfId="176" xr:uid="{00000000-0005-0000-0000-000054660000}"/>
    <cellStyle name="Normal 5 3 3 10" xfId="6564" xr:uid="{00000000-0005-0000-0000-000055660000}"/>
    <cellStyle name="Normal 5 3 3 10 2" xfId="19013" xr:uid="{00000000-0005-0000-0000-000056660000}"/>
    <cellStyle name="Normal 5 3 3 10 2 2" xfId="43887" xr:uid="{00000000-0005-0000-0000-000057660000}"/>
    <cellStyle name="Normal 5 3 3 10 3" xfId="31454" xr:uid="{00000000-0005-0000-0000-000058660000}"/>
    <cellStyle name="Normal 5 3 3 11" xfId="2732" xr:uid="{00000000-0005-0000-0000-000059660000}"/>
    <cellStyle name="Normal 5 3 3 11 2" xfId="15250" xr:uid="{00000000-0005-0000-0000-00005A660000}"/>
    <cellStyle name="Normal 5 3 3 11 2 2" xfId="40124" xr:uid="{00000000-0005-0000-0000-00005B660000}"/>
    <cellStyle name="Normal 5 3 3 11 3" xfId="27683" xr:uid="{00000000-0005-0000-0000-00005C660000}"/>
    <cellStyle name="Normal 5 3 3 12" xfId="13006" xr:uid="{00000000-0005-0000-0000-00005D660000}"/>
    <cellStyle name="Normal 5 3 3 12 2" xfId="37880" xr:uid="{00000000-0005-0000-0000-00005E660000}"/>
    <cellStyle name="Normal 5 3 3 13" xfId="25439" xr:uid="{00000000-0005-0000-0000-00005F660000}"/>
    <cellStyle name="Normal 5 3 3 2" xfId="437" xr:uid="{00000000-0005-0000-0000-000060660000}"/>
    <cellStyle name="Normal 5 3 3 2 10" xfId="13251" xr:uid="{00000000-0005-0000-0000-000061660000}"/>
    <cellStyle name="Normal 5 3 3 2 10 2" xfId="38125" xr:uid="{00000000-0005-0000-0000-000062660000}"/>
    <cellStyle name="Normal 5 3 3 2 11" xfId="25684" xr:uid="{00000000-0005-0000-0000-000063660000}"/>
    <cellStyle name="Normal 5 3 3 2 2" xfId="797" xr:uid="{00000000-0005-0000-0000-000064660000}"/>
    <cellStyle name="Normal 5 3 3 2 2 2" xfId="1461" xr:uid="{00000000-0005-0000-0000-000065660000}"/>
    <cellStyle name="Normal 5 3 3 2 2 2 2" xfId="9565" xr:uid="{00000000-0005-0000-0000-000066660000}"/>
    <cellStyle name="Normal 5 3 3 2 2 2 2 2" xfId="22008" xr:uid="{00000000-0005-0000-0000-000067660000}"/>
    <cellStyle name="Normal 5 3 3 2 2 2 2 2 2" xfId="46882" xr:uid="{00000000-0005-0000-0000-000068660000}"/>
    <cellStyle name="Normal 5 3 3 2 2 2 2 3" xfId="34449" xr:uid="{00000000-0005-0000-0000-000069660000}"/>
    <cellStyle name="Normal 5 3 3 2 2 2 3" xfId="4547" xr:uid="{00000000-0005-0000-0000-00006A660000}"/>
    <cellStyle name="Normal 5 3 3 2 2 2 3 2" xfId="17001" xr:uid="{00000000-0005-0000-0000-00006B660000}"/>
    <cellStyle name="Normal 5 3 3 2 2 2 3 2 2" xfId="41875" xr:uid="{00000000-0005-0000-0000-00006C660000}"/>
    <cellStyle name="Normal 5 3 3 2 2 2 3 3" xfId="29442" xr:uid="{00000000-0005-0000-0000-00006D660000}"/>
    <cellStyle name="Normal 5 3 3 2 2 2 4" xfId="14261" xr:uid="{00000000-0005-0000-0000-00006E660000}"/>
    <cellStyle name="Normal 5 3 3 2 2 2 4 2" xfId="39135" xr:uid="{00000000-0005-0000-0000-00006F660000}"/>
    <cellStyle name="Normal 5 3 3 2 2 2 5" xfId="26694" xr:uid="{00000000-0005-0000-0000-000070660000}"/>
    <cellStyle name="Normal 5 3 3 2 2 3" xfId="5606" xr:uid="{00000000-0005-0000-0000-000071660000}"/>
    <cellStyle name="Normal 5 3 3 2 2 3 2" xfId="10622" xr:uid="{00000000-0005-0000-0000-000072660000}"/>
    <cellStyle name="Normal 5 3 3 2 2 3 2 2" xfId="23065" xr:uid="{00000000-0005-0000-0000-000073660000}"/>
    <cellStyle name="Normal 5 3 3 2 2 3 2 2 2" xfId="47939" xr:uid="{00000000-0005-0000-0000-000074660000}"/>
    <cellStyle name="Normal 5 3 3 2 2 3 2 3" xfId="35506" xr:uid="{00000000-0005-0000-0000-000075660000}"/>
    <cellStyle name="Normal 5 3 3 2 2 3 3" xfId="18058" xr:uid="{00000000-0005-0000-0000-000076660000}"/>
    <cellStyle name="Normal 5 3 3 2 2 3 3 2" xfId="42932" xr:uid="{00000000-0005-0000-0000-000077660000}"/>
    <cellStyle name="Normal 5 3 3 2 2 3 4" xfId="30499" xr:uid="{00000000-0005-0000-0000-000078660000}"/>
    <cellStyle name="Normal 5 3 3 2 2 4" xfId="8681" xr:uid="{00000000-0005-0000-0000-000079660000}"/>
    <cellStyle name="Normal 5 3 3 2 2 4 2" xfId="21125" xr:uid="{00000000-0005-0000-0000-00007A660000}"/>
    <cellStyle name="Normal 5 3 3 2 2 4 2 2" xfId="45999" xr:uid="{00000000-0005-0000-0000-00007B660000}"/>
    <cellStyle name="Normal 5 3 3 2 2 4 3" xfId="33566" xr:uid="{00000000-0005-0000-0000-00007C660000}"/>
    <cellStyle name="Normal 5 3 3 2 2 5" xfId="12076" xr:uid="{00000000-0005-0000-0000-00007D660000}"/>
    <cellStyle name="Normal 5 3 3 2 2 5 2" xfId="24510" xr:uid="{00000000-0005-0000-0000-00007E660000}"/>
    <cellStyle name="Normal 5 3 3 2 2 5 2 2" xfId="49384" xr:uid="{00000000-0005-0000-0000-00007F660000}"/>
    <cellStyle name="Normal 5 3 3 2 2 5 3" xfId="36951" xr:uid="{00000000-0005-0000-0000-000080660000}"/>
    <cellStyle name="Normal 5 3 3 2 2 6" xfId="7158" xr:uid="{00000000-0005-0000-0000-000081660000}"/>
    <cellStyle name="Normal 5 3 3 2 2 6 2" xfId="19607" xr:uid="{00000000-0005-0000-0000-000082660000}"/>
    <cellStyle name="Normal 5 3 3 2 2 6 2 2" xfId="44481" xr:uid="{00000000-0005-0000-0000-000083660000}"/>
    <cellStyle name="Normal 5 3 3 2 2 6 3" xfId="32048" xr:uid="{00000000-0005-0000-0000-000084660000}"/>
    <cellStyle name="Normal 5 3 3 2 2 7" xfId="3612" xr:uid="{00000000-0005-0000-0000-000085660000}"/>
    <cellStyle name="Normal 5 3 3 2 2 7 2" xfId="16118" xr:uid="{00000000-0005-0000-0000-000086660000}"/>
    <cellStyle name="Normal 5 3 3 2 2 7 2 2" xfId="40992" xr:uid="{00000000-0005-0000-0000-000087660000}"/>
    <cellStyle name="Normal 5 3 3 2 2 7 3" xfId="28551" xr:uid="{00000000-0005-0000-0000-000088660000}"/>
    <cellStyle name="Normal 5 3 3 2 2 8" xfId="13598" xr:uid="{00000000-0005-0000-0000-000089660000}"/>
    <cellStyle name="Normal 5 3 3 2 2 8 2" xfId="38472" xr:uid="{00000000-0005-0000-0000-00008A660000}"/>
    <cellStyle name="Normal 5 3 3 2 2 9" xfId="26031" xr:uid="{00000000-0005-0000-0000-00008B660000}"/>
    <cellStyle name="Normal 5 3 3 2 3" xfId="1809" xr:uid="{00000000-0005-0000-0000-00008C660000}"/>
    <cellStyle name="Normal 5 3 3 2 3 2" xfId="4980" xr:uid="{00000000-0005-0000-0000-00008D660000}"/>
    <cellStyle name="Normal 5 3 3 2 3 2 2" xfId="9997" xr:uid="{00000000-0005-0000-0000-00008E660000}"/>
    <cellStyle name="Normal 5 3 3 2 3 2 2 2" xfId="22440" xr:uid="{00000000-0005-0000-0000-00008F660000}"/>
    <cellStyle name="Normal 5 3 3 2 3 2 2 2 2" xfId="47314" xr:uid="{00000000-0005-0000-0000-000090660000}"/>
    <cellStyle name="Normal 5 3 3 2 3 2 2 3" xfId="34881" xr:uid="{00000000-0005-0000-0000-000091660000}"/>
    <cellStyle name="Normal 5 3 3 2 3 2 3" xfId="17433" xr:uid="{00000000-0005-0000-0000-000092660000}"/>
    <cellStyle name="Normal 5 3 3 2 3 2 3 2" xfId="42307" xr:uid="{00000000-0005-0000-0000-000093660000}"/>
    <cellStyle name="Normal 5 3 3 2 3 2 4" xfId="29874" xr:uid="{00000000-0005-0000-0000-000094660000}"/>
    <cellStyle name="Normal 5 3 3 2 3 3" xfId="5955" xr:uid="{00000000-0005-0000-0000-000095660000}"/>
    <cellStyle name="Normal 5 3 3 2 3 3 2" xfId="10970" xr:uid="{00000000-0005-0000-0000-000096660000}"/>
    <cellStyle name="Normal 5 3 3 2 3 3 2 2" xfId="23413" xr:uid="{00000000-0005-0000-0000-000097660000}"/>
    <cellStyle name="Normal 5 3 3 2 3 3 2 2 2" xfId="48287" xr:uid="{00000000-0005-0000-0000-000098660000}"/>
    <cellStyle name="Normal 5 3 3 2 3 3 2 3" xfId="35854" xr:uid="{00000000-0005-0000-0000-000099660000}"/>
    <cellStyle name="Normal 5 3 3 2 3 3 3" xfId="18406" xr:uid="{00000000-0005-0000-0000-00009A660000}"/>
    <cellStyle name="Normal 5 3 3 2 3 3 3 2" xfId="43280" xr:uid="{00000000-0005-0000-0000-00009B660000}"/>
    <cellStyle name="Normal 5 3 3 2 3 3 4" xfId="30847" xr:uid="{00000000-0005-0000-0000-00009C660000}"/>
    <cellStyle name="Normal 5 3 3 2 3 4" xfId="8404" xr:uid="{00000000-0005-0000-0000-00009D660000}"/>
    <cellStyle name="Normal 5 3 3 2 3 4 2" xfId="20848" xr:uid="{00000000-0005-0000-0000-00009E660000}"/>
    <cellStyle name="Normal 5 3 3 2 3 4 2 2" xfId="45722" xr:uid="{00000000-0005-0000-0000-00009F660000}"/>
    <cellStyle name="Normal 5 3 3 2 3 4 3" xfId="33289" xr:uid="{00000000-0005-0000-0000-0000A0660000}"/>
    <cellStyle name="Normal 5 3 3 2 3 5" xfId="12424" xr:uid="{00000000-0005-0000-0000-0000A1660000}"/>
    <cellStyle name="Normal 5 3 3 2 3 5 2" xfId="24858" xr:uid="{00000000-0005-0000-0000-0000A2660000}"/>
    <cellStyle name="Normal 5 3 3 2 3 5 2 2" xfId="49732" xr:uid="{00000000-0005-0000-0000-0000A3660000}"/>
    <cellStyle name="Normal 5 3 3 2 3 5 3" xfId="37299" xr:uid="{00000000-0005-0000-0000-0000A4660000}"/>
    <cellStyle name="Normal 5 3 3 2 3 6" xfId="7591" xr:uid="{00000000-0005-0000-0000-0000A5660000}"/>
    <cellStyle name="Normal 5 3 3 2 3 6 2" xfId="20039" xr:uid="{00000000-0005-0000-0000-0000A6660000}"/>
    <cellStyle name="Normal 5 3 3 2 3 6 2 2" xfId="44913" xr:uid="{00000000-0005-0000-0000-0000A7660000}"/>
    <cellStyle name="Normal 5 3 3 2 3 6 3" xfId="32480" xr:uid="{00000000-0005-0000-0000-0000A8660000}"/>
    <cellStyle name="Normal 5 3 3 2 3 7" xfId="3335" xr:uid="{00000000-0005-0000-0000-0000A9660000}"/>
    <cellStyle name="Normal 5 3 3 2 3 7 2" xfId="15841" xr:uid="{00000000-0005-0000-0000-0000AA660000}"/>
    <cellStyle name="Normal 5 3 3 2 3 7 2 2" xfId="40715" xr:uid="{00000000-0005-0000-0000-0000AB660000}"/>
    <cellStyle name="Normal 5 3 3 2 3 7 3" xfId="28274" xr:uid="{00000000-0005-0000-0000-0000AC660000}"/>
    <cellStyle name="Normal 5 3 3 2 3 8" xfId="14609" xr:uid="{00000000-0005-0000-0000-0000AD660000}"/>
    <cellStyle name="Normal 5 3 3 2 3 8 2" xfId="39483" xr:uid="{00000000-0005-0000-0000-0000AE660000}"/>
    <cellStyle name="Normal 5 3 3 2 3 9" xfId="27042" xr:uid="{00000000-0005-0000-0000-0000AF660000}"/>
    <cellStyle name="Normal 5 3 3 2 4" xfId="2355" xr:uid="{00000000-0005-0000-0000-0000B0660000}"/>
    <cellStyle name="Normal 5 3 3 2 4 2" xfId="6378" xr:uid="{00000000-0005-0000-0000-0000B1660000}"/>
    <cellStyle name="Normal 5 3 3 2 4 2 2" xfId="11393" xr:uid="{00000000-0005-0000-0000-0000B2660000}"/>
    <cellStyle name="Normal 5 3 3 2 4 2 2 2" xfId="23836" xr:uid="{00000000-0005-0000-0000-0000B3660000}"/>
    <cellStyle name="Normal 5 3 3 2 4 2 2 2 2" xfId="48710" xr:uid="{00000000-0005-0000-0000-0000B4660000}"/>
    <cellStyle name="Normal 5 3 3 2 4 2 2 3" xfId="36277" xr:uid="{00000000-0005-0000-0000-0000B5660000}"/>
    <cellStyle name="Normal 5 3 3 2 4 2 3" xfId="18829" xr:uid="{00000000-0005-0000-0000-0000B6660000}"/>
    <cellStyle name="Normal 5 3 3 2 4 2 3 2" xfId="43703" xr:uid="{00000000-0005-0000-0000-0000B7660000}"/>
    <cellStyle name="Normal 5 3 3 2 4 2 4" xfId="31270" xr:uid="{00000000-0005-0000-0000-0000B8660000}"/>
    <cellStyle name="Normal 5 3 3 2 4 3" xfId="12847" xr:uid="{00000000-0005-0000-0000-0000B9660000}"/>
    <cellStyle name="Normal 5 3 3 2 4 3 2" xfId="25281" xr:uid="{00000000-0005-0000-0000-0000BA660000}"/>
    <cellStyle name="Normal 5 3 3 2 4 3 2 2" xfId="50155" xr:uid="{00000000-0005-0000-0000-0000BB660000}"/>
    <cellStyle name="Normal 5 3 3 2 4 3 3" xfId="37722" xr:uid="{00000000-0005-0000-0000-0000BC660000}"/>
    <cellStyle name="Normal 5 3 3 2 4 4" xfId="9288" xr:uid="{00000000-0005-0000-0000-0000BD660000}"/>
    <cellStyle name="Normal 5 3 3 2 4 4 2" xfId="21731" xr:uid="{00000000-0005-0000-0000-0000BE660000}"/>
    <cellStyle name="Normal 5 3 3 2 4 4 2 2" xfId="46605" xr:uid="{00000000-0005-0000-0000-0000BF660000}"/>
    <cellStyle name="Normal 5 3 3 2 4 4 3" xfId="34172" xr:uid="{00000000-0005-0000-0000-0000C0660000}"/>
    <cellStyle name="Normal 5 3 3 2 4 5" xfId="4270" xr:uid="{00000000-0005-0000-0000-0000C1660000}"/>
    <cellStyle name="Normal 5 3 3 2 4 5 2" xfId="16724" xr:uid="{00000000-0005-0000-0000-0000C2660000}"/>
    <cellStyle name="Normal 5 3 3 2 4 5 2 2" xfId="41598" xr:uid="{00000000-0005-0000-0000-0000C3660000}"/>
    <cellStyle name="Normal 5 3 3 2 4 5 3" xfId="29165" xr:uid="{00000000-0005-0000-0000-0000C4660000}"/>
    <cellStyle name="Normal 5 3 3 2 4 6" xfId="15032" xr:uid="{00000000-0005-0000-0000-0000C5660000}"/>
    <cellStyle name="Normal 5 3 3 2 4 6 2" xfId="39906" xr:uid="{00000000-0005-0000-0000-0000C6660000}"/>
    <cellStyle name="Normal 5 3 3 2 4 7" xfId="27465" xr:uid="{00000000-0005-0000-0000-0000C7660000}"/>
    <cellStyle name="Normal 5 3 3 2 5" xfId="1189" xr:uid="{00000000-0005-0000-0000-0000C8660000}"/>
    <cellStyle name="Normal 5 3 3 2 5 2" xfId="10350" xr:uid="{00000000-0005-0000-0000-0000C9660000}"/>
    <cellStyle name="Normal 5 3 3 2 5 2 2" xfId="22793" xr:uid="{00000000-0005-0000-0000-0000CA660000}"/>
    <cellStyle name="Normal 5 3 3 2 5 2 2 2" xfId="47667" xr:uid="{00000000-0005-0000-0000-0000CB660000}"/>
    <cellStyle name="Normal 5 3 3 2 5 2 3" xfId="35234" xr:uid="{00000000-0005-0000-0000-0000CC660000}"/>
    <cellStyle name="Normal 5 3 3 2 5 3" xfId="5334" xr:uid="{00000000-0005-0000-0000-0000CD660000}"/>
    <cellStyle name="Normal 5 3 3 2 5 3 2" xfId="17786" xr:uid="{00000000-0005-0000-0000-0000CE660000}"/>
    <cellStyle name="Normal 5 3 3 2 5 3 2 2" xfId="42660" xr:uid="{00000000-0005-0000-0000-0000CF660000}"/>
    <cellStyle name="Normal 5 3 3 2 5 3 3" xfId="30227" xr:uid="{00000000-0005-0000-0000-0000D0660000}"/>
    <cellStyle name="Normal 5 3 3 2 5 4" xfId="13989" xr:uid="{00000000-0005-0000-0000-0000D1660000}"/>
    <cellStyle name="Normal 5 3 3 2 5 4 2" xfId="38863" xr:uid="{00000000-0005-0000-0000-0000D2660000}"/>
    <cellStyle name="Normal 5 3 3 2 5 5" xfId="26422" xr:uid="{00000000-0005-0000-0000-0000D3660000}"/>
    <cellStyle name="Normal 5 3 3 2 6" xfId="7911" xr:uid="{00000000-0005-0000-0000-0000D4660000}"/>
    <cellStyle name="Normal 5 3 3 2 6 2" xfId="20357" xr:uid="{00000000-0005-0000-0000-0000D5660000}"/>
    <cellStyle name="Normal 5 3 3 2 6 2 2" xfId="45231" xr:uid="{00000000-0005-0000-0000-0000D6660000}"/>
    <cellStyle name="Normal 5 3 3 2 6 3" xfId="32798" xr:uid="{00000000-0005-0000-0000-0000D7660000}"/>
    <cellStyle name="Normal 5 3 3 2 7" xfId="11804" xr:uid="{00000000-0005-0000-0000-0000D8660000}"/>
    <cellStyle name="Normal 5 3 3 2 7 2" xfId="24238" xr:uid="{00000000-0005-0000-0000-0000D9660000}"/>
    <cellStyle name="Normal 5 3 3 2 7 2 2" xfId="49112" xr:uid="{00000000-0005-0000-0000-0000DA660000}"/>
    <cellStyle name="Normal 5 3 3 2 7 3" xfId="36679" xr:uid="{00000000-0005-0000-0000-0000DB660000}"/>
    <cellStyle name="Normal 5 3 3 2 8" xfId="6881" xr:uid="{00000000-0005-0000-0000-0000DC660000}"/>
    <cellStyle name="Normal 5 3 3 2 8 2" xfId="19330" xr:uid="{00000000-0005-0000-0000-0000DD660000}"/>
    <cellStyle name="Normal 5 3 3 2 8 2 2" xfId="44204" xr:uid="{00000000-0005-0000-0000-0000DE660000}"/>
    <cellStyle name="Normal 5 3 3 2 8 3" xfId="31771" xr:uid="{00000000-0005-0000-0000-0000DF660000}"/>
    <cellStyle name="Normal 5 3 3 2 9" xfId="2832" xr:uid="{00000000-0005-0000-0000-0000E0660000}"/>
    <cellStyle name="Normal 5 3 3 2 9 2" xfId="15350" xr:uid="{00000000-0005-0000-0000-0000E1660000}"/>
    <cellStyle name="Normal 5 3 3 2 9 2 2" xfId="40224" xr:uid="{00000000-0005-0000-0000-0000E2660000}"/>
    <cellStyle name="Normal 5 3 3 2 9 3" xfId="27783" xr:uid="{00000000-0005-0000-0000-0000E3660000}"/>
    <cellStyle name="Normal 5 3 3 2_Degree data" xfId="2091" xr:uid="{00000000-0005-0000-0000-0000E4660000}"/>
    <cellStyle name="Normal 5 3 3 3" xfId="335" xr:uid="{00000000-0005-0000-0000-0000E5660000}"/>
    <cellStyle name="Normal 5 3 3 3 2" xfId="1460" xr:uid="{00000000-0005-0000-0000-0000E6660000}"/>
    <cellStyle name="Normal 5 3 3 3 2 2" xfId="9188" xr:uid="{00000000-0005-0000-0000-0000E7660000}"/>
    <cellStyle name="Normal 5 3 3 3 2 2 2" xfId="21631" xr:uid="{00000000-0005-0000-0000-0000E8660000}"/>
    <cellStyle name="Normal 5 3 3 3 2 2 2 2" xfId="46505" xr:uid="{00000000-0005-0000-0000-0000E9660000}"/>
    <cellStyle name="Normal 5 3 3 3 2 2 3" xfId="34072" xr:uid="{00000000-0005-0000-0000-0000EA660000}"/>
    <cellStyle name="Normal 5 3 3 3 2 3" xfId="4170" xr:uid="{00000000-0005-0000-0000-0000EB660000}"/>
    <cellStyle name="Normal 5 3 3 3 2 3 2" xfId="16624" xr:uid="{00000000-0005-0000-0000-0000EC660000}"/>
    <cellStyle name="Normal 5 3 3 3 2 3 2 2" xfId="41498" xr:uid="{00000000-0005-0000-0000-0000ED660000}"/>
    <cellStyle name="Normal 5 3 3 3 2 3 3" xfId="29065" xr:uid="{00000000-0005-0000-0000-0000EE660000}"/>
    <cellStyle name="Normal 5 3 3 3 2 4" xfId="14260" xr:uid="{00000000-0005-0000-0000-0000EF660000}"/>
    <cellStyle name="Normal 5 3 3 3 2 4 2" xfId="39134" xr:uid="{00000000-0005-0000-0000-0000F0660000}"/>
    <cellStyle name="Normal 5 3 3 3 2 5" xfId="26693" xr:uid="{00000000-0005-0000-0000-0000F1660000}"/>
    <cellStyle name="Normal 5 3 3 3 3" xfId="5605" xr:uid="{00000000-0005-0000-0000-0000F2660000}"/>
    <cellStyle name="Normal 5 3 3 3 3 2" xfId="10621" xr:uid="{00000000-0005-0000-0000-0000F3660000}"/>
    <cellStyle name="Normal 5 3 3 3 3 2 2" xfId="23064" xr:uid="{00000000-0005-0000-0000-0000F4660000}"/>
    <cellStyle name="Normal 5 3 3 3 3 2 2 2" xfId="47938" xr:uid="{00000000-0005-0000-0000-0000F5660000}"/>
    <cellStyle name="Normal 5 3 3 3 3 2 3" xfId="35505" xr:uid="{00000000-0005-0000-0000-0000F6660000}"/>
    <cellStyle name="Normal 5 3 3 3 3 3" xfId="18057" xr:uid="{00000000-0005-0000-0000-0000F7660000}"/>
    <cellStyle name="Normal 5 3 3 3 3 3 2" xfId="42931" xr:uid="{00000000-0005-0000-0000-0000F8660000}"/>
    <cellStyle name="Normal 5 3 3 3 3 4" xfId="30498" xr:uid="{00000000-0005-0000-0000-0000F9660000}"/>
    <cellStyle name="Normal 5 3 3 3 4" xfId="8304" xr:uid="{00000000-0005-0000-0000-0000FA660000}"/>
    <cellStyle name="Normal 5 3 3 3 4 2" xfId="20748" xr:uid="{00000000-0005-0000-0000-0000FB660000}"/>
    <cellStyle name="Normal 5 3 3 3 4 2 2" xfId="45622" xr:uid="{00000000-0005-0000-0000-0000FC660000}"/>
    <cellStyle name="Normal 5 3 3 3 4 3" xfId="33189" xr:uid="{00000000-0005-0000-0000-0000FD660000}"/>
    <cellStyle name="Normal 5 3 3 3 5" xfId="12075" xr:uid="{00000000-0005-0000-0000-0000FE660000}"/>
    <cellStyle name="Normal 5 3 3 3 5 2" xfId="24509" xr:uid="{00000000-0005-0000-0000-0000FF660000}"/>
    <cellStyle name="Normal 5 3 3 3 5 2 2" xfId="49383" xr:uid="{00000000-0005-0000-0000-000000670000}"/>
    <cellStyle name="Normal 5 3 3 3 5 3" xfId="36950" xr:uid="{00000000-0005-0000-0000-000001670000}"/>
    <cellStyle name="Normal 5 3 3 3 6" xfId="6781" xr:uid="{00000000-0005-0000-0000-000002670000}"/>
    <cellStyle name="Normal 5 3 3 3 6 2" xfId="19230" xr:uid="{00000000-0005-0000-0000-000003670000}"/>
    <cellStyle name="Normal 5 3 3 3 6 2 2" xfId="44104" xr:uid="{00000000-0005-0000-0000-000004670000}"/>
    <cellStyle name="Normal 5 3 3 3 6 3" xfId="31671" xr:uid="{00000000-0005-0000-0000-000005670000}"/>
    <cellStyle name="Normal 5 3 3 3 7" xfId="3235" xr:uid="{00000000-0005-0000-0000-000006670000}"/>
    <cellStyle name="Normal 5 3 3 3 7 2" xfId="15741" xr:uid="{00000000-0005-0000-0000-000007670000}"/>
    <cellStyle name="Normal 5 3 3 3 7 2 2" xfId="40615" xr:uid="{00000000-0005-0000-0000-000008670000}"/>
    <cellStyle name="Normal 5 3 3 3 7 3" xfId="28174" xr:uid="{00000000-0005-0000-0000-000009670000}"/>
    <cellStyle name="Normal 5 3 3 3 8" xfId="13151" xr:uid="{00000000-0005-0000-0000-00000A670000}"/>
    <cellStyle name="Normal 5 3 3 3 8 2" xfId="38025" xr:uid="{00000000-0005-0000-0000-00000B670000}"/>
    <cellStyle name="Normal 5 3 3 3 9" xfId="25584" xr:uid="{00000000-0005-0000-0000-00000C670000}"/>
    <cellStyle name="Normal 5 3 3 4" xfId="695" xr:uid="{00000000-0005-0000-0000-00000D670000}"/>
    <cellStyle name="Normal 5 3 3 4 2" xfId="1808" xr:uid="{00000000-0005-0000-0000-00000E670000}"/>
    <cellStyle name="Normal 5 3 3 4 2 2" xfId="9564" xr:uid="{00000000-0005-0000-0000-00000F670000}"/>
    <cellStyle name="Normal 5 3 3 4 2 2 2" xfId="22007" xr:uid="{00000000-0005-0000-0000-000010670000}"/>
    <cellStyle name="Normal 5 3 3 4 2 2 2 2" xfId="46881" xr:uid="{00000000-0005-0000-0000-000011670000}"/>
    <cellStyle name="Normal 5 3 3 4 2 2 3" xfId="34448" xr:uid="{00000000-0005-0000-0000-000012670000}"/>
    <cellStyle name="Normal 5 3 3 4 2 3" xfId="4546" xr:uid="{00000000-0005-0000-0000-000013670000}"/>
    <cellStyle name="Normal 5 3 3 4 2 3 2" xfId="17000" xr:uid="{00000000-0005-0000-0000-000014670000}"/>
    <cellStyle name="Normal 5 3 3 4 2 3 2 2" xfId="41874" xr:uid="{00000000-0005-0000-0000-000015670000}"/>
    <cellStyle name="Normal 5 3 3 4 2 3 3" xfId="29441" xr:uid="{00000000-0005-0000-0000-000016670000}"/>
    <cellStyle name="Normal 5 3 3 4 2 4" xfId="14608" xr:uid="{00000000-0005-0000-0000-000017670000}"/>
    <cellStyle name="Normal 5 3 3 4 2 4 2" xfId="39482" xr:uid="{00000000-0005-0000-0000-000018670000}"/>
    <cellStyle name="Normal 5 3 3 4 2 5" xfId="27041" xr:uid="{00000000-0005-0000-0000-000019670000}"/>
    <cellStyle name="Normal 5 3 3 4 3" xfId="5954" xr:uid="{00000000-0005-0000-0000-00001A670000}"/>
    <cellStyle name="Normal 5 3 3 4 3 2" xfId="10969" xr:uid="{00000000-0005-0000-0000-00001B670000}"/>
    <cellStyle name="Normal 5 3 3 4 3 2 2" xfId="23412" xr:uid="{00000000-0005-0000-0000-00001C670000}"/>
    <cellStyle name="Normal 5 3 3 4 3 2 2 2" xfId="48286" xr:uid="{00000000-0005-0000-0000-00001D670000}"/>
    <cellStyle name="Normal 5 3 3 4 3 2 3" xfId="35853" xr:uid="{00000000-0005-0000-0000-00001E670000}"/>
    <cellStyle name="Normal 5 3 3 4 3 3" xfId="18405" xr:uid="{00000000-0005-0000-0000-00001F670000}"/>
    <cellStyle name="Normal 5 3 3 4 3 3 2" xfId="43279" xr:uid="{00000000-0005-0000-0000-000020670000}"/>
    <cellStyle name="Normal 5 3 3 4 3 4" xfId="30846" xr:uid="{00000000-0005-0000-0000-000021670000}"/>
    <cellStyle name="Normal 5 3 3 4 4" xfId="8680" xr:uid="{00000000-0005-0000-0000-000022670000}"/>
    <cellStyle name="Normal 5 3 3 4 4 2" xfId="21124" xr:uid="{00000000-0005-0000-0000-000023670000}"/>
    <cellStyle name="Normal 5 3 3 4 4 2 2" xfId="45998" xr:uid="{00000000-0005-0000-0000-000024670000}"/>
    <cellStyle name="Normal 5 3 3 4 4 3" xfId="33565" xr:uid="{00000000-0005-0000-0000-000025670000}"/>
    <cellStyle name="Normal 5 3 3 4 5" xfId="12423" xr:uid="{00000000-0005-0000-0000-000026670000}"/>
    <cellStyle name="Normal 5 3 3 4 5 2" xfId="24857" xr:uid="{00000000-0005-0000-0000-000027670000}"/>
    <cellStyle name="Normal 5 3 3 4 5 2 2" xfId="49731" xr:uid="{00000000-0005-0000-0000-000028670000}"/>
    <cellStyle name="Normal 5 3 3 4 5 3" xfId="37298" xr:uid="{00000000-0005-0000-0000-000029670000}"/>
    <cellStyle name="Normal 5 3 3 4 6" xfId="7157" xr:uid="{00000000-0005-0000-0000-00002A670000}"/>
    <cellStyle name="Normal 5 3 3 4 6 2" xfId="19606" xr:uid="{00000000-0005-0000-0000-00002B670000}"/>
    <cellStyle name="Normal 5 3 3 4 6 2 2" xfId="44480" xr:uid="{00000000-0005-0000-0000-00002C670000}"/>
    <cellStyle name="Normal 5 3 3 4 6 3" xfId="32047" xr:uid="{00000000-0005-0000-0000-00002D670000}"/>
    <cellStyle name="Normal 5 3 3 4 7" xfId="3611" xr:uid="{00000000-0005-0000-0000-00002E670000}"/>
    <cellStyle name="Normal 5 3 3 4 7 2" xfId="16117" xr:uid="{00000000-0005-0000-0000-00002F670000}"/>
    <cellStyle name="Normal 5 3 3 4 7 2 2" xfId="40991" xr:uid="{00000000-0005-0000-0000-000030670000}"/>
    <cellStyle name="Normal 5 3 3 4 7 3" xfId="28550" xr:uid="{00000000-0005-0000-0000-000031670000}"/>
    <cellStyle name="Normal 5 3 3 4 8" xfId="13498" xr:uid="{00000000-0005-0000-0000-000032670000}"/>
    <cellStyle name="Normal 5 3 3 4 8 2" xfId="38372" xr:uid="{00000000-0005-0000-0000-000033670000}"/>
    <cellStyle name="Normal 5 3 3 4 9" xfId="25931" xr:uid="{00000000-0005-0000-0000-000034670000}"/>
    <cellStyle name="Normal 5 3 3 5" xfId="2253" xr:uid="{00000000-0005-0000-0000-000035670000}"/>
    <cellStyle name="Normal 5 3 3 5 2" xfId="4880" xr:uid="{00000000-0005-0000-0000-000036670000}"/>
    <cellStyle name="Normal 5 3 3 5 2 2" xfId="9897" xr:uid="{00000000-0005-0000-0000-000037670000}"/>
    <cellStyle name="Normal 5 3 3 5 2 2 2" xfId="22340" xr:uid="{00000000-0005-0000-0000-000038670000}"/>
    <cellStyle name="Normal 5 3 3 5 2 2 2 2" xfId="47214" xr:uid="{00000000-0005-0000-0000-000039670000}"/>
    <cellStyle name="Normal 5 3 3 5 2 2 3" xfId="34781" xr:uid="{00000000-0005-0000-0000-00003A670000}"/>
    <cellStyle name="Normal 5 3 3 5 2 3" xfId="17333" xr:uid="{00000000-0005-0000-0000-00003B670000}"/>
    <cellStyle name="Normal 5 3 3 5 2 3 2" xfId="42207" xr:uid="{00000000-0005-0000-0000-00003C670000}"/>
    <cellStyle name="Normal 5 3 3 5 2 4" xfId="29774" xr:uid="{00000000-0005-0000-0000-00003D670000}"/>
    <cellStyle name="Normal 5 3 3 5 3" xfId="6278" xr:uid="{00000000-0005-0000-0000-00003E670000}"/>
    <cellStyle name="Normal 5 3 3 5 3 2" xfId="11293" xr:uid="{00000000-0005-0000-0000-00003F670000}"/>
    <cellStyle name="Normal 5 3 3 5 3 2 2" xfId="23736" xr:uid="{00000000-0005-0000-0000-000040670000}"/>
    <cellStyle name="Normal 5 3 3 5 3 2 2 2" xfId="48610" xr:uid="{00000000-0005-0000-0000-000041670000}"/>
    <cellStyle name="Normal 5 3 3 5 3 2 3" xfId="36177" xr:uid="{00000000-0005-0000-0000-000042670000}"/>
    <cellStyle name="Normal 5 3 3 5 3 3" xfId="18729" xr:uid="{00000000-0005-0000-0000-000043670000}"/>
    <cellStyle name="Normal 5 3 3 5 3 3 2" xfId="43603" xr:uid="{00000000-0005-0000-0000-000044670000}"/>
    <cellStyle name="Normal 5 3 3 5 3 4" xfId="31170" xr:uid="{00000000-0005-0000-0000-000045670000}"/>
    <cellStyle name="Normal 5 3 3 5 4" xfId="8085" xr:uid="{00000000-0005-0000-0000-000046670000}"/>
    <cellStyle name="Normal 5 3 3 5 4 2" xfId="20531" xr:uid="{00000000-0005-0000-0000-000047670000}"/>
    <cellStyle name="Normal 5 3 3 5 4 2 2" xfId="45405" xr:uid="{00000000-0005-0000-0000-000048670000}"/>
    <cellStyle name="Normal 5 3 3 5 4 3" xfId="32972" xr:uid="{00000000-0005-0000-0000-000049670000}"/>
    <cellStyle name="Normal 5 3 3 5 5" xfId="12747" xr:uid="{00000000-0005-0000-0000-00004A670000}"/>
    <cellStyle name="Normal 5 3 3 5 5 2" xfId="25181" xr:uid="{00000000-0005-0000-0000-00004B670000}"/>
    <cellStyle name="Normal 5 3 3 5 5 2 2" xfId="50055" xr:uid="{00000000-0005-0000-0000-00004C670000}"/>
    <cellStyle name="Normal 5 3 3 5 5 3" xfId="37622" xr:uid="{00000000-0005-0000-0000-00004D670000}"/>
    <cellStyle name="Normal 5 3 3 5 6" xfId="7491" xr:uid="{00000000-0005-0000-0000-00004E670000}"/>
    <cellStyle name="Normal 5 3 3 5 6 2" xfId="19939" xr:uid="{00000000-0005-0000-0000-00004F670000}"/>
    <cellStyle name="Normal 5 3 3 5 6 2 2" xfId="44813" xr:uid="{00000000-0005-0000-0000-000050670000}"/>
    <cellStyle name="Normal 5 3 3 5 6 3" xfId="32380" xr:uid="{00000000-0005-0000-0000-000051670000}"/>
    <cellStyle name="Normal 5 3 3 5 7" xfId="3015" xr:uid="{00000000-0005-0000-0000-000052670000}"/>
    <cellStyle name="Normal 5 3 3 5 7 2" xfId="15524" xr:uid="{00000000-0005-0000-0000-000053670000}"/>
    <cellStyle name="Normal 5 3 3 5 7 2 2" xfId="40398" xr:uid="{00000000-0005-0000-0000-000054670000}"/>
    <cellStyle name="Normal 5 3 3 5 7 3" xfId="27957" xr:uid="{00000000-0005-0000-0000-000055670000}"/>
    <cellStyle name="Normal 5 3 3 5 8" xfId="14932" xr:uid="{00000000-0005-0000-0000-000056670000}"/>
    <cellStyle name="Normal 5 3 3 5 8 2" xfId="39806" xr:uid="{00000000-0005-0000-0000-000057670000}"/>
    <cellStyle name="Normal 5 3 3 5 9" xfId="27365" xr:uid="{00000000-0005-0000-0000-000058670000}"/>
    <cellStyle name="Normal 5 3 3 6" xfId="1089" xr:uid="{00000000-0005-0000-0000-000059670000}"/>
    <cellStyle name="Normal 5 3 3 6 2" xfId="8971" xr:uid="{00000000-0005-0000-0000-00005A670000}"/>
    <cellStyle name="Normal 5 3 3 6 2 2" xfId="21414" xr:uid="{00000000-0005-0000-0000-00005B670000}"/>
    <cellStyle name="Normal 5 3 3 6 2 2 2" xfId="46288" xr:uid="{00000000-0005-0000-0000-00005C670000}"/>
    <cellStyle name="Normal 5 3 3 6 2 3" xfId="33855" xr:uid="{00000000-0005-0000-0000-00005D670000}"/>
    <cellStyle name="Normal 5 3 3 6 3" xfId="3953" xr:uid="{00000000-0005-0000-0000-00005E670000}"/>
    <cellStyle name="Normal 5 3 3 6 3 2" xfId="16407" xr:uid="{00000000-0005-0000-0000-00005F670000}"/>
    <cellStyle name="Normal 5 3 3 6 3 2 2" xfId="41281" xr:uid="{00000000-0005-0000-0000-000060670000}"/>
    <cellStyle name="Normal 5 3 3 6 3 3" xfId="28848" xr:uid="{00000000-0005-0000-0000-000061670000}"/>
    <cellStyle name="Normal 5 3 3 6 4" xfId="13889" xr:uid="{00000000-0005-0000-0000-000062670000}"/>
    <cellStyle name="Normal 5 3 3 6 4 2" xfId="38763" xr:uid="{00000000-0005-0000-0000-000063670000}"/>
    <cellStyle name="Normal 5 3 3 6 5" xfId="26322" xr:uid="{00000000-0005-0000-0000-000064670000}"/>
    <cellStyle name="Normal 5 3 3 7" xfId="5234" xr:uid="{00000000-0005-0000-0000-000065670000}"/>
    <cellStyle name="Normal 5 3 3 7 2" xfId="10250" xr:uid="{00000000-0005-0000-0000-000066670000}"/>
    <cellStyle name="Normal 5 3 3 7 2 2" xfId="22693" xr:uid="{00000000-0005-0000-0000-000067670000}"/>
    <cellStyle name="Normal 5 3 3 7 2 2 2" xfId="47567" xr:uid="{00000000-0005-0000-0000-000068670000}"/>
    <cellStyle name="Normal 5 3 3 7 2 3" xfId="35134" xr:uid="{00000000-0005-0000-0000-000069670000}"/>
    <cellStyle name="Normal 5 3 3 7 3" xfId="17686" xr:uid="{00000000-0005-0000-0000-00006A670000}"/>
    <cellStyle name="Normal 5 3 3 7 3 2" xfId="42560" xr:uid="{00000000-0005-0000-0000-00006B670000}"/>
    <cellStyle name="Normal 5 3 3 7 4" xfId="30127" xr:uid="{00000000-0005-0000-0000-00006C670000}"/>
    <cellStyle name="Normal 5 3 3 8" xfId="7811" xr:uid="{00000000-0005-0000-0000-00006D670000}"/>
    <cellStyle name="Normal 5 3 3 8 2" xfId="20257" xr:uid="{00000000-0005-0000-0000-00006E670000}"/>
    <cellStyle name="Normal 5 3 3 8 2 2" xfId="45131" xr:uid="{00000000-0005-0000-0000-00006F670000}"/>
    <cellStyle name="Normal 5 3 3 8 3" xfId="32698" xr:uid="{00000000-0005-0000-0000-000070670000}"/>
    <cellStyle name="Normal 5 3 3 9" xfId="11704" xr:uid="{00000000-0005-0000-0000-000071670000}"/>
    <cellStyle name="Normal 5 3 3 9 2" xfId="24138" xr:uid="{00000000-0005-0000-0000-000072670000}"/>
    <cellStyle name="Normal 5 3 3 9 2 2" xfId="49012" xr:uid="{00000000-0005-0000-0000-000073670000}"/>
    <cellStyle name="Normal 5 3 3 9 3" xfId="36579" xr:uid="{00000000-0005-0000-0000-000074670000}"/>
    <cellStyle name="Normal 5 3 3_Degree data" xfId="2073" xr:uid="{00000000-0005-0000-0000-000075670000}"/>
    <cellStyle name="Normal 5 3 4" xfId="251" xr:uid="{00000000-0005-0000-0000-000076670000}"/>
    <cellStyle name="Normal 5 3 4 10" xfId="6591" xr:uid="{00000000-0005-0000-0000-000077670000}"/>
    <cellStyle name="Normal 5 3 4 10 2" xfId="19040" xr:uid="{00000000-0005-0000-0000-000078670000}"/>
    <cellStyle name="Normal 5 3 4 10 2 2" xfId="43914" xr:uid="{00000000-0005-0000-0000-000079670000}"/>
    <cellStyle name="Normal 5 3 4 10 3" xfId="31481" xr:uid="{00000000-0005-0000-0000-00007A670000}"/>
    <cellStyle name="Normal 5 3 4 11" xfId="2654" xr:uid="{00000000-0005-0000-0000-00007B670000}"/>
    <cellStyle name="Normal 5 3 4 11 2" xfId="15172" xr:uid="{00000000-0005-0000-0000-00007C670000}"/>
    <cellStyle name="Normal 5 3 4 11 2 2" xfId="40046" xr:uid="{00000000-0005-0000-0000-00007D670000}"/>
    <cellStyle name="Normal 5 3 4 11 3" xfId="27605" xr:uid="{00000000-0005-0000-0000-00007E670000}"/>
    <cellStyle name="Normal 5 3 4 12" xfId="13073" xr:uid="{00000000-0005-0000-0000-00007F670000}"/>
    <cellStyle name="Normal 5 3 4 12 2" xfId="37947" xr:uid="{00000000-0005-0000-0000-000080670000}"/>
    <cellStyle name="Normal 5 3 4 13" xfId="25506" xr:uid="{00000000-0005-0000-0000-000081670000}"/>
    <cellStyle name="Normal 5 3 4 2" xfId="465" xr:uid="{00000000-0005-0000-0000-000082670000}"/>
    <cellStyle name="Normal 5 3 4 2 10" xfId="13278" xr:uid="{00000000-0005-0000-0000-000083670000}"/>
    <cellStyle name="Normal 5 3 4 2 10 2" xfId="38152" xr:uid="{00000000-0005-0000-0000-000084670000}"/>
    <cellStyle name="Normal 5 3 4 2 11" xfId="25711" xr:uid="{00000000-0005-0000-0000-000085670000}"/>
    <cellStyle name="Normal 5 3 4 2 2" xfId="824" xr:uid="{00000000-0005-0000-0000-000086670000}"/>
    <cellStyle name="Normal 5 3 4 2 2 2" xfId="1463" xr:uid="{00000000-0005-0000-0000-000087670000}"/>
    <cellStyle name="Normal 5 3 4 2 2 2 2" xfId="9567" xr:uid="{00000000-0005-0000-0000-000088670000}"/>
    <cellStyle name="Normal 5 3 4 2 2 2 2 2" xfId="22010" xr:uid="{00000000-0005-0000-0000-000089670000}"/>
    <cellStyle name="Normal 5 3 4 2 2 2 2 2 2" xfId="46884" xr:uid="{00000000-0005-0000-0000-00008A670000}"/>
    <cellStyle name="Normal 5 3 4 2 2 2 2 3" xfId="34451" xr:uid="{00000000-0005-0000-0000-00008B670000}"/>
    <cellStyle name="Normal 5 3 4 2 2 2 3" xfId="4549" xr:uid="{00000000-0005-0000-0000-00008C670000}"/>
    <cellStyle name="Normal 5 3 4 2 2 2 3 2" xfId="17003" xr:uid="{00000000-0005-0000-0000-00008D670000}"/>
    <cellStyle name="Normal 5 3 4 2 2 2 3 2 2" xfId="41877" xr:uid="{00000000-0005-0000-0000-00008E670000}"/>
    <cellStyle name="Normal 5 3 4 2 2 2 3 3" xfId="29444" xr:uid="{00000000-0005-0000-0000-00008F670000}"/>
    <cellStyle name="Normal 5 3 4 2 2 2 4" xfId="14263" xr:uid="{00000000-0005-0000-0000-000090670000}"/>
    <cellStyle name="Normal 5 3 4 2 2 2 4 2" xfId="39137" xr:uid="{00000000-0005-0000-0000-000091670000}"/>
    <cellStyle name="Normal 5 3 4 2 2 2 5" xfId="26696" xr:uid="{00000000-0005-0000-0000-000092670000}"/>
    <cellStyle name="Normal 5 3 4 2 2 3" xfId="5608" xr:uid="{00000000-0005-0000-0000-000093670000}"/>
    <cellStyle name="Normal 5 3 4 2 2 3 2" xfId="10624" xr:uid="{00000000-0005-0000-0000-000094670000}"/>
    <cellStyle name="Normal 5 3 4 2 2 3 2 2" xfId="23067" xr:uid="{00000000-0005-0000-0000-000095670000}"/>
    <cellStyle name="Normal 5 3 4 2 2 3 2 2 2" xfId="47941" xr:uid="{00000000-0005-0000-0000-000096670000}"/>
    <cellStyle name="Normal 5 3 4 2 2 3 2 3" xfId="35508" xr:uid="{00000000-0005-0000-0000-000097670000}"/>
    <cellStyle name="Normal 5 3 4 2 2 3 3" xfId="18060" xr:uid="{00000000-0005-0000-0000-000098670000}"/>
    <cellStyle name="Normal 5 3 4 2 2 3 3 2" xfId="42934" xr:uid="{00000000-0005-0000-0000-000099670000}"/>
    <cellStyle name="Normal 5 3 4 2 2 3 4" xfId="30501" xr:uid="{00000000-0005-0000-0000-00009A670000}"/>
    <cellStyle name="Normal 5 3 4 2 2 4" xfId="8683" xr:uid="{00000000-0005-0000-0000-00009B670000}"/>
    <cellStyle name="Normal 5 3 4 2 2 4 2" xfId="21127" xr:uid="{00000000-0005-0000-0000-00009C670000}"/>
    <cellStyle name="Normal 5 3 4 2 2 4 2 2" xfId="46001" xr:uid="{00000000-0005-0000-0000-00009D670000}"/>
    <cellStyle name="Normal 5 3 4 2 2 4 3" xfId="33568" xr:uid="{00000000-0005-0000-0000-00009E670000}"/>
    <cellStyle name="Normal 5 3 4 2 2 5" xfId="12078" xr:uid="{00000000-0005-0000-0000-00009F670000}"/>
    <cellStyle name="Normal 5 3 4 2 2 5 2" xfId="24512" xr:uid="{00000000-0005-0000-0000-0000A0670000}"/>
    <cellStyle name="Normal 5 3 4 2 2 5 2 2" xfId="49386" xr:uid="{00000000-0005-0000-0000-0000A1670000}"/>
    <cellStyle name="Normal 5 3 4 2 2 5 3" xfId="36953" xr:uid="{00000000-0005-0000-0000-0000A2670000}"/>
    <cellStyle name="Normal 5 3 4 2 2 6" xfId="7160" xr:uid="{00000000-0005-0000-0000-0000A3670000}"/>
    <cellStyle name="Normal 5 3 4 2 2 6 2" xfId="19609" xr:uid="{00000000-0005-0000-0000-0000A4670000}"/>
    <cellStyle name="Normal 5 3 4 2 2 6 2 2" xfId="44483" xr:uid="{00000000-0005-0000-0000-0000A5670000}"/>
    <cellStyle name="Normal 5 3 4 2 2 6 3" xfId="32050" xr:uid="{00000000-0005-0000-0000-0000A6670000}"/>
    <cellStyle name="Normal 5 3 4 2 2 7" xfId="3614" xr:uid="{00000000-0005-0000-0000-0000A7670000}"/>
    <cellStyle name="Normal 5 3 4 2 2 7 2" xfId="16120" xr:uid="{00000000-0005-0000-0000-0000A8670000}"/>
    <cellStyle name="Normal 5 3 4 2 2 7 2 2" xfId="40994" xr:uid="{00000000-0005-0000-0000-0000A9670000}"/>
    <cellStyle name="Normal 5 3 4 2 2 7 3" xfId="28553" xr:uid="{00000000-0005-0000-0000-0000AA670000}"/>
    <cellStyle name="Normal 5 3 4 2 2 8" xfId="13625" xr:uid="{00000000-0005-0000-0000-0000AB670000}"/>
    <cellStyle name="Normal 5 3 4 2 2 8 2" xfId="38499" xr:uid="{00000000-0005-0000-0000-0000AC670000}"/>
    <cellStyle name="Normal 5 3 4 2 2 9" xfId="26058" xr:uid="{00000000-0005-0000-0000-0000AD670000}"/>
    <cellStyle name="Normal 5 3 4 2 3" xfId="1811" xr:uid="{00000000-0005-0000-0000-0000AE670000}"/>
    <cellStyle name="Normal 5 3 4 2 3 2" xfId="5007" xr:uid="{00000000-0005-0000-0000-0000AF670000}"/>
    <cellStyle name="Normal 5 3 4 2 3 2 2" xfId="10024" xr:uid="{00000000-0005-0000-0000-0000B0670000}"/>
    <cellStyle name="Normal 5 3 4 2 3 2 2 2" xfId="22467" xr:uid="{00000000-0005-0000-0000-0000B1670000}"/>
    <cellStyle name="Normal 5 3 4 2 3 2 2 2 2" xfId="47341" xr:uid="{00000000-0005-0000-0000-0000B2670000}"/>
    <cellStyle name="Normal 5 3 4 2 3 2 2 3" xfId="34908" xr:uid="{00000000-0005-0000-0000-0000B3670000}"/>
    <cellStyle name="Normal 5 3 4 2 3 2 3" xfId="17460" xr:uid="{00000000-0005-0000-0000-0000B4670000}"/>
    <cellStyle name="Normal 5 3 4 2 3 2 3 2" xfId="42334" xr:uid="{00000000-0005-0000-0000-0000B5670000}"/>
    <cellStyle name="Normal 5 3 4 2 3 2 4" xfId="29901" xr:uid="{00000000-0005-0000-0000-0000B6670000}"/>
    <cellStyle name="Normal 5 3 4 2 3 3" xfId="5957" xr:uid="{00000000-0005-0000-0000-0000B7670000}"/>
    <cellStyle name="Normal 5 3 4 2 3 3 2" xfId="10972" xr:uid="{00000000-0005-0000-0000-0000B8670000}"/>
    <cellStyle name="Normal 5 3 4 2 3 3 2 2" xfId="23415" xr:uid="{00000000-0005-0000-0000-0000B9670000}"/>
    <cellStyle name="Normal 5 3 4 2 3 3 2 2 2" xfId="48289" xr:uid="{00000000-0005-0000-0000-0000BA670000}"/>
    <cellStyle name="Normal 5 3 4 2 3 3 2 3" xfId="35856" xr:uid="{00000000-0005-0000-0000-0000BB670000}"/>
    <cellStyle name="Normal 5 3 4 2 3 3 3" xfId="18408" xr:uid="{00000000-0005-0000-0000-0000BC670000}"/>
    <cellStyle name="Normal 5 3 4 2 3 3 3 2" xfId="43282" xr:uid="{00000000-0005-0000-0000-0000BD670000}"/>
    <cellStyle name="Normal 5 3 4 2 3 3 4" xfId="30849" xr:uid="{00000000-0005-0000-0000-0000BE670000}"/>
    <cellStyle name="Normal 5 3 4 2 3 4" xfId="8431" xr:uid="{00000000-0005-0000-0000-0000BF670000}"/>
    <cellStyle name="Normal 5 3 4 2 3 4 2" xfId="20875" xr:uid="{00000000-0005-0000-0000-0000C0670000}"/>
    <cellStyle name="Normal 5 3 4 2 3 4 2 2" xfId="45749" xr:uid="{00000000-0005-0000-0000-0000C1670000}"/>
    <cellStyle name="Normal 5 3 4 2 3 4 3" xfId="33316" xr:uid="{00000000-0005-0000-0000-0000C2670000}"/>
    <cellStyle name="Normal 5 3 4 2 3 5" xfId="12426" xr:uid="{00000000-0005-0000-0000-0000C3670000}"/>
    <cellStyle name="Normal 5 3 4 2 3 5 2" xfId="24860" xr:uid="{00000000-0005-0000-0000-0000C4670000}"/>
    <cellStyle name="Normal 5 3 4 2 3 5 2 2" xfId="49734" xr:uid="{00000000-0005-0000-0000-0000C5670000}"/>
    <cellStyle name="Normal 5 3 4 2 3 5 3" xfId="37301" xr:uid="{00000000-0005-0000-0000-0000C6670000}"/>
    <cellStyle name="Normal 5 3 4 2 3 6" xfId="7618" xr:uid="{00000000-0005-0000-0000-0000C7670000}"/>
    <cellStyle name="Normal 5 3 4 2 3 6 2" xfId="20066" xr:uid="{00000000-0005-0000-0000-0000C8670000}"/>
    <cellStyle name="Normal 5 3 4 2 3 6 2 2" xfId="44940" xr:uid="{00000000-0005-0000-0000-0000C9670000}"/>
    <cellStyle name="Normal 5 3 4 2 3 6 3" xfId="32507" xr:uid="{00000000-0005-0000-0000-0000CA670000}"/>
    <cellStyle name="Normal 5 3 4 2 3 7" xfId="3362" xr:uid="{00000000-0005-0000-0000-0000CB670000}"/>
    <cellStyle name="Normal 5 3 4 2 3 7 2" xfId="15868" xr:uid="{00000000-0005-0000-0000-0000CC670000}"/>
    <cellStyle name="Normal 5 3 4 2 3 7 2 2" xfId="40742" xr:uid="{00000000-0005-0000-0000-0000CD670000}"/>
    <cellStyle name="Normal 5 3 4 2 3 7 3" xfId="28301" xr:uid="{00000000-0005-0000-0000-0000CE670000}"/>
    <cellStyle name="Normal 5 3 4 2 3 8" xfId="14611" xr:uid="{00000000-0005-0000-0000-0000CF670000}"/>
    <cellStyle name="Normal 5 3 4 2 3 8 2" xfId="39485" xr:uid="{00000000-0005-0000-0000-0000D0670000}"/>
    <cellStyle name="Normal 5 3 4 2 3 9" xfId="27044" xr:uid="{00000000-0005-0000-0000-0000D1670000}"/>
    <cellStyle name="Normal 5 3 4 2 4" xfId="2383" xr:uid="{00000000-0005-0000-0000-0000D2670000}"/>
    <cellStyle name="Normal 5 3 4 2 4 2" xfId="6405" xr:uid="{00000000-0005-0000-0000-0000D3670000}"/>
    <cellStyle name="Normal 5 3 4 2 4 2 2" xfId="11420" xr:uid="{00000000-0005-0000-0000-0000D4670000}"/>
    <cellStyle name="Normal 5 3 4 2 4 2 2 2" xfId="23863" xr:uid="{00000000-0005-0000-0000-0000D5670000}"/>
    <cellStyle name="Normal 5 3 4 2 4 2 2 2 2" xfId="48737" xr:uid="{00000000-0005-0000-0000-0000D6670000}"/>
    <cellStyle name="Normal 5 3 4 2 4 2 2 3" xfId="36304" xr:uid="{00000000-0005-0000-0000-0000D7670000}"/>
    <cellStyle name="Normal 5 3 4 2 4 2 3" xfId="18856" xr:uid="{00000000-0005-0000-0000-0000D8670000}"/>
    <cellStyle name="Normal 5 3 4 2 4 2 3 2" xfId="43730" xr:uid="{00000000-0005-0000-0000-0000D9670000}"/>
    <cellStyle name="Normal 5 3 4 2 4 2 4" xfId="31297" xr:uid="{00000000-0005-0000-0000-0000DA670000}"/>
    <cellStyle name="Normal 5 3 4 2 4 3" xfId="12874" xr:uid="{00000000-0005-0000-0000-0000DB670000}"/>
    <cellStyle name="Normal 5 3 4 2 4 3 2" xfId="25308" xr:uid="{00000000-0005-0000-0000-0000DC670000}"/>
    <cellStyle name="Normal 5 3 4 2 4 3 2 2" xfId="50182" xr:uid="{00000000-0005-0000-0000-0000DD670000}"/>
    <cellStyle name="Normal 5 3 4 2 4 3 3" xfId="37749" xr:uid="{00000000-0005-0000-0000-0000DE670000}"/>
    <cellStyle name="Normal 5 3 4 2 4 4" xfId="9315" xr:uid="{00000000-0005-0000-0000-0000DF670000}"/>
    <cellStyle name="Normal 5 3 4 2 4 4 2" xfId="21758" xr:uid="{00000000-0005-0000-0000-0000E0670000}"/>
    <cellStyle name="Normal 5 3 4 2 4 4 2 2" xfId="46632" xr:uid="{00000000-0005-0000-0000-0000E1670000}"/>
    <cellStyle name="Normal 5 3 4 2 4 4 3" xfId="34199" xr:uid="{00000000-0005-0000-0000-0000E2670000}"/>
    <cellStyle name="Normal 5 3 4 2 4 5" xfId="4297" xr:uid="{00000000-0005-0000-0000-0000E3670000}"/>
    <cellStyle name="Normal 5 3 4 2 4 5 2" xfId="16751" xr:uid="{00000000-0005-0000-0000-0000E4670000}"/>
    <cellStyle name="Normal 5 3 4 2 4 5 2 2" xfId="41625" xr:uid="{00000000-0005-0000-0000-0000E5670000}"/>
    <cellStyle name="Normal 5 3 4 2 4 5 3" xfId="29192" xr:uid="{00000000-0005-0000-0000-0000E6670000}"/>
    <cellStyle name="Normal 5 3 4 2 4 6" xfId="15059" xr:uid="{00000000-0005-0000-0000-0000E7670000}"/>
    <cellStyle name="Normal 5 3 4 2 4 6 2" xfId="39933" xr:uid="{00000000-0005-0000-0000-0000E8670000}"/>
    <cellStyle name="Normal 5 3 4 2 4 7" xfId="27492" xr:uid="{00000000-0005-0000-0000-0000E9670000}"/>
    <cellStyle name="Normal 5 3 4 2 5" xfId="1216" xr:uid="{00000000-0005-0000-0000-0000EA670000}"/>
    <cellStyle name="Normal 5 3 4 2 5 2" xfId="10377" xr:uid="{00000000-0005-0000-0000-0000EB670000}"/>
    <cellStyle name="Normal 5 3 4 2 5 2 2" xfId="22820" xr:uid="{00000000-0005-0000-0000-0000EC670000}"/>
    <cellStyle name="Normal 5 3 4 2 5 2 2 2" xfId="47694" xr:uid="{00000000-0005-0000-0000-0000ED670000}"/>
    <cellStyle name="Normal 5 3 4 2 5 2 3" xfId="35261" xr:uid="{00000000-0005-0000-0000-0000EE670000}"/>
    <cellStyle name="Normal 5 3 4 2 5 3" xfId="5361" xr:uid="{00000000-0005-0000-0000-0000EF670000}"/>
    <cellStyle name="Normal 5 3 4 2 5 3 2" xfId="17813" xr:uid="{00000000-0005-0000-0000-0000F0670000}"/>
    <cellStyle name="Normal 5 3 4 2 5 3 2 2" xfId="42687" xr:uid="{00000000-0005-0000-0000-0000F1670000}"/>
    <cellStyle name="Normal 5 3 4 2 5 3 3" xfId="30254" xr:uid="{00000000-0005-0000-0000-0000F2670000}"/>
    <cellStyle name="Normal 5 3 4 2 5 4" xfId="14016" xr:uid="{00000000-0005-0000-0000-0000F3670000}"/>
    <cellStyle name="Normal 5 3 4 2 5 4 2" xfId="38890" xr:uid="{00000000-0005-0000-0000-0000F4670000}"/>
    <cellStyle name="Normal 5 3 4 2 5 5" xfId="26449" xr:uid="{00000000-0005-0000-0000-0000F5670000}"/>
    <cellStyle name="Normal 5 3 4 2 6" xfId="7938" xr:uid="{00000000-0005-0000-0000-0000F6670000}"/>
    <cellStyle name="Normal 5 3 4 2 6 2" xfId="20384" xr:uid="{00000000-0005-0000-0000-0000F7670000}"/>
    <cellStyle name="Normal 5 3 4 2 6 2 2" xfId="45258" xr:uid="{00000000-0005-0000-0000-0000F8670000}"/>
    <cellStyle name="Normal 5 3 4 2 6 3" xfId="32825" xr:uid="{00000000-0005-0000-0000-0000F9670000}"/>
    <cellStyle name="Normal 5 3 4 2 7" xfId="11831" xr:uid="{00000000-0005-0000-0000-0000FA670000}"/>
    <cellStyle name="Normal 5 3 4 2 7 2" xfId="24265" xr:uid="{00000000-0005-0000-0000-0000FB670000}"/>
    <cellStyle name="Normal 5 3 4 2 7 2 2" xfId="49139" xr:uid="{00000000-0005-0000-0000-0000FC670000}"/>
    <cellStyle name="Normal 5 3 4 2 7 3" xfId="36706" xr:uid="{00000000-0005-0000-0000-0000FD670000}"/>
    <cellStyle name="Normal 5 3 4 2 8" xfId="6908" xr:uid="{00000000-0005-0000-0000-0000FE670000}"/>
    <cellStyle name="Normal 5 3 4 2 8 2" xfId="19357" xr:uid="{00000000-0005-0000-0000-0000FF670000}"/>
    <cellStyle name="Normal 5 3 4 2 8 2 2" xfId="44231" xr:uid="{00000000-0005-0000-0000-000000680000}"/>
    <cellStyle name="Normal 5 3 4 2 8 3" xfId="31798" xr:uid="{00000000-0005-0000-0000-000001680000}"/>
    <cellStyle name="Normal 5 3 4 2 9" xfId="2859" xr:uid="{00000000-0005-0000-0000-000002680000}"/>
    <cellStyle name="Normal 5 3 4 2 9 2" xfId="15377" xr:uid="{00000000-0005-0000-0000-000003680000}"/>
    <cellStyle name="Normal 5 3 4 2 9 2 2" xfId="40251" xr:uid="{00000000-0005-0000-0000-000004680000}"/>
    <cellStyle name="Normal 5 3 4 2 9 3" xfId="27810" xr:uid="{00000000-0005-0000-0000-000005680000}"/>
    <cellStyle name="Normal 5 3 4 2_Degree data" xfId="2161" xr:uid="{00000000-0005-0000-0000-000006680000}"/>
    <cellStyle name="Normal 5 3 4 3" xfId="613" xr:uid="{00000000-0005-0000-0000-000007680000}"/>
    <cellStyle name="Normal 5 3 4 3 2" xfId="1462" xr:uid="{00000000-0005-0000-0000-000008680000}"/>
    <cellStyle name="Normal 5 3 4 3 2 2" xfId="9110" xr:uid="{00000000-0005-0000-0000-000009680000}"/>
    <cellStyle name="Normal 5 3 4 3 2 2 2" xfId="21553" xr:uid="{00000000-0005-0000-0000-00000A680000}"/>
    <cellStyle name="Normal 5 3 4 3 2 2 2 2" xfId="46427" xr:uid="{00000000-0005-0000-0000-00000B680000}"/>
    <cellStyle name="Normal 5 3 4 3 2 2 3" xfId="33994" xr:uid="{00000000-0005-0000-0000-00000C680000}"/>
    <cellStyle name="Normal 5 3 4 3 2 3" xfId="4092" xr:uid="{00000000-0005-0000-0000-00000D680000}"/>
    <cellStyle name="Normal 5 3 4 3 2 3 2" xfId="16546" xr:uid="{00000000-0005-0000-0000-00000E680000}"/>
    <cellStyle name="Normal 5 3 4 3 2 3 2 2" xfId="41420" xr:uid="{00000000-0005-0000-0000-00000F680000}"/>
    <cellStyle name="Normal 5 3 4 3 2 3 3" xfId="28987" xr:uid="{00000000-0005-0000-0000-000010680000}"/>
    <cellStyle name="Normal 5 3 4 3 2 4" xfId="14262" xr:uid="{00000000-0005-0000-0000-000011680000}"/>
    <cellStyle name="Normal 5 3 4 3 2 4 2" xfId="39136" xr:uid="{00000000-0005-0000-0000-000012680000}"/>
    <cellStyle name="Normal 5 3 4 3 2 5" xfId="26695" xr:uid="{00000000-0005-0000-0000-000013680000}"/>
    <cellStyle name="Normal 5 3 4 3 3" xfId="5607" xr:uid="{00000000-0005-0000-0000-000014680000}"/>
    <cellStyle name="Normal 5 3 4 3 3 2" xfId="10623" xr:uid="{00000000-0005-0000-0000-000015680000}"/>
    <cellStyle name="Normal 5 3 4 3 3 2 2" xfId="23066" xr:uid="{00000000-0005-0000-0000-000016680000}"/>
    <cellStyle name="Normal 5 3 4 3 3 2 2 2" xfId="47940" xr:uid="{00000000-0005-0000-0000-000017680000}"/>
    <cellStyle name="Normal 5 3 4 3 3 2 3" xfId="35507" xr:uid="{00000000-0005-0000-0000-000018680000}"/>
    <cellStyle name="Normal 5 3 4 3 3 3" xfId="18059" xr:uid="{00000000-0005-0000-0000-000019680000}"/>
    <cellStyle name="Normal 5 3 4 3 3 3 2" xfId="42933" xr:uid="{00000000-0005-0000-0000-00001A680000}"/>
    <cellStyle name="Normal 5 3 4 3 3 4" xfId="30500" xr:uid="{00000000-0005-0000-0000-00001B680000}"/>
    <cellStyle name="Normal 5 3 4 3 4" xfId="8226" xr:uid="{00000000-0005-0000-0000-00001C680000}"/>
    <cellStyle name="Normal 5 3 4 3 4 2" xfId="20670" xr:uid="{00000000-0005-0000-0000-00001D680000}"/>
    <cellStyle name="Normal 5 3 4 3 4 2 2" xfId="45544" xr:uid="{00000000-0005-0000-0000-00001E680000}"/>
    <cellStyle name="Normal 5 3 4 3 4 3" xfId="33111" xr:uid="{00000000-0005-0000-0000-00001F680000}"/>
    <cellStyle name="Normal 5 3 4 3 5" xfId="12077" xr:uid="{00000000-0005-0000-0000-000020680000}"/>
    <cellStyle name="Normal 5 3 4 3 5 2" xfId="24511" xr:uid="{00000000-0005-0000-0000-000021680000}"/>
    <cellStyle name="Normal 5 3 4 3 5 2 2" xfId="49385" xr:uid="{00000000-0005-0000-0000-000022680000}"/>
    <cellStyle name="Normal 5 3 4 3 5 3" xfId="36952" xr:uid="{00000000-0005-0000-0000-000023680000}"/>
    <cellStyle name="Normal 5 3 4 3 6" xfId="6703" xr:uid="{00000000-0005-0000-0000-000024680000}"/>
    <cellStyle name="Normal 5 3 4 3 6 2" xfId="19152" xr:uid="{00000000-0005-0000-0000-000025680000}"/>
    <cellStyle name="Normal 5 3 4 3 6 2 2" xfId="44026" xr:uid="{00000000-0005-0000-0000-000026680000}"/>
    <cellStyle name="Normal 5 3 4 3 6 3" xfId="31593" xr:uid="{00000000-0005-0000-0000-000027680000}"/>
    <cellStyle name="Normal 5 3 4 3 7" xfId="3157" xr:uid="{00000000-0005-0000-0000-000028680000}"/>
    <cellStyle name="Normal 5 3 4 3 7 2" xfId="15663" xr:uid="{00000000-0005-0000-0000-000029680000}"/>
    <cellStyle name="Normal 5 3 4 3 7 2 2" xfId="40537" xr:uid="{00000000-0005-0000-0000-00002A680000}"/>
    <cellStyle name="Normal 5 3 4 3 7 3" xfId="28096" xr:uid="{00000000-0005-0000-0000-00002B680000}"/>
    <cellStyle name="Normal 5 3 4 3 8" xfId="13420" xr:uid="{00000000-0005-0000-0000-00002C680000}"/>
    <cellStyle name="Normal 5 3 4 3 8 2" xfId="38294" xr:uid="{00000000-0005-0000-0000-00002D680000}"/>
    <cellStyle name="Normal 5 3 4 3 9" xfId="25853" xr:uid="{00000000-0005-0000-0000-00002E680000}"/>
    <cellStyle name="Normal 5 3 4 4" xfId="1810" xr:uid="{00000000-0005-0000-0000-00002F680000}"/>
    <cellStyle name="Normal 5 3 4 4 2" xfId="4548" xr:uid="{00000000-0005-0000-0000-000030680000}"/>
    <cellStyle name="Normal 5 3 4 4 2 2" xfId="9566" xr:uid="{00000000-0005-0000-0000-000031680000}"/>
    <cellStyle name="Normal 5 3 4 4 2 2 2" xfId="22009" xr:uid="{00000000-0005-0000-0000-000032680000}"/>
    <cellStyle name="Normal 5 3 4 4 2 2 2 2" xfId="46883" xr:uid="{00000000-0005-0000-0000-000033680000}"/>
    <cellStyle name="Normal 5 3 4 4 2 2 3" xfId="34450" xr:uid="{00000000-0005-0000-0000-000034680000}"/>
    <cellStyle name="Normal 5 3 4 4 2 3" xfId="17002" xr:uid="{00000000-0005-0000-0000-000035680000}"/>
    <cellStyle name="Normal 5 3 4 4 2 3 2" xfId="41876" xr:uid="{00000000-0005-0000-0000-000036680000}"/>
    <cellStyle name="Normal 5 3 4 4 2 4" xfId="29443" xr:uid="{00000000-0005-0000-0000-000037680000}"/>
    <cellStyle name="Normal 5 3 4 4 3" xfId="5956" xr:uid="{00000000-0005-0000-0000-000038680000}"/>
    <cellStyle name="Normal 5 3 4 4 3 2" xfId="10971" xr:uid="{00000000-0005-0000-0000-000039680000}"/>
    <cellStyle name="Normal 5 3 4 4 3 2 2" xfId="23414" xr:uid="{00000000-0005-0000-0000-00003A680000}"/>
    <cellStyle name="Normal 5 3 4 4 3 2 2 2" xfId="48288" xr:uid="{00000000-0005-0000-0000-00003B680000}"/>
    <cellStyle name="Normal 5 3 4 4 3 2 3" xfId="35855" xr:uid="{00000000-0005-0000-0000-00003C680000}"/>
    <cellStyle name="Normal 5 3 4 4 3 3" xfId="18407" xr:uid="{00000000-0005-0000-0000-00003D680000}"/>
    <cellStyle name="Normal 5 3 4 4 3 3 2" xfId="43281" xr:uid="{00000000-0005-0000-0000-00003E680000}"/>
    <cellStyle name="Normal 5 3 4 4 3 4" xfId="30848" xr:uid="{00000000-0005-0000-0000-00003F680000}"/>
    <cellStyle name="Normal 5 3 4 4 4" xfId="8682" xr:uid="{00000000-0005-0000-0000-000040680000}"/>
    <cellStyle name="Normal 5 3 4 4 4 2" xfId="21126" xr:uid="{00000000-0005-0000-0000-000041680000}"/>
    <cellStyle name="Normal 5 3 4 4 4 2 2" xfId="46000" xr:uid="{00000000-0005-0000-0000-000042680000}"/>
    <cellStyle name="Normal 5 3 4 4 4 3" xfId="33567" xr:uid="{00000000-0005-0000-0000-000043680000}"/>
    <cellStyle name="Normal 5 3 4 4 5" xfId="12425" xr:uid="{00000000-0005-0000-0000-000044680000}"/>
    <cellStyle name="Normal 5 3 4 4 5 2" xfId="24859" xr:uid="{00000000-0005-0000-0000-000045680000}"/>
    <cellStyle name="Normal 5 3 4 4 5 2 2" xfId="49733" xr:uid="{00000000-0005-0000-0000-000046680000}"/>
    <cellStyle name="Normal 5 3 4 4 5 3" xfId="37300" xr:uid="{00000000-0005-0000-0000-000047680000}"/>
    <cellStyle name="Normal 5 3 4 4 6" xfId="7159" xr:uid="{00000000-0005-0000-0000-000048680000}"/>
    <cellStyle name="Normal 5 3 4 4 6 2" xfId="19608" xr:uid="{00000000-0005-0000-0000-000049680000}"/>
    <cellStyle name="Normal 5 3 4 4 6 2 2" xfId="44482" xr:uid="{00000000-0005-0000-0000-00004A680000}"/>
    <cellStyle name="Normal 5 3 4 4 6 3" xfId="32049" xr:uid="{00000000-0005-0000-0000-00004B680000}"/>
    <cellStyle name="Normal 5 3 4 4 7" xfId="3613" xr:uid="{00000000-0005-0000-0000-00004C680000}"/>
    <cellStyle name="Normal 5 3 4 4 7 2" xfId="16119" xr:uid="{00000000-0005-0000-0000-00004D680000}"/>
    <cellStyle name="Normal 5 3 4 4 7 2 2" xfId="40993" xr:uid="{00000000-0005-0000-0000-00004E680000}"/>
    <cellStyle name="Normal 5 3 4 4 7 3" xfId="28552" xr:uid="{00000000-0005-0000-0000-00004F680000}"/>
    <cellStyle name="Normal 5 3 4 4 8" xfId="14610" xr:uid="{00000000-0005-0000-0000-000050680000}"/>
    <cellStyle name="Normal 5 3 4 4 8 2" xfId="39484" xr:uid="{00000000-0005-0000-0000-000051680000}"/>
    <cellStyle name="Normal 5 3 4 4 9" xfId="27043" xr:uid="{00000000-0005-0000-0000-000052680000}"/>
    <cellStyle name="Normal 5 3 4 5" xfId="2169" xr:uid="{00000000-0005-0000-0000-000053680000}"/>
    <cellStyle name="Normal 5 3 4 5 2" xfId="4802" xr:uid="{00000000-0005-0000-0000-000054680000}"/>
    <cellStyle name="Normal 5 3 4 5 2 2" xfId="9819" xr:uid="{00000000-0005-0000-0000-000055680000}"/>
    <cellStyle name="Normal 5 3 4 5 2 2 2" xfId="22262" xr:uid="{00000000-0005-0000-0000-000056680000}"/>
    <cellStyle name="Normal 5 3 4 5 2 2 2 2" xfId="47136" xr:uid="{00000000-0005-0000-0000-000057680000}"/>
    <cellStyle name="Normal 5 3 4 5 2 2 3" xfId="34703" xr:uid="{00000000-0005-0000-0000-000058680000}"/>
    <cellStyle name="Normal 5 3 4 5 2 3" xfId="17255" xr:uid="{00000000-0005-0000-0000-000059680000}"/>
    <cellStyle name="Normal 5 3 4 5 2 3 2" xfId="42129" xr:uid="{00000000-0005-0000-0000-00005A680000}"/>
    <cellStyle name="Normal 5 3 4 5 2 4" xfId="29696" xr:uid="{00000000-0005-0000-0000-00005B680000}"/>
    <cellStyle name="Normal 5 3 4 5 3" xfId="6200" xr:uid="{00000000-0005-0000-0000-00005C680000}"/>
    <cellStyle name="Normal 5 3 4 5 3 2" xfId="11215" xr:uid="{00000000-0005-0000-0000-00005D680000}"/>
    <cellStyle name="Normal 5 3 4 5 3 2 2" xfId="23658" xr:uid="{00000000-0005-0000-0000-00005E680000}"/>
    <cellStyle name="Normal 5 3 4 5 3 2 2 2" xfId="48532" xr:uid="{00000000-0005-0000-0000-00005F680000}"/>
    <cellStyle name="Normal 5 3 4 5 3 2 3" xfId="36099" xr:uid="{00000000-0005-0000-0000-000060680000}"/>
    <cellStyle name="Normal 5 3 4 5 3 3" xfId="18651" xr:uid="{00000000-0005-0000-0000-000061680000}"/>
    <cellStyle name="Normal 5 3 4 5 3 3 2" xfId="43525" xr:uid="{00000000-0005-0000-0000-000062680000}"/>
    <cellStyle name="Normal 5 3 4 5 3 4" xfId="31092" xr:uid="{00000000-0005-0000-0000-000063680000}"/>
    <cellStyle name="Normal 5 3 4 5 4" xfId="8112" xr:uid="{00000000-0005-0000-0000-000064680000}"/>
    <cellStyle name="Normal 5 3 4 5 4 2" xfId="20558" xr:uid="{00000000-0005-0000-0000-000065680000}"/>
    <cellStyle name="Normal 5 3 4 5 4 2 2" xfId="45432" xr:uid="{00000000-0005-0000-0000-000066680000}"/>
    <cellStyle name="Normal 5 3 4 5 4 3" xfId="32999" xr:uid="{00000000-0005-0000-0000-000067680000}"/>
    <cellStyle name="Normal 5 3 4 5 5" xfId="12669" xr:uid="{00000000-0005-0000-0000-000068680000}"/>
    <cellStyle name="Normal 5 3 4 5 5 2" xfId="25103" xr:uid="{00000000-0005-0000-0000-000069680000}"/>
    <cellStyle name="Normal 5 3 4 5 5 2 2" xfId="49977" xr:uid="{00000000-0005-0000-0000-00006A680000}"/>
    <cellStyle name="Normal 5 3 4 5 5 3" xfId="37544" xr:uid="{00000000-0005-0000-0000-00006B680000}"/>
    <cellStyle name="Normal 5 3 4 5 6" xfId="7413" xr:uid="{00000000-0005-0000-0000-00006C680000}"/>
    <cellStyle name="Normal 5 3 4 5 6 2" xfId="19861" xr:uid="{00000000-0005-0000-0000-00006D680000}"/>
    <cellStyle name="Normal 5 3 4 5 6 2 2" xfId="44735" xr:uid="{00000000-0005-0000-0000-00006E680000}"/>
    <cellStyle name="Normal 5 3 4 5 6 3" xfId="32302" xr:uid="{00000000-0005-0000-0000-00006F680000}"/>
    <cellStyle name="Normal 5 3 4 5 7" xfId="3042" xr:uid="{00000000-0005-0000-0000-000070680000}"/>
    <cellStyle name="Normal 5 3 4 5 7 2" xfId="15551" xr:uid="{00000000-0005-0000-0000-000071680000}"/>
    <cellStyle name="Normal 5 3 4 5 7 2 2" xfId="40425" xr:uid="{00000000-0005-0000-0000-000072680000}"/>
    <cellStyle name="Normal 5 3 4 5 7 3" xfId="27984" xr:uid="{00000000-0005-0000-0000-000073680000}"/>
    <cellStyle name="Normal 5 3 4 5 8" xfId="14854" xr:uid="{00000000-0005-0000-0000-000074680000}"/>
    <cellStyle name="Normal 5 3 4 5 8 2" xfId="39728" xr:uid="{00000000-0005-0000-0000-000075680000}"/>
    <cellStyle name="Normal 5 3 4 5 9" xfId="27287" xr:uid="{00000000-0005-0000-0000-000076680000}"/>
    <cellStyle name="Normal 5 3 4 6" xfId="1011" xr:uid="{00000000-0005-0000-0000-000077680000}"/>
    <cellStyle name="Normal 5 3 4 6 2" xfId="8998" xr:uid="{00000000-0005-0000-0000-000078680000}"/>
    <cellStyle name="Normal 5 3 4 6 2 2" xfId="21441" xr:uid="{00000000-0005-0000-0000-000079680000}"/>
    <cellStyle name="Normal 5 3 4 6 2 2 2" xfId="46315" xr:uid="{00000000-0005-0000-0000-00007A680000}"/>
    <cellStyle name="Normal 5 3 4 6 2 3" xfId="33882" xr:uid="{00000000-0005-0000-0000-00007B680000}"/>
    <cellStyle name="Normal 5 3 4 6 3" xfId="3980" xr:uid="{00000000-0005-0000-0000-00007C680000}"/>
    <cellStyle name="Normal 5 3 4 6 3 2" xfId="16434" xr:uid="{00000000-0005-0000-0000-00007D680000}"/>
    <cellStyle name="Normal 5 3 4 6 3 2 2" xfId="41308" xr:uid="{00000000-0005-0000-0000-00007E680000}"/>
    <cellStyle name="Normal 5 3 4 6 3 3" xfId="28875" xr:uid="{00000000-0005-0000-0000-00007F680000}"/>
    <cellStyle name="Normal 5 3 4 6 4" xfId="13811" xr:uid="{00000000-0005-0000-0000-000080680000}"/>
    <cellStyle name="Normal 5 3 4 6 4 2" xfId="38685" xr:uid="{00000000-0005-0000-0000-000081680000}"/>
    <cellStyle name="Normal 5 3 4 6 5" xfId="26244" xr:uid="{00000000-0005-0000-0000-000082680000}"/>
    <cellStyle name="Normal 5 3 4 7" xfId="5156" xr:uid="{00000000-0005-0000-0000-000083680000}"/>
    <cellStyle name="Normal 5 3 4 7 2" xfId="10172" xr:uid="{00000000-0005-0000-0000-000084680000}"/>
    <cellStyle name="Normal 5 3 4 7 2 2" xfId="22615" xr:uid="{00000000-0005-0000-0000-000085680000}"/>
    <cellStyle name="Normal 5 3 4 7 2 2 2" xfId="47489" xr:uid="{00000000-0005-0000-0000-000086680000}"/>
    <cellStyle name="Normal 5 3 4 7 2 3" xfId="35056" xr:uid="{00000000-0005-0000-0000-000087680000}"/>
    <cellStyle name="Normal 5 3 4 7 3" xfId="17608" xr:uid="{00000000-0005-0000-0000-000088680000}"/>
    <cellStyle name="Normal 5 3 4 7 3 2" xfId="42482" xr:uid="{00000000-0005-0000-0000-000089680000}"/>
    <cellStyle name="Normal 5 3 4 7 4" xfId="30049" xr:uid="{00000000-0005-0000-0000-00008A680000}"/>
    <cellStyle name="Normal 5 3 4 8" xfId="7733" xr:uid="{00000000-0005-0000-0000-00008B680000}"/>
    <cellStyle name="Normal 5 3 4 8 2" xfId="20179" xr:uid="{00000000-0005-0000-0000-00008C680000}"/>
    <cellStyle name="Normal 5 3 4 8 2 2" xfId="45053" xr:uid="{00000000-0005-0000-0000-00008D680000}"/>
    <cellStyle name="Normal 5 3 4 8 3" xfId="32620" xr:uid="{00000000-0005-0000-0000-00008E680000}"/>
    <cellStyle name="Normal 5 3 4 9" xfId="11626" xr:uid="{00000000-0005-0000-0000-00008F680000}"/>
    <cellStyle name="Normal 5 3 4 9 2" xfId="24060" xr:uid="{00000000-0005-0000-0000-000090680000}"/>
    <cellStyle name="Normal 5 3 4 9 2 2" xfId="48934" xr:uid="{00000000-0005-0000-0000-000091680000}"/>
    <cellStyle name="Normal 5 3 4 9 3" xfId="36501" xr:uid="{00000000-0005-0000-0000-000092680000}"/>
    <cellStyle name="Normal 5 3 4_Degree data" xfId="2036" xr:uid="{00000000-0005-0000-0000-000093680000}"/>
    <cellStyle name="Normal 5 3 5" xfId="357" xr:uid="{00000000-0005-0000-0000-000094680000}"/>
    <cellStyle name="Normal 5 3 5 10" xfId="13173" xr:uid="{00000000-0005-0000-0000-000095680000}"/>
    <cellStyle name="Normal 5 3 5 10 2" xfId="38047" xr:uid="{00000000-0005-0000-0000-000096680000}"/>
    <cellStyle name="Normal 5 3 5 11" xfId="25606" xr:uid="{00000000-0005-0000-0000-000097680000}"/>
    <cellStyle name="Normal 5 3 5 2" xfId="717" xr:uid="{00000000-0005-0000-0000-000098680000}"/>
    <cellStyle name="Normal 5 3 5 2 2" xfId="1464" xr:uid="{00000000-0005-0000-0000-000099680000}"/>
    <cellStyle name="Normal 5 3 5 2 2 2" xfId="9568" xr:uid="{00000000-0005-0000-0000-00009A680000}"/>
    <cellStyle name="Normal 5 3 5 2 2 2 2" xfId="22011" xr:uid="{00000000-0005-0000-0000-00009B680000}"/>
    <cellStyle name="Normal 5 3 5 2 2 2 2 2" xfId="46885" xr:uid="{00000000-0005-0000-0000-00009C680000}"/>
    <cellStyle name="Normal 5 3 5 2 2 2 3" xfId="34452" xr:uid="{00000000-0005-0000-0000-00009D680000}"/>
    <cellStyle name="Normal 5 3 5 2 2 3" xfId="4550" xr:uid="{00000000-0005-0000-0000-00009E680000}"/>
    <cellStyle name="Normal 5 3 5 2 2 3 2" xfId="17004" xr:uid="{00000000-0005-0000-0000-00009F680000}"/>
    <cellStyle name="Normal 5 3 5 2 2 3 2 2" xfId="41878" xr:uid="{00000000-0005-0000-0000-0000A0680000}"/>
    <cellStyle name="Normal 5 3 5 2 2 3 3" xfId="29445" xr:uid="{00000000-0005-0000-0000-0000A1680000}"/>
    <cellStyle name="Normal 5 3 5 2 2 4" xfId="14264" xr:uid="{00000000-0005-0000-0000-0000A2680000}"/>
    <cellStyle name="Normal 5 3 5 2 2 4 2" xfId="39138" xr:uid="{00000000-0005-0000-0000-0000A3680000}"/>
    <cellStyle name="Normal 5 3 5 2 2 5" xfId="26697" xr:uid="{00000000-0005-0000-0000-0000A4680000}"/>
    <cellStyle name="Normal 5 3 5 2 3" xfId="5609" xr:uid="{00000000-0005-0000-0000-0000A5680000}"/>
    <cellStyle name="Normal 5 3 5 2 3 2" xfId="10625" xr:uid="{00000000-0005-0000-0000-0000A6680000}"/>
    <cellStyle name="Normal 5 3 5 2 3 2 2" xfId="23068" xr:uid="{00000000-0005-0000-0000-0000A7680000}"/>
    <cellStyle name="Normal 5 3 5 2 3 2 2 2" xfId="47942" xr:uid="{00000000-0005-0000-0000-0000A8680000}"/>
    <cellStyle name="Normal 5 3 5 2 3 2 3" xfId="35509" xr:uid="{00000000-0005-0000-0000-0000A9680000}"/>
    <cellStyle name="Normal 5 3 5 2 3 3" xfId="18061" xr:uid="{00000000-0005-0000-0000-0000AA680000}"/>
    <cellStyle name="Normal 5 3 5 2 3 3 2" xfId="42935" xr:uid="{00000000-0005-0000-0000-0000AB680000}"/>
    <cellStyle name="Normal 5 3 5 2 3 4" xfId="30502" xr:uid="{00000000-0005-0000-0000-0000AC680000}"/>
    <cellStyle name="Normal 5 3 5 2 4" xfId="8684" xr:uid="{00000000-0005-0000-0000-0000AD680000}"/>
    <cellStyle name="Normal 5 3 5 2 4 2" xfId="21128" xr:uid="{00000000-0005-0000-0000-0000AE680000}"/>
    <cellStyle name="Normal 5 3 5 2 4 2 2" xfId="46002" xr:uid="{00000000-0005-0000-0000-0000AF680000}"/>
    <cellStyle name="Normal 5 3 5 2 4 3" xfId="33569" xr:uid="{00000000-0005-0000-0000-0000B0680000}"/>
    <cellStyle name="Normal 5 3 5 2 5" xfId="12079" xr:uid="{00000000-0005-0000-0000-0000B1680000}"/>
    <cellStyle name="Normal 5 3 5 2 5 2" xfId="24513" xr:uid="{00000000-0005-0000-0000-0000B2680000}"/>
    <cellStyle name="Normal 5 3 5 2 5 2 2" xfId="49387" xr:uid="{00000000-0005-0000-0000-0000B3680000}"/>
    <cellStyle name="Normal 5 3 5 2 5 3" xfId="36954" xr:uid="{00000000-0005-0000-0000-0000B4680000}"/>
    <cellStyle name="Normal 5 3 5 2 6" xfId="7161" xr:uid="{00000000-0005-0000-0000-0000B5680000}"/>
    <cellStyle name="Normal 5 3 5 2 6 2" xfId="19610" xr:uid="{00000000-0005-0000-0000-0000B6680000}"/>
    <cellStyle name="Normal 5 3 5 2 6 2 2" xfId="44484" xr:uid="{00000000-0005-0000-0000-0000B7680000}"/>
    <cellStyle name="Normal 5 3 5 2 6 3" xfId="32051" xr:uid="{00000000-0005-0000-0000-0000B8680000}"/>
    <cellStyle name="Normal 5 3 5 2 7" xfId="3615" xr:uid="{00000000-0005-0000-0000-0000B9680000}"/>
    <cellStyle name="Normal 5 3 5 2 7 2" xfId="16121" xr:uid="{00000000-0005-0000-0000-0000BA680000}"/>
    <cellStyle name="Normal 5 3 5 2 7 2 2" xfId="40995" xr:uid="{00000000-0005-0000-0000-0000BB680000}"/>
    <cellStyle name="Normal 5 3 5 2 7 3" xfId="28554" xr:uid="{00000000-0005-0000-0000-0000BC680000}"/>
    <cellStyle name="Normal 5 3 5 2 8" xfId="13520" xr:uid="{00000000-0005-0000-0000-0000BD680000}"/>
    <cellStyle name="Normal 5 3 5 2 8 2" xfId="38394" xr:uid="{00000000-0005-0000-0000-0000BE680000}"/>
    <cellStyle name="Normal 5 3 5 2 9" xfId="25953" xr:uid="{00000000-0005-0000-0000-0000BF680000}"/>
    <cellStyle name="Normal 5 3 5 3" xfId="1812" xr:uid="{00000000-0005-0000-0000-0000C0680000}"/>
    <cellStyle name="Normal 5 3 5 3 2" xfId="4902" xr:uid="{00000000-0005-0000-0000-0000C1680000}"/>
    <cellStyle name="Normal 5 3 5 3 2 2" xfId="9919" xr:uid="{00000000-0005-0000-0000-0000C2680000}"/>
    <cellStyle name="Normal 5 3 5 3 2 2 2" xfId="22362" xr:uid="{00000000-0005-0000-0000-0000C3680000}"/>
    <cellStyle name="Normal 5 3 5 3 2 2 2 2" xfId="47236" xr:uid="{00000000-0005-0000-0000-0000C4680000}"/>
    <cellStyle name="Normal 5 3 5 3 2 2 3" xfId="34803" xr:uid="{00000000-0005-0000-0000-0000C5680000}"/>
    <cellStyle name="Normal 5 3 5 3 2 3" xfId="17355" xr:uid="{00000000-0005-0000-0000-0000C6680000}"/>
    <cellStyle name="Normal 5 3 5 3 2 3 2" xfId="42229" xr:uid="{00000000-0005-0000-0000-0000C7680000}"/>
    <cellStyle name="Normal 5 3 5 3 2 4" xfId="29796" xr:uid="{00000000-0005-0000-0000-0000C8680000}"/>
    <cellStyle name="Normal 5 3 5 3 3" xfId="5958" xr:uid="{00000000-0005-0000-0000-0000C9680000}"/>
    <cellStyle name="Normal 5 3 5 3 3 2" xfId="10973" xr:uid="{00000000-0005-0000-0000-0000CA680000}"/>
    <cellStyle name="Normal 5 3 5 3 3 2 2" xfId="23416" xr:uid="{00000000-0005-0000-0000-0000CB680000}"/>
    <cellStyle name="Normal 5 3 5 3 3 2 2 2" xfId="48290" xr:uid="{00000000-0005-0000-0000-0000CC680000}"/>
    <cellStyle name="Normal 5 3 5 3 3 2 3" xfId="35857" xr:uid="{00000000-0005-0000-0000-0000CD680000}"/>
    <cellStyle name="Normal 5 3 5 3 3 3" xfId="18409" xr:uid="{00000000-0005-0000-0000-0000CE680000}"/>
    <cellStyle name="Normal 5 3 5 3 3 3 2" xfId="43283" xr:uid="{00000000-0005-0000-0000-0000CF680000}"/>
    <cellStyle name="Normal 5 3 5 3 3 4" xfId="30850" xr:uid="{00000000-0005-0000-0000-0000D0680000}"/>
    <cellStyle name="Normal 5 3 5 3 4" xfId="8326" xr:uid="{00000000-0005-0000-0000-0000D1680000}"/>
    <cellStyle name="Normal 5 3 5 3 4 2" xfId="20770" xr:uid="{00000000-0005-0000-0000-0000D2680000}"/>
    <cellStyle name="Normal 5 3 5 3 4 2 2" xfId="45644" xr:uid="{00000000-0005-0000-0000-0000D3680000}"/>
    <cellStyle name="Normal 5 3 5 3 4 3" xfId="33211" xr:uid="{00000000-0005-0000-0000-0000D4680000}"/>
    <cellStyle name="Normal 5 3 5 3 5" xfId="12427" xr:uid="{00000000-0005-0000-0000-0000D5680000}"/>
    <cellStyle name="Normal 5 3 5 3 5 2" xfId="24861" xr:uid="{00000000-0005-0000-0000-0000D6680000}"/>
    <cellStyle name="Normal 5 3 5 3 5 2 2" xfId="49735" xr:uid="{00000000-0005-0000-0000-0000D7680000}"/>
    <cellStyle name="Normal 5 3 5 3 5 3" xfId="37302" xr:uid="{00000000-0005-0000-0000-0000D8680000}"/>
    <cellStyle name="Normal 5 3 5 3 6" xfId="7513" xr:uid="{00000000-0005-0000-0000-0000D9680000}"/>
    <cellStyle name="Normal 5 3 5 3 6 2" xfId="19961" xr:uid="{00000000-0005-0000-0000-0000DA680000}"/>
    <cellStyle name="Normal 5 3 5 3 6 2 2" xfId="44835" xr:uid="{00000000-0005-0000-0000-0000DB680000}"/>
    <cellStyle name="Normal 5 3 5 3 6 3" xfId="32402" xr:uid="{00000000-0005-0000-0000-0000DC680000}"/>
    <cellStyle name="Normal 5 3 5 3 7" xfId="3257" xr:uid="{00000000-0005-0000-0000-0000DD680000}"/>
    <cellStyle name="Normal 5 3 5 3 7 2" xfId="15763" xr:uid="{00000000-0005-0000-0000-0000DE680000}"/>
    <cellStyle name="Normal 5 3 5 3 7 2 2" xfId="40637" xr:uid="{00000000-0005-0000-0000-0000DF680000}"/>
    <cellStyle name="Normal 5 3 5 3 7 3" xfId="28196" xr:uid="{00000000-0005-0000-0000-0000E0680000}"/>
    <cellStyle name="Normal 5 3 5 3 8" xfId="14612" xr:uid="{00000000-0005-0000-0000-0000E1680000}"/>
    <cellStyle name="Normal 5 3 5 3 8 2" xfId="39486" xr:uid="{00000000-0005-0000-0000-0000E2680000}"/>
    <cellStyle name="Normal 5 3 5 3 9" xfId="27045" xr:uid="{00000000-0005-0000-0000-0000E3680000}"/>
    <cellStyle name="Normal 5 3 5 4" xfId="2275" xr:uid="{00000000-0005-0000-0000-0000E4680000}"/>
    <cellStyle name="Normal 5 3 5 4 2" xfId="6300" xr:uid="{00000000-0005-0000-0000-0000E5680000}"/>
    <cellStyle name="Normal 5 3 5 4 2 2" xfId="11315" xr:uid="{00000000-0005-0000-0000-0000E6680000}"/>
    <cellStyle name="Normal 5 3 5 4 2 2 2" xfId="23758" xr:uid="{00000000-0005-0000-0000-0000E7680000}"/>
    <cellStyle name="Normal 5 3 5 4 2 2 2 2" xfId="48632" xr:uid="{00000000-0005-0000-0000-0000E8680000}"/>
    <cellStyle name="Normal 5 3 5 4 2 2 3" xfId="36199" xr:uid="{00000000-0005-0000-0000-0000E9680000}"/>
    <cellStyle name="Normal 5 3 5 4 2 3" xfId="18751" xr:uid="{00000000-0005-0000-0000-0000EA680000}"/>
    <cellStyle name="Normal 5 3 5 4 2 3 2" xfId="43625" xr:uid="{00000000-0005-0000-0000-0000EB680000}"/>
    <cellStyle name="Normal 5 3 5 4 2 4" xfId="31192" xr:uid="{00000000-0005-0000-0000-0000EC680000}"/>
    <cellStyle name="Normal 5 3 5 4 3" xfId="12769" xr:uid="{00000000-0005-0000-0000-0000ED680000}"/>
    <cellStyle name="Normal 5 3 5 4 3 2" xfId="25203" xr:uid="{00000000-0005-0000-0000-0000EE680000}"/>
    <cellStyle name="Normal 5 3 5 4 3 2 2" xfId="50077" xr:uid="{00000000-0005-0000-0000-0000EF680000}"/>
    <cellStyle name="Normal 5 3 5 4 3 3" xfId="37644" xr:uid="{00000000-0005-0000-0000-0000F0680000}"/>
    <cellStyle name="Normal 5 3 5 4 4" xfId="9210" xr:uid="{00000000-0005-0000-0000-0000F1680000}"/>
    <cellStyle name="Normal 5 3 5 4 4 2" xfId="21653" xr:uid="{00000000-0005-0000-0000-0000F2680000}"/>
    <cellStyle name="Normal 5 3 5 4 4 2 2" xfId="46527" xr:uid="{00000000-0005-0000-0000-0000F3680000}"/>
    <cellStyle name="Normal 5 3 5 4 4 3" xfId="34094" xr:uid="{00000000-0005-0000-0000-0000F4680000}"/>
    <cellStyle name="Normal 5 3 5 4 5" xfId="4192" xr:uid="{00000000-0005-0000-0000-0000F5680000}"/>
    <cellStyle name="Normal 5 3 5 4 5 2" xfId="16646" xr:uid="{00000000-0005-0000-0000-0000F6680000}"/>
    <cellStyle name="Normal 5 3 5 4 5 2 2" xfId="41520" xr:uid="{00000000-0005-0000-0000-0000F7680000}"/>
    <cellStyle name="Normal 5 3 5 4 5 3" xfId="29087" xr:uid="{00000000-0005-0000-0000-0000F8680000}"/>
    <cellStyle name="Normal 5 3 5 4 6" xfId="14954" xr:uid="{00000000-0005-0000-0000-0000F9680000}"/>
    <cellStyle name="Normal 5 3 5 4 6 2" xfId="39828" xr:uid="{00000000-0005-0000-0000-0000FA680000}"/>
    <cellStyle name="Normal 5 3 5 4 7" xfId="27387" xr:uid="{00000000-0005-0000-0000-0000FB680000}"/>
    <cellStyle name="Normal 5 3 5 5" xfId="1111" xr:uid="{00000000-0005-0000-0000-0000FC680000}"/>
    <cellStyle name="Normal 5 3 5 5 2" xfId="10272" xr:uid="{00000000-0005-0000-0000-0000FD680000}"/>
    <cellStyle name="Normal 5 3 5 5 2 2" xfId="22715" xr:uid="{00000000-0005-0000-0000-0000FE680000}"/>
    <cellStyle name="Normal 5 3 5 5 2 2 2" xfId="47589" xr:uid="{00000000-0005-0000-0000-0000FF680000}"/>
    <cellStyle name="Normal 5 3 5 5 2 3" xfId="35156" xr:uid="{00000000-0005-0000-0000-000000690000}"/>
    <cellStyle name="Normal 5 3 5 5 3" xfId="5256" xr:uid="{00000000-0005-0000-0000-000001690000}"/>
    <cellStyle name="Normal 5 3 5 5 3 2" xfId="17708" xr:uid="{00000000-0005-0000-0000-000002690000}"/>
    <cellStyle name="Normal 5 3 5 5 3 2 2" xfId="42582" xr:uid="{00000000-0005-0000-0000-000003690000}"/>
    <cellStyle name="Normal 5 3 5 5 3 3" xfId="30149" xr:uid="{00000000-0005-0000-0000-000004690000}"/>
    <cellStyle name="Normal 5 3 5 5 4" xfId="13911" xr:uid="{00000000-0005-0000-0000-000005690000}"/>
    <cellStyle name="Normal 5 3 5 5 4 2" xfId="38785" xr:uid="{00000000-0005-0000-0000-000006690000}"/>
    <cellStyle name="Normal 5 3 5 5 5" xfId="26344" xr:uid="{00000000-0005-0000-0000-000007690000}"/>
    <cellStyle name="Normal 5 3 5 6" xfId="7833" xr:uid="{00000000-0005-0000-0000-000008690000}"/>
    <cellStyle name="Normal 5 3 5 6 2" xfId="20279" xr:uid="{00000000-0005-0000-0000-000009690000}"/>
    <cellStyle name="Normal 5 3 5 6 2 2" xfId="45153" xr:uid="{00000000-0005-0000-0000-00000A690000}"/>
    <cellStyle name="Normal 5 3 5 6 3" xfId="32720" xr:uid="{00000000-0005-0000-0000-00000B690000}"/>
    <cellStyle name="Normal 5 3 5 7" xfId="11726" xr:uid="{00000000-0005-0000-0000-00000C690000}"/>
    <cellStyle name="Normal 5 3 5 7 2" xfId="24160" xr:uid="{00000000-0005-0000-0000-00000D690000}"/>
    <cellStyle name="Normal 5 3 5 7 2 2" xfId="49034" xr:uid="{00000000-0005-0000-0000-00000E690000}"/>
    <cellStyle name="Normal 5 3 5 7 3" xfId="36601" xr:uid="{00000000-0005-0000-0000-00000F690000}"/>
    <cellStyle name="Normal 5 3 5 8" xfId="6803" xr:uid="{00000000-0005-0000-0000-000010690000}"/>
    <cellStyle name="Normal 5 3 5 8 2" xfId="19252" xr:uid="{00000000-0005-0000-0000-000011690000}"/>
    <cellStyle name="Normal 5 3 5 8 2 2" xfId="44126" xr:uid="{00000000-0005-0000-0000-000012690000}"/>
    <cellStyle name="Normal 5 3 5 8 3" xfId="31693" xr:uid="{00000000-0005-0000-0000-000013690000}"/>
    <cellStyle name="Normal 5 3 5 9" xfId="2754" xr:uid="{00000000-0005-0000-0000-000014690000}"/>
    <cellStyle name="Normal 5 3 5 9 2" xfId="15272" xr:uid="{00000000-0005-0000-0000-000015690000}"/>
    <cellStyle name="Normal 5 3 5 9 2 2" xfId="40146" xr:uid="{00000000-0005-0000-0000-000016690000}"/>
    <cellStyle name="Normal 5 3 5 9 3" xfId="27705" xr:uid="{00000000-0005-0000-0000-000017690000}"/>
    <cellStyle name="Normal 5 3 5_Degree data" xfId="2123" xr:uid="{00000000-0005-0000-0000-000018690000}"/>
    <cellStyle name="Normal 5 3 6" xfId="196" xr:uid="{00000000-0005-0000-0000-000019690000}"/>
    <cellStyle name="Normal 5 3 6 10" xfId="13026" xr:uid="{00000000-0005-0000-0000-00001A690000}"/>
    <cellStyle name="Normal 5 3 6 10 2" xfId="37900" xr:uid="{00000000-0005-0000-0000-00001B690000}"/>
    <cellStyle name="Normal 5 3 6 11" xfId="25459" xr:uid="{00000000-0005-0000-0000-00001C690000}"/>
    <cellStyle name="Normal 5 3 6 2" xfId="563" xr:uid="{00000000-0005-0000-0000-00001D690000}"/>
    <cellStyle name="Normal 5 3 6 2 2" xfId="1465" xr:uid="{00000000-0005-0000-0000-00001E690000}"/>
    <cellStyle name="Normal 5 3 6 2 2 2" xfId="9569" xr:uid="{00000000-0005-0000-0000-00001F690000}"/>
    <cellStyle name="Normal 5 3 6 2 2 2 2" xfId="22012" xr:uid="{00000000-0005-0000-0000-000020690000}"/>
    <cellStyle name="Normal 5 3 6 2 2 2 2 2" xfId="46886" xr:uid="{00000000-0005-0000-0000-000021690000}"/>
    <cellStyle name="Normal 5 3 6 2 2 2 3" xfId="34453" xr:uid="{00000000-0005-0000-0000-000022690000}"/>
    <cellStyle name="Normal 5 3 6 2 2 3" xfId="4551" xr:uid="{00000000-0005-0000-0000-000023690000}"/>
    <cellStyle name="Normal 5 3 6 2 2 3 2" xfId="17005" xr:uid="{00000000-0005-0000-0000-000024690000}"/>
    <cellStyle name="Normal 5 3 6 2 2 3 2 2" xfId="41879" xr:uid="{00000000-0005-0000-0000-000025690000}"/>
    <cellStyle name="Normal 5 3 6 2 2 3 3" xfId="29446" xr:uid="{00000000-0005-0000-0000-000026690000}"/>
    <cellStyle name="Normal 5 3 6 2 2 4" xfId="14265" xr:uid="{00000000-0005-0000-0000-000027690000}"/>
    <cellStyle name="Normal 5 3 6 2 2 4 2" xfId="39139" xr:uid="{00000000-0005-0000-0000-000028690000}"/>
    <cellStyle name="Normal 5 3 6 2 2 5" xfId="26698" xr:uid="{00000000-0005-0000-0000-000029690000}"/>
    <cellStyle name="Normal 5 3 6 2 3" xfId="5610" xr:uid="{00000000-0005-0000-0000-00002A690000}"/>
    <cellStyle name="Normal 5 3 6 2 3 2" xfId="10626" xr:uid="{00000000-0005-0000-0000-00002B690000}"/>
    <cellStyle name="Normal 5 3 6 2 3 2 2" xfId="23069" xr:uid="{00000000-0005-0000-0000-00002C690000}"/>
    <cellStyle name="Normal 5 3 6 2 3 2 2 2" xfId="47943" xr:uid="{00000000-0005-0000-0000-00002D690000}"/>
    <cellStyle name="Normal 5 3 6 2 3 2 3" xfId="35510" xr:uid="{00000000-0005-0000-0000-00002E690000}"/>
    <cellStyle name="Normal 5 3 6 2 3 3" xfId="18062" xr:uid="{00000000-0005-0000-0000-00002F690000}"/>
    <cellStyle name="Normal 5 3 6 2 3 3 2" xfId="42936" xr:uid="{00000000-0005-0000-0000-000030690000}"/>
    <cellStyle name="Normal 5 3 6 2 3 4" xfId="30503" xr:uid="{00000000-0005-0000-0000-000031690000}"/>
    <cellStyle name="Normal 5 3 6 2 4" xfId="8685" xr:uid="{00000000-0005-0000-0000-000032690000}"/>
    <cellStyle name="Normal 5 3 6 2 4 2" xfId="21129" xr:uid="{00000000-0005-0000-0000-000033690000}"/>
    <cellStyle name="Normal 5 3 6 2 4 2 2" xfId="46003" xr:uid="{00000000-0005-0000-0000-000034690000}"/>
    <cellStyle name="Normal 5 3 6 2 4 3" xfId="33570" xr:uid="{00000000-0005-0000-0000-000035690000}"/>
    <cellStyle name="Normal 5 3 6 2 5" xfId="12080" xr:uid="{00000000-0005-0000-0000-000036690000}"/>
    <cellStyle name="Normal 5 3 6 2 5 2" xfId="24514" xr:uid="{00000000-0005-0000-0000-000037690000}"/>
    <cellStyle name="Normal 5 3 6 2 5 2 2" xfId="49388" xr:uid="{00000000-0005-0000-0000-000038690000}"/>
    <cellStyle name="Normal 5 3 6 2 5 3" xfId="36955" xr:uid="{00000000-0005-0000-0000-000039690000}"/>
    <cellStyle name="Normal 5 3 6 2 6" xfId="7162" xr:uid="{00000000-0005-0000-0000-00003A690000}"/>
    <cellStyle name="Normal 5 3 6 2 6 2" xfId="19611" xr:uid="{00000000-0005-0000-0000-00003B690000}"/>
    <cellStyle name="Normal 5 3 6 2 6 2 2" xfId="44485" xr:uid="{00000000-0005-0000-0000-00003C690000}"/>
    <cellStyle name="Normal 5 3 6 2 6 3" xfId="32052" xr:uid="{00000000-0005-0000-0000-00003D690000}"/>
    <cellStyle name="Normal 5 3 6 2 7" xfId="3616" xr:uid="{00000000-0005-0000-0000-00003E690000}"/>
    <cellStyle name="Normal 5 3 6 2 7 2" xfId="16122" xr:uid="{00000000-0005-0000-0000-00003F690000}"/>
    <cellStyle name="Normal 5 3 6 2 7 2 2" xfId="40996" xr:uid="{00000000-0005-0000-0000-000040690000}"/>
    <cellStyle name="Normal 5 3 6 2 7 3" xfId="28555" xr:uid="{00000000-0005-0000-0000-000041690000}"/>
    <cellStyle name="Normal 5 3 6 2 8" xfId="13373" xr:uid="{00000000-0005-0000-0000-000042690000}"/>
    <cellStyle name="Normal 5 3 6 2 8 2" xfId="38247" xr:uid="{00000000-0005-0000-0000-000043690000}"/>
    <cellStyle name="Normal 5 3 6 2 9" xfId="25806" xr:uid="{00000000-0005-0000-0000-000044690000}"/>
    <cellStyle name="Normal 5 3 6 3" xfId="1813" xr:uid="{00000000-0005-0000-0000-000045690000}"/>
    <cellStyle name="Normal 5 3 6 3 2" xfId="4755" xr:uid="{00000000-0005-0000-0000-000046690000}"/>
    <cellStyle name="Normal 5 3 6 3 2 2" xfId="9772" xr:uid="{00000000-0005-0000-0000-000047690000}"/>
    <cellStyle name="Normal 5 3 6 3 2 2 2" xfId="22215" xr:uid="{00000000-0005-0000-0000-000048690000}"/>
    <cellStyle name="Normal 5 3 6 3 2 2 2 2" xfId="47089" xr:uid="{00000000-0005-0000-0000-000049690000}"/>
    <cellStyle name="Normal 5 3 6 3 2 2 3" xfId="34656" xr:uid="{00000000-0005-0000-0000-00004A690000}"/>
    <cellStyle name="Normal 5 3 6 3 2 3" xfId="17208" xr:uid="{00000000-0005-0000-0000-00004B690000}"/>
    <cellStyle name="Normal 5 3 6 3 2 3 2" xfId="42082" xr:uid="{00000000-0005-0000-0000-00004C690000}"/>
    <cellStyle name="Normal 5 3 6 3 2 4" xfId="29649" xr:uid="{00000000-0005-0000-0000-00004D690000}"/>
    <cellStyle name="Normal 5 3 6 3 3" xfId="5959" xr:uid="{00000000-0005-0000-0000-00004E690000}"/>
    <cellStyle name="Normal 5 3 6 3 3 2" xfId="10974" xr:uid="{00000000-0005-0000-0000-00004F690000}"/>
    <cellStyle name="Normal 5 3 6 3 3 2 2" xfId="23417" xr:uid="{00000000-0005-0000-0000-000050690000}"/>
    <cellStyle name="Normal 5 3 6 3 3 2 2 2" xfId="48291" xr:uid="{00000000-0005-0000-0000-000051690000}"/>
    <cellStyle name="Normal 5 3 6 3 3 2 3" xfId="35858" xr:uid="{00000000-0005-0000-0000-000052690000}"/>
    <cellStyle name="Normal 5 3 6 3 3 3" xfId="18410" xr:uid="{00000000-0005-0000-0000-000053690000}"/>
    <cellStyle name="Normal 5 3 6 3 3 3 2" xfId="43284" xr:uid="{00000000-0005-0000-0000-000054690000}"/>
    <cellStyle name="Normal 5 3 6 3 3 4" xfId="30851" xr:uid="{00000000-0005-0000-0000-000055690000}"/>
    <cellStyle name="Normal 5 3 6 3 4" xfId="7999" xr:uid="{00000000-0005-0000-0000-000056690000}"/>
    <cellStyle name="Normal 5 3 6 3 4 2" xfId="20445" xr:uid="{00000000-0005-0000-0000-000057690000}"/>
    <cellStyle name="Normal 5 3 6 3 4 2 2" xfId="45319" xr:uid="{00000000-0005-0000-0000-000058690000}"/>
    <cellStyle name="Normal 5 3 6 3 4 3" xfId="32886" xr:uid="{00000000-0005-0000-0000-000059690000}"/>
    <cellStyle name="Normal 5 3 6 3 5" xfId="12428" xr:uid="{00000000-0005-0000-0000-00005A690000}"/>
    <cellStyle name="Normal 5 3 6 3 5 2" xfId="24862" xr:uid="{00000000-0005-0000-0000-00005B690000}"/>
    <cellStyle name="Normal 5 3 6 3 5 2 2" xfId="49736" xr:uid="{00000000-0005-0000-0000-00005C690000}"/>
    <cellStyle name="Normal 5 3 6 3 5 3" xfId="37303" xr:uid="{00000000-0005-0000-0000-00005D690000}"/>
    <cellStyle name="Normal 5 3 6 3 6" xfId="7366" xr:uid="{00000000-0005-0000-0000-00005E690000}"/>
    <cellStyle name="Normal 5 3 6 3 6 2" xfId="19814" xr:uid="{00000000-0005-0000-0000-00005F690000}"/>
    <cellStyle name="Normal 5 3 6 3 6 2 2" xfId="44688" xr:uid="{00000000-0005-0000-0000-000060690000}"/>
    <cellStyle name="Normal 5 3 6 3 6 3" xfId="32255" xr:uid="{00000000-0005-0000-0000-000061690000}"/>
    <cellStyle name="Normal 5 3 6 3 7" xfId="2920" xr:uid="{00000000-0005-0000-0000-000062690000}"/>
    <cellStyle name="Normal 5 3 6 3 7 2" xfId="15438" xr:uid="{00000000-0005-0000-0000-000063690000}"/>
    <cellStyle name="Normal 5 3 6 3 7 2 2" xfId="40312" xr:uid="{00000000-0005-0000-0000-000064690000}"/>
    <cellStyle name="Normal 5 3 6 3 7 3" xfId="27871" xr:uid="{00000000-0005-0000-0000-000065690000}"/>
    <cellStyle name="Normal 5 3 6 3 8" xfId="14613" xr:uid="{00000000-0005-0000-0000-000066690000}"/>
    <cellStyle name="Normal 5 3 6 3 8 2" xfId="39487" xr:uid="{00000000-0005-0000-0000-000067690000}"/>
    <cellStyle name="Normal 5 3 6 3 9" xfId="27046" xr:uid="{00000000-0005-0000-0000-000068690000}"/>
    <cellStyle name="Normal 5 3 6 4" xfId="2114" xr:uid="{00000000-0005-0000-0000-000069690000}"/>
    <cellStyle name="Normal 5 3 6 4 2" xfId="6153" xr:uid="{00000000-0005-0000-0000-00006A690000}"/>
    <cellStyle name="Normal 5 3 6 4 2 2" xfId="11168" xr:uid="{00000000-0005-0000-0000-00006B690000}"/>
    <cellStyle name="Normal 5 3 6 4 2 2 2" xfId="23611" xr:uid="{00000000-0005-0000-0000-00006C690000}"/>
    <cellStyle name="Normal 5 3 6 4 2 2 2 2" xfId="48485" xr:uid="{00000000-0005-0000-0000-00006D690000}"/>
    <cellStyle name="Normal 5 3 6 4 2 2 3" xfId="36052" xr:uid="{00000000-0005-0000-0000-00006E690000}"/>
    <cellStyle name="Normal 5 3 6 4 2 3" xfId="18604" xr:uid="{00000000-0005-0000-0000-00006F690000}"/>
    <cellStyle name="Normal 5 3 6 4 2 3 2" xfId="43478" xr:uid="{00000000-0005-0000-0000-000070690000}"/>
    <cellStyle name="Normal 5 3 6 4 2 4" xfId="31045" xr:uid="{00000000-0005-0000-0000-000071690000}"/>
    <cellStyle name="Normal 5 3 6 4 3" xfId="12622" xr:uid="{00000000-0005-0000-0000-000072690000}"/>
    <cellStyle name="Normal 5 3 6 4 3 2" xfId="25056" xr:uid="{00000000-0005-0000-0000-000073690000}"/>
    <cellStyle name="Normal 5 3 6 4 3 2 2" xfId="49930" xr:uid="{00000000-0005-0000-0000-000074690000}"/>
    <cellStyle name="Normal 5 3 6 4 3 3" xfId="37497" xr:uid="{00000000-0005-0000-0000-000075690000}"/>
    <cellStyle name="Normal 5 3 6 4 4" xfId="9063" xr:uid="{00000000-0005-0000-0000-000076690000}"/>
    <cellStyle name="Normal 5 3 6 4 4 2" xfId="21506" xr:uid="{00000000-0005-0000-0000-000077690000}"/>
    <cellStyle name="Normal 5 3 6 4 4 2 2" xfId="46380" xr:uid="{00000000-0005-0000-0000-000078690000}"/>
    <cellStyle name="Normal 5 3 6 4 4 3" xfId="33947" xr:uid="{00000000-0005-0000-0000-000079690000}"/>
    <cellStyle name="Normal 5 3 6 4 5" xfId="4045" xr:uid="{00000000-0005-0000-0000-00007A690000}"/>
    <cellStyle name="Normal 5 3 6 4 5 2" xfId="16499" xr:uid="{00000000-0005-0000-0000-00007B690000}"/>
    <cellStyle name="Normal 5 3 6 4 5 2 2" xfId="41373" xr:uid="{00000000-0005-0000-0000-00007C690000}"/>
    <cellStyle name="Normal 5 3 6 4 5 3" xfId="28940" xr:uid="{00000000-0005-0000-0000-00007D690000}"/>
    <cellStyle name="Normal 5 3 6 4 6" xfId="14807" xr:uid="{00000000-0005-0000-0000-00007E690000}"/>
    <cellStyle name="Normal 5 3 6 4 6 2" xfId="39681" xr:uid="{00000000-0005-0000-0000-00007F690000}"/>
    <cellStyle name="Normal 5 3 6 4 7" xfId="27240" xr:uid="{00000000-0005-0000-0000-000080690000}"/>
    <cellStyle name="Normal 5 3 6 5" xfId="964" xr:uid="{00000000-0005-0000-0000-000081690000}"/>
    <cellStyle name="Normal 5 3 6 5 2" xfId="10123" xr:uid="{00000000-0005-0000-0000-000082690000}"/>
    <cellStyle name="Normal 5 3 6 5 2 2" xfId="22566" xr:uid="{00000000-0005-0000-0000-000083690000}"/>
    <cellStyle name="Normal 5 3 6 5 2 2 2" xfId="47440" xr:uid="{00000000-0005-0000-0000-000084690000}"/>
    <cellStyle name="Normal 5 3 6 5 2 3" xfId="35007" xr:uid="{00000000-0005-0000-0000-000085690000}"/>
    <cellStyle name="Normal 5 3 6 5 3" xfId="5107" xr:uid="{00000000-0005-0000-0000-000086690000}"/>
    <cellStyle name="Normal 5 3 6 5 3 2" xfId="17559" xr:uid="{00000000-0005-0000-0000-000087690000}"/>
    <cellStyle name="Normal 5 3 6 5 3 2 2" xfId="42433" xr:uid="{00000000-0005-0000-0000-000088690000}"/>
    <cellStyle name="Normal 5 3 6 5 3 3" xfId="30000" xr:uid="{00000000-0005-0000-0000-000089690000}"/>
    <cellStyle name="Normal 5 3 6 5 4" xfId="13764" xr:uid="{00000000-0005-0000-0000-00008A690000}"/>
    <cellStyle name="Normal 5 3 6 5 4 2" xfId="38638" xr:uid="{00000000-0005-0000-0000-00008B690000}"/>
    <cellStyle name="Normal 5 3 6 5 5" xfId="26197" xr:uid="{00000000-0005-0000-0000-00008C690000}"/>
    <cellStyle name="Normal 5 3 6 6" xfId="8179" xr:uid="{00000000-0005-0000-0000-00008D690000}"/>
    <cellStyle name="Normal 5 3 6 6 2" xfId="20623" xr:uid="{00000000-0005-0000-0000-00008E690000}"/>
    <cellStyle name="Normal 5 3 6 6 2 2" xfId="45497" xr:uid="{00000000-0005-0000-0000-00008F690000}"/>
    <cellStyle name="Normal 5 3 6 6 3" xfId="33064" xr:uid="{00000000-0005-0000-0000-000090690000}"/>
    <cellStyle name="Normal 5 3 6 7" xfId="11579" xr:uid="{00000000-0005-0000-0000-000091690000}"/>
    <cellStyle name="Normal 5 3 6 7 2" xfId="24013" xr:uid="{00000000-0005-0000-0000-000092690000}"/>
    <cellStyle name="Normal 5 3 6 7 2 2" xfId="48887" xr:uid="{00000000-0005-0000-0000-000093690000}"/>
    <cellStyle name="Normal 5 3 6 7 3" xfId="36454" xr:uid="{00000000-0005-0000-0000-000094690000}"/>
    <cellStyle name="Normal 5 3 6 8" xfId="6656" xr:uid="{00000000-0005-0000-0000-000095690000}"/>
    <cellStyle name="Normal 5 3 6 8 2" xfId="19105" xr:uid="{00000000-0005-0000-0000-000096690000}"/>
    <cellStyle name="Normal 5 3 6 8 2 2" xfId="43979" xr:uid="{00000000-0005-0000-0000-000097690000}"/>
    <cellStyle name="Normal 5 3 6 8 3" xfId="31546" xr:uid="{00000000-0005-0000-0000-000098690000}"/>
    <cellStyle name="Normal 5 3 6 9" xfId="3110" xr:uid="{00000000-0005-0000-0000-000099690000}"/>
    <cellStyle name="Normal 5 3 6 9 2" xfId="15616" xr:uid="{00000000-0005-0000-0000-00009A690000}"/>
    <cellStyle name="Normal 5 3 6 9 2 2" xfId="40490" xr:uid="{00000000-0005-0000-0000-00009B690000}"/>
    <cellStyle name="Normal 5 3 6 9 3" xfId="28049" xr:uid="{00000000-0005-0000-0000-00009C690000}"/>
    <cellStyle name="Normal 5 3 6_Degree data" xfId="2086" xr:uid="{00000000-0005-0000-0000-00009D690000}"/>
    <cellStyle name="Normal 5 3 7" xfId="543" xr:uid="{00000000-0005-0000-0000-00009E690000}"/>
    <cellStyle name="Normal 5 3 7 2" xfId="1454" xr:uid="{00000000-0005-0000-0000-00009F690000}"/>
    <cellStyle name="Normal 5 3 7 2 2" xfId="9558" xr:uid="{00000000-0005-0000-0000-0000A0690000}"/>
    <cellStyle name="Normal 5 3 7 2 2 2" xfId="22001" xr:uid="{00000000-0005-0000-0000-0000A1690000}"/>
    <cellStyle name="Normal 5 3 7 2 2 2 2" xfId="46875" xr:uid="{00000000-0005-0000-0000-0000A2690000}"/>
    <cellStyle name="Normal 5 3 7 2 2 3" xfId="34442" xr:uid="{00000000-0005-0000-0000-0000A3690000}"/>
    <cellStyle name="Normal 5 3 7 2 3" xfId="4540" xr:uid="{00000000-0005-0000-0000-0000A4690000}"/>
    <cellStyle name="Normal 5 3 7 2 3 2" xfId="16994" xr:uid="{00000000-0005-0000-0000-0000A5690000}"/>
    <cellStyle name="Normal 5 3 7 2 3 2 2" xfId="41868" xr:uid="{00000000-0005-0000-0000-0000A6690000}"/>
    <cellStyle name="Normal 5 3 7 2 3 3" xfId="29435" xr:uid="{00000000-0005-0000-0000-0000A7690000}"/>
    <cellStyle name="Normal 5 3 7 2 4" xfId="14254" xr:uid="{00000000-0005-0000-0000-0000A8690000}"/>
    <cellStyle name="Normal 5 3 7 2 4 2" xfId="39128" xr:uid="{00000000-0005-0000-0000-0000A9690000}"/>
    <cellStyle name="Normal 5 3 7 2 5" xfId="26687" xr:uid="{00000000-0005-0000-0000-0000AA690000}"/>
    <cellStyle name="Normal 5 3 7 3" xfId="5599" xr:uid="{00000000-0005-0000-0000-0000AB690000}"/>
    <cellStyle name="Normal 5 3 7 3 2" xfId="10615" xr:uid="{00000000-0005-0000-0000-0000AC690000}"/>
    <cellStyle name="Normal 5 3 7 3 2 2" xfId="23058" xr:uid="{00000000-0005-0000-0000-0000AD690000}"/>
    <cellStyle name="Normal 5 3 7 3 2 2 2" xfId="47932" xr:uid="{00000000-0005-0000-0000-0000AE690000}"/>
    <cellStyle name="Normal 5 3 7 3 2 3" xfId="35499" xr:uid="{00000000-0005-0000-0000-0000AF690000}"/>
    <cellStyle name="Normal 5 3 7 3 3" xfId="18051" xr:uid="{00000000-0005-0000-0000-0000B0690000}"/>
    <cellStyle name="Normal 5 3 7 3 3 2" xfId="42925" xr:uid="{00000000-0005-0000-0000-0000B1690000}"/>
    <cellStyle name="Normal 5 3 7 3 4" xfId="30492" xr:uid="{00000000-0005-0000-0000-0000B2690000}"/>
    <cellStyle name="Normal 5 3 7 4" xfId="8674" xr:uid="{00000000-0005-0000-0000-0000B3690000}"/>
    <cellStyle name="Normal 5 3 7 4 2" xfId="21118" xr:uid="{00000000-0005-0000-0000-0000B4690000}"/>
    <cellStyle name="Normal 5 3 7 4 2 2" xfId="45992" xr:uid="{00000000-0005-0000-0000-0000B5690000}"/>
    <cellStyle name="Normal 5 3 7 4 3" xfId="33559" xr:uid="{00000000-0005-0000-0000-0000B6690000}"/>
    <cellStyle name="Normal 5 3 7 5" xfId="12069" xr:uid="{00000000-0005-0000-0000-0000B7690000}"/>
    <cellStyle name="Normal 5 3 7 5 2" xfId="24503" xr:uid="{00000000-0005-0000-0000-0000B8690000}"/>
    <cellStyle name="Normal 5 3 7 5 2 2" xfId="49377" xr:uid="{00000000-0005-0000-0000-0000B9690000}"/>
    <cellStyle name="Normal 5 3 7 5 3" xfId="36944" xr:uid="{00000000-0005-0000-0000-0000BA690000}"/>
    <cellStyle name="Normal 5 3 7 6" xfId="7151" xr:uid="{00000000-0005-0000-0000-0000BB690000}"/>
    <cellStyle name="Normal 5 3 7 6 2" xfId="19600" xr:uid="{00000000-0005-0000-0000-0000BC690000}"/>
    <cellStyle name="Normal 5 3 7 6 2 2" xfId="44474" xr:uid="{00000000-0005-0000-0000-0000BD690000}"/>
    <cellStyle name="Normal 5 3 7 6 3" xfId="32041" xr:uid="{00000000-0005-0000-0000-0000BE690000}"/>
    <cellStyle name="Normal 5 3 7 7" xfId="3605" xr:uid="{00000000-0005-0000-0000-0000BF690000}"/>
    <cellStyle name="Normal 5 3 7 7 2" xfId="16111" xr:uid="{00000000-0005-0000-0000-0000C0690000}"/>
    <cellStyle name="Normal 5 3 7 7 2 2" xfId="40985" xr:uid="{00000000-0005-0000-0000-0000C1690000}"/>
    <cellStyle name="Normal 5 3 7 7 3" xfId="28544" xr:uid="{00000000-0005-0000-0000-0000C2690000}"/>
    <cellStyle name="Normal 5 3 7 8" xfId="13353" xr:uid="{00000000-0005-0000-0000-0000C3690000}"/>
    <cellStyle name="Normal 5 3 7 8 2" xfId="38227" xr:uid="{00000000-0005-0000-0000-0000C4690000}"/>
    <cellStyle name="Normal 5 3 7 9" xfId="25786" xr:uid="{00000000-0005-0000-0000-0000C5690000}"/>
    <cellStyle name="Normal 5 3 8" xfId="1802" xr:uid="{00000000-0005-0000-0000-0000C6690000}"/>
    <cellStyle name="Normal 5 3 8 2" xfId="4735" xr:uid="{00000000-0005-0000-0000-0000C7690000}"/>
    <cellStyle name="Normal 5 3 8 2 2" xfId="9752" xr:uid="{00000000-0005-0000-0000-0000C8690000}"/>
    <cellStyle name="Normal 5 3 8 2 2 2" xfId="22195" xr:uid="{00000000-0005-0000-0000-0000C9690000}"/>
    <cellStyle name="Normal 5 3 8 2 2 2 2" xfId="47069" xr:uid="{00000000-0005-0000-0000-0000CA690000}"/>
    <cellStyle name="Normal 5 3 8 2 2 3" xfId="34636" xr:uid="{00000000-0005-0000-0000-0000CB690000}"/>
    <cellStyle name="Normal 5 3 8 2 3" xfId="17188" xr:uid="{00000000-0005-0000-0000-0000CC690000}"/>
    <cellStyle name="Normal 5 3 8 2 3 2" xfId="42062" xr:uid="{00000000-0005-0000-0000-0000CD690000}"/>
    <cellStyle name="Normal 5 3 8 2 4" xfId="29629" xr:uid="{00000000-0005-0000-0000-0000CE690000}"/>
    <cellStyle name="Normal 5 3 8 3" xfId="5948" xr:uid="{00000000-0005-0000-0000-0000CF690000}"/>
    <cellStyle name="Normal 5 3 8 3 2" xfId="10963" xr:uid="{00000000-0005-0000-0000-0000D0690000}"/>
    <cellStyle name="Normal 5 3 8 3 2 2" xfId="23406" xr:uid="{00000000-0005-0000-0000-0000D1690000}"/>
    <cellStyle name="Normal 5 3 8 3 2 2 2" xfId="48280" xr:uid="{00000000-0005-0000-0000-0000D2690000}"/>
    <cellStyle name="Normal 5 3 8 3 2 3" xfId="35847" xr:uid="{00000000-0005-0000-0000-0000D3690000}"/>
    <cellStyle name="Normal 5 3 8 3 3" xfId="18399" xr:uid="{00000000-0005-0000-0000-0000D4690000}"/>
    <cellStyle name="Normal 5 3 8 3 3 2" xfId="43273" xr:uid="{00000000-0005-0000-0000-0000D5690000}"/>
    <cellStyle name="Normal 5 3 8 3 4" xfId="30840" xr:uid="{00000000-0005-0000-0000-0000D6690000}"/>
    <cellStyle name="Normal 5 3 8 4" xfId="8006" xr:uid="{00000000-0005-0000-0000-0000D7690000}"/>
    <cellStyle name="Normal 5 3 8 4 2" xfId="20452" xr:uid="{00000000-0005-0000-0000-0000D8690000}"/>
    <cellStyle name="Normal 5 3 8 4 2 2" xfId="45326" xr:uid="{00000000-0005-0000-0000-0000D9690000}"/>
    <cellStyle name="Normal 5 3 8 4 3" xfId="32893" xr:uid="{00000000-0005-0000-0000-0000DA690000}"/>
    <cellStyle name="Normal 5 3 8 5" xfId="12417" xr:uid="{00000000-0005-0000-0000-0000DB690000}"/>
    <cellStyle name="Normal 5 3 8 5 2" xfId="24851" xr:uid="{00000000-0005-0000-0000-0000DC690000}"/>
    <cellStyle name="Normal 5 3 8 5 2 2" xfId="49725" xr:uid="{00000000-0005-0000-0000-0000DD690000}"/>
    <cellStyle name="Normal 5 3 8 5 3" xfId="37292" xr:uid="{00000000-0005-0000-0000-0000DE690000}"/>
    <cellStyle name="Normal 5 3 8 6" xfId="7346" xr:uid="{00000000-0005-0000-0000-0000DF690000}"/>
    <cellStyle name="Normal 5 3 8 6 2" xfId="19794" xr:uid="{00000000-0005-0000-0000-0000E0690000}"/>
    <cellStyle name="Normal 5 3 8 6 2 2" xfId="44668" xr:uid="{00000000-0005-0000-0000-0000E1690000}"/>
    <cellStyle name="Normal 5 3 8 6 3" xfId="32235" xr:uid="{00000000-0005-0000-0000-0000E2690000}"/>
    <cellStyle name="Normal 5 3 8 7" xfId="2930" xr:uid="{00000000-0005-0000-0000-0000E3690000}"/>
    <cellStyle name="Normal 5 3 8 7 2" xfId="15445" xr:uid="{00000000-0005-0000-0000-0000E4690000}"/>
    <cellStyle name="Normal 5 3 8 7 2 2" xfId="40319" xr:uid="{00000000-0005-0000-0000-0000E5690000}"/>
    <cellStyle name="Normal 5 3 8 7 3" xfId="27878" xr:uid="{00000000-0005-0000-0000-0000E6690000}"/>
    <cellStyle name="Normal 5 3 8 8" xfId="14602" xr:uid="{00000000-0005-0000-0000-0000E7690000}"/>
    <cellStyle name="Normal 5 3 8 8 2" xfId="39476" xr:uid="{00000000-0005-0000-0000-0000E8690000}"/>
    <cellStyle name="Normal 5 3 8 9" xfId="27035" xr:uid="{00000000-0005-0000-0000-0000E9690000}"/>
    <cellStyle name="Normal 5 3 9" xfId="2088" xr:uid="{00000000-0005-0000-0000-0000EA690000}"/>
    <cellStyle name="Normal 5 3 9 2" xfId="6133" xr:uid="{00000000-0005-0000-0000-0000EB690000}"/>
    <cellStyle name="Normal 5 3 9 2 2" xfId="11148" xr:uid="{00000000-0005-0000-0000-0000EC690000}"/>
    <cellStyle name="Normal 5 3 9 2 2 2" xfId="23591" xr:uid="{00000000-0005-0000-0000-0000ED690000}"/>
    <cellStyle name="Normal 5 3 9 2 2 2 2" xfId="48465" xr:uid="{00000000-0005-0000-0000-0000EE690000}"/>
    <cellStyle name="Normal 5 3 9 2 2 3" xfId="36032" xr:uid="{00000000-0005-0000-0000-0000EF690000}"/>
    <cellStyle name="Normal 5 3 9 2 3" xfId="18584" xr:uid="{00000000-0005-0000-0000-0000F0690000}"/>
    <cellStyle name="Normal 5 3 9 2 3 2" xfId="43458" xr:uid="{00000000-0005-0000-0000-0000F1690000}"/>
    <cellStyle name="Normal 5 3 9 2 4" xfId="31025" xr:uid="{00000000-0005-0000-0000-0000F2690000}"/>
    <cellStyle name="Normal 5 3 9 3" xfId="12602" xr:uid="{00000000-0005-0000-0000-0000F3690000}"/>
    <cellStyle name="Normal 5 3 9 3 2" xfId="25036" xr:uid="{00000000-0005-0000-0000-0000F4690000}"/>
    <cellStyle name="Normal 5 3 9 3 2 2" xfId="49910" xr:uid="{00000000-0005-0000-0000-0000F5690000}"/>
    <cellStyle name="Normal 5 3 9 3 3" xfId="37477" xr:uid="{00000000-0005-0000-0000-0000F6690000}"/>
    <cellStyle name="Normal 5 3 9 4" xfId="8892" xr:uid="{00000000-0005-0000-0000-0000F7690000}"/>
    <cellStyle name="Normal 5 3 9 4 2" xfId="21335" xr:uid="{00000000-0005-0000-0000-0000F8690000}"/>
    <cellStyle name="Normal 5 3 9 4 2 2" xfId="46209" xr:uid="{00000000-0005-0000-0000-0000F9690000}"/>
    <cellStyle name="Normal 5 3 9 4 3" xfId="33776" xr:uid="{00000000-0005-0000-0000-0000FA690000}"/>
    <cellStyle name="Normal 5 3 9 5" xfId="3874" xr:uid="{00000000-0005-0000-0000-0000FB690000}"/>
    <cellStyle name="Normal 5 3 9 5 2" xfId="16328" xr:uid="{00000000-0005-0000-0000-0000FC690000}"/>
    <cellStyle name="Normal 5 3 9 5 2 2" xfId="41202" xr:uid="{00000000-0005-0000-0000-0000FD690000}"/>
    <cellStyle name="Normal 5 3 9 5 3" xfId="28769" xr:uid="{00000000-0005-0000-0000-0000FE690000}"/>
    <cellStyle name="Normal 5 3 9 6" xfId="14787" xr:uid="{00000000-0005-0000-0000-0000FF690000}"/>
    <cellStyle name="Normal 5 3 9 6 2" xfId="39661" xr:uid="{00000000-0005-0000-0000-0000006A0000}"/>
    <cellStyle name="Normal 5 3 9 7" xfId="27220" xr:uid="{00000000-0005-0000-0000-0000016A0000}"/>
    <cellStyle name="Normal 5 3_Degree data" xfId="2100" xr:uid="{00000000-0005-0000-0000-0000026A0000}"/>
    <cellStyle name="Normal 5 4" xfId="95" xr:uid="{00000000-0005-0000-0000-0000036A0000}"/>
    <cellStyle name="Normal 5 4 10" xfId="913" xr:uid="{00000000-0005-0000-0000-0000046A0000}"/>
    <cellStyle name="Normal 5 4 10 2" xfId="7708" xr:uid="{00000000-0005-0000-0000-0000056A0000}"/>
    <cellStyle name="Normal 5 4 10 2 2" xfId="20154" xr:uid="{00000000-0005-0000-0000-0000066A0000}"/>
    <cellStyle name="Normal 5 4 10 2 2 2" xfId="45028" xr:uid="{00000000-0005-0000-0000-0000076A0000}"/>
    <cellStyle name="Normal 5 4 10 2 3" xfId="32595" xr:uid="{00000000-0005-0000-0000-0000086A0000}"/>
    <cellStyle name="Normal 5 4 10 3" xfId="13713" xr:uid="{00000000-0005-0000-0000-0000096A0000}"/>
    <cellStyle name="Normal 5 4 10 3 2" xfId="38587" xr:uid="{00000000-0005-0000-0000-00000A6A0000}"/>
    <cellStyle name="Normal 5 4 10 4" xfId="26146" xr:uid="{00000000-0005-0000-0000-00000B6A0000}"/>
    <cellStyle name="Normal 5 4 11" xfId="11528" xr:uid="{00000000-0005-0000-0000-00000C6A0000}"/>
    <cellStyle name="Normal 5 4 11 2" xfId="23962" xr:uid="{00000000-0005-0000-0000-00000D6A0000}"/>
    <cellStyle name="Normal 5 4 11 2 2" xfId="48836" xr:uid="{00000000-0005-0000-0000-00000E6A0000}"/>
    <cellStyle name="Normal 5 4 11 3" xfId="36403" xr:uid="{00000000-0005-0000-0000-00000F6A0000}"/>
    <cellStyle name="Normal 5 4 12" xfId="6520" xr:uid="{00000000-0005-0000-0000-0000106A0000}"/>
    <cellStyle name="Normal 5 4 12 2" xfId="18969" xr:uid="{00000000-0005-0000-0000-0000116A0000}"/>
    <cellStyle name="Normal 5 4 12 2 2" xfId="43843" xr:uid="{00000000-0005-0000-0000-0000126A0000}"/>
    <cellStyle name="Normal 5 4 12 3" xfId="31410" xr:uid="{00000000-0005-0000-0000-0000136A0000}"/>
    <cellStyle name="Normal 5 4 13" xfId="2628" xr:uid="{00000000-0005-0000-0000-0000146A0000}"/>
    <cellStyle name="Normal 5 4 13 2" xfId="15147" xr:uid="{00000000-0005-0000-0000-0000156A0000}"/>
    <cellStyle name="Normal 5 4 13 2 2" xfId="40021" xr:uid="{00000000-0005-0000-0000-0000166A0000}"/>
    <cellStyle name="Normal 5 4 13 3" xfId="27580" xr:uid="{00000000-0005-0000-0000-0000176A0000}"/>
    <cellStyle name="Normal 5 4 14" xfId="12951" xr:uid="{00000000-0005-0000-0000-0000186A0000}"/>
    <cellStyle name="Normal 5 4 14 2" xfId="37825" xr:uid="{00000000-0005-0000-0000-0000196A0000}"/>
    <cellStyle name="Normal 5 4 15" xfId="25384" xr:uid="{00000000-0005-0000-0000-00001A6A0000}"/>
    <cellStyle name="Normal 5 4 2" xfId="145" xr:uid="{00000000-0005-0000-0000-00001B6A0000}"/>
    <cellStyle name="Normal 5 4 2 10" xfId="6563" xr:uid="{00000000-0005-0000-0000-00001C6A0000}"/>
    <cellStyle name="Normal 5 4 2 10 2" xfId="19012" xr:uid="{00000000-0005-0000-0000-00001D6A0000}"/>
    <cellStyle name="Normal 5 4 2 10 2 2" xfId="43886" xr:uid="{00000000-0005-0000-0000-00001E6A0000}"/>
    <cellStyle name="Normal 5 4 2 10 3" xfId="31453" xr:uid="{00000000-0005-0000-0000-00001F6A0000}"/>
    <cellStyle name="Normal 5 4 2 11" xfId="2731" xr:uid="{00000000-0005-0000-0000-0000206A0000}"/>
    <cellStyle name="Normal 5 4 2 11 2" xfId="15249" xr:uid="{00000000-0005-0000-0000-0000216A0000}"/>
    <cellStyle name="Normal 5 4 2 11 2 2" xfId="40123" xr:uid="{00000000-0005-0000-0000-0000226A0000}"/>
    <cellStyle name="Normal 5 4 2 11 3" xfId="27682" xr:uid="{00000000-0005-0000-0000-0000236A0000}"/>
    <cellStyle name="Normal 5 4 2 12" xfId="12975" xr:uid="{00000000-0005-0000-0000-0000246A0000}"/>
    <cellStyle name="Normal 5 4 2 12 2" xfId="37849" xr:uid="{00000000-0005-0000-0000-0000256A0000}"/>
    <cellStyle name="Normal 5 4 2 13" xfId="25408" xr:uid="{00000000-0005-0000-0000-0000266A0000}"/>
    <cellStyle name="Normal 5 4 2 2" xfId="435" xr:uid="{00000000-0005-0000-0000-0000276A0000}"/>
    <cellStyle name="Normal 5 4 2 2 10" xfId="13250" xr:uid="{00000000-0005-0000-0000-0000286A0000}"/>
    <cellStyle name="Normal 5 4 2 2 10 2" xfId="38124" xr:uid="{00000000-0005-0000-0000-0000296A0000}"/>
    <cellStyle name="Normal 5 4 2 2 11" xfId="25683" xr:uid="{00000000-0005-0000-0000-00002A6A0000}"/>
    <cellStyle name="Normal 5 4 2 2 2" xfId="795" xr:uid="{00000000-0005-0000-0000-00002B6A0000}"/>
    <cellStyle name="Normal 5 4 2 2 2 2" xfId="1468" xr:uid="{00000000-0005-0000-0000-00002C6A0000}"/>
    <cellStyle name="Normal 5 4 2 2 2 2 2" xfId="9572" xr:uid="{00000000-0005-0000-0000-00002D6A0000}"/>
    <cellStyle name="Normal 5 4 2 2 2 2 2 2" xfId="22015" xr:uid="{00000000-0005-0000-0000-00002E6A0000}"/>
    <cellStyle name="Normal 5 4 2 2 2 2 2 2 2" xfId="46889" xr:uid="{00000000-0005-0000-0000-00002F6A0000}"/>
    <cellStyle name="Normal 5 4 2 2 2 2 2 3" xfId="34456" xr:uid="{00000000-0005-0000-0000-0000306A0000}"/>
    <cellStyle name="Normal 5 4 2 2 2 2 3" xfId="4554" xr:uid="{00000000-0005-0000-0000-0000316A0000}"/>
    <cellStyle name="Normal 5 4 2 2 2 2 3 2" xfId="17008" xr:uid="{00000000-0005-0000-0000-0000326A0000}"/>
    <cellStyle name="Normal 5 4 2 2 2 2 3 2 2" xfId="41882" xr:uid="{00000000-0005-0000-0000-0000336A0000}"/>
    <cellStyle name="Normal 5 4 2 2 2 2 3 3" xfId="29449" xr:uid="{00000000-0005-0000-0000-0000346A0000}"/>
    <cellStyle name="Normal 5 4 2 2 2 2 4" xfId="14268" xr:uid="{00000000-0005-0000-0000-0000356A0000}"/>
    <cellStyle name="Normal 5 4 2 2 2 2 4 2" xfId="39142" xr:uid="{00000000-0005-0000-0000-0000366A0000}"/>
    <cellStyle name="Normal 5 4 2 2 2 2 5" xfId="26701" xr:uid="{00000000-0005-0000-0000-0000376A0000}"/>
    <cellStyle name="Normal 5 4 2 2 2 3" xfId="5613" xr:uid="{00000000-0005-0000-0000-0000386A0000}"/>
    <cellStyle name="Normal 5 4 2 2 2 3 2" xfId="10629" xr:uid="{00000000-0005-0000-0000-0000396A0000}"/>
    <cellStyle name="Normal 5 4 2 2 2 3 2 2" xfId="23072" xr:uid="{00000000-0005-0000-0000-00003A6A0000}"/>
    <cellStyle name="Normal 5 4 2 2 2 3 2 2 2" xfId="47946" xr:uid="{00000000-0005-0000-0000-00003B6A0000}"/>
    <cellStyle name="Normal 5 4 2 2 2 3 2 3" xfId="35513" xr:uid="{00000000-0005-0000-0000-00003C6A0000}"/>
    <cellStyle name="Normal 5 4 2 2 2 3 3" xfId="18065" xr:uid="{00000000-0005-0000-0000-00003D6A0000}"/>
    <cellStyle name="Normal 5 4 2 2 2 3 3 2" xfId="42939" xr:uid="{00000000-0005-0000-0000-00003E6A0000}"/>
    <cellStyle name="Normal 5 4 2 2 2 3 4" xfId="30506" xr:uid="{00000000-0005-0000-0000-00003F6A0000}"/>
    <cellStyle name="Normal 5 4 2 2 2 4" xfId="8688" xr:uid="{00000000-0005-0000-0000-0000406A0000}"/>
    <cellStyle name="Normal 5 4 2 2 2 4 2" xfId="21132" xr:uid="{00000000-0005-0000-0000-0000416A0000}"/>
    <cellStyle name="Normal 5 4 2 2 2 4 2 2" xfId="46006" xr:uid="{00000000-0005-0000-0000-0000426A0000}"/>
    <cellStyle name="Normal 5 4 2 2 2 4 3" xfId="33573" xr:uid="{00000000-0005-0000-0000-0000436A0000}"/>
    <cellStyle name="Normal 5 4 2 2 2 5" xfId="12083" xr:uid="{00000000-0005-0000-0000-0000446A0000}"/>
    <cellStyle name="Normal 5 4 2 2 2 5 2" xfId="24517" xr:uid="{00000000-0005-0000-0000-0000456A0000}"/>
    <cellStyle name="Normal 5 4 2 2 2 5 2 2" xfId="49391" xr:uid="{00000000-0005-0000-0000-0000466A0000}"/>
    <cellStyle name="Normal 5 4 2 2 2 5 3" xfId="36958" xr:uid="{00000000-0005-0000-0000-0000476A0000}"/>
    <cellStyle name="Normal 5 4 2 2 2 6" xfId="7165" xr:uid="{00000000-0005-0000-0000-0000486A0000}"/>
    <cellStyle name="Normal 5 4 2 2 2 6 2" xfId="19614" xr:uid="{00000000-0005-0000-0000-0000496A0000}"/>
    <cellStyle name="Normal 5 4 2 2 2 6 2 2" xfId="44488" xr:uid="{00000000-0005-0000-0000-00004A6A0000}"/>
    <cellStyle name="Normal 5 4 2 2 2 6 3" xfId="32055" xr:uid="{00000000-0005-0000-0000-00004B6A0000}"/>
    <cellStyle name="Normal 5 4 2 2 2 7" xfId="3619" xr:uid="{00000000-0005-0000-0000-00004C6A0000}"/>
    <cellStyle name="Normal 5 4 2 2 2 7 2" xfId="16125" xr:uid="{00000000-0005-0000-0000-00004D6A0000}"/>
    <cellStyle name="Normal 5 4 2 2 2 7 2 2" xfId="40999" xr:uid="{00000000-0005-0000-0000-00004E6A0000}"/>
    <cellStyle name="Normal 5 4 2 2 2 7 3" xfId="28558" xr:uid="{00000000-0005-0000-0000-00004F6A0000}"/>
    <cellStyle name="Normal 5 4 2 2 2 8" xfId="13597" xr:uid="{00000000-0005-0000-0000-0000506A0000}"/>
    <cellStyle name="Normal 5 4 2 2 2 8 2" xfId="38471" xr:uid="{00000000-0005-0000-0000-0000516A0000}"/>
    <cellStyle name="Normal 5 4 2 2 2 9" xfId="26030" xr:uid="{00000000-0005-0000-0000-0000526A0000}"/>
    <cellStyle name="Normal 5 4 2 2 3" xfId="1816" xr:uid="{00000000-0005-0000-0000-0000536A0000}"/>
    <cellStyle name="Normal 5 4 2 2 3 2" xfId="4979" xr:uid="{00000000-0005-0000-0000-0000546A0000}"/>
    <cellStyle name="Normal 5 4 2 2 3 2 2" xfId="9996" xr:uid="{00000000-0005-0000-0000-0000556A0000}"/>
    <cellStyle name="Normal 5 4 2 2 3 2 2 2" xfId="22439" xr:uid="{00000000-0005-0000-0000-0000566A0000}"/>
    <cellStyle name="Normal 5 4 2 2 3 2 2 2 2" xfId="47313" xr:uid="{00000000-0005-0000-0000-0000576A0000}"/>
    <cellStyle name="Normal 5 4 2 2 3 2 2 3" xfId="34880" xr:uid="{00000000-0005-0000-0000-0000586A0000}"/>
    <cellStyle name="Normal 5 4 2 2 3 2 3" xfId="17432" xr:uid="{00000000-0005-0000-0000-0000596A0000}"/>
    <cellStyle name="Normal 5 4 2 2 3 2 3 2" xfId="42306" xr:uid="{00000000-0005-0000-0000-00005A6A0000}"/>
    <cellStyle name="Normal 5 4 2 2 3 2 4" xfId="29873" xr:uid="{00000000-0005-0000-0000-00005B6A0000}"/>
    <cellStyle name="Normal 5 4 2 2 3 3" xfId="5962" xr:uid="{00000000-0005-0000-0000-00005C6A0000}"/>
    <cellStyle name="Normal 5 4 2 2 3 3 2" xfId="10977" xr:uid="{00000000-0005-0000-0000-00005D6A0000}"/>
    <cellStyle name="Normal 5 4 2 2 3 3 2 2" xfId="23420" xr:uid="{00000000-0005-0000-0000-00005E6A0000}"/>
    <cellStyle name="Normal 5 4 2 2 3 3 2 2 2" xfId="48294" xr:uid="{00000000-0005-0000-0000-00005F6A0000}"/>
    <cellStyle name="Normal 5 4 2 2 3 3 2 3" xfId="35861" xr:uid="{00000000-0005-0000-0000-0000606A0000}"/>
    <cellStyle name="Normal 5 4 2 2 3 3 3" xfId="18413" xr:uid="{00000000-0005-0000-0000-0000616A0000}"/>
    <cellStyle name="Normal 5 4 2 2 3 3 3 2" xfId="43287" xr:uid="{00000000-0005-0000-0000-0000626A0000}"/>
    <cellStyle name="Normal 5 4 2 2 3 3 4" xfId="30854" xr:uid="{00000000-0005-0000-0000-0000636A0000}"/>
    <cellStyle name="Normal 5 4 2 2 3 4" xfId="8403" xr:uid="{00000000-0005-0000-0000-0000646A0000}"/>
    <cellStyle name="Normal 5 4 2 2 3 4 2" xfId="20847" xr:uid="{00000000-0005-0000-0000-0000656A0000}"/>
    <cellStyle name="Normal 5 4 2 2 3 4 2 2" xfId="45721" xr:uid="{00000000-0005-0000-0000-0000666A0000}"/>
    <cellStyle name="Normal 5 4 2 2 3 4 3" xfId="33288" xr:uid="{00000000-0005-0000-0000-0000676A0000}"/>
    <cellStyle name="Normal 5 4 2 2 3 5" xfId="12431" xr:uid="{00000000-0005-0000-0000-0000686A0000}"/>
    <cellStyle name="Normal 5 4 2 2 3 5 2" xfId="24865" xr:uid="{00000000-0005-0000-0000-0000696A0000}"/>
    <cellStyle name="Normal 5 4 2 2 3 5 2 2" xfId="49739" xr:uid="{00000000-0005-0000-0000-00006A6A0000}"/>
    <cellStyle name="Normal 5 4 2 2 3 5 3" xfId="37306" xr:uid="{00000000-0005-0000-0000-00006B6A0000}"/>
    <cellStyle name="Normal 5 4 2 2 3 6" xfId="7590" xr:uid="{00000000-0005-0000-0000-00006C6A0000}"/>
    <cellStyle name="Normal 5 4 2 2 3 6 2" xfId="20038" xr:uid="{00000000-0005-0000-0000-00006D6A0000}"/>
    <cellStyle name="Normal 5 4 2 2 3 6 2 2" xfId="44912" xr:uid="{00000000-0005-0000-0000-00006E6A0000}"/>
    <cellStyle name="Normal 5 4 2 2 3 6 3" xfId="32479" xr:uid="{00000000-0005-0000-0000-00006F6A0000}"/>
    <cellStyle name="Normal 5 4 2 2 3 7" xfId="3334" xr:uid="{00000000-0005-0000-0000-0000706A0000}"/>
    <cellStyle name="Normal 5 4 2 2 3 7 2" xfId="15840" xr:uid="{00000000-0005-0000-0000-0000716A0000}"/>
    <cellStyle name="Normal 5 4 2 2 3 7 2 2" xfId="40714" xr:uid="{00000000-0005-0000-0000-0000726A0000}"/>
    <cellStyle name="Normal 5 4 2 2 3 7 3" xfId="28273" xr:uid="{00000000-0005-0000-0000-0000736A0000}"/>
    <cellStyle name="Normal 5 4 2 2 3 8" xfId="14616" xr:uid="{00000000-0005-0000-0000-0000746A0000}"/>
    <cellStyle name="Normal 5 4 2 2 3 8 2" xfId="39490" xr:uid="{00000000-0005-0000-0000-0000756A0000}"/>
    <cellStyle name="Normal 5 4 2 2 3 9" xfId="27049" xr:uid="{00000000-0005-0000-0000-0000766A0000}"/>
    <cellStyle name="Normal 5 4 2 2 4" xfId="2353" xr:uid="{00000000-0005-0000-0000-0000776A0000}"/>
    <cellStyle name="Normal 5 4 2 2 4 2" xfId="6377" xr:uid="{00000000-0005-0000-0000-0000786A0000}"/>
    <cellStyle name="Normal 5 4 2 2 4 2 2" xfId="11392" xr:uid="{00000000-0005-0000-0000-0000796A0000}"/>
    <cellStyle name="Normal 5 4 2 2 4 2 2 2" xfId="23835" xr:uid="{00000000-0005-0000-0000-00007A6A0000}"/>
    <cellStyle name="Normal 5 4 2 2 4 2 2 2 2" xfId="48709" xr:uid="{00000000-0005-0000-0000-00007B6A0000}"/>
    <cellStyle name="Normal 5 4 2 2 4 2 2 3" xfId="36276" xr:uid="{00000000-0005-0000-0000-00007C6A0000}"/>
    <cellStyle name="Normal 5 4 2 2 4 2 3" xfId="18828" xr:uid="{00000000-0005-0000-0000-00007D6A0000}"/>
    <cellStyle name="Normal 5 4 2 2 4 2 3 2" xfId="43702" xr:uid="{00000000-0005-0000-0000-00007E6A0000}"/>
    <cellStyle name="Normal 5 4 2 2 4 2 4" xfId="31269" xr:uid="{00000000-0005-0000-0000-00007F6A0000}"/>
    <cellStyle name="Normal 5 4 2 2 4 3" xfId="12846" xr:uid="{00000000-0005-0000-0000-0000806A0000}"/>
    <cellStyle name="Normal 5 4 2 2 4 3 2" xfId="25280" xr:uid="{00000000-0005-0000-0000-0000816A0000}"/>
    <cellStyle name="Normal 5 4 2 2 4 3 2 2" xfId="50154" xr:uid="{00000000-0005-0000-0000-0000826A0000}"/>
    <cellStyle name="Normal 5 4 2 2 4 3 3" xfId="37721" xr:uid="{00000000-0005-0000-0000-0000836A0000}"/>
    <cellStyle name="Normal 5 4 2 2 4 4" xfId="9287" xr:uid="{00000000-0005-0000-0000-0000846A0000}"/>
    <cellStyle name="Normal 5 4 2 2 4 4 2" xfId="21730" xr:uid="{00000000-0005-0000-0000-0000856A0000}"/>
    <cellStyle name="Normal 5 4 2 2 4 4 2 2" xfId="46604" xr:uid="{00000000-0005-0000-0000-0000866A0000}"/>
    <cellStyle name="Normal 5 4 2 2 4 4 3" xfId="34171" xr:uid="{00000000-0005-0000-0000-0000876A0000}"/>
    <cellStyle name="Normal 5 4 2 2 4 5" xfId="4269" xr:uid="{00000000-0005-0000-0000-0000886A0000}"/>
    <cellStyle name="Normal 5 4 2 2 4 5 2" xfId="16723" xr:uid="{00000000-0005-0000-0000-0000896A0000}"/>
    <cellStyle name="Normal 5 4 2 2 4 5 2 2" xfId="41597" xr:uid="{00000000-0005-0000-0000-00008A6A0000}"/>
    <cellStyle name="Normal 5 4 2 2 4 5 3" xfId="29164" xr:uid="{00000000-0005-0000-0000-00008B6A0000}"/>
    <cellStyle name="Normal 5 4 2 2 4 6" xfId="15031" xr:uid="{00000000-0005-0000-0000-00008C6A0000}"/>
    <cellStyle name="Normal 5 4 2 2 4 6 2" xfId="39905" xr:uid="{00000000-0005-0000-0000-00008D6A0000}"/>
    <cellStyle name="Normal 5 4 2 2 4 7" xfId="27464" xr:uid="{00000000-0005-0000-0000-00008E6A0000}"/>
    <cellStyle name="Normal 5 4 2 2 5" xfId="1188" xr:uid="{00000000-0005-0000-0000-00008F6A0000}"/>
    <cellStyle name="Normal 5 4 2 2 5 2" xfId="10349" xr:uid="{00000000-0005-0000-0000-0000906A0000}"/>
    <cellStyle name="Normal 5 4 2 2 5 2 2" xfId="22792" xr:uid="{00000000-0005-0000-0000-0000916A0000}"/>
    <cellStyle name="Normal 5 4 2 2 5 2 2 2" xfId="47666" xr:uid="{00000000-0005-0000-0000-0000926A0000}"/>
    <cellStyle name="Normal 5 4 2 2 5 2 3" xfId="35233" xr:uid="{00000000-0005-0000-0000-0000936A0000}"/>
    <cellStyle name="Normal 5 4 2 2 5 3" xfId="5333" xr:uid="{00000000-0005-0000-0000-0000946A0000}"/>
    <cellStyle name="Normal 5 4 2 2 5 3 2" xfId="17785" xr:uid="{00000000-0005-0000-0000-0000956A0000}"/>
    <cellStyle name="Normal 5 4 2 2 5 3 2 2" xfId="42659" xr:uid="{00000000-0005-0000-0000-0000966A0000}"/>
    <cellStyle name="Normal 5 4 2 2 5 3 3" xfId="30226" xr:uid="{00000000-0005-0000-0000-0000976A0000}"/>
    <cellStyle name="Normal 5 4 2 2 5 4" xfId="13988" xr:uid="{00000000-0005-0000-0000-0000986A0000}"/>
    <cellStyle name="Normal 5 4 2 2 5 4 2" xfId="38862" xr:uid="{00000000-0005-0000-0000-0000996A0000}"/>
    <cellStyle name="Normal 5 4 2 2 5 5" xfId="26421" xr:uid="{00000000-0005-0000-0000-00009A6A0000}"/>
    <cellStyle name="Normal 5 4 2 2 6" xfId="7910" xr:uid="{00000000-0005-0000-0000-00009B6A0000}"/>
    <cellStyle name="Normal 5 4 2 2 6 2" xfId="20356" xr:uid="{00000000-0005-0000-0000-00009C6A0000}"/>
    <cellStyle name="Normal 5 4 2 2 6 2 2" xfId="45230" xr:uid="{00000000-0005-0000-0000-00009D6A0000}"/>
    <cellStyle name="Normal 5 4 2 2 6 3" xfId="32797" xr:uid="{00000000-0005-0000-0000-00009E6A0000}"/>
    <cellStyle name="Normal 5 4 2 2 7" xfId="11803" xr:uid="{00000000-0005-0000-0000-00009F6A0000}"/>
    <cellStyle name="Normal 5 4 2 2 7 2" xfId="24237" xr:uid="{00000000-0005-0000-0000-0000A06A0000}"/>
    <cellStyle name="Normal 5 4 2 2 7 2 2" xfId="49111" xr:uid="{00000000-0005-0000-0000-0000A16A0000}"/>
    <cellStyle name="Normal 5 4 2 2 7 3" xfId="36678" xr:uid="{00000000-0005-0000-0000-0000A26A0000}"/>
    <cellStyle name="Normal 5 4 2 2 8" xfId="6880" xr:uid="{00000000-0005-0000-0000-0000A36A0000}"/>
    <cellStyle name="Normal 5 4 2 2 8 2" xfId="19329" xr:uid="{00000000-0005-0000-0000-0000A46A0000}"/>
    <cellStyle name="Normal 5 4 2 2 8 2 2" xfId="44203" xr:uid="{00000000-0005-0000-0000-0000A56A0000}"/>
    <cellStyle name="Normal 5 4 2 2 8 3" xfId="31770" xr:uid="{00000000-0005-0000-0000-0000A66A0000}"/>
    <cellStyle name="Normal 5 4 2 2 9" xfId="2831" xr:uid="{00000000-0005-0000-0000-0000A76A0000}"/>
    <cellStyle name="Normal 5 4 2 2 9 2" xfId="15349" xr:uid="{00000000-0005-0000-0000-0000A86A0000}"/>
    <cellStyle name="Normal 5 4 2 2 9 2 2" xfId="40223" xr:uid="{00000000-0005-0000-0000-0000A96A0000}"/>
    <cellStyle name="Normal 5 4 2 2 9 3" xfId="27782" xr:uid="{00000000-0005-0000-0000-0000AA6A0000}"/>
    <cellStyle name="Normal 5 4 2 2_Degree data" xfId="2075" xr:uid="{00000000-0005-0000-0000-0000AB6A0000}"/>
    <cellStyle name="Normal 5 4 2 3" xfId="333" xr:uid="{00000000-0005-0000-0000-0000AC6A0000}"/>
    <cellStyle name="Normal 5 4 2 3 2" xfId="1467" xr:uid="{00000000-0005-0000-0000-0000AD6A0000}"/>
    <cellStyle name="Normal 5 4 2 3 2 2" xfId="9187" xr:uid="{00000000-0005-0000-0000-0000AE6A0000}"/>
    <cellStyle name="Normal 5 4 2 3 2 2 2" xfId="21630" xr:uid="{00000000-0005-0000-0000-0000AF6A0000}"/>
    <cellStyle name="Normal 5 4 2 3 2 2 2 2" xfId="46504" xr:uid="{00000000-0005-0000-0000-0000B06A0000}"/>
    <cellStyle name="Normal 5 4 2 3 2 2 3" xfId="34071" xr:uid="{00000000-0005-0000-0000-0000B16A0000}"/>
    <cellStyle name="Normal 5 4 2 3 2 3" xfId="4169" xr:uid="{00000000-0005-0000-0000-0000B26A0000}"/>
    <cellStyle name="Normal 5 4 2 3 2 3 2" xfId="16623" xr:uid="{00000000-0005-0000-0000-0000B36A0000}"/>
    <cellStyle name="Normal 5 4 2 3 2 3 2 2" xfId="41497" xr:uid="{00000000-0005-0000-0000-0000B46A0000}"/>
    <cellStyle name="Normal 5 4 2 3 2 3 3" xfId="29064" xr:uid="{00000000-0005-0000-0000-0000B56A0000}"/>
    <cellStyle name="Normal 5 4 2 3 2 4" xfId="14267" xr:uid="{00000000-0005-0000-0000-0000B66A0000}"/>
    <cellStyle name="Normal 5 4 2 3 2 4 2" xfId="39141" xr:uid="{00000000-0005-0000-0000-0000B76A0000}"/>
    <cellStyle name="Normal 5 4 2 3 2 5" xfId="26700" xr:uid="{00000000-0005-0000-0000-0000B86A0000}"/>
    <cellStyle name="Normal 5 4 2 3 3" xfId="5612" xr:uid="{00000000-0005-0000-0000-0000B96A0000}"/>
    <cellStyle name="Normal 5 4 2 3 3 2" xfId="10628" xr:uid="{00000000-0005-0000-0000-0000BA6A0000}"/>
    <cellStyle name="Normal 5 4 2 3 3 2 2" xfId="23071" xr:uid="{00000000-0005-0000-0000-0000BB6A0000}"/>
    <cellStyle name="Normal 5 4 2 3 3 2 2 2" xfId="47945" xr:uid="{00000000-0005-0000-0000-0000BC6A0000}"/>
    <cellStyle name="Normal 5 4 2 3 3 2 3" xfId="35512" xr:uid="{00000000-0005-0000-0000-0000BD6A0000}"/>
    <cellStyle name="Normal 5 4 2 3 3 3" xfId="18064" xr:uid="{00000000-0005-0000-0000-0000BE6A0000}"/>
    <cellStyle name="Normal 5 4 2 3 3 3 2" xfId="42938" xr:uid="{00000000-0005-0000-0000-0000BF6A0000}"/>
    <cellStyle name="Normal 5 4 2 3 3 4" xfId="30505" xr:uid="{00000000-0005-0000-0000-0000C06A0000}"/>
    <cellStyle name="Normal 5 4 2 3 4" xfId="8303" xr:uid="{00000000-0005-0000-0000-0000C16A0000}"/>
    <cellStyle name="Normal 5 4 2 3 4 2" xfId="20747" xr:uid="{00000000-0005-0000-0000-0000C26A0000}"/>
    <cellStyle name="Normal 5 4 2 3 4 2 2" xfId="45621" xr:uid="{00000000-0005-0000-0000-0000C36A0000}"/>
    <cellStyle name="Normal 5 4 2 3 4 3" xfId="33188" xr:uid="{00000000-0005-0000-0000-0000C46A0000}"/>
    <cellStyle name="Normal 5 4 2 3 5" xfId="12082" xr:uid="{00000000-0005-0000-0000-0000C56A0000}"/>
    <cellStyle name="Normal 5 4 2 3 5 2" xfId="24516" xr:uid="{00000000-0005-0000-0000-0000C66A0000}"/>
    <cellStyle name="Normal 5 4 2 3 5 2 2" xfId="49390" xr:uid="{00000000-0005-0000-0000-0000C76A0000}"/>
    <cellStyle name="Normal 5 4 2 3 5 3" xfId="36957" xr:uid="{00000000-0005-0000-0000-0000C86A0000}"/>
    <cellStyle name="Normal 5 4 2 3 6" xfId="6780" xr:uid="{00000000-0005-0000-0000-0000C96A0000}"/>
    <cellStyle name="Normal 5 4 2 3 6 2" xfId="19229" xr:uid="{00000000-0005-0000-0000-0000CA6A0000}"/>
    <cellStyle name="Normal 5 4 2 3 6 2 2" xfId="44103" xr:uid="{00000000-0005-0000-0000-0000CB6A0000}"/>
    <cellStyle name="Normal 5 4 2 3 6 3" xfId="31670" xr:uid="{00000000-0005-0000-0000-0000CC6A0000}"/>
    <cellStyle name="Normal 5 4 2 3 7" xfId="3234" xr:uid="{00000000-0005-0000-0000-0000CD6A0000}"/>
    <cellStyle name="Normal 5 4 2 3 7 2" xfId="15740" xr:uid="{00000000-0005-0000-0000-0000CE6A0000}"/>
    <cellStyle name="Normal 5 4 2 3 7 2 2" xfId="40614" xr:uid="{00000000-0005-0000-0000-0000CF6A0000}"/>
    <cellStyle name="Normal 5 4 2 3 7 3" xfId="28173" xr:uid="{00000000-0005-0000-0000-0000D06A0000}"/>
    <cellStyle name="Normal 5 4 2 3 8" xfId="13150" xr:uid="{00000000-0005-0000-0000-0000D16A0000}"/>
    <cellStyle name="Normal 5 4 2 3 8 2" xfId="38024" xr:uid="{00000000-0005-0000-0000-0000D26A0000}"/>
    <cellStyle name="Normal 5 4 2 3 9" xfId="25583" xr:uid="{00000000-0005-0000-0000-0000D36A0000}"/>
    <cellStyle name="Normal 5 4 2 4" xfId="694" xr:uid="{00000000-0005-0000-0000-0000D46A0000}"/>
    <cellStyle name="Normal 5 4 2 4 2" xfId="1815" xr:uid="{00000000-0005-0000-0000-0000D56A0000}"/>
    <cellStyle name="Normal 5 4 2 4 2 2" xfId="9571" xr:uid="{00000000-0005-0000-0000-0000D66A0000}"/>
    <cellStyle name="Normal 5 4 2 4 2 2 2" xfId="22014" xr:uid="{00000000-0005-0000-0000-0000D76A0000}"/>
    <cellStyle name="Normal 5 4 2 4 2 2 2 2" xfId="46888" xr:uid="{00000000-0005-0000-0000-0000D86A0000}"/>
    <cellStyle name="Normal 5 4 2 4 2 2 3" xfId="34455" xr:uid="{00000000-0005-0000-0000-0000D96A0000}"/>
    <cellStyle name="Normal 5 4 2 4 2 3" xfId="4553" xr:uid="{00000000-0005-0000-0000-0000DA6A0000}"/>
    <cellStyle name="Normal 5 4 2 4 2 3 2" xfId="17007" xr:uid="{00000000-0005-0000-0000-0000DB6A0000}"/>
    <cellStyle name="Normal 5 4 2 4 2 3 2 2" xfId="41881" xr:uid="{00000000-0005-0000-0000-0000DC6A0000}"/>
    <cellStyle name="Normal 5 4 2 4 2 3 3" xfId="29448" xr:uid="{00000000-0005-0000-0000-0000DD6A0000}"/>
    <cellStyle name="Normal 5 4 2 4 2 4" xfId="14615" xr:uid="{00000000-0005-0000-0000-0000DE6A0000}"/>
    <cellStyle name="Normal 5 4 2 4 2 4 2" xfId="39489" xr:uid="{00000000-0005-0000-0000-0000DF6A0000}"/>
    <cellStyle name="Normal 5 4 2 4 2 5" xfId="27048" xr:uid="{00000000-0005-0000-0000-0000E06A0000}"/>
    <cellStyle name="Normal 5 4 2 4 3" xfId="5961" xr:uid="{00000000-0005-0000-0000-0000E16A0000}"/>
    <cellStyle name="Normal 5 4 2 4 3 2" xfId="10976" xr:uid="{00000000-0005-0000-0000-0000E26A0000}"/>
    <cellStyle name="Normal 5 4 2 4 3 2 2" xfId="23419" xr:uid="{00000000-0005-0000-0000-0000E36A0000}"/>
    <cellStyle name="Normal 5 4 2 4 3 2 2 2" xfId="48293" xr:uid="{00000000-0005-0000-0000-0000E46A0000}"/>
    <cellStyle name="Normal 5 4 2 4 3 2 3" xfId="35860" xr:uid="{00000000-0005-0000-0000-0000E56A0000}"/>
    <cellStyle name="Normal 5 4 2 4 3 3" xfId="18412" xr:uid="{00000000-0005-0000-0000-0000E66A0000}"/>
    <cellStyle name="Normal 5 4 2 4 3 3 2" xfId="43286" xr:uid="{00000000-0005-0000-0000-0000E76A0000}"/>
    <cellStyle name="Normal 5 4 2 4 3 4" xfId="30853" xr:uid="{00000000-0005-0000-0000-0000E86A0000}"/>
    <cellStyle name="Normal 5 4 2 4 4" xfId="8687" xr:uid="{00000000-0005-0000-0000-0000E96A0000}"/>
    <cellStyle name="Normal 5 4 2 4 4 2" xfId="21131" xr:uid="{00000000-0005-0000-0000-0000EA6A0000}"/>
    <cellStyle name="Normal 5 4 2 4 4 2 2" xfId="46005" xr:uid="{00000000-0005-0000-0000-0000EB6A0000}"/>
    <cellStyle name="Normal 5 4 2 4 4 3" xfId="33572" xr:uid="{00000000-0005-0000-0000-0000EC6A0000}"/>
    <cellStyle name="Normal 5 4 2 4 5" xfId="12430" xr:uid="{00000000-0005-0000-0000-0000ED6A0000}"/>
    <cellStyle name="Normal 5 4 2 4 5 2" xfId="24864" xr:uid="{00000000-0005-0000-0000-0000EE6A0000}"/>
    <cellStyle name="Normal 5 4 2 4 5 2 2" xfId="49738" xr:uid="{00000000-0005-0000-0000-0000EF6A0000}"/>
    <cellStyle name="Normal 5 4 2 4 5 3" xfId="37305" xr:uid="{00000000-0005-0000-0000-0000F06A0000}"/>
    <cellStyle name="Normal 5 4 2 4 6" xfId="7164" xr:uid="{00000000-0005-0000-0000-0000F16A0000}"/>
    <cellStyle name="Normal 5 4 2 4 6 2" xfId="19613" xr:uid="{00000000-0005-0000-0000-0000F26A0000}"/>
    <cellStyle name="Normal 5 4 2 4 6 2 2" xfId="44487" xr:uid="{00000000-0005-0000-0000-0000F36A0000}"/>
    <cellStyle name="Normal 5 4 2 4 6 3" xfId="32054" xr:uid="{00000000-0005-0000-0000-0000F46A0000}"/>
    <cellStyle name="Normal 5 4 2 4 7" xfId="3618" xr:uid="{00000000-0005-0000-0000-0000F56A0000}"/>
    <cellStyle name="Normal 5 4 2 4 7 2" xfId="16124" xr:uid="{00000000-0005-0000-0000-0000F66A0000}"/>
    <cellStyle name="Normal 5 4 2 4 7 2 2" xfId="40998" xr:uid="{00000000-0005-0000-0000-0000F76A0000}"/>
    <cellStyle name="Normal 5 4 2 4 7 3" xfId="28557" xr:uid="{00000000-0005-0000-0000-0000F86A0000}"/>
    <cellStyle name="Normal 5 4 2 4 8" xfId="13497" xr:uid="{00000000-0005-0000-0000-0000F96A0000}"/>
    <cellStyle name="Normal 5 4 2 4 8 2" xfId="38371" xr:uid="{00000000-0005-0000-0000-0000FA6A0000}"/>
    <cellStyle name="Normal 5 4 2 4 9" xfId="25930" xr:uid="{00000000-0005-0000-0000-0000FB6A0000}"/>
    <cellStyle name="Normal 5 4 2 5" xfId="2251" xr:uid="{00000000-0005-0000-0000-0000FC6A0000}"/>
    <cellStyle name="Normal 5 4 2 5 2" xfId="4879" xr:uid="{00000000-0005-0000-0000-0000FD6A0000}"/>
    <cellStyle name="Normal 5 4 2 5 2 2" xfId="9896" xr:uid="{00000000-0005-0000-0000-0000FE6A0000}"/>
    <cellStyle name="Normal 5 4 2 5 2 2 2" xfId="22339" xr:uid="{00000000-0005-0000-0000-0000FF6A0000}"/>
    <cellStyle name="Normal 5 4 2 5 2 2 2 2" xfId="47213" xr:uid="{00000000-0005-0000-0000-0000006B0000}"/>
    <cellStyle name="Normal 5 4 2 5 2 2 3" xfId="34780" xr:uid="{00000000-0005-0000-0000-0000016B0000}"/>
    <cellStyle name="Normal 5 4 2 5 2 3" xfId="17332" xr:uid="{00000000-0005-0000-0000-0000026B0000}"/>
    <cellStyle name="Normal 5 4 2 5 2 3 2" xfId="42206" xr:uid="{00000000-0005-0000-0000-0000036B0000}"/>
    <cellStyle name="Normal 5 4 2 5 2 4" xfId="29773" xr:uid="{00000000-0005-0000-0000-0000046B0000}"/>
    <cellStyle name="Normal 5 4 2 5 3" xfId="6277" xr:uid="{00000000-0005-0000-0000-0000056B0000}"/>
    <cellStyle name="Normal 5 4 2 5 3 2" xfId="11292" xr:uid="{00000000-0005-0000-0000-0000066B0000}"/>
    <cellStyle name="Normal 5 4 2 5 3 2 2" xfId="23735" xr:uid="{00000000-0005-0000-0000-0000076B0000}"/>
    <cellStyle name="Normal 5 4 2 5 3 2 2 2" xfId="48609" xr:uid="{00000000-0005-0000-0000-0000086B0000}"/>
    <cellStyle name="Normal 5 4 2 5 3 2 3" xfId="36176" xr:uid="{00000000-0005-0000-0000-0000096B0000}"/>
    <cellStyle name="Normal 5 4 2 5 3 3" xfId="18728" xr:uid="{00000000-0005-0000-0000-00000A6B0000}"/>
    <cellStyle name="Normal 5 4 2 5 3 3 2" xfId="43602" xr:uid="{00000000-0005-0000-0000-00000B6B0000}"/>
    <cellStyle name="Normal 5 4 2 5 3 4" xfId="31169" xr:uid="{00000000-0005-0000-0000-00000C6B0000}"/>
    <cellStyle name="Normal 5 4 2 5 4" xfId="8084" xr:uid="{00000000-0005-0000-0000-00000D6B0000}"/>
    <cellStyle name="Normal 5 4 2 5 4 2" xfId="20530" xr:uid="{00000000-0005-0000-0000-00000E6B0000}"/>
    <cellStyle name="Normal 5 4 2 5 4 2 2" xfId="45404" xr:uid="{00000000-0005-0000-0000-00000F6B0000}"/>
    <cellStyle name="Normal 5 4 2 5 4 3" xfId="32971" xr:uid="{00000000-0005-0000-0000-0000106B0000}"/>
    <cellStyle name="Normal 5 4 2 5 5" xfId="12746" xr:uid="{00000000-0005-0000-0000-0000116B0000}"/>
    <cellStyle name="Normal 5 4 2 5 5 2" xfId="25180" xr:uid="{00000000-0005-0000-0000-0000126B0000}"/>
    <cellStyle name="Normal 5 4 2 5 5 2 2" xfId="50054" xr:uid="{00000000-0005-0000-0000-0000136B0000}"/>
    <cellStyle name="Normal 5 4 2 5 5 3" xfId="37621" xr:uid="{00000000-0005-0000-0000-0000146B0000}"/>
    <cellStyle name="Normal 5 4 2 5 6" xfId="7490" xr:uid="{00000000-0005-0000-0000-0000156B0000}"/>
    <cellStyle name="Normal 5 4 2 5 6 2" xfId="19938" xr:uid="{00000000-0005-0000-0000-0000166B0000}"/>
    <cellStyle name="Normal 5 4 2 5 6 2 2" xfId="44812" xr:uid="{00000000-0005-0000-0000-0000176B0000}"/>
    <cellStyle name="Normal 5 4 2 5 6 3" xfId="32379" xr:uid="{00000000-0005-0000-0000-0000186B0000}"/>
    <cellStyle name="Normal 5 4 2 5 7" xfId="3013" xr:uid="{00000000-0005-0000-0000-0000196B0000}"/>
    <cellStyle name="Normal 5 4 2 5 7 2" xfId="15523" xr:uid="{00000000-0005-0000-0000-00001A6B0000}"/>
    <cellStyle name="Normal 5 4 2 5 7 2 2" xfId="40397" xr:uid="{00000000-0005-0000-0000-00001B6B0000}"/>
    <cellStyle name="Normal 5 4 2 5 7 3" xfId="27956" xr:uid="{00000000-0005-0000-0000-00001C6B0000}"/>
    <cellStyle name="Normal 5 4 2 5 8" xfId="14931" xr:uid="{00000000-0005-0000-0000-00001D6B0000}"/>
    <cellStyle name="Normal 5 4 2 5 8 2" xfId="39805" xr:uid="{00000000-0005-0000-0000-00001E6B0000}"/>
    <cellStyle name="Normal 5 4 2 5 9" xfId="27364" xr:uid="{00000000-0005-0000-0000-00001F6B0000}"/>
    <cellStyle name="Normal 5 4 2 6" xfId="1088" xr:uid="{00000000-0005-0000-0000-0000206B0000}"/>
    <cellStyle name="Normal 5 4 2 6 2" xfId="8970" xr:uid="{00000000-0005-0000-0000-0000216B0000}"/>
    <cellStyle name="Normal 5 4 2 6 2 2" xfId="21413" xr:uid="{00000000-0005-0000-0000-0000226B0000}"/>
    <cellStyle name="Normal 5 4 2 6 2 2 2" xfId="46287" xr:uid="{00000000-0005-0000-0000-0000236B0000}"/>
    <cellStyle name="Normal 5 4 2 6 2 3" xfId="33854" xr:uid="{00000000-0005-0000-0000-0000246B0000}"/>
    <cellStyle name="Normal 5 4 2 6 3" xfId="3952" xr:uid="{00000000-0005-0000-0000-0000256B0000}"/>
    <cellStyle name="Normal 5 4 2 6 3 2" xfId="16406" xr:uid="{00000000-0005-0000-0000-0000266B0000}"/>
    <cellStyle name="Normal 5 4 2 6 3 2 2" xfId="41280" xr:uid="{00000000-0005-0000-0000-0000276B0000}"/>
    <cellStyle name="Normal 5 4 2 6 3 3" xfId="28847" xr:uid="{00000000-0005-0000-0000-0000286B0000}"/>
    <cellStyle name="Normal 5 4 2 6 4" xfId="13888" xr:uid="{00000000-0005-0000-0000-0000296B0000}"/>
    <cellStyle name="Normal 5 4 2 6 4 2" xfId="38762" xr:uid="{00000000-0005-0000-0000-00002A6B0000}"/>
    <cellStyle name="Normal 5 4 2 6 5" xfId="26321" xr:uid="{00000000-0005-0000-0000-00002B6B0000}"/>
    <cellStyle name="Normal 5 4 2 7" xfId="5233" xr:uid="{00000000-0005-0000-0000-00002C6B0000}"/>
    <cellStyle name="Normal 5 4 2 7 2" xfId="10249" xr:uid="{00000000-0005-0000-0000-00002D6B0000}"/>
    <cellStyle name="Normal 5 4 2 7 2 2" xfId="22692" xr:uid="{00000000-0005-0000-0000-00002E6B0000}"/>
    <cellStyle name="Normal 5 4 2 7 2 2 2" xfId="47566" xr:uid="{00000000-0005-0000-0000-00002F6B0000}"/>
    <cellStyle name="Normal 5 4 2 7 2 3" xfId="35133" xr:uid="{00000000-0005-0000-0000-0000306B0000}"/>
    <cellStyle name="Normal 5 4 2 7 3" xfId="17685" xr:uid="{00000000-0005-0000-0000-0000316B0000}"/>
    <cellStyle name="Normal 5 4 2 7 3 2" xfId="42559" xr:uid="{00000000-0005-0000-0000-0000326B0000}"/>
    <cellStyle name="Normal 5 4 2 7 4" xfId="30126" xr:uid="{00000000-0005-0000-0000-0000336B0000}"/>
    <cellStyle name="Normal 5 4 2 8" xfId="7810" xr:uid="{00000000-0005-0000-0000-0000346B0000}"/>
    <cellStyle name="Normal 5 4 2 8 2" xfId="20256" xr:uid="{00000000-0005-0000-0000-0000356B0000}"/>
    <cellStyle name="Normal 5 4 2 8 2 2" xfId="45130" xr:uid="{00000000-0005-0000-0000-0000366B0000}"/>
    <cellStyle name="Normal 5 4 2 8 3" xfId="32697" xr:uid="{00000000-0005-0000-0000-0000376B0000}"/>
    <cellStyle name="Normal 5 4 2 9" xfId="11703" xr:uid="{00000000-0005-0000-0000-0000386B0000}"/>
    <cellStyle name="Normal 5 4 2 9 2" xfId="24137" xr:uid="{00000000-0005-0000-0000-0000396B0000}"/>
    <cellStyle name="Normal 5 4 2 9 2 2" xfId="49011" xr:uid="{00000000-0005-0000-0000-00003A6B0000}"/>
    <cellStyle name="Normal 5 4 2 9 3" xfId="36578" xr:uid="{00000000-0005-0000-0000-00003B6B0000}"/>
    <cellStyle name="Normal 5 4 2_Degree data" xfId="1978" xr:uid="{00000000-0005-0000-0000-00003C6B0000}"/>
    <cellStyle name="Normal 5 4 3" xfId="175" xr:uid="{00000000-0005-0000-0000-00003D6B0000}"/>
    <cellStyle name="Normal 5 4 3 10" xfId="6624" xr:uid="{00000000-0005-0000-0000-00003E6B0000}"/>
    <cellStyle name="Normal 5 4 3 10 2" xfId="19073" xr:uid="{00000000-0005-0000-0000-00003F6B0000}"/>
    <cellStyle name="Normal 5 4 3 10 2 2" xfId="43947" xr:uid="{00000000-0005-0000-0000-0000406B0000}"/>
    <cellStyle name="Normal 5 4 3 10 3" xfId="31514" xr:uid="{00000000-0005-0000-0000-0000416B0000}"/>
    <cellStyle name="Normal 5 4 3 11" xfId="2688" xr:uid="{00000000-0005-0000-0000-0000426B0000}"/>
    <cellStyle name="Normal 5 4 3 11 2" xfId="15206" xr:uid="{00000000-0005-0000-0000-0000436B0000}"/>
    <cellStyle name="Normal 5 4 3 11 2 2" xfId="40080" xr:uid="{00000000-0005-0000-0000-0000446B0000}"/>
    <cellStyle name="Normal 5 4 3 11 3" xfId="27639" xr:uid="{00000000-0005-0000-0000-0000456B0000}"/>
    <cellStyle name="Normal 5 4 3 12" xfId="13005" xr:uid="{00000000-0005-0000-0000-0000466B0000}"/>
    <cellStyle name="Normal 5 4 3 12 2" xfId="37879" xr:uid="{00000000-0005-0000-0000-0000476B0000}"/>
    <cellStyle name="Normal 5 4 3 13" xfId="25438" xr:uid="{00000000-0005-0000-0000-0000486B0000}"/>
    <cellStyle name="Normal 5 4 3 2" xfId="498" xr:uid="{00000000-0005-0000-0000-0000496B0000}"/>
    <cellStyle name="Normal 5 4 3 2 10" xfId="13311" xr:uid="{00000000-0005-0000-0000-00004A6B0000}"/>
    <cellStyle name="Normal 5 4 3 2 10 2" xfId="38185" xr:uid="{00000000-0005-0000-0000-00004B6B0000}"/>
    <cellStyle name="Normal 5 4 3 2 11" xfId="25744" xr:uid="{00000000-0005-0000-0000-00004C6B0000}"/>
    <cellStyle name="Normal 5 4 3 2 2" xfId="857" xr:uid="{00000000-0005-0000-0000-00004D6B0000}"/>
    <cellStyle name="Normal 5 4 3 2 2 2" xfId="1470" xr:uid="{00000000-0005-0000-0000-00004E6B0000}"/>
    <cellStyle name="Normal 5 4 3 2 2 2 2" xfId="9574" xr:uid="{00000000-0005-0000-0000-00004F6B0000}"/>
    <cellStyle name="Normal 5 4 3 2 2 2 2 2" xfId="22017" xr:uid="{00000000-0005-0000-0000-0000506B0000}"/>
    <cellStyle name="Normal 5 4 3 2 2 2 2 2 2" xfId="46891" xr:uid="{00000000-0005-0000-0000-0000516B0000}"/>
    <cellStyle name="Normal 5 4 3 2 2 2 2 3" xfId="34458" xr:uid="{00000000-0005-0000-0000-0000526B0000}"/>
    <cellStyle name="Normal 5 4 3 2 2 2 3" xfId="4556" xr:uid="{00000000-0005-0000-0000-0000536B0000}"/>
    <cellStyle name="Normal 5 4 3 2 2 2 3 2" xfId="17010" xr:uid="{00000000-0005-0000-0000-0000546B0000}"/>
    <cellStyle name="Normal 5 4 3 2 2 2 3 2 2" xfId="41884" xr:uid="{00000000-0005-0000-0000-0000556B0000}"/>
    <cellStyle name="Normal 5 4 3 2 2 2 3 3" xfId="29451" xr:uid="{00000000-0005-0000-0000-0000566B0000}"/>
    <cellStyle name="Normal 5 4 3 2 2 2 4" xfId="14270" xr:uid="{00000000-0005-0000-0000-0000576B0000}"/>
    <cellStyle name="Normal 5 4 3 2 2 2 4 2" xfId="39144" xr:uid="{00000000-0005-0000-0000-0000586B0000}"/>
    <cellStyle name="Normal 5 4 3 2 2 2 5" xfId="26703" xr:uid="{00000000-0005-0000-0000-0000596B0000}"/>
    <cellStyle name="Normal 5 4 3 2 2 3" xfId="5615" xr:uid="{00000000-0005-0000-0000-00005A6B0000}"/>
    <cellStyle name="Normal 5 4 3 2 2 3 2" xfId="10631" xr:uid="{00000000-0005-0000-0000-00005B6B0000}"/>
    <cellStyle name="Normal 5 4 3 2 2 3 2 2" xfId="23074" xr:uid="{00000000-0005-0000-0000-00005C6B0000}"/>
    <cellStyle name="Normal 5 4 3 2 2 3 2 2 2" xfId="47948" xr:uid="{00000000-0005-0000-0000-00005D6B0000}"/>
    <cellStyle name="Normal 5 4 3 2 2 3 2 3" xfId="35515" xr:uid="{00000000-0005-0000-0000-00005E6B0000}"/>
    <cellStyle name="Normal 5 4 3 2 2 3 3" xfId="18067" xr:uid="{00000000-0005-0000-0000-00005F6B0000}"/>
    <cellStyle name="Normal 5 4 3 2 2 3 3 2" xfId="42941" xr:uid="{00000000-0005-0000-0000-0000606B0000}"/>
    <cellStyle name="Normal 5 4 3 2 2 3 4" xfId="30508" xr:uid="{00000000-0005-0000-0000-0000616B0000}"/>
    <cellStyle name="Normal 5 4 3 2 2 4" xfId="8690" xr:uid="{00000000-0005-0000-0000-0000626B0000}"/>
    <cellStyle name="Normal 5 4 3 2 2 4 2" xfId="21134" xr:uid="{00000000-0005-0000-0000-0000636B0000}"/>
    <cellStyle name="Normal 5 4 3 2 2 4 2 2" xfId="46008" xr:uid="{00000000-0005-0000-0000-0000646B0000}"/>
    <cellStyle name="Normal 5 4 3 2 2 4 3" xfId="33575" xr:uid="{00000000-0005-0000-0000-0000656B0000}"/>
    <cellStyle name="Normal 5 4 3 2 2 5" xfId="12085" xr:uid="{00000000-0005-0000-0000-0000666B0000}"/>
    <cellStyle name="Normal 5 4 3 2 2 5 2" xfId="24519" xr:uid="{00000000-0005-0000-0000-0000676B0000}"/>
    <cellStyle name="Normal 5 4 3 2 2 5 2 2" xfId="49393" xr:uid="{00000000-0005-0000-0000-0000686B0000}"/>
    <cellStyle name="Normal 5 4 3 2 2 5 3" xfId="36960" xr:uid="{00000000-0005-0000-0000-0000696B0000}"/>
    <cellStyle name="Normal 5 4 3 2 2 6" xfId="7167" xr:uid="{00000000-0005-0000-0000-00006A6B0000}"/>
    <cellStyle name="Normal 5 4 3 2 2 6 2" xfId="19616" xr:uid="{00000000-0005-0000-0000-00006B6B0000}"/>
    <cellStyle name="Normal 5 4 3 2 2 6 2 2" xfId="44490" xr:uid="{00000000-0005-0000-0000-00006C6B0000}"/>
    <cellStyle name="Normal 5 4 3 2 2 6 3" xfId="32057" xr:uid="{00000000-0005-0000-0000-00006D6B0000}"/>
    <cellStyle name="Normal 5 4 3 2 2 7" xfId="3621" xr:uid="{00000000-0005-0000-0000-00006E6B0000}"/>
    <cellStyle name="Normal 5 4 3 2 2 7 2" xfId="16127" xr:uid="{00000000-0005-0000-0000-00006F6B0000}"/>
    <cellStyle name="Normal 5 4 3 2 2 7 2 2" xfId="41001" xr:uid="{00000000-0005-0000-0000-0000706B0000}"/>
    <cellStyle name="Normal 5 4 3 2 2 7 3" xfId="28560" xr:uid="{00000000-0005-0000-0000-0000716B0000}"/>
    <cellStyle name="Normal 5 4 3 2 2 8" xfId="13658" xr:uid="{00000000-0005-0000-0000-0000726B0000}"/>
    <cellStyle name="Normal 5 4 3 2 2 8 2" xfId="38532" xr:uid="{00000000-0005-0000-0000-0000736B0000}"/>
    <cellStyle name="Normal 5 4 3 2 2 9" xfId="26091" xr:uid="{00000000-0005-0000-0000-0000746B0000}"/>
    <cellStyle name="Normal 5 4 3 2 3" xfId="1818" xr:uid="{00000000-0005-0000-0000-0000756B0000}"/>
    <cellStyle name="Normal 5 4 3 2 3 2" xfId="5040" xr:uid="{00000000-0005-0000-0000-0000766B0000}"/>
    <cellStyle name="Normal 5 4 3 2 3 2 2" xfId="10057" xr:uid="{00000000-0005-0000-0000-0000776B0000}"/>
    <cellStyle name="Normal 5 4 3 2 3 2 2 2" xfId="22500" xr:uid="{00000000-0005-0000-0000-0000786B0000}"/>
    <cellStyle name="Normal 5 4 3 2 3 2 2 2 2" xfId="47374" xr:uid="{00000000-0005-0000-0000-0000796B0000}"/>
    <cellStyle name="Normal 5 4 3 2 3 2 2 3" xfId="34941" xr:uid="{00000000-0005-0000-0000-00007A6B0000}"/>
    <cellStyle name="Normal 5 4 3 2 3 2 3" xfId="17493" xr:uid="{00000000-0005-0000-0000-00007B6B0000}"/>
    <cellStyle name="Normal 5 4 3 2 3 2 3 2" xfId="42367" xr:uid="{00000000-0005-0000-0000-00007C6B0000}"/>
    <cellStyle name="Normal 5 4 3 2 3 2 4" xfId="29934" xr:uid="{00000000-0005-0000-0000-00007D6B0000}"/>
    <cellStyle name="Normal 5 4 3 2 3 3" xfId="5964" xr:uid="{00000000-0005-0000-0000-00007E6B0000}"/>
    <cellStyle name="Normal 5 4 3 2 3 3 2" xfId="10979" xr:uid="{00000000-0005-0000-0000-00007F6B0000}"/>
    <cellStyle name="Normal 5 4 3 2 3 3 2 2" xfId="23422" xr:uid="{00000000-0005-0000-0000-0000806B0000}"/>
    <cellStyle name="Normal 5 4 3 2 3 3 2 2 2" xfId="48296" xr:uid="{00000000-0005-0000-0000-0000816B0000}"/>
    <cellStyle name="Normal 5 4 3 2 3 3 2 3" xfId="35863" xr:uid="{00000000-0005-0000-0000-0000826B0000}"/>
    <cellStyle name="Normal 5 4 3 2 3 3 3" xfId="18415" xr:uid="{00000000-0005-0000-0000-0000836B0000}"/>
    <cellStyle name="Normal 5 4 3 2 3 3 3 2" xfId="43289" xr:uid="{00000000-0005-0000-0000-0000846B0000}"/>
    <cellStyle name="Normal 5 4 3 2 3 3 4" xfId="30856" xr:uid="{00000000-0005-0000-0000-0000856B0000}"/>
    <cellStyle name="Normal 5 4 3 2 3 4" xfId="8464" xr:uid="{00000000-0005-0000-0000-0000866B0000}"/>
    <cellStyle name="Normal 5 4 3 2 3 4 2" xfId="20908" xr:uid="{00000000-0005-0000-0000-0000876B0000}"/>
    <cellStyle name="Normal 5 4 3 2 3 4 2 2" xfId="45782" xr:uid="{00000000-0005-0000-0000-0000886B0000}"/>
    <cellStyle name="Normal 5 4 3 2 3 4 3" xfId="33349" xr:uid="{00000000-0005-0000-0000-0000896B0000}"/>
    <cellStyle name="Normal 5 4 3 2 3 5" xfId="12433" xr:uid="{00000000-0005-0000-0000-00008A6B0000}"/>
    <cellStyle name="Normal 5 4 3 2 3 5 2" xfId="24867" xr:uid="{00000000-0005-0000-0000-00008B6B0000}"/>
    <cellStyle name="Normal 5 4 3 2 3 5 2 2" xfId="49741" xr:uid="{00000000-0005-0000-0000-00008C6B0000}"/>
    <cellStyle name="Normal 5 4 3 2 3 5 3" xfId="37308" xr:uid="{00000000-0005-0000-0000-00008D6B0000}"/>
    <cellStyle name="Normal 5 4 3 2 3 6" xfId="7651" xr:uid="{00000000-0005-0000-0000-00008E6B0000}"/>
    <cellStyle name="Normal 5 4 3 2 3 6 2" xfId="20099" xr:uid="{00000000-0005-0000-0000-00008F6B0000}"/>
    <cellStyle name="Normal 5 4 3 2 3 6 2 2" xfId="44973" xr:uid="{00000000-0005-0000-0000-0000906B0000}"/>
    <cellStyle name="Normal 5 4 3 2 3 6 3" xfId="32540" xr:uid="{00000000-0005-0000-0000-0000916B0000}"/>
    <cellStyle name="Normal 5 4 3 2 3 7" xfId="3395" xr:uid="{00000000-0005-0000-0000-0000926B0000}"/>
    <cellStyle name="Normal 5 4 3 2 3 7 2" xfId="15901" xr:uid="{00000000-0005-0000-0000-0000936B0000}"/>
    <cellStyle name="Normal 5 4 3 2 3 7 2 2" xfId="40775" xr:uid="{00000000-0005-0000-0000-0000946B0000}"/>
    <cellStyle name="Normal 5 4 3 2 3 7 3" xfId="28334" xr:uid="{00000000-0005-0000-0000-0000956B0000}"/>
    <cellStyle name="Normal 5 4 3 2 3 8" xfId="14618" xr:uid="{00000000-0005-0000-0000-0000966B0000}"/>
    <cellStyle name="Normal 5 4 3 2 3 8 2" xfId="39492" xr:uid="{00000000-0005-0000-0000-0000976B0000}"/>
    <cellStyle name="Normal 5 4 3 2 3 9" xfId="27051" xr:uid="{00000000-0005-0000-0000-0000986B0000}"/>
    <cellStyle name="Normal 5 4 3 2 4" xfId="2416" xr:uid="{00000000-0005-0000-0000-0000996B0000}"/>
    <cellStyle name="Normal 5 4 3 2 4 2" xfId="6438" xr:uid="{00000000-0005-0000-0000-00009A6B0000}"/>
    <cellStyle name="Normal 5 4 3 2 4 2 2" xfId="11453" xr:uid="{00000000-0005-0000-0000-00009B6B0000}"/>
    <cellStyle name="Normal 5 4 3 2 4 2 2 2" xfId="23896" xr:uid="{00000000-0005-0000-0000-00009C6B0000}"/>
    <cellStyle name="Normal 5 4 3 2 4 2 2 2 2" xfId="48770" xr:uid="{00000000-0005-0000-0000-00009D6B0000}"/>
    <cellStyle name="Normal 5 4 3 2 4 2 2 3" xfId="36337" xr:uid="{00000000-0005-0000-0000-00009E6B0000}"/>
    <cellStyle name="Normal 5 4 3 2 4 2 3" xfId="18889" xr:uid="{00000000-0005-0000-0000-00009F6B0000}"/>
    <cellStyle name="Normal 5 4 3 2 4 2 3 2" xfId="43763" xr:uid="{00000000-0005-0000-0000-0000A06B0000}"/>
    <cellStyle name="Normal 5 4 3 2 4 2 4" xfId="31330" xr:uid="{00000000-0005-0000-0000-0000A16B0000}"/>
    <cellStyle name="Normal 5 4 3 2 4 3" xfId="12907" xr:uid="{00000000-0005-0000-0000-0000A26B0000}"/>
    <cellStyle name="Normal 5 4 3 2 4 3 2" xfId="25341" xr:uid="{00000000-0005-0000-0000-0000A36B0000}"/>
    <cellStyle name="Normal 5 4 3 2 4 3 2 2" xfId="50215" xr:uid="{00000000-0005-0000-0000-0000A46B0000}"/>
    <cellStyle name="Normal 5 4 3 2 4 3 3" xfId="37782" xr:uid="{00000000-0005-0000-0000-0000A56B0000}"/>
    <cellStyle name="Normal 5 4 3 2 4 4" xfId="9348" xr:uid="{00000000-0005-0000-0000-0000A66B0000}"/>
    <cellStyle name="Normal 5 4 3 2 4 4 2" xfId="21791" xr:uid="{00000000-0005-0000-0000-0000A76B0000}"/>
    <cellStyle name="Normal 5 4 3 2 4 4 2 2" xfId="46665" xr:uid="{00000000-0005-0000-0000-0000A86B0000}"/>
    <cellStyle name="Normal 5 4 3 2 4 4 3" xfId="34232" xr:uid="{00000000-0005-0000-0000-0000A96B0000}"/>
    <cellStyle name="Normal 5 4 3 2 4 5" xfId="4330" xr:uid="{00000000-0005-0000-0000-0000AA6B0000}"/>
    <cellStyle name="Normal 5 4 3 2 4 5 2" xfId="16784" xr:uid="{00000000-0005-0000-0000-0000AB6B0000}"/>
    <cellStyle name="Normal 5 4 3 2 4 5 2 2" xfId="41658" xr:uid="{00000000-0005-0000-0000-0000AC6B0000}"/>
    <cellStyle name="Normal 5 4 3 2 4 5 3" xfId="29225" xr:uid="{00000000-0005-0000-0000-0000AD6B0000}"/>
    <cellStyle name="Normal 5 4 3 2 4 6" xfId="15092" xr:uid="{00000000-0005-0000-0000-0000AE6B0000}"/>
    <cellStyle name="Normal 5 4 3 2 4 6 2" xfId="39966" xr:uid="{00000000-0005-0000-0000-0000AF6B0000}"/>
    <cellStyle name="Normal 5 4 3 2 4 7" xfId="27525" xr:uid="{00000000-0005-0000-0000-0000B06B0000}"/>
    <cellStyle name="Normal 5 4 3 2 5" xfId="1249" xr:uid="{00000000-0005-0000-0000-0000B16B0000}"/>
    <cellStyle name="Normal 5 4 3 2 5 2" xfId="10410" xr:uid="{00000000-0005-0000-0000-0000B26B0000}"/>
    <cellStyle name="Normal 5 4 3 2 5 2 2" xfId="22853" xr:uid="{00000000-0005-0000-0000-0000B36B0000}"/>
    <cellStyle name="Normal 5 4 3 2 5 2 2 2" xfId="47727" xr:uid="{00000000-0005-0000-0000-0000B46B0000}"/>
    <cellStyle name="Normal 5 4 3 2 5 2 3" xfId="35294" xr:uid="{00000000-0005-0000-0000-0000B56B0000}"/>
    <cellStyle name="Normal 5 4 3 2 5 3" xfId="5394" xr:uid="{00000000-0005-0000-0000-0000B66B0000}"/>
    <cellStyle name="Normal 5 4 3 2 5 3 2" xfId="17846" xr:uid="{00000000-0005-0000-0000-0000B76B0000}"/>
    <cellStyle name="Normal 5 4 3 2 5 3 2 2" xfId="42720" xr:uid="{00000000-0005-0000-0000-0000B86B0000}"/>
    <cellStyle name="Normal 5 4 3 2 5 3 3" xfId="30287" xr:uid="{00000000-0005-0000-0000-0000B96B0000}"/>
    <cellStyle name="Normal 5 4 3 2 5 4" xfId="14049" xr:uid="{00000000-0005-0000-0000-0000BA6B0000}"/>
    <cellStyle name="Normal 5 4 3 2 5 4 2" xfId="38923" xr:uid="{00000000-0005-0000-0000-0000BB6B0000}"/>
    <cellStyle name="Normal 5 4 3 2 5 5" xfId="26482" xr:uid="{00000000-0005-0000-0000-0000BC6B0000}"/>
    <cellStyle name="Normal 5 4 3 2 6" xfId="7971" xr:uid="{00000000-0005-0000-0000-0000BD6B0000}"/>
    <cellStyle name="Normal 5 4 3 2 6 2" xfId="20417" xr:uid="{00000000-0005-0000-0000-0000BE6B0000}"/>
    <cellStyle name="Normal 5 4 3 2 6 2 2" xfId="45291" xr:uid="{00000000-0005-0000-0000-0000BF6B0000}"/>
    <cellStyle name="Normal 5 4 3 2 6 3" xfId="32858" xr:uid="{00000000-0005-0000-0000-0000C06B0000}"/>
    <cellStyle name="Normal 5 4 3 2 7" xfId="11864" xr:uid="{00000000-0005-0000-0000-0000C16B0000}"/>
    <cellStyle name="Normal 5 4 3 2 7 2" xfId="24298" xr:uid="{00000000-0005-0000-0000-0000C26B0000}"/>
    <cellStyle name="Normal 5 4 3 2 7 2 2" xfId="49172" xr:uid="{00000000-0005-0000-0000-0000C36B0000}"/>
    <cellStyle name="Normal 5 4 3 2 7 3" xfId="36739" xr:uid="{00000000-0005-0000-0000-0000C46B0000}"/>
    <cellStyle name="Normal 5 4 3 2 8" xfId="6941" xr:uid="{00000000-0005-0000-0000-0000C56B0000}"/>
    <cellStyle name="Normal 5 4 3 2 8 2" xfId="19390" xr:uid="{00000000-0005-0000-0000-0000C66B0000}"/>
    <cellStyle name="Normal 5 4 3 2 8 2 2" xfId="44264" xr:uid="{00000000-0005-0000-0000-0000C76B0000}"/>
    <cellStyle name="Normal 5 4 3 2 8 3" xfId="31831" xr:uid="{00000000-0005-0000-0000-0000C86B0000}"/>
    <cellStyle name="Normal 5 4 3 2 9" xfId="2892" xr:uid="{00000000-0005-0000-0000-0000C96B0000}"/>
    <cellStyle name="Normal 5 4 3 2 9 2" xfId="15410" xr:uid="{00000000-0005-0000-0000-0000CA6B0000}"/>
    <cellStyle name="Normal 5 4 3 2 9 2 2" xfId="40284" xr:uid="{00000000-0005-0000-0000-0000CB6B0000}"/>
    <cellStyle name="Normal 5 4 3 2 9 3" xfId="27843" xr:uid="{00000000-0005-0000-0000-0000CC6B0000}"/>
    <cellStyle name="Normal 5 4 3 2_Degree data" xfId="2037" xr:uid="{00000000-0005-0000-0000-0000CD6B0000}"/>
    <cellStyle name="Normal 5 4 3 3" xfId="288" xr:uid="{00000000-0005-0000-0000-0000CE6B0000}"/>
    <cellStyle name="Normal 5 4 3 3 2" xfId="1469" xr:uid="{00000000-0005-0000-0000-0000CF6B0000}"/>
    <cellStyle name="Normal 5 4 3 3 2 2" xfId="9144" xr:uid="{00000000-0005-0000-0000-0000D06B0000}"/>
    <cellStyle name="Normal 5 4 3 3 2 2 2" xfId="21587" xr:uid="{00000000-0005-0000-0000-0000D16B0000}"/>
    <cellStyle name="Normal 5 4 3 3 2 2 2 2" xfId="46461" xr:uid="{00000000-0005-0000-0000-0000D26B0000}"/>
    <cellStyle name="Normal 5 4 3 3 2 2 3" xfId="34028" xr:uid="{00000000-0005-0000-0000-0000D36B0000}"/>
    <cellStyle name="Normal 5 4 3 3 2 3" xfId="4126" xr:uid="{00000000-0005-0000-0000-0000D46B0000}"/>
    <cellStyle name="Normal 5 4 3 3 2 3 2" xfId="16580" xr:uid="{00000000-0005-0000-0000-0000D56B0000}"/>
    <cellStyle name="Normal 5 4 3 3 2 3 2 2" xfId="41454" xr:uid="{00000000-0005-0000-0000-0000D66B0000}"/>
    <cellStyle name="Normal 5 4 3 3 2 3 3" xfId="29021" xr:uid="{00000000-0005-0000-0000-0000D76B0000}"/>
    <cellStyle name="Normal 5 4 3 3 2 4" xfId="14269" xr:uid="{00000000-0005-0000-0000-0000D86B0000}"/>
    <cellStyle name="Normal 5 4 3 3 2 4 2" xfId="39143" xr:uid="{00000000-0005-0000-0000-0000D96B0000}"/>
    <cellStyle name="Normal 5 4 3 3 2 5" xfId="26702" xr:uid="{00000000-0005-0000-0000-0000DA6B0000}"/>
    <cellStyle name="Normal 5 4 3 3 3" xfId="5614" xr:uid="{00000000-0005-0000-0000-0000DB6B0000}"/>
    <cellStyle name="Normal 5 4 3 3 3 2" xfId="10630" xr:uid="{00000000-0005-0000-0000-0000DC6B0000}"/>
    <cellStyle name="Normal 5 4 3 3 3 2 2" xfId="23073" xr:uid="{00000000-0005-0000-0000-0000DD6B0000}"/>
    <cellStyle name="Normal 5 4 3 3 3 2 2 2" xfId="47947" xr:uid="{00000000-0005-0000-0000-0000DE6B0000}"/>
    <cellStyle name="Normal 5 4 3 3 3 2 3" xfId="35514" xr:uid="{00000000-0005-0000-0000-0000DF6B0000}"/>
    <cellStyle name="Normal 5 4 3 3 3 3" xfId="18066" xr:uid="{00000000-0005-0000-0000-0000E06B0000}"/>
    <cellStyle name="Normal 5 4 3 3 3 3 2" xfId="42940" xr:uid="{00000000-0005-0000-0000-0000E16B0000}"/>
    <cellStyle name="Normal 5 4 3 3 3 4" xfId="30507" xr:uid="{00000000-0005-0000-0000-0000E26B0000}"/>
    <cellStyle name="Normal 5 4 3 3 4" xfId="8260" xr:uid="{00000000-0005-0000-0000-0000E36B0000}"/>
    <cellStyle name="Normal 5 4 3 3 4 2" xfId="20704" xr:uid="{00000000-0005-0000-0000-0000E46B0000}"/>
    <cellStyle name="Normal 5 4 3 3 4 2 2" xfId="45578" xr:uid="{00000000-0005-0000-0000-0000E56B0000}"/>
    <cellStyle name="Normal 5 4 3 3 4 3" xfId="33145" xr:uid="{00000000-0005-0000-0000-0000E66B0000}"/>
    <cellStyle name="Normal 5 4 3 3 5" xfId="12084" xr:uid="{00000000-0005-0000-0000-0000E76B0000}"/>
    <cellStyle name="Normal 5 4 3 3 5 2" xfId="24518" xr:uid="{00000000-0005-0000-0000-0000E86B0000}"/>
    <cellStyle name="Normal 5 4 3 3 5 2 2" xfId="49392" xr:uid="{00000000-0005-0000-0000-0000E96B0000}"/>
    <cellStyle name="Normal 5 4 3 3 5 3" xfId="36959" xr:uid="{00000000-0005-0000-0000-0000EA6B0000}"/>
    <cellStyle name="Normal 5 4 3 3 6" xfId="6737" xr:uid="{00000000-0005-0000-0000-0000EB6B0000}"/>
    <cellStyle name="Normal 5 4 3 3 6 2" xfId="19186" xr:uid="{00000000-0005-0000-0000-0000EC6B0000}"/>
    <cellStyle name="Normal 5 4 3 3 6 2 2" xfId="44060" xr:uid="{00000000-0005-0000-0000-0000ED6B0000}"/>
    <cellStyle name="Normal 5 4 3 3 6 3" xfId="31627" xr:uid="{00000000-0005-0000-0000-0000EE6B0000}"/>
    <cellStyle name="Normal 5 4 3 3 7" xfId="3191" xr:uid="{00000000-0005-0000-0000-0000EF6B0000}"/>
    <cellStyle name="Normal 5 4 3 3 7 2" xfId="15697" xr:uid="{00000000-0005-0000-0000-0000F06B0000}"/>
    <cellStyle name="Normal 5 4 3 3 7 2 2" xfId="40571" xr:uid="{00000000-0005-0000-0000-0000F16B0000}"/>
    <cellStyle name="Normal 5 4 3 3 7 3" xfId="28130" xr:uid="{00000000-0005-0000-0000-0000F26B0000}"/>
    <cellStyle name="Normal 5 4 3 3 8" xfId="13107" xr:uid="{00000000-0005-0000-0000-0000F36B0000}"/>
    <cellStyle name="Normal 5 4 3 3 8 2" xfId="37981" xr:uid="{00000000-0005-0000-0000-0000F46B0000}"/>
    <cellStyle name="Normal 5 4 3 3 9" xfId="25540" xr:uid="{00000000-0005-0000-0000-0000F56B0000}"/>
    <cellStyle name="Normal 5 4 3 4" xfId="650" xr:uid="{00000000-0005-0000-0000-0000F66B0000}"/>
    <cellStyle name="Normal 5 4 3 4 2" xfId="1817" xr:uid="{00000000-0005-0000-0000-0000F76B0000}"/>
    <cellStyle name="Normal 5 4 3 4 2 2" xfId="9573" xr:uid="{00000000-0005-0000-0000-0000F86B0000}"/>
    <cellStyle name="Normal 5 4 3 4 2 2 2" xfId="22016" xr:uid="{00000000-0005-0000-0000-0000F96B0000}"/>
    <cellStyle name="Normal 5 4 3 4 2 2 2 2" xfId="46890" xr:uid="{00000000-0005-0000-0000-0000FA6B0000}"/>
    <cellStyle name="Normal 5 4 3 4 2 2 3" xfId="34457" xr:uid="{00000000-0005-0000-0000-0000FB6B0000}"/>
    <cellStyle name="Normal 5 4 3 4 2 3" xfId="4555" xr:uid="{00000000-0005-0000-0000-0000FC6B0000}"/>
    <cellStyle name="Normal 5 4 3 4 2 3 2" xfId="17009" xr:uid="{00000000-0005-0000-0000-0000FD6B0000}"/>
    <cellStyle name="Normal 5 4 3 4 2 3 2 2" xfId="41883" xr:uid="{00000000-0005-0000-0000-0000FE6B0000}"/>
    <cellStyle name="Normal 5 4 3 4 2 3 3" xfId="29450" xr:uid="{00000000-0005-0000-0000-0000FF6B0000}"/>
    <cellStyle name="Normal 5 4 3 4 2 4" xfId="14617" xr:uid="{00000000-0005-0000-0000-0000006C0000}"/>
    <cellStyle name="Normal 5 4 3 4 2 4 2" xfId="39491" xr:uid="{00000000-0005-0000-0000-0000016C0000}"/>
    <cellStyle name="Normal 5 4 3 4 2 5" xfId="27050" xr:uid="{00000000-0005-0000-0000-0000026C0000}"/>
    <cellStyle name="Normal 5 4 3 4 3" xfId="5963" xr:uid="{00000000-0005-0000-0000-0000036C0000}"/>
    <cellStyle name="Normal 5 4 3 4 3 2" xfId="10978" xr:uid="{00000000-0005-0000-0000-0000046C0000}"/>
    <cellStyle name="Normal 5 4 3 4 3 2 2" xfId="23421" xr:uid="{00000000-0005-0000-0000-0000056C0000}"/>
    <cellStyle name="Normal 5 4 3 4 3 2 2 2" xfId="48295" xr:uid="{00000000-0005-0000-0000-0000066C0000}"/>
    <cellStyle name="Normal 5 4 3 4 3 2 3" xfId="35862" xr:uid="{00000000-0005-0000-0000-0000076C0000}"/>
    <cellStyle name="Normal 5 4 3 4 3 3" xfId="18414" xr:uid="{00000000-0005-0000-0000-0000086C0000}"/>
    <cellStyle name="Normal 5 4 3 4 3 3 2" xfId="43288" xr:uid="{00000000-0005-0000-0000-0000096C0000}"/>
    <cellStyle name="Normal 5 4 3 4 3 4" xfId="30855" xr:uid="{00000000-0005-0000-0000-00000A6C0000}"/>
    <cellStyle name="Normal 5 4 3 4 4" xfId="8689" xr:uid="{00000000-0005-0000-0000-00000B6C0000}"/>
    <cellStyle name="Normal 5 4 3 4 4 2" xfId="21133" xr:uid="{00000000-0005-0000-0000-00000C6C0000}"/>
    <cellStyle name="Normal 5 4 3 4 4 2 2" xfId="46007" xr:uid="{00000000-0005-0000-0000-00000D6C0000}"/>
    <cellStyle name="Normal 5 4 3 4 4 3" xfId="33574" xr:uid="{00000000-0005-0000-0000-00000E6C0000}"/>
    <cellStyle name="Normal 5 4 3 4 5" xfId="12432" xr:uid="{00000000-0005-0000-0000-00000F6C0000}"/>
    <cellStyle name="Normal 5 4 3 4 5 2" xfId="24866" xr:uid="{00000000-0005-0000-0000-0000106C0000}"/>
    <cellStyle name="Normal 5 4 3 4 5 2 2" xfId="49740" xr:uid="{00000000-0005-0000-0000-0000116C0000}"/>
    <cellStyle name="Normal 5 4 3 4 5 3" xfId="37307" xr:uid="{00000000-0005-0000-0000-0000126C0000}"/>
    <cellStyle name="Normal 5 4 3 4 6" xfId="7166" xr:uid="{00000000-0005-0000-0000-0000136C0000}"/>
    <cellStyle name="Normal 5 4 3 4 6 2" xfId="19615" xr:uid="{00000000-0005-0000-0000-0000146C0000}"/>
    <cellStyle name="Normal 5 4 3 4 6 2 2" xfId="44489" xr:uid="{00000000-0005-0000-0000-0000156C0000}"/>
    <cellStyle name="Normal 5 4 3 4 6 3" xfId="32056" xr:uid="{00000000-0005-0000-0000-0000166C0000}"/>
    <cellStyle name="Normal 5 4 3 4 7" xfId="3620" xr:uid="{00000000-0005-0000-0000-0000176C0000}"/>
    <cellStyle name="Normal 5 4 3 4 7 2" xfId="16126" xr:uid="{00000000-0005-0000-0000-0000186C0000}"/>
    <cellStyle name="Normal 5 4 3 4 7 2 2" xfId="41000" xr:uid="{00000000-0005-0000-0000-0000196C0000}"/>
    <cellStyle name="Normal 5 4 3 4 7 3" xfId="28559" xr:uid="{00000000-0005-0000-0000-00001A6C0000}"/>
    <cellStyle name="Normal 5 4 3 4 8" xfId="13454" xr:uid="{00000000-0005-0000-0000-00001B6C0000}"/>
    <cellStyle name="Normal 5 4 3 4 8 2" xfId="38328" xr:uid="{00000000-0005-0000-0000-00001C6C0000}"/>
    <cellStyle name="Normal 5 4 3 4 9" xfId="25887" xr:uid="{00000000-0005-0000-0000-00001D6C0000}"/>
    <cellStyle name="Normal 5 4 3 5" xfId="2206" xr:uid="{00000000-0005-0000-0000-00001E6C0000}"/>
    <cellStyle name="Normal 5 4 3 5 2" xfId="4836" xr:uid="{00000000-0005-0000-0000-00001F6C0000}"/>
    <cellStyle name="Normal 5 4 3 5 2 2" xfId="9853" xr:uid="{00000000-0005-0000-0000-0000206C0000}"/>
    <cellStyle name="Normal 5 4 3 5 2 2 2" xfId="22296" xr:uid="{00000000-0005-0000-0000-0000216C0000}"/>
    <cellStyle name="Normal 5 4 3 5 2 2 2 2" xfId="47170" xr:uid="{00000000-0005-0000-0000-0000226C0000}"/>
    <cellStyle name="Normal 5 4 3 5 2 2 3" xfId="34737" xr:uid="{00000000-0005-0000-0000-0000236C0000}"/>
    <cellStyle name="Normal 5 4 3 5 2 3" xfId="17289" xr:uid="{00000000-0005-0000-0000-0000246C0000}"/>
    <cellStyle name="Normal 5 4 3 5 2 3 2" xfId="42163" xr:uid="{00000000-0005-0000-0000-0000256C0000}"/>
    <cellStyle name="Normal 5 4 3 5 2 4" xfId="29730" xr:uid="{00000000-0005-0000-0000-0000266C0000}"/>
    <cellStyle name="Normal 5 4 3 5 3" xfId="6234" xr:uid="{00000000-0005-0000-0000-0000276C0000}"/>
    <cellStyle name="Normal 5 4 3 5 3 2" xfId="11249" xr:uid="{00000000-0005-0000-0000-0000286C0000}"/>
    <cellStyle name="Normal 5 4 3 5 3 2 2" xfId="23692" xr:uid="{00000000-0005-0000-0000-0000296C0000}"/>
    <cellStyle name="Normal 5 4 3 5 3 2 2 2" xfId="48566" xr:uid="{00000000-0005-0000-0000-00002A6C0000}"/>
    <cellStyle name="Normal 5 4 3 5 3 2 3" xfId="36133" xr:uid="{00000000-0005-0000-0000-00002B6C0000}"/>
    <cellStyle name="Normal 5 4 3 5 3 3" xfId="18685" xr:uid="{00000000-0005-0000-0000-00002C6C0000}"/>
    <cellStyle name="Normal 5 4 3 5 3 3 2" xfId="43559" xr:uid="{00000000-0005-0000-0000-00002D6C0000}"/>
    <cellStyle name="Normal 5 4 3 5 3 4" xfId="31126" xr:uid="{00000000-0005-0000-0000-00002E6C0000}"/>
    <cellStyle name="Normal 5 4 3 5 4" xfId="8145" xr:uid="{00000000-0005-0000-0000-00002F6C0000}"/>
    <cellStyle name="Normal 5 4 3 5 4 2" xfId="20591" xr:uid="{00000000-0005-0000-0000-0000306C0000}"/>
    <cellStyle name="Normal 5 4 3 5 4 2 2" xfId="45465" xr:uid="{00000000-0005-0000-0000-0000316C0000}"/>
    <cellStyle name="Normal 5 4 3 5 4 3" xfId="33032" xr:uid="{00000000-0005-0000-0000-0000326C0000}"/>
    <cellStyle name="Normal 5 4 3 5 5" xfId="12703" xr:uid="{00000000-0005-0000-0000-0000336C0000}"/>
    <cellStyle name="Normal 5 4 3 5 5 2" xfId="25137" xr:uid="{00000000-0005-0000-0000-0000346C0000}"/>
    <cellStyle name="Normal 5 4 3 5 5 2 2" xfId="50011" xr:uid="{00000000-0005-0000-0000-0000356C0000}"/>
    <cellStyle name="Normal 5 4 3 5 5 3" xfId="37578" xr:uid="{00000000-0005-0000-0000-0000366C0000}"/>
    <cellStyle name="Normal 5 4 3 5 6" xfId="7447" xr:uid="{00000000-0005-0000-0000-0000376C0000}"/>
    <cellStyle name="Normal 5 4 3 5 6 2" xfId="19895" xr:uid="{00000000-0005-0000-0000-0000386C0000}"/>
    <cellStyle name="Normal 5 4 3 5 6 2 2" xfId="44769" xr:uid="{00000000-0005-0000-0000-0000396C0000}"/>
    <cellStyle name="Normal 5 4 3 5 6 3" xfId="32336" xr:uid="{00000000-0005-0000-0000-00003A6C0000}"/>
    <cellStyle name="Normal 5 4 3 5 7" xfId="3075" xr:uid="{00000000-0005-0000-0000-00003B6C0000}"/>
    <cellStyle name="Normal 5 4 3 5 7 2" xfId="15584" xr:uid="{00000000-0005-0000-0000-00003C6C0000}"/>
    <cellStyle name="Normal 5 4 3 5 7 2 2" xfId="40458" xr:uid="{00000000-0005-0000-0000-00003D6C0000}"/>
    <cellStyle name="Normal 5 4 3 5 7 3" xfId="28017" xr:uid="{00000000-0005-0000-0000-00003E6C0000}"/>
    <cellStyle name="Normal 5 4 3 5 8" xfId="14888" xr:uid="{00000000-0005-0000-0000-00003F6C0000}"/>
    <cellStyle name="Normal 5 4 3 5 8 2" xfId="39762" xr:uid="{00000000-0005-0000-0000-0000406C0000}"/>
    <cellStyle name="Normal 5 4 3 5 9" xfId="27321" xr:uid="{00000000-0005-0000-0000-0000416C0000}"/>
    <cellStyle name="Normal 5 4 3 6" xfId="1045" xr:uid="{00000000-0005-0000-0000-0000426C0000}"/>
    <cellStyle name="Normal 5 4 3 6 2" xfId="9031" xr:uid="{00000000-0005-0000-0000-0000436C0000}"/>
    <cellStyle name="Normal 5 4 3 6 2 2" xfId="21474" xr:uid="{00000000-0005-0000-0000-0000446C0000}"/>
    <cellStyle name="Normal 5 4 3 6 2 2 2" xfId="46348" xr:uid="{00000000-0005-0000-0000-0000456C0000}"/>
    <cellStyle name="Normal 5 4 3 6 2 3" xfId="33915" xr:uid="{00000000-0005-0000-0000-0000466C0000}"/>
    <cellStyle name="Normal 5 4 3 6 3" xfId="4013" xr:uid="{00000000-0005-0000-0000-0000476C0000}"/>
    <cellStyle name="Normal 5 4 3 6 3 2" xfId="16467" xr:uid="{00000000-0005-0000-0000-0000486C0000}"/>
    <cellStyle name="Normal 5 4 3 6 3 2 2" xfId="41341" xr:uid="{00000000-0005-0000-0000-0000496C0000}"/>
    <cellStyle name="Normal 5 4 3 6 3 3" xfId="28908" xr:uid="{00000000-0005-0000-0000-00004A6C0000}"/>
    <cellStyle name="Normal 5 4 3 6 4" xfId="13845" xr:uid="{00000000-0005-0000-0000-00004B6C0000}"/>
    <cellStyle name="Normal 5 4 3 6 4 2" xfId="38719" xr:uid="{00000000-0005-0000-0000-00004C6C0000}"/>
    <cellStyle name="Normal 5 4 3 6 5" xfId="26278" xr:uid="{00000000-0005-0000-0000-00004D6C0000}"/>
    <cellStyle name="Normal 5 4 3 7" xfId="5190" xr:uid="{00000000-0005-0000-0000-00004E6C0000}"/>
    <cellStyle name="Normal 5 4 3 7 2" xfId="10206" xr:uid="{00000000-0005-0000-0000-00004F6C0000}"/>
    <cellStyle name="Normal 5 4 3 7 2 2" xfId="22649" xr:uid="{00000000-0005-0000-0000-0000506C0000}"/>
    <cellStyle name="Normal 5 4 3 7 2 2 2" xfId="47523" xr:uid="{00000000-0005-0000-0000-0000516C0000}"/>
    <cellStyle name="Normal 5 4 3 7 2 3" xfId="35090" xr:uid="{00000000-0005-0000-0000-0000526C0000}"/>
    <cellStyle name="Normal 5 4 3 7 3" xfId="17642" xr:uid="{00000000-0005-0000-0000-0000536C0000}"/>
    <cellStyle name="Normal 5 4 3 7 3 2" xfId="42516" xr:uid="{00000000-0005-0000-0000-0000546C0000}"/>
    <cellStyle name="Normal 5 4 3 7 4" xfId="30083" xr:uid="{00000000-0005-0000-0000-0000556C0000}"/>
    <cellStyle name="Normal 5 4 3 8" xfId="7767" xr:uid="{00000000-0005-0000-0000-0000566C0000}"/>
    <cellStyle name="Normal 5 4 3 8 2" xfId="20213" xr:uid="{00000000-0005-0000-0000-0000576C0000}"/>
    <cellStyle name="Normal 5 4 3 8 2 2" xfId="45087" xr:uid="{00000000-0005-0000-0000-0000586C0000}"/>
    <cellStyle name="Normal 5 4 3 8 3" xfId="32654" xr:uid="{00000000-0005-0000-0000-0000596C0000}"/>
    <cellStyle name="Normal 5 4 3 9" xfId="11660" xr:uid="{00000000-0005-0000-0000-00005A6C0000}"/>
    <cellStyle name="Normal 5 4 3 9 2" xfId="24094" xr:uid="{00000000-0005-0000-0000-00005B6C0000}"/>
    <cellStyle name="Normal 5 4 3 9 2 2" xfId="48968" xr:uid="{00000000-0005-0000-0000-00005C6C0000}"/>
    <cellStyle name="Normal 5 4 3 9 3" xfId="36535" xr:uid="{00000000-0005-0000-0000-00005D6C0000}"/>
    <cellStyle name="Normal 5 4 3_Degree data" xfId="2092" xr:uid="{00000000-0005-0000-0000-00005E6C0000}"/>
    <cellStyle name="Normal 5 4 4" xfId="391" xr:uid="{00000000-0005-0000-0000-00005F6C0000}"/>
    <cellStyle name="Normal 5 4 4 10" xfId="13207" xr:uid="{00000000-0005-0000-0000-0000606C0000}"/>
    <cellStyle name="Normal 5 4 4 10 2" xfId="38081" xr:uid="{00000000-0005-0000-0000-0000616C0000}"/>
    <cellStyle name="Normal 5 4 4 11" xfId="25640" xr:uid="{00000000-0005-0000-0000-0000626C0000}"/>
    <cellStyle name="Normal 5 4 4 2" xfId="751" xr:uid="{00000000-0005-0000-0000-0000636C0000}"/>
    <cellStyle name="Normal 5 4 4 2 2" xfId="1471" xr:uid="{00000000-0005-0000-0000-0000646C0000}"/>
    <cellStyle name="Normal 5 4 4 2 2 2" xfId="9575" xr:uid="{00000000-0005-0000-0000-0000656C0000}"/>
    <cellStyle name="Normal 5 4 4 2 2 2 2" xfId="22018" xr:uid="{00000000-0005-0000-0000-0000666C0000}"/>
    <cellStyle name="Normal 5 4 4 2 2 2 2 2" xfId="46892" xr:uid="{00000000-0005-0000-0000-0000676C0000}"/>
    <cellStyle name="Normal 5 4 4 2 2 2 3" xfId="34459" xr:uid="{00000000-0005-0000-0000-0000686C0000}"/>
    <cellStyle name="Normal 5 4 4 2 2 3" xfId="4557" xr:uid="{00000000-0005-0000-0000-0000696C0000}"/>
    <cellStyle name="Normal 5 4 4 2 2 3 2" xfId="17011" xr:uid="{00000000-0005-0000-0000-00006A6C0000}"/>
    <cellStyle name="Normal 5 4 4 2 2 3 2 2" xfId="41885" xr:uid="{00000000-0005-0000-0000-00006B6C0000}"/>
    <cellStyle name="Normal 5 4 4 2 2 3 3" xfId="29452" xr:uid="{00000000-0005-0000-0000-00006C6C0000}"/>
    <cellStyle name="Normal 5 4 4 2 2 4" xfId="14271" xr:uid="{00000000-0005-0000-0000-00006D6C0000}"/>
    <cellStyle name="Normal 5 4 4 2 2 4 2" xfId="39145" xr:uid="{00000000-0005-0000-0000-00006E6C0000}"/>
    <cellStyle name="Normal 5 4 4 2 2 5" xfId="26704" xr:uid="{00000000-0005-0000-0000-00006F6C0000}"/>
    <cellStyle name="Normal 5 4 4 2 3" xfId="5616" xr:uid="{00000000-0005-0000-0000-0000706C0000}"/>
    <cellStyle name="Normal 5 4 4 2 3 2" xfId="10632" xr:uid="{00000000-0005-0000-0000-0000716C0000}"/>
    <cellStyle name="Normal 5 4 4 2 3 2 2" xfId="23075" xr:uid="{00000000-0005-0000-0000-0000726C0000}"/>
    <cellStyle name="Normal 5 4 4 2 3 2 2 2" xfId="47949" xr:uid="{00000000-0005-0000-0000-0000736C0000}"/>
    <cellStyle name="Normal 5 4 4 2 3 2 3" xfId="35516" xr:uid="{00000000-0005-0000-0000-0000746C0000}"/>
    <cellStyle name="Normal 5 4 4 2 3 3" xfId="18068" xr:uid="{00000000-0005-0000-0000-0000756C0000}"/>
    <cellStyle name="Normal 5 4 4 2 3 3 2" xfId="42942" xr:uid="{00000000-0005-0000-0000-0000766C0000}"/>
    <cellStyle name="Normal 5 4 4 2 3 4" xfId="30509" xr:uid="{00000000-0005-0000-0000-0000776C0000}"/>
    <cellStyle name="Normal 5 4 4 2 4" xfId="8691" xr:uid="{00000000-0005-0000-0000-0000786C0000}"/>
    <cellStyle name="Normal 5 4 4 2 4 2" xfId="21135" xr:uid="{00000000-0005-0000-0000-0000796C0000}"/>
    <cellStyle name="Normal 5 4 4 2 4 2 2" xfId="46009" xr:uid="{00000000-0005-0000-0000-00007A6C0000}"/>
    <cellStyle name="Normal 5 4 4 2 4 3" xfId="33576" xr:uid="{00000000-0005-0000-0000-00007B6C0000}"/>
    <cellStyle name="Normal 5 4 4 2 5" xfId="12086" xr:uid="{00000000-0005-0000-0000-00007C6C0000}"/>
    <cellStyle name="Normal 5 4 4 2 5 2" xfId="24520" xr:uid="{00000000-0005-0000-0000-00007D6C0000}"/>
    <cellStyle name="Normal 5 4 4 2 5 2 2" xfId="49394" xr:uid="{00000000-0005-0000-0000-00007E6C0000}"/>
    <cellStyle name="Normal 5 4 4 2 5 3" xfId="36961" xr:uid="{00000000-0005-0000-0000-00007F6C0000}"/>
    <cellStyle name="Normal 5 4 4 2 6" xfId="7168" xr:uid="{00000000-0005-0000-0000-0000806C0000}"/>
    <cellStyle name="Normal 5 4 4 2 6 2" xfId="19617" xr:uid="{00000000-0005-0000-0000-0000816C0000}"/>
    <cellStyle name="Normal 5 4 4 2 6 2 2" xfId="44491" xr:uid="{00000000-0005-0000-0000-0000826C0000}"/>
    <cellStyle name="Normal 5 4 4 2 6 3" xfId="32058" xr:uid="{00000000-0005-0000-0000-0000836C0000}"/>
    <cellStyle name="Normal 5 4 4 2 7" xfId="3622" xr:uid="{00000000-0005-0000-0000-0000846C0000}"/>
    <cellStyle name="Normal 5 4 4 2 7 2" xfId="16128" xr:uid="{00000000-0005-0000-0000-0000856C0000}"/>
    <cellStyle name="Normal 5 4 4 2 7 2 2" xfId="41002" xr:uid="{00000000-0005-0000-0000-0000866C0000}"/>
    <cellStyle name="Normal 5 4 4 2 7 3" xfId="28561" xr:uid="{00000000-0005-0000-0000-0000876C0000}"/>
    <cellStyle name="Normal 5 4 4 2 8" xfId="13554" xr:uid="{00000000-0005-0000-0000-0000886C0000}"/>
    <cellStyle name="Normal 5 4 4 2 8 2" xfId="38428" xr:uid="{00000000-0005-0000-0000-0000896C0000}"/>
    <cellStyle name="Normal 5 4 4 2 9" xfId="25987" xr:uid="{00000000-0005-0000-0000-00008A6C0000}"/>
    <cellStyle name="Normal 5 4 4 3" xfId="1819" xr:uid="{00000000-0005-0000-0000-00008B6C0000}"/>
    <cellStyle name="Normal 5 4 4 3 2" xfId="4936" xr:uid="{00000000-0005-0000-0000-00008C6C0000}"/>
    <cellStyle name="Normal 5 4 4 3 2 2" xfId="9953" xr:uid="{00000000-0005-0000-0000-00008D6C0000}"/>
    <cellStyle name="Normal 5 4 4 3 2 2 2" xfId="22396" xr:uid="{00000000-0005-0000-0000-00008E6C0000}"/>
    <cellStyle name="Normal 5 4 4 3 2 2 2 2" xfId="47270" xr:uid="{00000000-0005-0000-0000-00008F6C0000}"/>
    <cellStyle name="Normal 5 4 4 3 2 2 3" xfId="34837" xr:uid="{00000000-0005-0000-0000-0000906C0000}"/>
    <cellStyle name="Normal 5 4 4 3 2 3" xfId="17389" xr:uid="{00000000-0005-0000-0000-0000916C0000}"/>
    <cellStyle name="Normal 5 4 4 3 2 3 2" xfId="42263" xr:uid="{00000000-0005-0000-0000-0000926C0000}"/>
    <cellStyle name="Normal 5 4 4 3 2 4" xfId="29830" xr:uid="{00000000-0005-0000-0000-0000936C0000}"/>
    <cellStyle name="Normal 5 4 4 3 3" xfId="5965" xr:uid="{00000000-0005-0000-0000-0000946C0000}"/>
    <cellStyle name="Normal 5 4 4 3 3 2" xfId="10980" xr:uid="{00000000-0005-0000-0000-0000956C0000}"/>
    <cellStyle name="Normal 5 4 4 3 3 2 2" xfId="23423" xr:uid="{00000000-0005-0000-0000-0000966C0000}"/>
    <cellStyle name="Normal 5 4 4 3 3 2 2 2" xfId="48297" xr:uid="{00000000-0005-0000-0000-0000976C0000}"/>
    <cellStyle name="Normal 5 4 4 3 3 2 3" xfId="35864" xr:uid="{00000000-0005-0000-0000-0000986C0000}"/>
    <cellStyle name="Normal 5 4 4 3 3 3" xfId="18416" xr:uid="{00000000-0005-0000-0000-0000996C0000}"/>
    <cellStyle name="Normal 5 4 4 3 3 3 2" xfId="43290" xr:uid="{00000000-0005-0000-0000-00009A6C0000}"/>
    <cellStyle name="Normal 5 4 4 3 3 4" xfId="30857" xr:uid="{00000000-0005-0000-0000-00009B6C0000}"/>
    <cellStyle name="Normal 5 4 4 3 4" xfId="8360" xr:uid="{00000000-0005-0000-0000-00009C6C0000}"/>
    <cellStyle name="Normal 5 4 4 3 4 2" xfId="20804" xr:uid="{00000000-0005-0000-0000-00009D6C0000}"/>
    <cellStyle name="Normal 5 4 4 3 4 2 2" xfId="45678" xr:uid="{00000000-0005-0000-0000-00009E6C0000}"/>
    <cellStyle name="Normal 5 4 4 3 4 3" xfId="33245" xr:uid="{00000000-0005-0000-0000-00009F6C0000}"/>
    <cellStyle name="Normal 5 4 4 3 5" xfId="12434" xr:uid="{00000000-0005-0000-0000-0000A06C0000}"/>
    <cellStyle name="Normal 5 4 4 3 5 2" xfId="24868" xr:uid="{00000000-0005-0000-0000-0000A16C0000}"/>
    <cellStyle name="Normal 5 4 4 3 5 2 2" xfId="49742" xr:uid="{00000000-0005-0000-0000-0000A26C0000}"/>
    <cellStyle name="Normal 5 4 4 3 5 3" xfId="37309" xr:uid="{00000000-0005-0000-0000-0000A36C0000}"/>
    <cellStyle name="Normal 5 4 4 3 6" xfId="7547" xr:uid="{00000000-0005-0000-0000-0000A46C0000}"/>
    <cellStyle name="Normal 5 4 4 3 6 2" xfId="19995" xr:uid="{00000000-0005-0000-0000-0000A56C0000}"/>
    <cellStyle name="Normal 5 4 4 3 6 2 2" xfId="44869" xr:uid="{00000000-0005-0000-0000-0000A66C0000}"/>
    <cellStyle name="Normal 5 4 4 3 6 3" xfId="32436" xr:uid="{00000000-0005-0000-0000-0000A76C0000}"/>
    <cellStyle name="Normal 5 4 4 3 7" xfId="3291" xr:uid="{00000000-0005-0000-0000-0000A86C0000}"/>
    <cellStyle name="Normal 5 4 4 3 7 2" xfId="15797" xr:uid="{00000000-0005-0000-0000-0000A96C0000}"/>
    <cellStyle name="Normal 5 4 4 3 7 2 2" xfId="40671" xr:uid="{00000000-0005-0000-0000-0000AA6C0000}"/>
    <cellStyle name="Normal 5 4 4 3 7 3" xfId="28230" xr:uid="{00000000-0005-0000-0000-0000AB6C0000}"/>
    <cellStyle name="Normal 5 4 4 3 8" xfId="14619" xr:uid="{00000000-0005-0000-0000-0000AC6C0000}"/>
    <cellStyle name="Normal 5 4 4 3 8 2" xfId="39493" xr:uid="{00000000-0005-0000-0000-0000AD6C0000}"/>
    <cellStyle name="Normal 5 4 4 3 9" xfId="27052" xr:uid="{00000000-0005-0000-0000-0000AE6C0000}"/>
    <cellStyle name="Normal 5 4 4 4" xfId="2309" xr:uid="{00000000-0005-0000-0000-0000AF6C0000}"/>
    <cellStyle name="Normal 5 4 4 4 2" xfId="6334" xr:uid="{00000000-0005-0000-0000-0000B06C0000}"/>
    <cellStyle name="Normal 5 4 4 4 2 2" xfId="11349" xr:uid="{00000000-0005-0000-0000-0000B16C0000}"/>
    <cellStyle name="Normal 5 4 4 4 2 2 2" xfId="23792" xr:uid="{00000000-0005-0000-0000-0000B26C0000}"/>
    <cellStyle name="Normal 5 4 4 4 2 2 2 2" xfId="48666" xr:uid="{00000000-0005-0000-0000-0000B36C0000}"/>
    <cellStyle name="Normal 5 4 4 4 2 2 3" xfId="36233" xr:uid="{00000000-0005-0000-0000-0000B46C0000}"/>
    <cellStyle name="Normal 5 4 4 4 2 3" xfId="18785" xr:uid="{00000000-0005-0000-0000-0000B56C0000}"/>
    <cellStyle name="Normal 5 4 4 4 2 3 2" xfId="43659" xr:uid="{00000000-0005-0000-0000-0000B66C0000}"/>
    <cellStyle name="Normal 5 4 4 4 2 4" xfId="31226" xr:uid="{00000000-0005-0000-0000-0000B76C0000}"/>
    <cellStyle name="Normal 5 4 4 4 3" xfId="12803" xr:uid="{00000000-0005-0000-0000-0000B86C0000}"/>
    <cellStyle name="Normal 5 4 4 4 3 2" xfId="25237" xr:uid="{00000000-0005-0000-0000-0000B96C0000}"/>
    <cellStyle name="Normal 5 4 4 4 3 2 2" xfId="50111" xr:uid="{00000000-0005-0000-0000-0000BA6C0000}"/>
    <cellStyle name="Normal 5 4 4 4 3 3" xfId="37678" xr:uid="{00000000-0005-0000-0000-0000BB6C0000}"/>
    <cellStyle name="Normal 5 4 4 4 4" xfId="9244" xr:uid="{00000000-0005-0000-0000-0000BC6C0000}"/>
    <cellStyle name="Normal 5 4 4 4 4 2" xfId="21687" xr:uid="{00000000-0005-0000-0000-0000BD6C0000}"/>
    <cellStyle name="Normal 5 4 4 4 4 2 2" xfId="46561" xr:uid="{00000000-0005-0000-0000-0000BE6C0000}"/>
    <cellStyle name="Normal 5 4 4 4 4 3" xfId="34128" xr:uid="{00000000-0005-0000-0000-0000BF6C0000}"/>
    <cellStyle name="Normal 5 4 4 4 5" xfId="4226" xr:uid="{00000000-0005-0000-0000-0000C06C0000}"/>
    <cellStyle name="Normal 5 4 4 4 5 2" xfId="16680" xr:uid="{00000000-0005-0000-0000-0000C16C0000}"/>
    <cellStyle name="Normal 5 4 4 4 5 2 2" xfId="41554" xr:uid="{00000000-0005-0000-0000-0000C26C0000}"/>
    <cellStyle name="Normal 5 4 4 4 5 3" xfId="29121" xr:uid="{00000000-0005-0000-0000-0000C36C0000}"/>
    <cellStyle name="Normal 5 4 4 4 6" xfId="14988" xr:uid="{00000000-0005-0000-0000-0000C46C0000}"/>
    <cellStyle name="Normal 5 4 4 4 6 2" xfId="39862" xr:uid="{00000000-0005-0000-0000-0000C56C0000}"/>
    <cellStyle name="Normal 5 4 4 4 7" xfId="27421" xr:uid="{00000000-0005-0000-0000-0000C66C0000}"/>
    <cellStyle name="Normal 5 4 4 5" xfId="1145" xr:uid="{00000000-0005-0000-0000-0000C76C0000}"/>
    <cellStyle name="Normal 5 4 4 5 2" xfId="10306" xr:uid="{00000000-0005-0000-0000-0000C86C0000}"/>
    <cellStyle name="Normal 5 4 4 5 2 2" xfId="22749" xr:uid="{00000000-0005-0000-0000-0000C96C0000}"/>
    <cellStyle name="Normal 5 4 4 5 2 2 2" xfId="47623" xr:uid="{00000000-0005-0000-0000-0000CA6C0000}"/>
    <cellStyle name="Normal 5 4 4 5 2 3" xfId="35190" xr:uid="{00000000-0005-0000-0000-0000CB6C0000}"/>
    <cellStyle name="Normal 5 4 4 5 3" xfId="5290" xr:uid="{00000000-0005-0000-0000-0000CC6C0000}"/>
    <cellStyle name="Normal 5 4 4 5 3 2" xfId="17742" xr:uid="{00000000-0005-0000-0000-0000CD6C0000}"/>
    <cellStyle name="Normal 5 4 4 5 3 2 2" xfId="42616" xr:uid="{00000000-0005-0000-0000-0000CE6C0000}"/>
    <cellStyle name="Normal 5 4 4 5 3 3" xfId="30183" xr:uid="{00000000-0005-0000-0000-0000CF6C0000}"/>
    <cellStyle name="Normal 5 4 4 5 4" xfId="13945" xr:uid="{00000000-0005-0000-0000-0000D06C0000}"/>
    <cellStyle name="Normal 5 4 4 5 4 2" xfId="38819" xr:uid="{00000000-0005-0000-0000-0000D16C0000}"/>
    <cellStyle name="Normal 5 4 4 5 5" xfId="26378" xr:uid="{00000000-0005-0000-0000-0000D26C0000}"/>
    <cellStyle name="Normal 5 4 4 6" xfId="7867" xr:uid="{00000000-0005-0000-0000-0000D36C0000}"/>
    <cellStyle name="Normal 5 4 4 6 2" xfId="20313" xr:uid="{00000000-0005-0000-0000-0000D46C0000}"/>
    <cellStyle name="Normal 5 4 4 6 2 2" xfId="45187" xr:uid="{00000000-0005-0000-0000-0000D56C0000}"/>
    <cellStyle name="Normal 5 4 4 6 3" xfId="32754" xr:uid="{00000000-0005-0000-0000-0000D66C0000}"/>
    <cellStyle name="Normal 5 4 4 7" xfId="11760" xr:uid="{00000000-0005-0000-0000-0000D76C0000}"/>
    <cellStyle name="Normal 5 4 4 7 2" xfId="24194" xr:uid="{00000000-0005-0000-0000-0000D86C0000}"/>
    <cellStyle name="Normal 5 4 4 7 2 2" xfId="49068" xr:uid="{00000000-0005-0000-0000-0000D96C0000}"/>
    <cellStyle name="Normal 5 4 4 7 3" xfId="36635" xr:uid="{00000000-0005-0000-0000-0000DA6C0000}"/>
    <cellStyle name="Normal 5 4 4 8" xfId="6837" xr:uid="{00000000-0005-0000-0000-0000DB6C0000}"/>
    <cellStyle name="Normal 5 4 4 8 2" xfId="19286" xr:uid="{00000000-0005-0000-0000-0000DC6C0000}"/>
    <cellStyle name="Normal 5 4 4 8 2 2" xfId="44160" xr:uid="{00000000-0005-0000-0000-0000DD6C0000}"/>
    <cellStyle name="Normal 5 4 4 8 3" xfId="31727" xr:uid="{00000000-0005-0000-0000-0000DE6C0000}"/>
    <cellStyle name="Normal 5 4 4 9" xfId="2788" xr:uid="{00000000-0005-0000-0000-0000DF6C0000}"/>
    <cellStyle name="Normal 5 4 4 9 2" xfId="15306" xr:uid="{00000000-0005-0000-0000-0000E06C0000}"/>
    <cellStyle name="Normal 5 4 4 9 2 2" xfId="40180" xr:uid="{00000000-0005-0000-0000-0000E16C0000}"/>
    <cellStyle name="Normal 5 4 4 9 3" xfId="27739" xr:uid="{00000000-0005-0000-0000-0000E26C0000}"/>
    <cellStyle name="Normal 5 4 4_Degree data" xfId="2084" xr:uid="{00000000-0005-0000-0000-0000E36C0000}"/>
    <cellStyle name="Normal 5 4 5" xfId="220" xr:uid="{00000000-0005-0000-0000-0000E46C0000}"/>
    <cellStyle name="Normal 5 4 5 10" xfId="13048" xr:uid="{00000000-0005-0000-0000-0000E56C0000}"/>
    <cellStyle name="Normal 5 4 5 10 2" xfId="37922" xr:uid="{00000000-0005-0000-0000-0000E66C0000}"/>
    <cellStyle name="Normal 5 4 5 11" xfId="25481" xr:uid="{00000000-0005-0000-0000-0000E76C0000}"/>
    <cellStyle name="Normal 5 4 5 2" xfId="586" xr:uid="{00000000-0005-0000-0000-0000E86C0000}"/>
    <cellStyle name="Normal 5 4 5 2 2" xfId="1472" xr:uid="{00000000-0005-0000-0000-0000E96C0000}"/>
    <cellStyle name="Normal 5 4 5 2 2 2" xfId="9576" xr:uid="{00000000-0005-0000-0000-0000EA6C0000}"/>
    <cellStyle name="Normal 5 4 5 2 2 2 2" xfId="22019" xr:uid="{00000000-0005-0000-0000-0000EB6C0000}"/>
    <cellStyle name="Normal 5 4 5 2 2 2 2 2" xfId="46893" xr:uid="{00000000-0005-0000-0000-0000EC6C0000}"/>
    <cellStyle name="Normal 5 4 5 2 2 2 3" xfId="34460" xr:uid="{00000000-0005-0000-0000-0000ED6C0000}"/>
    <cellStyle name="Normal 5 4 5 2 2 3" xfId="4558" xr:uid="{00000000-0005-0000-0000-0000EE6C0000}"/>
    <cellStyle name="Normal 5 4 5 2 2 3 2" xfId="17012" xr:uid="{00000000-0005-0000-0000-0000EF6C0000}"/>
    <cellStyle name="Normal 5 4 5 2 2 3 2 2" xfId="41886" xr:uid="{00000000-0005-0000-0000-0000F06C0000}"/>
    <cellStyle name="Normal 5 4 5 2 2 3 3" xfId="29453" xr:uid="{00000000-0005-0000-0000-0000F16C0000}"/>
    <cellStyle name="Normal 5 4 5 2 2 4" xfId="14272" xr:uid="{00000000-0005-0000-0000-0000F26C0000}"/>
    <cellStyle name="Normal 5 4 5 2 2 4 2" xfId="39146" xr:uid="{00000000-0005-0000-0000-0000F36C0000}"/>
    <cellStyle name="Normal 5 4 5 2 2 5" xfId="26705" xr:uid="{00000000-0005-0000-0000-0000F46C0000}"/>
    <cellStyle name="Normal 5 4 5 2 3" xfId="5617" xr:uid="{00000000-0005-0000-0000-0000F56C0000}"/>
    <cellStyle name="Normal 5 4 5 2 3 2" xfId="10633" xr:uid="{00000000-0005-0000-0000-0000F66C0000}"/>
    <cellStyle name="Normal 5 4 5 2 3 2 2" xfId="23076" xr:uid="{00000000-0005-0000-0000-0000F76C0000}"/>
    <cellStyle name="Normal 5 4 5 2 3 2 2 2" xfId="47950" xr:uid="{00000000-0005-0000-0000-0000F86C0000}"/>
    <cellStyle name="Normal 5 4 5 2 3 2 3" xfId="35517" xr:uid="{00000000-0005-0000-0000-0000F96C0000}"/>
    <cellStyle name="Normal 5 4 5 2 3 3" xfId="18069" xr:uid="{00000000-0005-0000-0000-0000FA6C0000}"/>
    <cellStyle name="Normal 5 4 5 2 3 3 2" xfId="42943" xr:uid="{00000000-0005-0000-0000-0000FB6C0000}"/>
    <cellStyle name="Normal 5 4 5 2 3 4" xfId="30510" xr:uid="{00000000-0005-0000-0000-0000FC6C0000}"/>
    <cellStyle name="Normal 5 4 5 2 4" xfId="8692" xr:uid="{00000000-0005-0000-0000-0000FD6C0000}"/>
    <cellStyle name="Normal 5 4 5 2 4 2" xfId="21136" xr:uid="{00000000-0005-0000-0000-0000FE6C0000}"/>
    <cellStyle name="Normal 5 4 5 2 4 2 2" xfId="46010" xr:uid="{00000000-0005-0000-0000-0000FF6C0000}"/>
    <cellStyle name="Normal 5 4 5 2 4 3" xfId="33577" xr:uid="{00000000-0005-0000-0000-0000006D0000}"/>
    <cellStyle name="Normal 5 4 5 2 5" xfId="12087" xr:uid="{00000000-0005-0000-0000-0000016D0000}"/>
    <cellStyle name="Normal 5 4 5 2 5 2" xfId="24521" xr:uid="{00000000-0005-0000-0000-0000026D0000}"/>
    <cellStyle name="Normal 5 4 5 2 5 2 2" xfId="49395" xr:uid="{00000000-0005-0000-0000-0000036D0000}"/>
    <cellStyle name="Normal 5 4 5 2 5 3" xfId="36962" xr:uid="{00000000-0005-0000-0000-0000046D0000}"/>
    <cellStyle name="Normal 5 4 5 2 6" xfId="7169" xr:uid="{00000000-0005-0000-0000-0000056D0000}"/>
    <cellStyle name="Normal 5 4 5 2 6 2" xfId="19618" xr:uid="{00000000-0005-0000-0000-0000066D0000}"/>
    <cellStyle name="Normal 5 4 5 2 6 2 2" xfId="44492" xr:uid="{00000000-0005-0000-0000-0000076D0000}"/>
    <cellStyle name="Normal 5 4 5 2 6 3" xfId="32059" xr:uid="{00000000-0005-0000-0000-0000086D0000}"/>
    <cellStyle name="Normal 5 4 5 2 7" xfId="3623" xr:uid="{00000000-0005-0000-0000-0000096D0000}"/>
    <cellStyle name="Normal 5 4 5 2 7 2" xfId="16129" xr:uid="{00000000-0005-0000-0000-00000A6D0000}"/>
    <cellStyle name="Normal 5 4 5 2 7 2 2" xfId="41003" xr:uid="{00000000-0005-0000-0000-00000B6D0000}"/>
    <cellStyle name="Normal 5 4 5 2 7 3" xfId="28562" xr:uid="{00000000-0005-0000-0000-00000C6D0000}"/>
    <cellStyle name="Normal 5 4 5 2 8" xfId="13395" xr:uid="{00000000-0005-0000-0000-00000D6D0000}"/>
    <cellStyle name="Normal 5 4 5 2 8 2" xfId="38269" xr:uid="{00000000-0005-0000-0000-00000E6D0000}"/>
    <cellStyle name="Normal 5 4 5 2 9" xfId="25828" xr:uid="{00000000-0005-0000-0000-00000F6D0000}"/>
    <cellStyle name="Normal 5 4 5 3" xfId="1820" xr:uid="{00000000-0005-0000-0000-0000106D0000}"/>
    <cellStyle name="Normal 5 4 5 3 2" xfId="4777" xr:uid="{00000000-0005-0000-0000-0000116D0000}"/>
    <cellStyle name="Normal 5 4 5 3 2 2" xfId="9794" xr:uid="{00000000-0005-0000-0000-0000126D0000}"/>
    <cellStyle name="Normal 5 4 5 3 2 2 2" xfId="22237" xr:uid="{00000000-0005-0000-0000-0000136D0000}"/>
    <cellStyle name="Normal 5 4 5 3 2 2 2 2" xfId="47111" xr:uid="{00000000-0005-0000-0000-0000146D0000}"/>
    <cellStyle name="Normal 5 4 5 3 2 2 3" xfId="34678" xr:uid="{00000000-0005-0000-0000-0000156D0000}"/>
    <cellStyle name="Normal 5 4 5 3 2 3" xfId="17230" xr:uid="{00000000-0005-0000-0000-0000166D0000}"/>
    <cellStyle name="Normal 5 4 5 3 2 3 2" xfId="42104" xr:uid="{00000000-0005-0000-0000-0000176D0000}"/>
    <cellStyle name="Normal 5 4 5 3 2 4" xfId="29671" xr:uid="{00000000-0005-0000-0000-0000186D0000}"/>
    <cellStyle name="Normal 5 4 5 3 3" xfId="5966" xr:uid="{00000000-0005-0000-0000-0000196D0000}"/>
    <cellStyle name="Normal 5 4 5 3 3 2" xfId="10981" xr:uid="{00000000-0005-0000-0000-00001A6D0000}"/>
    <cellStyle name="Normal 5 4 5 3 3 2 2" xfId="23424" xr:uid="{00000000-0005-0000-0000-00001B6D0000}"/>
    <cellStyle name="Normal 5 4 5 3 3 2 2 2" xfId="48298" xr:uid="{00000000-0005-0000-0000-00001C6D0000}"/>
    <cellStyle name="Normal 5 4 5 3 3 2 3" xfId="35865" xr:uid="{00000000-0005-0000-0000-00001D6D0000}"/>
    <cellStyle name="Normal 5 4 5 3 3 3" xfId="18417" xr:uid="{00000000-0005-0000-0000-00001E6D0000}"/>
    <cellStyle name="Normal 5 4 5 3 3 3 2" xfId="43291" xr:uid="{00000000-0005-0000-0000-00001F6D0000}"/>
    <cellStyle name="Normal 5 4 5 3 3 4" xfId="30858" xr:uid="{00000000-0005-0000-0000-0000206D0000}"/>
    <cellStyle name="Normal 5 4 5 3 4" xfId="8860" xr:uid="{00000000-0005-0000-0000-0000216D0000}"/>
    <cellStyle name="Normal 5 4 5 3 4 2" xfId="21303" xr:uid="{00000000-0005-0000-0000-0000226D0000}"/>
    <cellStyle name="Normal 5 4 5 3 4 2 2" xfId="46177" xr:uid="{00000000-0005-0000-0000-0000236D0000}"/>
    <cellStyle name="Normal 5 4 5 3 4 3" xfId="33744" xr:uid="{00000000-0005-0000-0000-0000246D0000}"/>
    <cellStyle name="Normal 5 4 5 3 5" xfId="12435" xr:uid="{00000000-0005-0000-0000-0000256D0000}"/>
    <cellStyle name="Normal 5 4 5 3 5 2" xfId="24869" xr:uid="{00000000-0005-0000-0000-0000266D0000}"/>
    <cellStyle name="Normal 5 4 5 3 5 2 2" xfId="49743" xr:uid="{00000000-0005-0000-0000-0000276D0000}"/>
    <cellStyle name="Normal 5 4 5 3 5 3" xfId="37310" xr:uid="{00000000-0005-0000-0000-0000286D0000}"/>
    <cellStyle name="Normal 5 4 5 3 6" xfId="7388" xr:uid="{00000000-0005-0000-0000-0000296D0000}"/>
    <cellStyle name="Normal 5 4 5 3 6 2" xfId="19836" xr:uid="{00000000-0005-0000-0000-00002A6D0000}"/>
    <cellStyle name="Normal 5 4 5 3 6 2 2" xfId="44710" xr:uid="{00000000-0005-0000-0000-00002B6D0000}"/>
    <cellStyle name="Normal 5 4 5 3 6 3" xfId="32277" xr:uid="{00000000-0005-0000-0000-00002C6D0000}"/>
    <cellStyle name="Normal 5 4 5 3 7" xfId="3842" xr:uid="{00000000-0005-0000-0000-00002D6D0000}"/>
    <cellStyle name="Normal 5 4 5 3 7 2" xfId="16296" xr:uid="{00000000-0005-0000-0000-00002E6D0000}"/>
    <cellStyle name="Normal 5 4 5 3 7 2 2" xfId="41170" xr:uid="{00000000-0005-0000-0000-00002F6D0000}"/>
    <cellStyle name="Normal 5 4 5 3 7 3" xfId="28737" xr:uid="{00000000-0005-0000-0000-0000306D0000}"/>
    <cellStyle name="Normal 5 4 5 3 8" xfId="14620" xr:uid="{00000000-0005-0000-0000-0000316D0000}"/>
    <cellStyle name="Normal 5 4 5 3 8 2" xfId="39494" xr:uid="{00000000-0005-0000-0000-0000326D0000}"/>
    <cellStyle name="Normal 5 4 5 3 9" xfId="27053" xr:uid="{00000000-0005-0000-0000-0000336D0000}"/>
    <cellStyle name="Normal 5 4 5 4" xfId="2138" xr:uid="{00000000-0005-0000-0000-0000346D0000}"/>
    <cellStyle name="Normal 5 4 5 4 2" xfId="6175" xr:uid="{00000000-0005-0000-0000-0000356D0000}"/>
    <cellStyle name="Normal 5 4 5 4 2 2" xfId="11190" xr:uid="{00000000-0005-0000-0000-0000366D0000}"/>
    <cellStyle name="Normal 5 4 5 4 2 2 2" xfId="23633" xr:uid="{00000000-0005-0000-0000-0000376D0000}"/>
    <cellStyle name="Normal 5 4 5 4 2 2 2 2" xfId="48507" xr:uid="{00000000-0005-0000-0000-0000386D0000}"/>
    <cellStyle name="Normal 5 4 5 4 2 2 3" xfId="36074" xr:uid="{00000000-0005-0000-0000-0000396D0000}"/>
    <cellStyle name="Normal 5 4 5 4 2 3" xfId="18626" xr:uid="{00000000-0005-0000-0000-00003A6D0000}"/>
    <cellStyle name="Normal 5 4 5 4 2 3 2" xfId="43500" xr:uid="{00000000-0005-0000-0000-00003B6D0000}"/>
    <cellStyle name="Normal 5 4 5 4 2 4" xfId="31067" xr:uid="{00000000-0005-0000-0000-00003C6D0000}"/>
    <cellStyle name="Normal 5 4 5 4 3" xfId="12644" xr:uid="{00000000-0005-0000-0000-00003D6D0000}"/>
    <cellStyle name="Normal 5 4 5 4 3 2" xfId="25078" xr:uid="{00000000-0005-0000-0000-00003E6D0000}"/>
    <cellStyle name="Normal 5 4 5 4 3 2 2" xfId="49952" xr:uid="{00000000-0005-0000-0000-00003F6D0000}"/>
    <cellStyle name="Normal 5 4 5 4 3 3" xfId="37519" xr:uid="{00000000-0005-0000-0000-0000406D0000}"/>
    <cellStyle name="Normal 5 4 5 4 4" xfId="9085" xr:uid="{00000000-0005-0000-0000-0000416D0000}"/>
    <cellStyle name="Normal 5 4 5 4 4 2" xfId="21528" xr:uid="{00000000-0005-0000-0000-0000426D0000}"/>
    <cellStyle name="Normal 5 4 5 4 4 2 2" xfId="46402" xr:uid="{00000000-0005-0000-0000-0000436D0000}"/>
    <cellStyle name="Normal 5 4 5 4 4 3" xfId="33969" xr:uid="{00000000-0005-0000-0000-0000446D0000}"/>
    <cellStyle name="Normal 5 4 5 4 5" xfId="4067" xr:uid="{00000000-0005-0000-0000-0000456D0000}"/>
    <cellStyle name="Normal 5 4 5 4 5 2" xfId="16521" xr:uid="{00000000-0005-0000-0000-0000466D0000}"/>
    <cellStyle name="Normal 5 4 5 4 5 2 2" xfId="41395" xr:uid="{00000000-0005-0000-0000-0000476D0000}"/>
    <cellStyle name="Normal 5 4 5 4 5 3" xfId="28962" xr:uid="{00000000-0005-0000-0000-0000486D0000}"/>
    <cellStyle name="Normal 5 4 5 4 6" xfId="14829" xr:uid="{00000000-0005-0000-0000-0000496D0000}"/>
    <cellStyle name="Normal 5 4 5 4 6 2" xfId="39703" xr:uid="{00000000-0005-0000-0000-00004A6D0000}"/>
    <cellStyle name="Normal 5 4 5 4 7" xfId="27262" xr:uid="{00000000-0005-0000-0000-00004B6D0000}"/>
    <cellStyle name="Normal 5 4 5 5" xfId="986" xr:uid="{00000000-0005-0000-0000-00004C6D0000}"/>
    <cellStyle name="Normal 5 4 5 5 2" xfId="10145" xr:uid="{00000000-0005-0000-0000-00004D6D0000}"/>
    <cellStyle name="Normal 5 4 5 5 2 2" xfId="22588" xr:uid="{00000000-0005-0000-0000-00004E6D0000}"/>
    <cellStyle name="Normal 5 4 5 5 2 2 2" xfId="47462" xr:uid="{00000000-0005-0000-0000-00004F6D0000}"/>
    <cellStyle name="Normal 5 4 5 5 2 3" xfId="35029" xr:uid="{00000000-0005-0000-0000-0000506D0000}"/>
    <cellStyle name="Normal 5 4 5 5 3" xfId="5129" xr:uid="{00000000-0005-0000-0000-0000516D0000}"/>
    <cellStyle name="Normal 5 4 5 5 3 2" xfId="17581" xr:uid="{00000000-0005-0000-0000-0000526D0000}"/>
    <cellStyle name="Normal 5 4 5 5 3 2 2" xfId="42455" xr:uid="{00000000-0005-0000-0000-0000536D0000}"/>
    <cellStyle name="Normal 5 4 5 5 3 3" xfId="30022" xr:uid="{00000000-0005-0000-0000-0000546D0000}"/>
    <cellStyle name="Normal 5 4 5 5 4" xfId="13786" xr:uid="{00000000-0005-0000-0000-0000556D0000}"/>
    <cellStyle name="Normal 5 4 5 5 4 2" xfId="38660" xr:uid="{00000000-0005-0000-0000-0000566D0000}"/>
    <cellStyle name="Normal 5 4 5 5 5" xfId="26219" xr:uid="{00000000-0005-0000-0000-0000576D0000}"/>
    <cellStyle name="Normal 5 4 5 6" xfId="8201" xr:uid="{00000000-0005-0000-0000-0000586D0000}"/>
    <cellStyle name="Normal 5 4 5 6 2" xfId="20645" xr:uid="{00000000-0005-0000-0000-0000596D0000}"/>
    <cellStyle name="Normal 5 4 5 6 2 2" xfId="45519" xr:uid="{00000000-0005-0000-0000-00005A6D0000}"/>
    <cellStyle name="Normal 5 4 5 6 3" xfId="33086" xr:uid="{00000000-0005-0000-0000-00005B6D0000}"/>
    <cellStyle name="Normal 5 4 5 7" xfId="11601" xr:uid="{00000000-0005-0000-0000-00005C6D0000}"/>
    <cellStyle name="Normal 5 4 5 7 2" xfId="24035" xr:uid="{00000000-0005-0000-0000-00005D6D0000}"/>
    <cellStyle name="Normal 5 4 5 7 2 2" xfId="48909" xr:uid="{00000000-0005-0000-0000-00005E6D0000}"/>
    <cellStyle name="Normal 5 4 5 7 3" xfId="36476" xr:uid="{00000000-0005-0000-0000-00005F6D0000}"/>
    <cellStyle name="Normal 5 4 5 8" xfId="6678" xr:uid="{00000000-0005-0000-0000-0000606D0000}"/>
    <cellStyle name="Normal 5 4 5 8 2" xfId="19127" xr:uid="{00000000-0005-0000-0000-0000616D0000}"/>
    <cellStyle name="Normal 5 4 5 8 2 2" xfId="44001" xr:uid="{00000000-0005-0000-0000-0000626D0000}"/>
    <cellStyle name="Normal 5 4 5 8 3" xfId="31568" xr:uid="{00000000-0005-0000-0000-0000636D0000}"/>
    <cellStyle name="Normal 5 4 5 9" xfId="3132" xr:uid="{00000000-0005-0000-0000-0000646D0000}"/>
    <cellStyle name="Normal 5 4 5 9 2" xfId="15638" xr:uid="{00000000-0005-0000-0000-0000656D0000}"/>
    <cellStyle name="Normal 5 4 5 9 2 2" xfId="40512" xr:uid="{00000000-0005-0000-0000-0000666D0000}"/>
    <cellStyle name="Normal 5 4 5 9 3" xfId="28071" xr:uid="{00000000-0005-0000-0000-0000676D0000}"/>
    <cellStyle name="Normal 5 4 5_Degree data" xfId="2207" xr:uid="{00000000-0005-0000-0000-0000686D0000}"/>
    <cellStyle name="Normal 5 4 6" xfId="542" xr:uid="{00000000-0005-0000-0000-0000696D0000}"/>
    <cellStyle name="Normal 5 4 6 2" xfId="1466" xr:uid="{00000000-0005-0000-0000-00006A6D0000}"/>
    <cellStyle name="Normal 5 4 6 2 2" xfId="9570" xr:uid="{00000000-0005-0000-0000-00006B6D0000}"/>
    <cellStyle name="Normal 5 4 6 2 2 2" xfId="22013" xr:uid="{00000000-0005-0000-0000-00006C6D0000}"/>
    <cellStyle name="Normal 5 4 6 2 2 2 2" xfId="46887" xr:uid="{00000000-0005-0000-0000-00006D6D0000}"/>
    <cellStyle name="Normal 5 4 6 2 2 3" xfId="34454" xr:uid="{00000000-0005-0000-0000-00006E6D0000}"/>
    <cellStyle name="Normal 5 4 6 2 3" xfId="4552" xr:uid="{00000000-0005-0000-0000-00006F6D0000}"/>
    <cellStyle name="Normal 5 4 6 2 3 2" xfId="17006" xr:uid="{00000000-0005-0000-0000-0000706D0000}"/>
    <cellStyle name="Normal 5 4 6 2 3 2 2" xfId="41880" xr:uid="{00000000-0005-0000-0000-0000716D0000}"/>
    <cellStyle name="Normal 5 4 6 2 3 3" xfId="29447" xr:uid="{00000000-0005-0000-0000-0000726D0000}"/>
    <cellStyle name="Normal 5 4 6 2 4" xfId="14266" xr:uid="{00000000-0005-0000-0000-0000736D0000}"/>
    <cellStyle name="Normal 5 4 6 2 4 2" xfId="39140" xr:uid="{00000000-0005-0000-0000-0000746D0000}"/>
    <cellStyle name="Normal 5 4 6 2 5" xfId="26699" xr:uid="{00000000-0005-0000-0000-0000756D0000}"/>
    <cellStyle name="Normal 5 4 6 3" xfId="5611" xr:uid="{00000000-0005-0000-0000-0000766D0000}"/>
    <cellStyle name="Normal 5 4 6 3 2" xfId="10627" xr:uid="{00000000-0005-0000-0000-0000776D0000}"/>
    <cellStyle name="Normal 5 4 6 3 2 2" xfId="23070" xr:uid="{00000000-0005-0000-0000-0000786D0000}"/>
    <cellStyle name="Normal 5 4 6 3 2 2 2" xfId="47944" xr:uid="{00000000-0005-0000-0000-0000796D0000}"/>
    <cellStyle name="Normal 5 4 6 3 2 3" xfId="35511" xr:uid="{00000000-0005-0000-0000-00007A6D0000}"/>
    <cellStyle name="Normal 5 4 6 3 3" xfId="18063" xr:uid="{00000000-0005-0000-0000-00007B6D0000}"/>
    <cellStyle name="Normal 5 4 6 3 3 2" xfId="42937" xr:uid="{00000000-0005-0000-0000-00007C6D0000}"/>
    <cellStyle name="Normal 5 4 6 3 4" xfId="30504" xr:uid="{00000000-0005-0000-0000-00007D6D0000}"/>
    <cellStyle name="Normal 5 4 6 4" xfId="8686" xr:uid="{00000000-0005-0000-0000-00007E6D0000}"/>
    <cellStyle name="Normal 5 4 6 4 2" xfId="21130" xr:uid="{00000000-0005-0000-0000-00007F6D0000}"/>
    <cellStyle name="Normal 5 4 6 4 2 2" xfId="46004" xr:uid="{00000000-0005-0000-0000-0000806D0000}"/>
    <cellStyle name="Normal 5 4 6 4 3" xfId="33571" xr:uid="{00000000-0005-0000-0000-0000816D0000}"/>
    <cellStyle name="Normal 5 4 6 5" xfId="12081" xr:uid="{00000000-0005-0000-0000-0000826D0000}"/>
    <cellStyle name="Normal 5 4 6 5 2" xfId="24515" xr:uid="{00000000-0005-0000-0000-0000836D0000}"/>
    <cellStyle name="Normal 5 4 6 5 2 2" xfId="49389" xr:uid="{00000000-0005-0000-0000-0000846D0000}"/>
    <cellStyle name="Normal 5 4 6 5 3" xfId="36956" xr:uid="{00000000-0005-0000-0000-0000856D0000}"/>
    <cellStyle name="Normal 5 4 6 6" xfId="7163" xr:uid="{00000000-0005-0000-0000-0000866D0000}"/>
    <cellStyle name="Normal 5 4 6 6 2" xfId="19612" xr:uid="{00000000-0005-0000-0000-0000876D0000}"/>
    <cellStyle name="Normal 5 4 6 6 2 2" xfId="44486" xr:uid="{00000000-0005-0000-0000-0000886D0000}"/>
    <cellStyle name="Normal 5 4 6 6 3" xfId="32053" xr:uid="{00000000-0005-0000-0000-0000896D0000}"/>
    <cellStyle name="Normal 5 4 6 7" xfId="3617" xr:uid="{00000000-0005-0000-0000-00008A6D0000}"/>
    <cellStyle name="Normal 5 4 6 7 2" xfId="16123" xr:uid="{00000000-0005-0000-0000-00008B6D0000}"/>
    <cellStyle name="Normal 5 4 6 7 2 2" xfId="40997" xr:uid="{00000000-0005-0000-0000-00008C6D0000}"/>
    <cellStyle name="Normal 5 4 6 7 3" xfId="28556" xr:uid="{00000000-0005-0000-0000-00008D6D0000}"/>
    <cellStyle name="Normal 5 4 6 8" xfId="13352" xr:uid="{00000000-0005-0000-0000-00008E6D0000}"/>
    <cellStyle name="Normal 5 4 6 8 2" xfId="38226" xr:uid="{00000000-0005-0000-0000-00008F6D0000}"/>
    <cellStyle name="Normal 5 4 6 9" xfId="25785" xr:uid="{00000000-0005-0000-0000-0000906D0000}"/>
    <cellStyle name="Normal 5 4 7" xfId="1814" xr:uid="{00000000-0005-0000-0000-0000916D0000}"/>
    <cellStyle name="Normal 5 4 7 2" xfId="4734" xr:uid="{00000000-0005-0000-0000-0000926D0000}"/>
    <cellStyle name="Normal 5 4 7 2 2" xfId="9751" xr:uid="{00000000-0005-0000-0000-0000936D0000}"/>
    <cellStyle name="Normal 5 4 7 2 2 2" xfId="22194" xr:uid="{00000000-0005-0000-0000-0000946D0000}"/>
    <cellStyle name="Normal 5 4 7 2 2 2 2" xfId="47068" xr:uid="{00000000-0005-0000-0000-0000956D0000}"/>
    <cellStyle name="Normal 5 4 7 2 2 3" xfId="34635" xr:uid="{00000000-0005-0000-0000-0000966D0000}"/>
    <cellStyle name="Normal 5 4 7 2 3" xfId="17187" xr:uid="{00000000-0005-0000-0000-0000976D0000}"/>
    <cellStyle name="Normal 5 4 7 2 3 2" xfId="42061" xr:uid="{00000000-0005-0000-0000-0000986D0000}"/>
    <cellStyle name="Normal 5 4 7 2 4" xfId="29628" xr:uid="{00000000-0005-0000-0000-0000996D0000}"/>
    <cellStyle name="Normal 5 4 7 3" xfId="5960" xr:uid="{00000000-0005-0000-0000-00009A6D0000}"/>
    <cellStyle name="Normal 5 4 7 3 2" xfId="10975" xr:uid="{00000000-0005-0000-0000-00009B6D0000}"/>
    <cellStyle name="Normal 5 4 7 3 2 2" xfId="23418" xr:uid="{00000000-0005-0000-0000-00009C6D0000}"/>
    <cellStyle name="Normal 5 4 7 3 2 2 2" xfId="48292" xr:uid="{00000000-0005-0000-0000-00009D6D0000}"/>
    <cellStyle name="Normal 5 4 7 3 2 3" xfId="35859" xr:uid="{00000000-0005-0000-0000-00009E6D0000}"/>
    <cellStyle name="Normal 5 4 7 3 3" xfId="18411" xr:uid="{00000000-0005-0000-0000-00009F6D0000}"/>
    <cellStyle name="Normal 5 4 7 3 3 2" xfId="43285" xr:uid="{00000000-0005-0000-0000-0000A06D0000}"/>
    <cellStyle name="Normal 5 4 7 3 4" xfId="30852" xr:uid="{00000000-0005-0000-0000-0000A16D0000}"/>
    <cellStyle name="Normal 5 4 7 4" xfId="8040" xr:uid="{00000000-0005-0000-0000-0000A26D0000}"/>
    <cellStyle name="Normal 5 4 7 4 2" xfId="20486" xr:uid="{00000000-0005-0000-0000-0000A36D0000}"/>
    <cellStyle name="Normal 5 4 7 4 2 2" xfId="45360" xr:uid="{00000000-0005-0000-0000-0000A46D0000}"/>
    <cellStyle name="Normal 5 4 7 4 3" xfId="32927" xr:uid="{00000000-0005-0000-0000-0000A56D0000}"/>
    <cellStyle name="Normal 5 4 7 5" xfId="12429" xr:uid="{00000000-0005-0000-0000-0000A66D0000}"/>
    <cellStyle name="Normal 5 4 7 5 2" xfId="24863" xr:uid="{00000000-0005-0000-0000-0000A76D0000}"/>
    <cellStyle name="Normal 5 4 7 5 2 2" xfId="49737" xr:uid="{00000000-0005-0000-0000-0000A86D0000}"/>
    <cellStyle name="Normal 5 4 7 5 3" xfId="37304" xr:uid="{00000000-0005-0000-0000-0000A96D0000}"/>
    <cellStyle name="Normal 5 4 7 6" xfId="7345" xr:uid="{00000000-0005-0000-0000-0000AA6D0000}"/>
    <cellStyle name="Normal 5 4 7 6 2" xfId="19793" xr:uid="{00000000-0005-0000-0000-0000AB6D0000}"/>
    <cellStyle name="Normal 5 4 7 6 2 2" xfId="44667" xr:uid="{00000000-0005-0000-0000-0000AC6D0000}"/>
    <cellStyle name="Normal 5 4 7 6 3" xfId="32234" xr:uid="{00000000-0005-0000-0000-0000AD6D0000}"/>
    <cellStyle name="Normal 5 4 7 7" xfId="2967" xr:uid="{00000000-0005-0000-0000-0000AE6D0000}"/>
    <cellStyle name="Normal 5 4 7 7 2" xfId="15479" xr:uid="{00000000-0005-0000-0000-0000AF6D0000}"/>
    <cellStyle name="Normal 5 4 7 7 2 2" xfId="40353" xr:uid="{00000000-0005-0000-0000-0000B06D0000}"/>
    <cellStyle name="Normal 5 4 7 7 3" xfId="27912" xr:uid="{00000000-0005-0000-0000-0000B16D0000}"/>
    <cellStyle name="Normal 5 4 7 8" xfId="14614" xr:uid="{00000000-0005-0000-0000-0000B26D0000}"/>
    <cellStyle name="Normal 5 4 7 8 2" xfId="39488" xr:uid="{00000000-0005-0000-0000-0000B36D0000}"/>
    <cellStyle name="Normal 5 4 7 9" xfId="27047" xr:uid="{00000000-0005-0000-0000-0000B46D0000}"/>
    <cellStyle name="Normal 5 4 8" xfId="2067" xr:uid="{00000000-0005-0000-0000-0000B56D0000}"/>
    <cellStyle name="Normal 5 4 8 2" xfId="6132" xr:uid="{00000000-0005-0000-0000-0000B66D0000}"/>
    <cellStyle name="Normal 5 4 8 2 2" xfId="11147" xr:uid="{00000000-0005-0000-0000-0000B76D0000}"/>
    <cellStyle name="Normal 5 4 8 2 2 2" xfId="23590" xr:uid="{00000000-0005-0000-0000-0000B86D0000}"/>
    <cellStyle name="Normal 5 4 8 2 2 2 2" xfId="48464" xr:uid="{00000000-0005-0000-0000-0000B96D0000}"/>
    <cellStyle name="Normal 5 4 8 2 2 3" xfId="36031" xr:uid="{00000000-0005-0000-0000-0000BA6D0000}"/>
    <cellStyle name="Normal 5 4 8 2 3" xfId="18583" xr:uid="{00000000-0005-0000-0000-0000BB6D0000}"/>
    <cellStyle name="Normal 5 4 8 2 3 2" xfId="43457" xr:uid="{00000000-0005-0000-0000-0000BC6D0000}"/>
    <cellStyle name="Normal 5 4 8 2 4" xfId="31024" xr:uid="{00000000-0005-0000-0000-0000BD6D0000}"/>
    <cellStyle name="Normal 5 4 8 3" xfId="12601" xr:uid="{00000000-0005-0000-0000-0000BE6D0000}"/>
    <cellStyle name="Normal 5 4 8 3 2" xfId="25035" xr:uid="{00000000-0005-0000-0000-0000BF6D0000}"/>
    <cellStyle name="Normal 5 4 8 3 2 2" xfId="49909" xr:uid="{00000000-0005-0000-0000-0000C06D0000}"/>
    <cellStyle name="Normal 5 4 8 3 3" xfId="37476" xr:uid="{00000000-0005-0000-0000-0000C16D0000}"/>
    <cellStyle name="Normal 5 4 8 4" xfId="8927" xr:uid="{00000000-0005-0000-0000-0000C26D0000}"/>
    <cellStyle name="Normal 5 4 8 4 2" xfId="21370" xr:uid="{00000000-0005-0000-0000-0000C36D0000}"/>
    <cellStyle name="Normal 5 4 8 4 2 2" xfId="46244" xr:uid="{00000000-0005-0000-0000-0000C46D0000}"/>
    <cellStyle name="Normal 5 4 8 4 3" xfId="33811" xr:uid="{00000000-0005-0000-0000-0000C56D0000}"/>
    <cellStyle name="Normal 5 4 8 5" xfId="3909" xr:uid="{00000000-0005-0000-0000-0000C66D0000}"/>
    <cellStyle name="Normal 5 4 8 5 2" xfId="16363" xr:uid="{00000000-0005-0000-0000-0000C76D0000}"/>
    <cellStyle name="Normal 5 4 8 5 2 2" xfId="41237" xr:uid="{00000000-0005-0000-0000-0000C86D0000}"/>
    <cellStyle name="Normal 5 4 8 5 3" xfId="28804" xr:uid="{00000000-0005-0000-0000-0000C96D0000}"/>
    <cellStyle name="Normal 5 4 8 6" xfId="14786" xr:uid="{00000000-0005-0000-0000-0000CA6D0000}"/>
    <cellStyle name="Normal 5 4 8 6 2" xfId="39660" xr:uid="{00000000-0005-0000-0000-0000CB6D0000}"/>
    <cellStyle name="Normal 5 4 8 7" xfId="27219" xr:uid="{00000000-0005-0000-0000-0000CC6D0000}"/>
    <cellStyle name="Normal 5 4 9" xfId="943" xr:uid="{00000000-0005-0000-0000-0000CD6D0000}"/>
    <cellStyle name="Normal 5 4 9 2" xfId="11558" xr:uid="{00000000-0005-0000-0000-0000CE6D0000}"/>
    <cellStyle name="Normal 5 4 9 2 2" xfId="23992" xr:uid="{00000000-0005-0000-0000-0000CF6D0000}"/>
    <cellStyle name="Normal 5 4 9 2 2 2" xfId="48866" xr:uid="{00000000-0005-0000-0000-0000D06D0000}"/>
    <cellStyle name="Normal 5 4 9 2 3" xfId="36433" xr:uid="{00000000-0005-0000-0000-0000D16D0000}"/>
    <cellStyle name="Normal 5 4 9 3" xfId="10102" xr:uid="{00000000-0005-0000-0000-0000D26D0000}"/>
    <cellStyle name="Normal 5 4 9 3 2" xfId="22545" xr:uid="{00000000-0005-0000-0000-0000D36D0000}"/>
    <cellStyle name="Normal 5 4 9 3 2 2" xfId="47419" xr:uid="{00000000-0005-0000-0000-0000D46D0000}"/>
    <cellStyle name="Normal 5 4 9 3 3" xfId="34986" xr:uid="{00000000-0005-0000-0000-0000D56D0000}"/>
    <cellStyle name="Normal 5 4 9 4" xfId="5086" xr:uid="{00000000-0005-0000-0000-0000D66D0000}"/>
    <cellStyle name="Normal 5 4 9 4 2" xfId="17538" xr:uid="{00000000-0005-0000-0000-0000D76D0000}"/>
    <cellStyle name="Normal 5 4 9 4 2 2" xfId="42412" xr:uid="{00000000-0005-0000-0000-0000D86D0000}"/>
    <cellStyle name="Normal 5 4 9 4 3" xfId="29979" xr:uid="{00000000-0005-0000-0000-0000D96D0000}"/>
    <cellStyle name="Normal 5 4 9 5" xfId="13743" xr:uid="{00000000-0005-0000-0000-0000DA6D0000}"/>
    <cellStyle name="Normal 5 4 9 5 2" xfId="38617" xr:uid="{00000000-0005-0000-0000-0000DB6D0000}"/>
    <cellStyle name="Normal 5 4 9 6" xfId="26176" xr:uid="{00000000-0005-0000-0000-0000DC6D0000}"/>
    <cellStyle name="Normal 5 4_Degree data" xfId="2038" xr:uid="{00000000-0005-0000-0000-0000DD6D0000}"/>
    <cellStyle name="Normal 5 5" xfId="133" xr:uid="{00000000-0005-0000-0000-0000DE6D0000}"/>
    <cellStyle name="Normal 5 5 10" xfId="7696" xr:uid="{00000000-0005-0000-0000-0000DF6D0000}"/>
    <cellStyle name="Normal 5 5 10 2" xfId="20142" xr:uid="{00000000-0005-0000-0000-0000E06D0000}"/>
    <cellStyle name="Normal 5 5 10 2 2" xfId="45016" xr:uid="{00000000-0005-0000-0000-0000E16D0000}"/>
    <cellStyle name="Normal 5 5 10 3" xfId="32583" xr:uid="{00000000-0005-0000-0000-0000E26D0000}"/>
    <cellStyle name="Normal 5 5 11" xfId="11516" xr:uid="{00000000-0005-0000-0000-0000E36D0000}"/>
    <cellStyle name="Normal 5 5 11 2" xfId="23950" xr:uid="{00000000-0005-0000-0000-0000E46D0000}"/>
    <cellStyle name="Normal 5 5 11 2 2" xfId="48824" xr:uid="{00000000-0005-0000-0000-0000E56D0000}"/>
    <cellStyle name="Normal 5 5 11 3" xfId="36391" xr:uid="{00000000-0005-0000-0000-0000E66D0000}"/>
    <cellStyle name="Normal 5 5 12" xfId="6508" xr:uid="{00000000-0005-0000-0000-0000E76D0000}"/>
    <cellStyle name="Normal 5 5 12 2" xfId="18957" xr:uid="{00000000-0005-0000-0000-0000E86D0000}"/>
    <cellStyle name="Normal 5 5 12 2 2" xfId="43831" xr:uid="{00000000-0005-0000-0000-0000E96D0000}"/>
    <cellStyle name="Normal 5 5 12 3" xfId="31398" xr:uid="{00000000-0005-0000-0000-0000EA6D0000}"/>
    <cellStyle name="Normal 5 5 13" xfId="2616" xr:uid="{00000000-0005-0000-0000-0000EB6D0000}"/>
    <cellStyle name="Normal 5 5 13 2" xfId="15135" xr:uid="{00000000-0005-0000-0000-0000EC6D0000}"/>
    <cellStyle name="Normal 5 5 13 2 2" xfId="40009" xr:uid="{00000000-0005-0000-0000-0000ED6D0000}"/>
    <cellStyle name="Normal 5 5 13 3" xfId="27568" xr:uid="{00000000-0005-0000-0000-0000EE6D0000}"/>
    <cellStyle name="Normal 5 5 14" xfId="12963" xr:uid="{00000000-0005-0000-0000-0000EF6D0000}"/>
    <cellStyle name="Normal 5 5 14 2" xfId="37837" xr:uid="{00000000-0005-0000-0000-0000F06D0000}"/>
    <cellStyle name="Normal 5 5 15" xfId="25396" xr:uid="{00000000-0005-0000-0000-0000F16D0000}"/>
    <cellStyle name="Normal 5 5 2" xfId="321" xr:uid="{00000000-0005-0000-0000-0000F26D0000}"/>
    <cellStyle name="Normal 5 5 2 10" xfId="6551" xr:uid="{00000000-0005-0000-0000-0000F36D0000}"/>
    <cellStyle name="Normal 5 5 2 10 2" xfId="19000" xr:uid="{00000000-0005-0000-0000-0000F46D0000}"/>
    <cellStyle name="Normal 5 5 2 10 2 2" xfId="43874" xr:uid="{00000000-0005-0000-0000-0000F56D0000}"/>
    <cellStyle name="Normal 5 5 2 10 3" xfId="31441" xr:uid="{00000000-0005-0000-0000-0000F66D0000}"/>
    <cellStyle name="Normal 5 5 2 11" xfId="2719" xr:uid="{00000000-0005-0000-0000-0000F76D0000}"/>
    <cellStyle name="Normal 5 5 2 11 2" xfId="15237" xr:uid="{00000000-0005-0000-0000-0000F86D0000}"/>
    <cellStyle name="Normal 5 5 2 11 2 2" xfId="40111" xr:uid="{00000000-0005-0000-0000-0000F96D0000}"/>
    <cellStyle name="Normal 5 5 2 11 3" xfId="27670" xr:uid="{00000000-0005-0000-0000-0000FA6D0000}"/>
    <cellStyle name="Normal 5 5 2 12" xfId="13138" xr:uid="{00000000-0005-0000-0000-0000FB6D0000}"/>
    <cellStyle name="Normal 5 5 2 12 2" xfId="38012" xr:uid="{00000000-0005-0000-0000-0000FC6D0000}"/>
    <cellStyle name="Normal 5 5 2 13" xfId="25571" xr:uid="{00000000-0005-0000-0000-0000FD6D0000}"/>
    <cellStyle name="Normal 5 5 2 2" xfId="423" xr:uid="{00000000-0005-0000-0000-0000FE6D0000}"/>
    <cellStyle name="Normal 5 5 2 2 10" xfId="13238" xr:uid="{00000000-0005-0000-0000-0000FF6D0000}"/>
    <cellStyle name="Normal 5 5 2 2 10 2" xfId="38112" xr:uid="{00000000-0005-0000-0000-0000006E0000}"/>
    <cellStyle name="Normal 5 5 2 2 11" xfId="25671" xr:uid="{00000000-0005-0000-0000-0000016E0000}"/>
    <cellStyle name="Normal 5 5 2 2 2" xfId="783" xr:uid="{00000000-0005-0000-0000-0000026E0000}"/>
    <cellStyle name="Normal 5 5 2 2 2 2" xfId="1475" xr:uid="{00000000-0005-0000-0000-0000036E0000}"/>
    <cellStyle name="Normal 5 5 2 2 2 2 2" xfId="9579" xr:uid="{00000000-0005-0000-0000-0000046E0000}"/>
    <cellStyle name="Normal 5 5 2 2 2 2 2 2" xfId="22022" xr:uid="{00000000-0005-0000-0000-0000056E0000}"/>
    <cellStyle name="Normal 5 5 2 2 2 2 2 2 2" xfId="46896" xr:uid="{00000000-0005-0000-0000-0000066E0000}"/>
    <cellStyle name="Normal 5 5 2 2 2 2 2 3" xfId="34463" xr:uid="{00000000-0005-0000-0000-0000076E0000}"/>
    <cellStyle name="Normal 5 5 2 2 2 2 3" xfId="4561" xr:uid="{00000000-0005-0000-0000-0000086E0000}"/>
    <cellStyle name="Normal 5 5 2 2 2 2 3 2" xfId="17015" xr:uid="{00000000-0005-0000-0000-0000096E0000}"/>
    <cellStyle name="Normal 5 5 2 2 2 2 3 2 2" xfId="41889" xr:uid="{00000000-0005-0000-0000-00000A6E0000}"/>
    <cellStyle name="Normal 5 5 2 2 2 2 3 3" xfId="29456" xr:uid="{00000000-0005-0000-0000-00000B6E0000}"/>
    <cellStyle name="Normal 5 5 2 2 2 2 4" xfId="14275" xr:uid="{00000000-0005-0000-0000-00000C6E0000}"/>
    <cellStyle name="Normal 5 5 2 2 2 2 4 2" xfId="39149" xr:uid="{00000000-0005-0000-0000-00000D6E0000}"/>
    <cellStyle name="Normal 5 5 2 2 2 2 5" xfId="26708" xr:uid="{00000000-0005-0000-0000-00000E6E0000}"/>
    <cellStyle name="Normal 5 5 2 2 2 3" xfId="5620" xr:uid="{00000000-0005-0000-0000-00000F6E0000}"/>
    <cellStyle name="Normal 5 5 2 2 2 3 2" xfId="10636" xr:uid="{00000000-0005-0000-0000-0000106E0000}"/>
    <cellStyle name="Normal 5 5 2 2 2 3 2 2" xfId="23079" xr:uid="{00000000-0005-0000-0000-0000116E0000}"/>
    <cellStyle name="Normal 5 5 2 2 2 3 2 2 2" xfId="47953" xr:uid="{00000000-0005-0000-0000-0000126E0000}"/>
    <cellStyle name="Normal 5 5 2 2 2 3 2 3" xfId="35520" xr:uid="{00000000-0005-0000-0000-0000136E0000}"/>
    <cellStyle name="Normal 5 5 2 2 2 3 3" xfId="18072" xr:uid="{00000000-0005-0000-0000-0000146E0000}"/>
    <cellStyle name="Normal 5 5 2 2 2 3 3 2" xfId="42946" xr:uid="{00000000-0005-0000-0000-0000156E0000}"/>
    <cellStyle name="Normal 5 5 2 2 2 3 4" xfId="30513" xr:uid="{00000000-0005-0000-0000-0000166E0000}"/>
    <cellStyle name="Normal 5 5 2 2 2 4" xfId="8695" xr:uid="{00000000-0005-0000-0000-0000176E0000}"/>
    <cellStyle name="Normal 5 5 2 2 2 4 2" xfId="21139" xr:uid="{00000000-0005-0000-0000-0000186E0000}"/>
    <cellStyle name="Normal 5 5 2 2 2 4 2 2" xfId="46013" xr:uid="{00000000-0005-0000-0000-0000196E0000}"/>
    <cellStyle name="Normal 5 5 2 2 2 4 3" xfId="33580" xr:uid="{00000000-0005-0000-0000-00001A6E0000}"/>
    <cellStyle name="Normal 5 5 2 2 2 5" xfId="12090" xr:uid="{00000000-0005-0000-0000-00001B6E0000}"/>
    <cellStyle name="Normal 5 5 2 2 2 5 2" xfId="24524" xr:uid="{00000000-0005-0000-0000-00001C6E0000}"/>
    <cellStyle name="Normal 5 5 2 2 2 5 2 2" xfId="49398" xr:uid="{00000000-0005-0000-0000-00001D6E0000}"/>
    <cellStyle name="Normal 5 5 2 2 2 5 3" xfId="36965" xr:uid="{00000000-0005-0000-0000-00001E6E0000}"/>
    <cellStyle name="Normal 5 5 2 2 2 6" xfId="7172" xr:uid="{00000000-0005-0000-0000-00001F6E0000}"/>
    <cellStyle name="Normal 5 5 2 2 2 6 2" xfId="19621" xr:uid="{00000000-0005-0000-0000-0000206E0000}"/>
    <cellStyle name="Normal 5 5 2 2 2 6 2 2" xfId="44495" xr:uid="{00000000-0005-0000-0000-0000216E0000}"/>
    <cellStyle name="Normal 5 5 2 2 2 6 3" xfId="32062" xr:uid="{00000000-0005-0000-0000-0000226E0000}"/>
    <cellStyle name="Normal 5 5 2 2 2 7" xfId="3626" xr:uid="{00000000-0005-0000-0000-0000236E0000}"/>
    <cellStyle name="Normal 5 5 2 2 2 7 2" xfId="16132" xr:uid="{00000000-0005-0000-0000-0000246E0000}"/>
    <cellStyle name="Normal 5 5 2 2 2 7 2 2" xfId="41006" xr:uid="{00000000-0005-0000-0000-0000256E0000}"/>
    <cellStyle name="Normal 5 5 2 2 2 7 3" xfId="28565" xr:uid="{00000000-0005-0000-0000-0000266E0000}"/>
    <cellStyle name="Normal 5 5 2 2 2 8" xfId="13585" xr:uid="{00000000-0005-0000-0000-0000276E0000}"/>
    <cellStyle name="Normal 5 5 2 2 2 8 2" xfId="38459" xr:uid="{00000000-0005-0000-0000-0000286E0000}"/>
    <cellStyle name="Normal 5 5 2 2 2 9" xfId="26018" xr:uid="{00000000-0005-0000-0000-0000296E0000}"/>
    <cellStyle name="Normal 5 5 2 2 3" xfId="1823" xr:uid="{00000000-0005-0000-0000-00002A6E0000}"/>
    <cellStyle name="Normal 5 5 2 2 3 2" xfId="4967" xr:uid="{00000000-0005-0000-0000-00002B6E0000}"/>
    <cellStyle name="Normal 5 5 2 2 3 2 2" xfId="9984" xr:uid="{00000000-0005-0000-0000-00002C6E0000}"/>
    <cellStyle name="Normal 5 5 2 2 3 2 2 2" xfId="22427" xr:uid="{00000000-0005-0000-0000-00002D6E0000}"/>
    <cellStyle name="Normal 5 5 2 2 3 2 2 2 2" xfId="47301" xr:uid="{00000000-0005-0000-0000-00002E6E0000}"/>
    <cellStyle name="Normal 5 5 2 2 3 2 2 3" xfId="34868" xr:uid="{00000000-0005-0000-0000-00002F6E0000}"/>
    <cellStyle name="Normal 5 5 2 2 3 2 3" xfId="17420" xr:uid="{00000000-0005-0000-0000-0000306E0000}"/>
    <cellStyle name="Normal 5 5 2 2 3 2 3 2" xfId="42294" xr:uid="{00000000-0005-0000-0000-0000316E0000}"/>
    <cellStyle name="Normal 5 5 2 2 3 2 4" xfId="29861" xr:uid="{00000000-0005-0000-0000-0000326E0000}"/>
    <cellStyle name="Normal 5 5 2 2 3 3" xfId="5969" xr:uid="{00000000-0005-0000-0000-0000336E0000}"/>
    <cellStyle name="Normal 5 5 2 2 3 3 2" xfId="10984" xr:uid="{00000000-0005-0000-0000-0000346E0000}"/>
    <cellStyle name="Normal 5 5 2 2 3 3 2 2" xfId="23427" xr:uid="{00000000-0005-0000-0000-0000356E0000}"/>
    <cellStyle name="Normal 5 5 2 2 3 3 2 2 2" xfId="48301" xr:uid="{00000000-0005-0000-0000-0000366E0000}"/>
    <cellStyle name="Normal 5 5 2 2 3 3 2 3" xfId="35868" xr:uid="{00000000-0005-0000-0000-0000376E0000}"/>
    <cellStyle name="Normal 5 5 2 2 3 3 3" xfId="18420" xr:uid="{00000000-0005-0000-0000-0000386E0000}"/>
    <cellStyle name="Normal 5 5 2 2 3 3 3 2" xfId="43294" xr:uid="{00000000-0005-0000-0000-0000396E0000}"/>
    <cellStyle name="Normal 5 5 2 2 3 3 4" xfId="30861" xr:uid="{00000000-0005-0000-0000-00003A6E0000}"/>
    <cellStyle name="Normal 5 5 2 2 3 4" xfId="8391" xr:uid="{00000000-0005-0000-0000-00003B6E0000}"/>
    <cellStyle name="Normal 5 5 2 2 3 4 2" xfId="20835" xr:uid="{00000000-0005-0000-0000-00003C6E0000}"/>
    <cellStyle name="Normal 5 5 2 2 3 4 2 2" xfId="45709" xr:uid="{00000000-0005-0000-0000-00003D6E0000}"/>
    <cellStyle name="Normal 5 5 2 2 3 4 3" xfId="33276" xr:uid="{00000000-0005-0000-0000-00003E6E0000}"/>
    <cellStyle name="Normal 5 5 2 2 3 5" xfId="12438" xr:uid="{00000000-0005-0000-0000-00003F6E0000}"/>
    <cellStyle name="Normal 5 5 2 2 3 5 2" xfId="24872" xr:uid="{00000000-0005-0000-0000-0000406E0000}"/>
    <cellStyle name="Normal 5 5 2 2 3 5 2 2" xfId="49746" xr:uid="{00000000-0005-0000-0000-0000416E0000}"/>
    <cellStyle name="Normal 5 5 2 2 3 5 3" xfId="37313" xr:uid="{00000000-0005-0000-0000-0000426E0000}"/>
    <cellStyle name="Normal 5 5 2 2 3 6" xfId="7578" xr:uid="{00000000-0005-0000-0000-0000436E0000}"/>
    <cellStyle name="Normal 5 5 2 2 3 6 2" xfId="20026" xr:uid="{00000000-0005-0000-0000-0000446E0000}"/>
    <cellStyle name="Normal 5 5 2 2 3 6 2 2" xfId="44900" xr:uid="{00000000-0005-0000-0000-0000456E0000}"/>
    <cellStyle name="Normal 5 5 2 2 3 6 3" xfId="32467" xr:uid="{00000000-0005-0000-0000-0000466E0000}"/>
    <cellStyle name="Normal 5 5 2 2 3 7" xfId="3322" xr:uid="{00000000-0005-0000-0000-0000476E0000}"/>
    <cellStyle name="Normal 5 5 2 2 3 7 2" xfId="15828" xr:uid="{00000000-0005-0000-0000-0000486E0000}"/>
    <cellStyle name="Normal 5 5 2 2 3 7 2 2" xfId="40702" xr:uid="{00000000-0005-0000-0000-0000496E0000}"/>
    <cellStyle name="Normal 5 5 2 2 3 7 3" xfId="28261" xr:uid="{00000000-0005-0000-0000-00004A6E0000}"/>
    <cellStyle name="Normal 5 5 2 2 3 8" xfId="14623" xr:uid="{00000000-0005-0000-0000-00004B6E0000}"/>
    <cellStyle name="Normal 5 5 2 2 3 8 2" xfId="39497" xr:uid="{00000000-0005-0000-0000-00004C6E0000}"/>
    <cellStyle name="Normal 5 5 2 2 3 9" xfId="27056" xr:uid="{00000000-0005-0000-0000-00004D6E0000}"/>
    <cellStyle name="Normal 5 5 2 2 4" xfId="2341" xr:uid="{00000000-0005-0000-0000-00004E6E0000}"/>
    <cellStyle name="Normal 5 5 2 2 4 2" xfId="6365" xr:uid="{00000000-0005-0000-0000-00004F6E0000}"/>
    <cellStyle name="Normal 5 5 2 2 4 2 2" xfId="11380" xr:uid="{00000000-0005-0000-0000-0000506E0000}"/>
    <cellStyle name="Normal 5 5 2 2 4 2 2 2" xfId="23823" xr:uid="{00000000-0005-0000-0000-0000516E0000}"/>
    <cellStyle name="Normal 5 5 2 2 4 2 2 2 2" xfId="48697" xr:uid="{00000000-0005-0000-0000-0000526E0000}"/>
    <cellStyle name="Normal 5 5 2 2 4 2 2 3" xfId="36264" xr:uid="{00000000-0005-0000-0000-0000536E0000}"/>
    <cellStyle name="Normal 5 5 2 2 4 2 3" xfId="18816" xr:uid="{00000000-0005-0000-0000-0000546E0000}"/>
    <cellStyle name="Normal 5 5 2 2 4 2 3 2" xfId="43690" xr:uid="{00000000-0005-0000-0000-0000556E0000}"/>
    <cellStyle name="Normal 5 5 2 2 4 2 4" xfId="31257" xr:uid="{00000000-0005-0000-0000-0000566E0000}"/>
    <cellStyle name="Normal 5 5 2 2 4 3" xfId="12834" xr:uid="{00000000-0005-0000-0000-0000576E0000}"/>
    <cellStyle name="Normal 5 5 2 2 4 3 2" xfId="25268" xr:uid="{00000000-0005-0000-0000-0000586E0000}"/>
    <cellStyle name="Normal 5 5 2 2 4 3 2 2" xfId="50142" xr:uid="{00000000-0005-0000-0000-0000596E0000}"/>
    <cellStyle name="Normal 5 5 2 2 4 3 3" xfId="37709" xr:uid="{00000000-0005-0000-0000-00005A6E0000}"/>
    <cellStyle name="Normal 5 5 2 2 4 4" xfId="9275" xr:uid="{00000000-0005-0000-0000-00005B6E0000}"/>
    <cellStyle name="Normal 5 5 2 2 4 4 2" xfId="21718" xr:uid="{00000000-0005-0000-0000-00005C6E0000}"/>
    <cellStyle name="Normal 5 5 2 2 4 4 2 2" xfId="46592" xr:uid="{00000000-0005-0000-0000-00005D6E0000}"/>
    <cellStyle name="Normal 5 5 2 2 4 4 3" xfId="34159" xr:uid="{00000000-0005-0000-0000-00005E6E0000}"/>
    <cellStyle name="Normal 5 5 2 2 4 5" xfId="4257" xr:uid="{00000000-0005-0000-0000-00005F6E0000}"/>
    <cellStyle name="Normal 5 5 2 2 4 5 2" xfId="16711" xr:uid="{00000000-0005-0000-0000-0000606E0000}"/>
    <cellStyle name="Normal 5 5 2 2 4 5 2 2" xfId="41585" xr:uid="{00000000-0005-0000-0000-0000616E0000}"/>
    <cellStyle name="Normal 5 5 2 2 4 5 3" xfId="29152" xr:uid="{00000000-0005-0000-0000-0000626E0000}"/>
    <cellStyle name="Normal 5 5 2 2 4 6" xfId="15019" xr:uid="{00000000-0005-0000-0000-0000636E0000}"/>
    <cellStyle name="Normal 5 5 2 2 4 6 2" xfId="39893" xr:uid="{00000000-0005-0000-0000-0000646E0000}"/>
    <cellStyle name="Normal 5 5 2 2 4 7" xfId="27452" xr:uid="{00000000-0005-0000-0000-0000656E0000}"/>
    <cellStyle name="Normal 5 5 2 2 5" xfId="1176" xr:uid="{00000000-0005-0000-0000-0000666E0000}"/>
    <cellStyle name="Normal 5 5 2 2 5 2" xfId="10337" xr:uid="{00000000-0005-0000-0000-0000676E0000}"/>
    <cellStyle name="Normal 5 5 2 2 5 2 2" xfId="22780" xr:uid="{00000000-0005-0000-0000-0000686E0000}"/>
    <cellStyle name="Normal 5 5 2 2 5 2 2 2" xfId="47654" xr:uid="{00000000-0005-0000-0000-0000696E0000}"/>
    <cellStyle name="Normal 5 5 2 2 5 2 3" xfId="35221" xr:uid="{00000000-0005-0000-0000-00006A6E0000}"/>
    <cellStyle name="Normal 5 5 2 2 5 3" xfId="5321" xr:uid="{00000000-0005-0000-0000-00006B6E0000}"/>
    <cellStyle name="Normal 5 5 2 2 5 3 2" xfId="17773" xr:uid="{00000000-0005-0000-0000-00006C6E0000}"/>
    <cellStyle name="Normal 5 5 2 2 5 3 2 2" xfId="42647" xr:uid="{00000000-0005-0000-0000-00006D6E0000}"/>
    <cellStyle name="Normal 5 5 2 2 5 3 3" xfId="30214" xr:uid="{00000000-0005-0000-0000-00006E6E0000}"/>
    <cellStyle name="Normal 5 5 2 2 5 4" xfId="13976" xr:uid="{00000000-0005-0000-0000-00006F6E0000}"/>
    <cellStyle name="Normal 5 5 2 2 5 4 2" xfId="38850" xr:uid="{00000000-0005-0000-0000-0000706E0000}"/>
    <cellStyle name="Normal 5 5 2 2 5 5" xfId="26409" xr:uid="{00000000-0005-0000-0000-0000716E0000}"/>
    <cellStyle name="Normal 5 5 2 2 6" xfId="7898" xr:uid="{00000000-0005-0000-0000-0000726E0000}"/>
    <cellStyle name="Normal 5 5 2 2 6 2" xfId="20344" xr:uid="{00000000-0005-0000-0000-0000736E0000}"/>
    <cellStyle name="Normal 5 5 2 2 6 2 2" xfId="45218" xr:uid="{00000000-0005-0000-0000-0000746E0000}"/>
    <cellStyle name="Normal 5 5 2 2 6 3" xfId="32785" xr:uid="{00000000-0005-0000-0000-0000756E0000}"/>
    <cellStyle name="Normal 5 5 2 2 7" xfId="11791" xr:uid="{00000000-0005-0000-0000-0000766E0000}"/>
    <cellStyle name="Normal 5 5 2 2 7 2" xfId="24225" xr:uid="{00000000-0005-0000-0000-0000776E0000}"/>
    <cellStyle name="Normal 5 5 2 2 7 2 2" xfId="49099" xr:uid="{00000000-0005-0000-0000-0000786E0000}"/>
    <cellStyle name="Normal 5 5 2 2 7 3" xfId="36666" xr:uid="{00000000-0005-0000-0000-0000796E0000}"/>
    <cellStyle name="Normal 5 5 2 2 8" xfId="6868" xr:uid="{00000000-0005-0000-0000-00007A6E0000}"/>
    <cellStyle name="Normal 5 5 2 2 8 2" xfId="19317" xr:uid="{00000000-0005-0000-0000-00007B6E0000}"/>
    <cellStyle name="Normal 5 5 2 2 8 2 2" xfId="44191" xr:uid="{00000000-0005-0000-0000-00007C6E0000}"/>
    <cellStyle name="Normal 5 5 2 2 8 3" xfId="31758" xr:uid="{00000000-0005-0000-0000-00007D6E0000}"/>
    <cellStyle name="Normal 5 5 2 2 9" xfId="2819" xr:uid="{00000000-0005-0000-0000-00007E6E0000}"/>
    <cellStyle name="Normal 5 5 2 2 9 2" xfId="15337" xr:uid="{00000000-0005-0000-0000-00007F6E0000}"/>
    <cellStyle name="Normal 5 5 2 2 9 2 2" xfId="40211" xr:uid="{00000000-0005-0000-0000-0000806E0000}"/>
    <cellStyle name="Normal 5 5 2 2 9 3" xfId="27770" xr:uid="{00000000-0005-0000-0000-0000816E0000}"/>
    <cellStyle name="Normal 5 5 2 2_Degree data" xfId="2069" xr:uid="{00000000-0005-0000-0000-0000826E0000}"/>
    <cellStyle name="Normal 5 5 2 3" xfId="682" xr:uid="{00000000-0005-0000-0000-0000836E0000}"/>
    <cellStyle name="Normal 5 5 2 3 2" xfId="1474" xr:uid="{00000000-0005-0000-0000-0000846E0000}"/>
    <cellStyle name="Normal 5 5 2 3 2 2" xfId="9175" xr:uid="{00000000-0005-0000-0000-0000856E0000}"/>
    <cellStyle name="Normal 5 5 2 3 2 2 2" xfId="21618" xr:uid="{00000000-0005-0000-0000-0000866E0000}"/>
    <cellStyle name="Normal 5 5 2 3 2 2 2 2" xfId="46492" xr:uid="{00000000-0005-0000-0000-0000876E0000}"/>
    <cellStyle name="Normal 5 5 2 3 2 2 3" xfId="34059" xr:uid="{00000000-0005-0000-0000-0000886E0000}"/>
    <cellStyle name="Normal 5 5 2 3 2 3" xfId="4157" xr:uid="{00000000-0005-0000-0000-0000896E0000}"/>
    <cellStyle name="Normal 5 5 2 3 2 3 2" xfId="16611" xr:uid="{00000000-0005-0000-0000-00008A6E0000}"/>
    <cellStyle name="Normal 5 5 2 3 2 3 2 2" xfId="41485" xr:uid="{00000000-0005-0000-0000-00008B6E0000}"/>
    <cellStyle name="Normal 5 5 2 3 2 3 3" xfId="29052" xr:uid="{00000000-0005-0000-0000-00008C6E0000}"/>
    <cellStyle name="Normal 5 5 2 3 2 4" xfId="14274" xr:uid="{00000000-0005-0000-0000-00008D6E0000}"/>
    <cellStyle name="Normal 5 5 2 3 2 4 2" xfId="39148" xr:uid="{00000000-0005-0000-0000-00008E6E0000}"/>
    <cellStyle name="Normal 5 5 2 3 2 5" xfId="26707" xr:uid="{00000000-0005-0000-0000-00008F6E0000}"/>
    <cellStyle name="Normal 5 5 2 3 3" xfId="5619" xr:uid="{00000000-0005-0000-0000-0000906E0000}"/>
    <cellStyle name="Normal 5 5 2 3 3 2" xfId="10635" xr:uid="{00000000-0005-0000-0000-0000916E0000}"/>
    <cellStyle name="Normal 5 5 2 3 3 2 2" xfId="23078" xr:uid="{00000000-0005-0000-0000-0000926E0000}"/>
    <cellStyle name="Normal 5 5 2 3 3 2 2 2" xfId="47952" xr:uid="{00000000-0005-0000-0000-0000936E0000}"/>
    <cellStyle name="Normal 5 5 2 3 3 2 3" xfId="35519" xr:uid="{00000000-0005-0000-0000-0000946E0000}"/>
    <cellStyle name="Normal 5 5 2 3 3 3" xfId="18071" xr:uid="{00000000-0005-0000-0000-0000956E0000}"/>
    <cellStyle name="Normal 5 5 2 3 3 3 2" xfId="42945" xr:uid="{00000000-0005-0000-0000-0000966E0000}"/>
    <cellStyle name="Normal 5 5 2 3 3 4" xfId="30512" xr:uid="{00000000-0005-0000-0000-0000976E0000}"/>
    <cellStyle name="Normal 5 5 2 3 4" xfId="8291" xr:uid="{00000000-0005-0000-0000-0000986E0000}"/>
    <cellStyle name="Normal 5 5 2 3 4 2" xfId="20735" xr:uid="{00000000-0005-0000-0000-0000996E0000}"/>
    <cellStyle name="Normal 5 5 2 3 4 2 2" xfId="45609" xr:uid="{00000000-0005-0000-0000-00009A6E0000}"/>
    <cellStyle name="Normal 5 5 2 3 4 3" xfId="33176" xr:uid="{00000000-0005-0000-0000-00009B6E0000}"/>
    <cellStyle name="Normal 5 5 2 3 5" xfId="12089" xr:uid="{00000000-0005-0000-0000-00009C6E0000}"/>
    <cellStyle name="Normal 5 5 2 3 5 2" xfId="24523" xr:uid="{00000000-0005-0000-0000-00009D6E0000}"/>
    <cellStyle name="Normal 5 5 2 3 5 2 2" xfId="49397" xr:uid="{00000000-0005-0000-0000-00009E6E0000}"/>
    <cellStyle name="Normal 5 5 2 3 5 3" xfId="36964" xr:uid="{00000000-0005-0000-0000-00009F6E0000}"/>
    <cellStyle name="Normal 5 5 2 3 6" xfId="6768" xr:uid="{00000000-0005-0000-0000-0000A06E0000}"/>
    <cellStyle name="Normal 5 5 2 3 6 2" xfId="19217" xr:uid="{00000000-0005-0000-0000-0000A16E0000}"/>
    <cellStyle name="Normal 5 5 2 3 6 2 2" xfId="44091" xr:uid="{00000000-0005-0000-0000-0000A26E0000}"/>
    <cellStyle name="Normal 5 5 2 3 6 3" xfId="31658" xr:uid="{00000000-0005-0000-0000-0000A36E0000}"/>
    <cellStyle name="Normal 5 5 2 3 7" xfId="3222" xr:uid="{00000000-0005-0000-0000-0000A46E0000}"/>
    <cellStyle name="Normal 5 5 2 3 7 2" xfId="15728" xr:uid="{00000000-0005-0000-0000-0000A56E0000}"/>
    <cellStyle name="Normal 5 5 2 3 7 2 2" xfId="40602" xr:uid="{00000000-0005-0000-0000-0000A66E0000}"/>
    <cellStyle name="Normal 5 5 2 3 7 3" xfId="28161" xr:uid="{00000000-0005-0000-0000-0000A76E0000}"/>
    <cellStyle name="Normal 5 5 2 3 8" xfId="13485" xr:uid="{00000000-0005-0000-0000-0000A86E0000}"/>
    <cellStyle name="Normal 5 5 2 3 8 2" xfId="38359" xr:uid="{00000000-0005-0000-0000-0000A96E0000}"/>
    <cellStyle name="Normal 5 5 2 3 9" xfId="25918" xr:uid="{00000000-0005-0000-0000-0000AA6E0000}"/>
    <cellStyle name="Normal 5 5 2 4" xfId="1822" xr:uid="{00000000-0005-0000-0000-0000AB6E0000}"/>
    <cellStyle name="Normal 5 5 2 4 2" xfId="4560" xr:uid="{00000000-0005-0000-0000-0000AC6E0000}"/>
    <cellStyle name="Normal 5 5 2 4 2 2" xfId="9578" xr:uid="{00000000-0005-0000-0000-0000AD6E0000}"/>
    <cellStyle name="Normal 5 5 2 4 2 2 2" xfId="22021" xr:uid="{00000000-0005-0000-0000-0000AE6E0000}"/>
    <cellStyle name="Normal 5 5 2 4 2 2 2 2" xfId="46895" xr:uid="{00000000-0005-0000-0000-0000AF6E0000}"/>
    <cellStyle name="Normal 5 5 2 4 2 2 3" xfId="34462" xr:uid="{00000000-0005-0000-0000-0000B06E0000}"/>
    <cellStyle name="Normal 5 5 2 4 2 3" xfId="17014" xr:uid="{00000000-0005-0000-0000-0000B16E0000}"/>
    <cellStyle name="Normal 5 5 2 4 2 3 2" xfId="41888" xr:uid="{00000000-0005-0000-0000-0000B26E0000}"/>
    <cellStyle name="Normal 5 5 2 4 2 4" xfId="29455" xr:uid="{00000000-0005-0000-0000-0000B36E0000}"/>
    <cellStyle name="Normal 5 5 2 4 3" xfId="5968" xr:uid="{00000000-0005-0000-0000-0000B46E0000}"/>
    <cellStyle name="Normal 5 5 2 4 3 2" xfId="10983" xr:uid="{00000000-0005-0000-0000-0000B56E0000}"/>
    <cellStyle name="Normal 5 5 2 4 3 2 2" xfId="23426" xr:uid="{00000000-0005-0000-0000-0000B66E0000}"/>
    <cellStyle name="Normal 5 5 2 4 3 2 2 2" xfId="48300" xr:uid="{00000000-0005-0000-0000-0000B76E0000}"/>
    <cellStyle name="Normal 5 5 2 4 3 2 3" xfId="35867" xr:uid="{00000000-0005-0000-0000-0000B86E0000}"/>
    <cellStyle name="Normal 5 5 2 4 3 3" xfId="18419" xr:uid="{00000000-0005-0000-0000-0000B96E0000}"/>
    <cellStyle name="Normal 5 5 2 4 3 3 2" xfId="43293" xr:uid="{00000000-0005-0000-0000-0000BA6E0000}"/>
    <cellStyle name="Normal 5 5 2 4 3 4" xfId="30860" xr:uid="{00000000-0005-0000-0000-0000BB6E0000}"/>
    <cellStyle name="Normal 5 5 2 4 4" xfId="8694" xr:uid="{00000000-0005-0000-0000-0000BC6E0000}"/>
    <cellStyle name="Normal 5 5 2 4 4 2" xfId="21138" xr:uid="{00000000-0005-0000-0000-0000BD6E0000}"/>
    <cellStyle name="Normal 5 5 2 4 4 2 2" xfId="46012" xr:uid="{00000000-0005-0000-0000-0000BE6E0000}"/>
    <cellStyle name="Normal 5 5 2 4 4 3" xfId="33579" xr:uid="{00000000-0005-0000-0000-0000BF6E0000}"/>
    <cellStyle name="Normal 5 5 2 4 5" xfId="12437" xr:uid="{00000000-0005-0000-0000-0000C06E0000}"/>
    <cellStyle name="Normal 5 5 2 4 5 2" xfId="24871" xr:uid="{00000000-0005-0000-0000-0000C16E0000}"/>
    <cellStyle name="Normal 5 5 2 4 5 2 2" xfId="49745" xr:uid="{00000000-0005-0000-0000-0000C26E0000}"/>
    <cellStyle name="Normal 5 5 2 4 5 3" xfId="37312" xr:uid="{00000000-0005-0000-0000-0000C36E0000}"/>
    <cellStyle name="Normal 5 5 2 4 6" xfId="7171" xr:uid="{00000000-0005-0000-0000-0000C46E0000}"/>
    <cellStyle name="Normal 5 5 2 4 6 2" xfId="19620" xr:uid="{00000000-0005-0000-0000-0000C56E0000}"/>
    <cellStyle name="Normal 5 5 2 4 6 2 2" xfId="44494" xr:uid="{00000000-0005-0000-0000-0000C66E0000}"/>
    <cellStyle name="Normal 5 5 2 4 6 3" xfId="32061" xr:uid="{00000000-0005-0000-0000-0000C76E0000}"/>
    <cellStyle name="Normal 5 5 2 4 7" xfId="3625" xr:uid="{00000000-0005-0000-0000-0000C86E0000}"/>
    <cellStyle name="Normal 5 5 2 4 7 2" xfId="16131" xr:uid="{00000000-0005-0000-0000-0000C96E0000}"/>
    <cellStyle name="Normal 5 5 2 4 7 2 2" xfId="41005" xr:uid="{00000000-0005-0000-0000-0000CA6E0000}"/>
    <cellStyle name="Normal 5 5 2 4 7 3" xfId="28564" xr:uid="{00000000-0005-0000-0000-0000CB6E0000}"/>
    <cellStyle name="Normal 5 5 2 4 8" xfId="14622" xr:uid="{00000000-0005-0000-0000-0000CC6E0000}"/>
    <cellStyle name="Normal 5 5 2 4 8 2" xfId="39496" xr:uid="{00000000-0005-0000-0000-0000CD6E0000}"/>
    <cellStyle name="Normal 5 5 2 4 9" xfId="27055" xr:uid="{00000000-0005-0000-0000-0000CE6E0000}"/>
    <cellStyle name="Normal 5 5 2 5" xfId="2239" xr:uid="{00000000-0005-0000-0000-0000CF6E0000}"/>
    <cellStyle name="Normal 5 5 2 5 2" xfId="4867" xr:uid="{00000000-0005-0000-0000-0000D06E0000}"/>
    <cellStyle name="Normal 5 5 2 5 2 2" xfId="9884" xr:uid="{00000000-0005-0000-0000-0000D16E0000}"/>
    <cellStyle name="Normal 5 5 2 5 2 2 2" xfId="22327" xr:uid="{00000000-0005-0000-0000-0000D26E0000}"/>
    <cellStyle name="Normal 5 5 2 5 2 2 2 2" xfId="47201" xr:uid="{00000000-0005-0000-0000-0000D36E0000}"/>
    <cellStyle name="Normal 5 5 2 5 2 2 3" xfId="34768" xr:uid="{00000000-0005-0000-0000-0000D46E0000}"/>
    <cellStyle name="Normal 5 5 2 5 2 3" xfId="17320" xr:uid="{00000000-0005-0000-0000-0000D56E0000}"/>
    <cellStyle name="Normal 5 5 2 5 2 3 2" xfId="42194" xr:uid="{00000000-0005-0000-0000-0000D66E0000}"/>
    <cellStyle name="Normal 5 5 2 5 2 4" xfId="29761" xr:uid="{00000000-0005-0000-0000-0000D76E0000}"/>
    <cellStyle name="Normal 5 5 2 5 3" xfId="6265" xr:uid="{00000000-0005-0000-0000-0000D86E0000}"/>
    <cellStyle name="Normal 5 5 2 5 3 2" xfId="11280" xr:uid="{00000000-0005-0000-0000-0000D96E0000}"/>
    <cellStyle name="Normal 5 5 2 5 3 2 2" xfId="23723" xr:uid="{00000000-0005-0000-0000-0000DA6E0000}"/>
    <cellStyle name="Normal 5 5 2 5 3 2 2 2" xfId="48597" xr:uid="{00000000-0005-0000-0000-0000DB6E0000}"/>
    <cellStyle name="Normal 5 5 2 5 3 2 3" xfId="36164" xr:uid="{00000000-0005-0000-0000-0000DC6E0000}"/>
    <cellStyle name="Normal 5 5 2 5 3 3" xfId="18716" xr:uid="{00000000-0005-0000-0000-0000DD6E0000}"/>
    <cellStyle name="Normal 5 5 2 5 3 3 2" xfId="43590" xr:uid="{00000000-0005-0000-0000-0000DE6E0000}"/>
    <cellStyle name="Normal 5 5 2 5 3 4" xfId="31157" xr:uid="{00000000-0005-0000-0000-0000DF6E0000}"/>
    <cellStyle name="Normal 5 5 2 5 4" xfId="8072" xr:uid="{00000000-0005-0000-0000-0000E06E0000}"/>
    <cellStyle name="Normal 5 5 2 5 4 2" xfId="20518" xr:uid="{00000000-0005-0000-0000-0000E16E0000}"/>
    <cellStyle name="Normal 5 5 2 5 4 2 2" xfId="45392" xr:uid="{00000000-0005-0000-0000-0000E26E0000}"/>
    <cellStyle name="Normal 5 5 2 5 4 3" xfId="32959" xr:uid="{00000000-0005-0000-0000-0000E36E0000}"/>
    <cellStyle name="Normal 5 5 2 5 5" xfId="12734" xr:uid="{00000000-0005-0000-0000-0000E46E0000}"/>
    <cellStyle name="Normal 5 5 2 5 5 2" xfId="25168" xr:uid="{00000000-0005-0000-0000-0000E56E0000}"/>
    <cellStyle name="Normal 5 5 2 5 5 2 2" xfId="50042" xr:uid="{00000000-0005-0000-0000-0000E66E0000}"/>
    <cellStyle name="Normal 5 5 2 5 5 3" xfId="37609" xr:uid="{00000000-0005-0000-0000-0000E76E0000}"/>
    <cellStyle name="Normal 5 5 2 5 6" xfId="7478" xr:uid="{00000000-0005-0000-0000-0000E86E0000}"/>
    <cellStyle name="Normal 5 5 2 5 6 2" xfId="19926" xr:uid="{00000000-0005-0000-0000-0000E96E0000}"/>
    <cellStyle name="Normal 5 5 2 5 6 2 2" xfId="44800" xr:uid="{00000000-0005-0000-0000-0000EA6E0000}"/>
    <cellStyle name="Normal 5 5 2 5 6 3" xfId="32367" xr:uid="{00000000-0005-0000-0000-0000EB6E0000}"/>
    <cellStyle name="Normal 5 5 2 5 7" xfId="3001" xr:uid="{00000000-0005-0000-0000-0000EC6E0000}"/>
    <cellStyle name="Normal 5 5 2 5 7 2" xfId="15511" xr:uid="{00000000-0005-0000-0000-0000ED6E0000}"/>
    <cellStyle name="Normal 5 5 2 5 7 2 2" xfId="40385" xr:uid="{00000000-0005-0000-0000-0000EE6E0000}"/>
    <cellStyle name="Normal 5 5 2 5 7 3" xfId="27944" xr:uid="{00000000-0005-0000-0000-0000EF6E0000}"/>
    <cellStyle name="Normal 5 5 2 5 8" xfId="14919" xr:uid="{00000000-0005-0000-0000-0000F06E0000}"/>
    <cellStyle name="Normal 5 5 2 5 8 2" xfId="39793" xr:uid="{00000000-0005-0000-0000-0000F16E0000}"/>
    <cellStyle name="Normal 5 5 2 5 9" xfId="27352" xr:uid="{00000000-0005-0000-0000-0000F26E0000}"/>
    <cellStyle name="Normal 5 5 2 6" xfId="1076" xr:uid="{00000000-0005-0000-0000-0000F36E0000}"/>
    <cellStyle name="Normal 5 5 2 6 2" xfId="8958" xr:uid="{00000000-0005-0000-0000-0000F46E0000}"/>
    <cellStyle name="Normal 5 5 2 6 2 2" xfId="21401" xr:uid="{00000000-0005-0000-0000-0000F56E0000}"/>
    <cellStyle name="Normal 5 5 2 6 2 2 2" xfId="46275" xr:uid="{00000000-0005-0000-0000-0000F66E0000}"/>
    <cellStyle name="Normal 5 5 2 6 2 3" xfId="33842" xr:uid="{00000000-0005-0000-0000-0000F76E0000}"/>
    <cellStyle name="Normal 5 5 2 6 3" xfId="3940" xr:uid="{00000000-0005-0000-0000-0000F86E0000}"/>
    <cellStyle name="Normal 5 5 2 6 3 2" xfId="16394" xr:uid="{00000000-0005-0000-0000-0000F96E0000}"/>
    <cellStyle name="Normal 5 5 2 6 3 2 2" xfId="41268" xr:uid="{00000000-0005-0000-0000-0000FA6E0000}"/>
    <cellStyle name="Normal 5 5 2 6 3 3" xfId="28835" xr:uid="{00000000-0005-0000-0000-0000FB6E0000}"/>
    <cellStyle name="Normal 5 5 2 6 4" xfId="13876" xr:uid="{00000000-0005-0000-0000-0000FC6E0000}"/>
    <cellStyle name="Normal 5 5 2 6 4 2" xfId="38750" xr:uid="{00000000-0005-0000-0000-0000FD6E0000}"/>
    <cellStyle name="Normal 5 5 2 6 5" xfId="26309" xr:uid="{00000000-0005-0000-0000-0000FE6E0000}"/>
    <cellStyle name="Normal 5 5 2 7" xfId="5221" xr:uid="{00000000-0005-0000-0000-0000FF6E0000}"/>
    <cellStyle name="Normal 5 5 2 7 2" xfId="10237" xr:uid="{00000000-0005-0000-0000-0000006F0000}"/>
    <cellStyle name="Normal 5 5 2 7 2 2" xfId="22680" xr:uid="{00000000-0005-0000-0000-0000016F0000}"/>
    <cellStyle name="Normal 5 5 2 7 2 2 2" xfId="47554" xr:uid="{00000000-0005-0000-0000-0000026F0000}"/>
    <cellStyle name="Normal 5 5 2 7 2 3" xfId="35121" xr:uid="{00000000-0005-0000-0000-0000036F0000}"/>
    <cellStyle name="Normal 5 5 2 7 3" xfId="17673" xr:uid="{00000000-0005-0000-0000-0000046F0000}"/>
    <cellStyle name="Normal 5 5 2 7 3 2" xfId="42547" xr:uid="{00000000-0005-0000-0000-0000056F0000}"/>
    <cellStyle name="Normal 5 5 2 7 4" xfId="30114" xr:uid="{00000000-0005-0000-0000-0000066F0000}"/>
    <cellStyle name="Normal 5 5 2 8" xfId="7798" xr:uid="{00000000-0005-0000-0000-0000076F0000}"/>
    <cellStyle name="Normal 5 5 2 8 2" xfId="20244" xr:uid="{00000000-0005-0000-0000-0000086F0000}"/>
    <cellStyle name="Normal 5 5 2 8 2 2" xfId="45118" xr:uid="{00000000-0005-0000-0000-0000096F0000}"/>
    <cellStyle name="Normal 5 5 2 8 3" xfId="32685" xr:uid="{00000000-0005-0000-0000-00000A6F0000}"/>
    <cellStyle name="Normal 5 5 2 9" xfId="11691" xr:uid="{00000000-0005-0000-0000-00000B6F0000}"/>
    <cellStyle name="Normal 5 5 2 9 2" xfId="24125" xr:uid="{00000000-0005-0000-0000-00000C6F0000}"/>
    <cellStyle name="Normal 5 5 2 9 2 2" xfId="48999" xr:uid="{00000000-0005-0000-0000-00000D6F0000}"/>
    <cellStyle name="Normal 5 5 2 9 3" xfId="36566" xr:uid="{00000000-0005-0000-0000-00000E6F0000}"/>
    <cellStyle name="Normal 5 5 2_Degree data" xfId="1972" xr:uid="{00000000-0005-0000-0000-00000F6F0000}"/>
    <cellStyle name="Normal 5 5 3" xfId="276" xr:uid="{00000000-0005-0000-0000-0000106F0000}"/>
    <cellStyle name="Normal 5 5 3 10" xfId="6613" xr:uid="{00000000-0005-0000-0000-0000116F0000}"/>
    <cellStyle name="Normal 5 5 3 10 2" xfId="19062" xr:uid="{00000000-0005-0000-0000-0000126F0000}"/>
    <cellStyle name="Normal 5 5 3 10 2 2" xfId="43936" xr:uid="{00000000-0005-0000-0000-0000136F0000}"/>
    <cellStyle name="Normal 5 5 3 10 3" xfId="31503" xr:uid="{00000000-0005-0000-0000-0000146F0000}"/>
    <cellStyle name="Normal 5 5 3 11" xfId="2676" xr:uid="{00000000-0005-0000-0000-0000156F0000}"/>
    <cellStyle name="Normal 5 5 3 11 2" xfId="15194" xr:uid="{00000000-0005-0000-0000-0000166F0000}"/>
    <cellStyle name="Normal 5 5 3 11 2 2" xfId="40068" xr:uid="{00000000-0005-0000-0000-0000176F0000}"/>
    <cellStyle name="Normal 5 5 3 11 3" xfId="27627" xr:uid="{00000000-0005-0000-0000-0000186F0000}"/>
    <cellStyle name="Normal 5 5 3 12" xfId="13095" xr:uid="{00000000-0005-0000-0000-0000196F0000}"/>
    <cellStyle name="Normal 5 5 3 12 2" xfId="37969" xr:uid="{00000000-0005-0000-0000-00001A6F0000}"/>
    <cellStyle name="Normal 5 5 3 13" xfId="25528" xr:uid="{00000000-0005-0000-0000-00001B6F0000}"/>
    <cellStyle name="Normal 5 5 3 2" xfId="487" xr:uid="{00000000-0005-0000-0000-00001C6F0000}"/>
    <cellStyle name="Normal 5 5 3 2 10" xfId="13300" xr:uid="{00000000-0005-0000-0000-00001D6F0000}"/>
    <cellStyle name="Normal 5 5 3 2 10 2" xfId="38174" xr:uid="{00000000-0005-0000-0000-00001E6F0000}"/>
    <cellStyle name="Normal 5 5 3 2 11" xfId="25733" xr:uid="{00000000-0005-0000-0000-00001F6F0000}"/>
    <cellStyle name="Normal 5 5 3 2 2" xfId="846" xr:uid="{00000000-0005-0000-0000-0000206F0000}"/>
    <cellStyle name="Normal 5 5 3 2 2 2" xfId="1477" xr:uid="{00000000-0005-0000-0000-0000216F0000}"/>
    <cellStyle name="Normal 5 5 3 2 2 2 2" xfId="9581" xr:uid="{00000000-0005-0000-0000-0000226F0000}"/>
    <cellStyle name="Normal 5 5 3 2 2 2 2 2" xfId="22024" xr:uid="{00000000-0005-0000-0000-0000236F0000}"/>
    <cellStyle name="Normal 5 5 3 2 2 2 2 2 2" xfId="46898" xr:uid="{00000000-0005-0000-0000-0000246F0000}"/>
    <cellStyle name="Normal 5 5 3 2 2 2 2 3" xfId="34465" xr:uid="{00000000-0005-0000-0000-0000256F0000}"/>
    <cellStyle name="Normal 5 5 3 2 2 2 3" xfId="4563" xr:uid="{00000000-0005-0000-0000-0000266F0000}"/>
    <cellStyle name="Normal 5 5 3 2 2 2 3 2" xfId="17017" xr:uid="{00000000-0005-0000-0000-0000276F0000}"/>
    <cellStyle name="Normal 5 5 3 2 2 2 3 2 2" xfId="41891" xr:uid="{00000000-0005-0000-0000-0000286F0000}"/>
    <cellStyle name="Normal 5 5 3 2 2 2 3 3" xfId="29458" xr:uid="{00000000-0005-0000-0000-0000296F0000}"/>
    <cellStyle name="Normal 5 5 3 2 2 2 4" xfId="14277" xr:uid="{00000000-0005-0000-0000-00002A6F0000}"/>
    <cellStyle name="Normal 5 5 3 2 2 2 4 2" xfId="39151" xr:uid="{00000000-0005-0000-0000-00002B6F0000}"/>
    <cellStyle name="Normal 5 5 3 2 2 2 5" xfId="26710" xr:uid="{00000000-0005-0000-0000-00002C6F0000}"/>
    <cellStyle name="Normal 5 5 3 2 2 3" xfId="5622" xr:uid="{00000000-0005-0000-0000-00002D6F0000}"/>
    <cellStyle name="Normal 5 5 3 2 2 3 2" xfId="10638" xr:uid="{00000000-0005-0000-0000-00002E6F0000}"/>
    <cellStyle name="Normal 5 5 3 2 2 3 2 2" xfId="23081" xr:uid="{00000000-0005-0000-0000-00002F6F0000}"/>
    <cellStyle name="Normal 5 5 3 2 2 3 2 2 2" xfId="47955" xr:uid="{00000000-0005-0000-0000-0000306F0000}"/>
    <cellStyle name="Normal 5 5 3 2 2 3 2 3" xfId="35522" xr:uid="{00000000-0005-0000-0000-0000316F0000}"/>
    <cellStyle name="Normal 5 5 3 2 2 3 3" xfId="18074" xr:uid="{00000000-0005-0000-0000-0000326F0000}"/>
    <cellStyle name="Normal 5 5 3 2 2 3 3 2" xfId="42948" xr:uid="{00000000-0005-0000-0000-0000336F0000}"/>
    <cellStyle name="Normal 5 5 3 2 2 3 4" xfId="30515" xr:uid="{00000000-0005-0000-0000-0000346F0000}"/>
    <cellStyle name="Normal 5 5 3 2 2 4" xfId="8697" xr:uid="{00000000-0005-0000-0000-0000356F0000}"/>
    <cellStyle name="Normal 5 5 3 2 2 4 2" xfId="21141" xr:uid="{00000000-0005-0000-0000-0000366F0000}"/>
    <cellStyle name="Normal 5 5 3 2 2 4 2 2" xfId="46015" xr:uid="{00000000-0005-0000-0000-0000376F0000}"/>
    <cellStyle name="Normal 5 5 3 2 2 4 3" xfId="33582" xr:uid="{00000000-0005-0000-0000-0000386F0000}"/>
    <cellStyle name="Normal 5 5 3 2 2 5" xfId="12092" xr:uid="{00000000-0005-0000-0000-0000396F0000}"/>
    <cellStyle name="Normal 5 5 3 2 2 5 2" xfId="24526" xr:uid="{00000000-0005-0000-0000-00003A6F0000}"/>
    <cellStyle name="Normal 5 5 3 2 2 5 2 2" xfId="49400" xr:uid="{00000000-0005-0000-0000-00003B6F0000}"/>
    <cellStyle name="Normal 5 5 3 2 2 5 3" xfId="36967" xr:uid="{00000000-0005-0000-0000-00003C6F0000}"/>
    <cellStyle name="Normal 5 5 3 2 2 6" xfId="7174" xr:uid="{00000000-0005-0000-0000-00003D6F0000}"/>
    <cellStyle name="Normal 5 5 3 2 2 6 2" xfId="19623" xr:uid="{00000000-0005-0000-0000-00003E6F0000}"/>
    <cellStyle name="Normal 5 5 3 2 2 6 2 2" xfId="44497" xr:uid="{00000000-0005-0000-0000-00003F6F0000}"/>
    <cellStyle name="Normal 5 5 3 2 2 6 3" xfId="32064" xr:uid="{00000000-0005-0000-0000-0000406F0000}"/>
    <cellStyle name="Normal 5 5 3 2 2 7" xfId="3628" xr:uid="{00000000-0005-0000-0000-0000416F0000}"/>
    <cellStyle name="Normal 5 5 3 2 2 7 2" xfId="16134" xr:uid="{00000000-0005-0000-0000-0000426F0000}"/>
    <cellStyle name="Normal 5 5 3 2 2 7 2 2" xfId="41008" xr:uid="{00000000-0005-0000-0000-0000436F0000}"/>
    <cellStyle name="Normal 5 5 3 2 2 7 3" xfId="28567" xr:uid="{00000000-0005-0000-0000-0000446F0000}"/>
    <cellStyle name="Normal 5 5 3 2 2 8" xfId="13647" xr:uid="{00000000-0005-0000-0000-0000456F0000}"/>
    <cellStyle name="Normal 5 5 3 2 2 8 2" xfId="38521" xr:uid="{00000000-0005-0000-0000-0000466F0000}"/>
    <cellStyle name="Normal 5 5 3 2 2 9" xfId="26080" xr:uid="{00000000-0005-0000-0000-0000476F0000}"/>
    <cellStyle name="Normal 5 5 3 2 3" xfId="1825" xr:uid="{00000000-0005-0000-0000-0000486F0000}"/>
    <cellStyle name="Normal 5 5 3 2 3 2" xfId="5029" xr:uid="{00000000-0005-0000-0000-0000496F0000}"/>
    <cellStyle name="Normal 5 5 3 2 3 2 2" xfId="10046" xr:uid="{00000000-0005-0000-0000-00004A6F0000}"/>
    <cellStyle name="Normal 5 5 3 2 3 2 2 2" xfId="22489" xr:uid="{00000000-0005-0000-0000-00004B6F0000}"/>
    <cellStyle name="Normal 5 5 3 2 3 2 2 2 2" xfId="47363" xr:uid="{00000000-0005-0000-0000-00004C6F0000}"/>
    <cellStyle name="Normal 5 5 3 2 3 2 2 3" xfId="34930" xr:uid="{00000000-0005-0000-0000-00004D6F0000}"/>
    <cellStyle name="Normal 5 5 3 2 3 2 3" xfId="17482" xr:uid="{00000000-0005-0000-0000-00004E6F0000}"/>
    <cellStyle name="Normal 5 5 3 2 3 2 3 2" xfId="42356" xr:uid="{00000000-0005-0000-0000-00004F6F0000}"/>
    <cellStyle name="Normal 5 5 3 2 3 2 4" xfId="29923" xr:uid="{00000000-0005-0000-0000-0000506F0000}"/>
    <cellStyle name="Normal 5 5 3 2 3 3" xfId="5971" xr:uid="{00000000-0005-0000-0000-0000516F0000}"/>
    <cellStyle name="Normal 5 5 3 2 3 3 2" xfId="10986" xr:uid="{00000000-0005-0000-0000-0000526F0000}"/>
    <cellStyle name="Normal 5 5 3 2 3 3 2 2" xfId="23429" xr:uid="{00000000-0005-0000-0000-0000536F0000}"/>
    <cellStyle name="Normal 5 5 3 2 3 3 2 2 2" xfId="48303" xr:uid="{00000000-0005-0000-0000-0000546F0000}"/>
    <cellStyle name="Normal 5 5 3 2 3 3 2 3" xfId="35870" xr:uid="{00000000-0005-0000-0000-0000556F0000}"/>
    <cellStyle name="Normal 5 5 3 2 3 3 3" xfId="18422" xr:uid="{00000000-0005-0000-0000-0000566F0000}"/>
    <cellStyle name="Normal 5 5 3 2 3 3 3 2" xfId="43296" xr:uid="{00000000-0005-0000-0000-0000576F0000}"/>
    <cellStyle name="Normal 5 5 3 2 3 3 4" xfId="30863" xr:uid="{00000000-0005-0000-0000-0000586F0000}"/>
    <cellStyle name="Normal 5 5 3 2 3 4" xfId="8453" xr:uid="{00000000-0005-0000-0000-0000596F0000}"/>
    <cellStyle name="Normal 5 5 3 2 3 4 2" xfId="20897" xr:uid="{00000000-0005-0000-0000-00005A6F0000}"/>
    <cellStyle name="Normal 5 5 3 2 3 4 2 2" xfId="45771" xr:uid="{00000000-0005-0000-0000-00005B6F0000}"/>
    <cellStyle name="Normal 5 5 3 2 3 4 3" xfId="33338" xr:uid="{00000000-0005-0000-0000-00005C6F0000}"/>
    <cellStyle name="Normal 5 5 3 2 3 5" xfId="12440" xr:uid="{00000000-0005-0000-0000-00005D6F0000}"/>
    <cellStyle name="Normal 5 5 3 2 3 5 2" xfId="24874" xr:uid="{00000000-0005-0000-0000-00005E6F0000}"/>
    <cellStyle name="Normal 5 5 3 2 3 5 2 2" xfId="49748" xr:uid="{00000000-0005-0000-0000-00005F6F0000}"/>
    <cellStyle name="Normal 5 5 3 2 3 5 3" xfId="37315" xr:uid="{00000000-0005-0000-0000-0000606F0000}"/>
    <cellStyle name="Normal 5 5 3 2 3 6" xfId="7640" xr:uid="{00000000-0005-0000-0000-0000616F0000}"/>
    <cellStyle name="Normal 5 5 3 2 3 6 2" xfId="20088" xr:uid="{00000000-0005-0000-0000-0000626F0000}"/>
    <cellStyle name="Normal 5 5 3 2 3 6 2 2" xfId="44962" xr:uid="{00000000-0005-0000-0000-0000636F0000}"/>
    <cellStyle name="Normal 5 5 3 2 3 6 3" xfId="32529" xr:uid="{00000000-0005-0000-0000-0000646F0000}"/>
    <cellStyle name="Normal 5 5 3 2 3 7" xfId="3384" xr:uid="{00000000-0005-0000-0000-0000656F0000}"/>
    <cellStyle name="Normal 5 5 3 2 3 7 2" xfId="15890" xr:uid="{00000000-0005-0000-0000-0000666F0000}"/>
    <cellStyle name="Normal 5 5 3 2 3 7 2 2" xfId="40764" xr:uid="{00000000-0005-0000-0000-0000676F0000}"/>
    <cellStyle name="Normal 5 5 3 2 3 7 3" xfId="28323" xr:uid="{00000000-0005-0000-0000-0000686F0000}"/>
    <cellStyle name="Normal 5 5 3 2 3 8" xfId="14625" xr:uid="{00000000-0005-0000-0000-0000696F0000}"/>
    <cellStyle name="Normal 5 5 3 2 3 8 2" xfId="39499" xr:uid="{00000000-0005-0000-0000-00006A6F0000}"/>
    <cellStyle name="Normal 5 5 3 2 3 9" xfId="27058" xr:uid="{00000000-0005-0000-0000-00006B6F0000}"/>
    <cellStyle name="Normal 5 5 3 2 4" xfId="2405" xr:uid="{00000000-0005-0000-0000-00006C6F0000}"/>
    <cellStyle name="Normal 5 5 3 2 4 2" xfId="6427" xr:uid="{00000000-0005-0000-0000-00006D6F0000}"/>
    <cellStyle name="Normal 5 5 3 2 4 2 2" xfId="11442" xr:uid="{00000000-0005-0000-0000-00006E6F0000}"/>
    <cellStyle name="Normal 5 5 3 2 4 2 2 2" xfId="23885" xr:uid="{00000000-0005-0000-0000-00006F6F0000}"/>
    <cellStyle name="Normal 5 5 3 2 4 2 2 2 2" xfId="48759" xr:uid="{00000000-0005-0000-0000-0000706F0000}"/>
    <cellStyle name="Normal 5 5 3 2 4 2 2 3" xfId="36326" xr:uid="{00000000-0005-0000-0000-0000716F0000}"/>
    <cellStyle name="Normal 5 5 3 2 4 2 3" xfId="18878" xr:uid="{00000000-0005-0000-0000-0000726F0000}"/>
    <cellStyle name="Normal 5 5 3 2 4 2 3 2" xfId="43752" xr:uid="{00000000-0005-0000-0000-0000736F0000}"/>
    <cellStyle name="Normal 5 5 3 2 4 2 4" xfId="31319" xr:uid="{00000000-0005-0000-0000-0000746F0000}"/>
    <cellStyle name="Normal 5 5 3 2 4 3" xfId="12896" xr:uid="{00000000-0005-0000-0000-0000756F0000}"/>
    <cellStyle name="Normal 5 5 3 2 4 3 2" xfId="25330" xr:uid="{00000000-0005-0000-0000-0000766F0000}"/>
    <cellStyle name="Normal 5 5 3 2 4 3 2 2" xfId="50204" xr:uid="{00000000-0005-0000-0000-0000776F0000}"/>
    <cellStyle name="Normal 5 5 3 2 4 3 3" xfId="37771" xr:uid="{00000000-0005-0000-0000-0000786F0000}"/>
    <cellStyle name="Normal 5 5 3 2 4 4" xfId="9337" xr:uid="{00000000-0005-0000-0000-0000796F0000}"/>
    <cellStyle name="Normal 5 5 3 2 4 4 2" xfId="21780" xr:uid="{00000000-0005-0000-0000-00007A6F0000}"/>
    <cellStyle name="Normal 5 5 3 2 4 4 2 2" xfId="46654" xr:uid="{00000000-0005-0000-0000-00007B6F0000}"/>
    <cellStyle name="Normal 5 5 3 2 4 4 3" xfId="34221" xr:uid="{00000000-0005-0000-0000-00007C6F0000}"/>
    <cellStyle name="Normal 5 5 3 2 4 5" xfId="4319" xr:uid="{00000000-0005-0000-0000-00007D6F0000}"/>
    <cellStyle name="Normal 5 5 3 2 4 5 2" xfId="16773" xr:uid="{00000000-0005-0000-0000-00007E6F0000}"/>
    <cellStyle name="Normal 5 5 3 2 4 5 2 2" xfId="41647" xr:uid="{00000000-0005-0000-0000-00007F6F0000}"/>
    <cellStyle name="Normal 5 5 3 2 4 5 3" xfId="29214" xr:uid="{00000000-0005-0000-0000-0000806F0000}"/>
    <cellStyle name="Normal 5 5 3 2 4 6" xfId="15081" xr:uid="{00000000-0005-0000-0000-0000816F0000}"/>
    <cellStyle name="Normal 5 5 3 2 4 6 2" xfId="39955" xr:uid="{00000000-0005-0000-0000-0000826F0000}"/>
    <cellStyle name="Normal 5 5 3 2 4 7" xfId="27514" xr:uid="{00000000-0005-0000-0000-0000836F0000}"/>
    <cellStyle name="Normal 5 5 3 2 5" xfId="1238" xr:uid="{00000000-0005-0000-0000-0000846F0000}"/>
    <cellStyle name="Normal 5 5 3 2 5 2" xfId="10399" xr:uid="{00000000-0005-0000-0000-0000856F0000}"/>
    <cellStyle name="Normal 5 5 3 2 5 2 2" xfId="22842" xr:uid="{00000000-0005-0000-0000-0000866F0000}"/>
    <cellStyle name="Normal 5 5 3 2 5 2 2 2" xfId="47716" xr:uid="{00000000-0005-0000-0000-0000876F0000}"/>
    <cellStyle name="Normal 5 5 3 2 5 2 3" xfId="35283" xr:uid="{00000000-0005-0000-0000-0000886F0000}"/>
    <cellStyle name="Normal 5 5 3 2 5 3" xfId="5383" xr:uid="{00000000-0005-0000-0000-0000896F0000}"/>
    <cellStyle name="Normal 5 5 3 2 5 3 2" xfId="17835" xr:uid="{00000000-0005-0000-0000-00008A6F0000}"/>
    <cellStyle name="Normal 5 5 3 2 5 3 2 2" xfId="42709" xr:uid="{00000000-0005-0000-0000-00008B6F0000}"/>
    <cellStyle name="Normal 5 5 3 2 5 3 3" xfId="30276" xr:uid="{00000000-0005-0000-0000-00008C6F0000}"/>
    <cellStyle name="Normal 5 5 3 2 5 4" xfId="14038" xr:uid="{00000000-0005-0000-0000-00008D6F0000}"/>
    <cellStyle name="Normal 5 5 3 2 5 4 2" xfId="38912" xr:uid="{00000000-0005-0000-0000-00008E6F0000}"/>
    <cellStyle name="Normal 5 5 3 2 5 5" xfId="26471" xr:uid="{00000000-0005-0000-0000-00008F6F0000}"/>
    <cellStyle name="Normal 5 5 3 2 6" xfId="7960" xr:uid="{00000000-0005-0000-0000-0000906F0000}"/>
    <cellStyle name="Normal 5 5 3 2 6 2" xfId="20406" xr:uid="{00000000-0005-0000-0000-0000916F0000}"/>
    <cellStyle name="Normal 5 5 3 2 6 2 2" xfId="45280" xr:uid="{00000000-0005-0000-0000-0000926F0000}"/>
    <cellStyle name="Normal 5 5 3 2 6 3" xfId="32847" xr:uid="{00000000-0005-0000-0000-0000936F0000}"/>
    <cellStyle name="Normal 5 5 3 2 7" xfId="11853" xr:uid="{00000000-0005-0000-0000-0000946F0000}"/>
    <cellStyle name="Normal 5 5 3 2 7 2" xfId="24287" xr:uid="{00000000-0005-0000-0000-0000956F0000}"/>
    <cellStyle name="Normal 5 5 3 2 7 2 2" xfId="49161" xr:uid="{00000000-0005-0000-0000-0000966F0000}"/>
    <cellStyle name="Normal 5 5 3 2 7 3" xfId="36728" xr:uid="{00000000-0005-0000-0000-0000976F0000}"/>
    <cellStyle name="Normal 5 5 3 2 8" xfId="6930" xr:uid="{00000000-0005-0000-0000-0000986F0000}"/>
    <cellStyle name="Normal 5 5 3 2 8 2" xfId="19379" xr:uid="{00000000-0005-0000-0000-0000996F0000}"/>
    <cellStyle name="Normal 5 5 3 2 8 2 2" xfId="44253" xr:uid="{00000000-0005-0000-0000-00009A6F0000}"/>
    <cellStyle name="Normal 5 5 3 2 8 3" xfId="31820" xr:uid="{00000000-0005-0000-0000-00009B6F0000}"/>
    <cellStyle name="Normal 5 5 3 2 9" xfId="2881" xr:uid="{00000000-0005-0000-0000-00009C6F0000}"/>
    <cellStyle name="Normal 5 5 3 2 9 2" xfId="15399" xr:uid="{00000000-0005-0000-0000-00009D6F0000}"/>
    <cellStyle name="Normal 5 5 3 2 9 2 2" xfId="40273" xr:uid="{00000000-0005-0000-0000-00009E6F0000}"/>
    <cellStyle name="Normal 5 5 3 2 9 3" xfId="27832" xr:uid="{00000000-0005-0000-0000-00009F6F0000}"/>
    <cellStyle name="Normal 5 5 3 2_Degree data" xfId="2017" xr:uid="{00000000-0005-0000-0000-0000A06F0000}"/>
    <cellStyle name="Normal 5 5 3 3" xfId="638" xr:uid="{00000000-0005-0000-0000-0000A16F0000}"/>
    <cellStyle name="Normal 5 5 3 3 2" xfId="1476" xr:uid="{00000000-0005-0000-0000-0000A26F0000}"/>
    <cellStyle name="Normal 5 5 3 3 2 2" xfId="9132" xr:uid="{00000000-0005-0000-0000-0000A36F0000}"/>
    <cellStyle name="Normal 5 5 3 3 2 2 2" xfId="21575" xr:uid="{00000000-0005-0000-0000-0000A46F0000}"/>
    <cellStyle name="Normal 5 5 3 3 2 2 2 2" xfId="46449" xr:uid="{00000000-0005-0000-0000-0000A56F0000}"/>
    <cellStyle name="Normal 5 5 3 3 2 2 3" xfId="34016" xr:uid="{00000000-0005-0000-0000-0000A66F0000}"/>
    <cellStyle name="Normal 5 5 3 3 2 3" xfId="4114" xr:uid="{00000000-0005-0000-0000-0000A76F0000}"/>
    <cellStyle name="Normal 5 5 3 3 2 3 2" xfId="16568" xr:uid="{00000000-0005-0000-0000-0000A86F0000}"/>
    <cellStyle name="Normal 5 5 3 3 2 3 2 2" xfId="41442" xr:uid="{00000000-0005-0000-0000-0000A96F0000}"/>
    <cellStyle name="Normal 5 5 3 3 2 3 3" xfId="29009" xr:uid="{00000000-0005-0000-0000-0000AA6F0000}"/>
    <cellStyle name="Normal 5 5 3 3 2 4" xfId="14276" xr:uid="{00000000-0005-0000-0000-0000AB6F0000}"/>
    <cellStyle name="Normal 5 5 3 3 2 4 2" xfId="39150" xr:uid="{00000000-0005-0000-0000-0000AC6F0000}"/>
    <cellStyle name="Normal 5 5 3 3 2 5" xfId="26709" xr:uid="{00000000-0005-0000-0000-0000AD6F0000}"/>
    <cellStyle name="Normal 5 5 3 3 3" xfId="5621" xr:uid="{00000000-0005-0000-0000-0000AE6F0000}"/>
    <cellStyle name="Normal 5 5 3 3 3 2" xfId="10637" xr:uid="{00000000-0005-0000-0000-0000AF6F0000}"/>
    <cellStyle name="Normal 5 5 3 3 3 2 2" xfId="23080" xr:uid="{00000000-0005-0000-0000-0000B06F0000}"/>
    <cellStyle name="Normal 5 5 3 3 3 2 2 2" xfId="47954" xr:uid="{00000000-0005-0000-0000-0000B16F0000}"/>
    <cellStyle name="Normal 5 5 3 3 3 2 3" xfId="35521" xr:uid="{00000000-0005-0000-0000-0000B26F0000}"/>
    <cellStyle name="Normal 5 5 3 3 3 3" xfId="18073" xr:uid="{00000000-0005-0000-0000-0000B36F0000}"/>
    <cellStyle name="Normal 5 5 3 3 3 3 2" xfId="42947" xr:uid="{00000000-0005-0000-0000-0000B46F0000}"/>
    <cellStyle name="Normal 5 5 3 3 3 4" xfId="30514" xr:uid="{00000000-0005-0000-0000-0000B56F0000}"/>
    <cellStyle name="Normal 5 5 3 3 4" xfId="8248" xr:uid="{00000000-0005-0000-0000-0000B66F0000}"/>
    <cellStyle name="Normal 5 5 3 3 4 2" xfId="20692" xr:uid="{00000000-0005-0000-0000-0000B76F0000}"/>
    <cellStyle name="Normal 5 5 3 3 4 2 2" xfId="45566" xr:uid="{00000000-0005-0000-0000-0000B86F0000}"/>
    <cellStyle name="Normal 5 5 3 3 4 3" xfId="33133" xr:uid="{00000000-0005-0000-0000-0000B96F0000}"/>
    <cellStyle name="Normal 5 5 3 3 5" xfId="12091" xr:uid="{00000000-0005-0000-0000-0000BA6F0000}"/>
    <cellStyle name="Normal 5 5 3 3 5 2" xfId="24525" xr:uid="{00000000-0005-0000-0000-0000BB6F0000}"/>
    <cellStyle name="Normal 5 5 3 3 5 2 2" xfId="49399" xr:uid="{00000000-0005-0000-0000-0000BC6F0000}"/>
    <cellStyle name="Normal 5 5 3 3 5 3" xfId="36966" xr:uid="{00000000-0005-0000-0000-0000BD6F0000}"/>
    <cellStyle name="Normal 5 5 3 3 6" xfId="6725" xr:uid="{00000000-0005-0000-0000-0000BE6F0000}"/>
    <cellStyle name="Normal 5 5 3 3 6 2" xfId="19174" xr:uid="{00000000-0005-0000-0000-0000BF6F0000}"/>
    <cellStyle name="Normal 5 5 3 3 6 2 2" xfId="44048" xr:uid="{00000000-0005-0000-0000-0000C06F0000}"/>
    <cellStyle name="Normal 5 5 3 3 6 3" xfId="31615" xr:uid="{00000000-0005-0000-0000-0000C16F0000}"/>
    <cellStyle name="Normal 5 5 3 3 7" xfId="3179" xr:uid="{00000000-0005-0000-0000-0000C26F0000}"/>
    <cellStyle name="Normal 5 5 3 3 7 2" xfId="15685" xr:uid="{00000000-0005-0000-0000-0000C36F0000}"/>
    <cellStyle name="Normal 5 5 3 3 7 2 2" xfId="40559" xr:uid="{00000000-0005-0000-0000-0000C46F0000}"/>
    <cellStyle name="Normal 5 5 3 3 7 3" xfId="28118" xr:uid="{00000000-0005-0000-0000-0000C56F0000}"/>
    <cellStyle name="Normal 5 5 3 3 8" xfId="13442" xr:uid="{00000000-0005-0000-0000-0000C66F0000}"/>
    <cellStyle name="Normal 5 5 3 3 8 2" xfId="38316" xr:uid="{00000000-0005-0000-0000-0000C76F0000}"/>
    <cellStyle name="Normal 5 5 3 3 9" xfId="25875" xr:uid="{00000000-0005-0000-0000-0000C86F0000}"/>
    <cellStyle name="Normal 5 5 3 4" xfId="1824" xr:uid="{00000000-0005-0000-0000-0000C96F0000}"/>
    <cellStyle name="Normal 5 5 3 4 2" xfId="4562" xr:uid="{00000000-0005-0000-0000-0000CA6F0000}"/>
    <cellStyle name="Normal 5 5 3 4 2 2" xfId="9580" xr:uid="{00000000-0005-0000-0000-0000CB6F0000}"/>
    <cellStyle name="Normal 5 5 3 4 2 2 2" xfId="22023" xr:uid="{00000000-0005-0000-0000-0000CC6F0000}"/>
    <cellStyle name="Normal 5 5 3 4 2 2 2 2" xfId="46897" xr:uid="{00000000-0005-0000-0000-0000CD6F0000}"/>
    <cellStyle name="Normal 5 5 3 4 2 2 3" xfId="34464" xr:uid="{00000000-0005-0000-0000-0000CE6F0000}"/>
    <cellStyle name="Normal 5 5 3 4 2 3" xfId="17016" xr:uid="{00000000-0005-0000-0000-0000CF6F0000}"/>
    <cellStyle name="Normal 5 5 3 4 2 3 2" xfId="41890" xr:uid="{00000000-0005-0000-0000-0000D06F0000}"/>
    <cellStyle name="Normal 5 5 3 4 2 4" xfId="29457" xr:uid="{00000000-0005-0000-0000-0000D16F0000}"/>
    <cellStyle name="Normal 5 5 3 4 3" xfId="5970" xr:uid="{00000000-0005-0000-0000-0000D26F0000}"/>
    <cellStyle name="Normal 5 5 3 4 3 2" xfId="10985" xr:uid="{00000000-0005-0000-0000-0000D36F0000}"/>
    <cellStyle name="Normal 5 5 3 4 3 2 2" xfId="23428" xr:uid="{00000000-0005-0000-0000-0000D46F0000}"/>
    <cellStyle name="Normal 5 5 3 4 3 2 2 2" xfId="48302" xr:uid="{00000000-0005-0000-0000-0000D56F0000}"/>
    <cellStyle name="Normal 5 5 3 4 3 2 3" xfId="35869" xr:uid="{00000000-0005-0000-0000-0000D66F0000}"/>
    <cellStyle name="Normal 5 5 3 4 3 3" xfId="18421" xr:uid="{00000000-0005-0000-0000-0000D76F0000}"/>
    <cellStyle name="Normal 5 5 3 4 3 3 2" xfId="43295" xr:uid="{00000000-0005-0000-0000-0000D86F0000}"/>
    <cellStyle name="Normal 5 5 3 4 3 4" xfId="30862" xr:uid="{00000000-0005-0000-0000-0000D96F0000}"/>
    <cellStyle name="Normal 5 5 3 4 4" xfId="8696" xr:uid="{00000000-0005-0000-0000-0000DA6F0000}"/>
    <cellStyle name="Normal 5 5 3 4 4 2" xfId="21140" xr:uid="{00000000-0005-0000-0000-0000DB6F0000}"/>
    <cellStyle name="Normal 5 5 3 4 4 2 2" xfId="46014" xr:uid="{00000000-0005-0000-0000-0000DC6F0000}"/>
    <cellStyle name="Normal 5 5 3 4 4 3" xfId="33581" xr:uid="{00000000-0005-0000-0000-0000DD6F0000}"/>
    <cellStyle name="Normal 5 5 3 4 5" xfId="12439" xr:uid="{00000000-0005-0000-0000-0000DE6F0000}"/>
    <cellStyle name="Normal 5 5 3 4 5 2" xfId="24873" xr:uid="{00000000-0005-0000-0000-0000DF6F0000}"/>
    <cellStyle name="Normal 5 5 3 4 5 2 2" xfId="49747" xr:uid="{00000000-0005-0000-0000-0000E06F0000}"/>
    <cellStyle name="Normal 5 5 3 4 5 3" xfId="37314" xr:uid="{00000000-0005-0000-0000-0000E16F0000}"/>
    <cellStyle name="Normal 5 5 3 4 6" xfId="7173" xr:uid="{00000000-0005-0000-0000-0000E26F0000}"/>
    <cellStyle name="Normal 5 5 3 4 6 2" xfId="19622" xr:uid="{00000000-0005-0000-0000-0000E36F0000}"/>
    <cellStyle name="Normal 5 5 3 4 6 2 2" xfId="44496" xr:uid="{00000000-0005-0000-0000-0000E46F0000}"/>
    <cellStyle name="Normal 5 5 3 4 6 3" xfId="32063" xr:uid="{00000000-0005-0000-0000-0000E56F0000}"/>
    <cellStyle name="Normal 5 5 3 4 7" xfId="3627" xr:uid="{00000000-0005-0000-0000-0000E66F0000}"/>
    <cellStyle name="Normal 5 5 3 4 7 2" xfId="16133" xr:uid="{00000000-0005-0000-0000-0000E76F0000}"/>
    <cellStyle name="Normal 5 5 3 4 7 2 2" xfId="41007" xr:uid="{00000000-0005-0000-0000-0000E86F0000}"/>
    <cellStyle name="Normal 5 5 3 4 7 3" xfId="28566" xr:uid="{00000000-0005-0000-0000-0000E96F0000}"/>
    <cellStyle name="Normal 5 5 3 4 8" xfId="14624" xr:uid="{00000000-0005-0000-0000-0000EA6F0000}"/>
    <cellStyle name="Normal 5 5 3 4 8 2" xfId="39498" xr:uid="{00000000-0005-0000-0000-0000EB6F0000}"/>
    <cellStyle name="Normal 5 5 3 4 9" xfId="27057" xr:uid="{00000000-0005-0000-0000-0000EC6F0000}"/>
    <cellStyle name="Normal 5 5 3 5" xfId="2194" xr:uid="{00000000-0005-0000-0000-0000ED6F0000}"/>
    <cellStyle name="Normal 5 5 3 5 2" xfId="4824" xr:uid="{00000000-0005-0000-0000-0000EE6F0000}"/>
    <cellStyle name="Normal 5 5 3 5 2 2" xfId="9841" xr:uid="{00000000-0005-0000-0000-0000EF6F0000}"/>
    <cellStyle name="Normal 5 5 3 5 2 2 2" xfId="22284" xr:uid="{00000000-0005-0000-0000-0000F06F0000}"/>
    <cellStyle name="Normal 5 5 3 5 2 2 2 2" xfId="47158" xr:uid="{00000000-0005-0000-0000-0000F16F0000}"/>
    <cellStyle name="Normal 5 5 3 5 2 2 3" xfId="34725" xr:uid="{00000000-0005-0000-0000-0000F26F0000}"/>
    <cellStyle name="Normal 5 5 3 5 2 3" xfId="17277" xr:uid="{00000000-0005-0000-0000-0000F36F0000}"/>
    <cellStyle name="Normal 5 5 3 5 2 3 2" xfId="42151" xr:uid="{00000000-0005-0000-0000-0000F46F0000}"/>
    <cellStyle name="Normal 5 5 3 5 2 4" xfId="29718" xr:uid="{00000000-0005-0000-0000-0000F56F0000}"/>
    <cellStyle name="Normal 5 5 3 5 3" xfId="6222" xr:uid="{00000000-0005-0000-0000-0000F66F0000}"/>
    <cellStyle name="Normal 5 5 3 5 3 2" xfId="11237" xr:uid="{00000000-0005-0000-0000-0000F76F0000}"/>
    <cellStyle name="Normal 5 5 3 5 3 2 2" xfId="23680" xr:uid="{00000000-0005-0000-0000-0000F86F0000}"/>
    <cellStyle name="Normal 5 5 3 5 3 2 2 2" xfId="48554" xr:uid="{00000000-0005-0000-0000-0000F96F0000}"/>
    <cellStyle name="Normal 5 5 3 5 3 2 3" xfId="36121" xr:uid="{00000000-0005-0000-0000-0000FA6F0000}"/>
    <cellStyle name="Normal 5 5 3 5 3 3" xfId="18673" xr:uid="{00000000-0005-0000-0000-0000FB6F0000}"/>
    <cellStyle name="Normal 5 5 3 5 3 3 2" xfId="43547" xr:uid="{00000000-0005-0000-0000-0000FC6F0000}"/>
    <cellStyle name="Normal 5 5 3 5 3 4" xfId="31114" xr:uid="{00000000-0005-0000-0000-0000FD6F0000}"/>
    <cellStyle name="Normal 5 5 3 5 4" xfId="8134" xr:uid="{00000000-0005-0000-0000-0000FE6F0000}"/>
    <cellStyle name="Normal 5 5 3 5 4 2" xfId="20580" xr:uid="{00000000-0005-0000-0000-0000FF6F0000}"/>
    <cellStyle name="Normal 5 5 3 5 4 2 2" xfId="45454" xr:uid="{00000000-0005-0000-0000-000000700000}"/>
    <cellStyle name="Normal 5 5 3 5 4 3" xfId="33021" xr:uid="{00000000-0005-0000-0000-000001700000}"/>
    <cellStyle name="Normal 5 5 3 5 5" xfId="12691" xr:uid="{00000000-0005-0000-0000-000002700000}"/>
    <cellStyle name="Normal 5 5 3 5 5 2" xfId="25125" xr:uid="{00000000-0005-0000-0000-000003700000}"/>
    <cellStyle name="Normal 5 5 3 5 5 2 2" xfId="49999" xr:uid="{00000000-0005-0000-0000-000004700000}"/>
    <cellStyle name="Normal 5 5 3 5 5 3" xfId="37566" xr:uid="{00000000-0005-0000-0000-000005700000}"/>
    <cellStyle name="Normal 5 5 3 5 6" xfId="7435" xr:uid="{00000000-0005-0000-0000-000006700000}"/>
    <cellStyle name="Normal 5 5 3 5 6 2" xfId="19883" xr:uid="{00000000-0005-0000-0000-000007700000}"/>
    <cellStyle name="Normal 5 5 3 5 6 2 2" xfId="44757" xr:uid="{00000000-0005-0000-0000-000008700000}"/>
    <cellStyle name="Normal 5 5 3 5 6 3" xfId="32324" xr:uid="{00000000-0005-0000-0000-000009700000}"/>
    <cellStyle name="Normal 5 5 3 5 7" xfId="3064" xr:uid="{00000000-0005-0000-0000-00000A700000}"/>
    <cellStyle name="Normal 5 5 3 5 7 2" xfId="15573" xr:uid="{00000000-0005-0000-0000-00000B700000}"/>
    <cellStyle name="Normal 5 5 3 5 7 2 2" xfId="40447" xr:uid="{00000000-0005-0000-0000-00000C700000}"/>
    <cellStyle name="Normal 5 5 3 5 7 3" xfId="28006" xr:uid="{00000000-0005-0000-0000-00000D700000}"/>
    <cellStyle name="Normal 5 5 3 5 8" xfId="14876" xr:uid="{00000000-0005-0000-0000-00000E700000}"/>
    <cellStyle name="Normal 5 5 3 5 8 2" xfId="39750" xr:uid="{00000000-0005-0000-0000-00000F700000}"/>
    <cellStyle name="Normal 5 5 3 5 9" xfId="27309" xr:uid="{00000000-0005-0000-0000-000010700000}"/>
    <cellStyle name="Normal 5 5 3 6" xfId="1033" xr:uid="{00000000-0005-0000-0000-000011700000}"/>
    <cellStyle name="Normal 5 5 3 6 2" xfId="9020" xr:uid="{00000000-0005-0000-0000-000012700000}"/>
    <cellStyle name="Normal 5 5 3 6 2 2" xfId="21463" xr:uid="{00000000-0005-0000-0000-000013700000}"/>
    <cellStyle name="Normal 5 5 3 6 2 2 2" xfId="46337" xr:uid="{00000000-0005-0000-0000-000014700000}"/>
    <cellStyle name="Normal 5 5 3 6 2 3" xfId="33904" xr:uid="{00000000-0005-0000-0000-000015700000}"/>
    <cellStyle name="Normal 5 5 3 6 3" xfId="4002" xr:uid="{00000000-0005-0000-0000-000016700000}"/>
    <cellStyle name="Normal 5 5 3 6 3 2" xfId="16456" xr:uid="{00000000-0005-0000-0000-000017700000}"/>
    <cellStyle name="Normal 5 5 3 6 3 2 2" xfId="41330" xr:uid="{00000000-0005-0000-0000-000018700000}"/>
    <cellStyle name="Normal 5 5 3 6 3 3" xfId="28897" xr:uid="{00000000-0005-0000-0000-000019700000}"/>
    <cellStyle name="Normal 5 5 3 6 4" xfId="13833" xr:uid="{00000000-0005-0000-0000-00001A700000}"/>
    <cellStyle name="Normal 5 5 3 6 4 2" xfId="38707" xr:uid="{00000000-0005-0000-0000-00001B700000}"/>
    <cellStyle name="Normal 5 5 3 6 5" xfId="26266" xr:uid="{00000000-0005-0000-0000-00001C700000}"/>
    <cellStyle name="Normal 5 5 3 7" xfId="5178" xr:uid="{00000000-0005-0000-0000-00001D700000}"/>
    <cellStyle name="Normal 5 5 3 7 2" xfId="10194" xr:uid="{00000000-0005-0000-0000-00001E700000}"/>
    <cellStyle name="Normal 5 5 3 7 2 2" xfId="22637" xr:uid="{00000000-0005-0000-0000-00001F700000}"/>
    <cellStyle name="Normal 5 5 3 7 2 2 2" xfId="47511" xr:uid="{00000000-0005-0000-0000-000020700000}"/>
    <cellStyle name="Normal 5 5 3 7 2 3" xfId="35078" xr:uid="{00000000-0005-0000-0000-000021700000}"/>
    <cellStyle name="Normal 5 5 3 7 3" xfId="17630" xr:uid="{00000000-0005-0000-0000-000022700000}"/>
    <cellStyle name="Normal 5 5 3 7 3 2" xfId="42504" xr:uid="{00000000-0005-0000-0000-000023700000}"/>
    <cellStyle name="Normal 5 5 3 7 4" xfId="30071" xr:uid="{00000000-0005-0000-0000-000024700000}"/>
    <cellStyle name="Normal 5 5 3 8" xfId="7755" xr:uid="{00000000-0005-0000-0000-000025700000}"/>
    <cellStyle name="Normal 5 5 3 8 2" xfId="20201" xr:uid="{00000000-0005-0000-0000-000026700000}"/>
    <cellStyle name="Normal 5 5 3 8 2 2" xfId="45075" xr:uid="{00000000-0005-0000-0000-000027700000}"/>
    <cellStyle name="Normal 5 5 3 8 3" xfId="32642" xr:uid="{00000000-0005-0000-0000-000028700000}"/>
    <cellStyle name="Normal 5 5 3 9" xfId="11648" xr:uid="{00000000-0005-0000-0000-000029700000}"/>
    <cellStyle name="Normal 5 5 3 9 2" xfId="24082" xr:uid="{00000000-0005-0000-0000-00002A700000}"/>
    <cellStyle name="Normal 5 5 3 9 2 2" xfId="48956" xr:uid="{00000000-0005-0000-0000-00002B700000}"/>
    <cellStyle name="Normal 5 5 3 9 3" xfId="36523" xr:uid="{00000000-0005-0000-0000-00002C700000}"/>
    <cellStyle name="Normal 5 5 3_Degree data" xfId="2034" xr:uid="{00000000-0005-0000-0000-00002D700000}"/>
    <cellStyle name="Normal 5 5 4" xfId="379" xr:uid="{00000000-0005-0000-0000-00002E700000}"/>
    <cellStyle name="Normal 5 5 4 10" xfId="13195" xr:uid="{00000000-0005-0000-0000-00002F700000}"/>
    <cellStyle name="Normal 5 5 4 10 2" xfId="38069" xr:uid="{00000000-0005-0000-0000-000030700000}"/>
    <cellStyle name="Normal 5 5 4 11" xfId="25628" xr:uid="{00000000-0005-0000-0000-000031700000}"/>
    <cellStyle name="Normal 5 5 4 2" xfId="739" xr:uid="{00000000-0005-0000-0000-000032700000}"/>
    <cellStyle name="Normal 5 5 4 2 2" xfId="1478" xr:uid="{00000000-0005-0000-0000-000033700000}"/>
    <cellStyle name="Normal 5 5 4 2 2 2" xfId="9582" xr:uid="{00000000-0005-0000-0000-000034700000}"/>
    <cellStyle name="Normal 5 5 4 2 2 2 2" xfId="22025" xr:uid="{00000000-0005-0000-0000-000035700000}"/>
    <cellStyle name="Normal 5 5 4 2 2 2 2 2" xfId="46899" xr:uid="{00000000-0005-0000-0000-000036700000}"/>
    <cellStyle name="Normal 5 5 4 2 2 2 3" xfId="34466" xr:uid="{00000000-0005-0000-0000-000037700000}"/>
    <cellStyle name="Normal 5 5 4 2 2 3" xfId="4564" xr:uid="{00000000-0005-0000-0000-000038700000}"/>
    <cellStyle name="Normal 5 5 4 2 2 3 2" xfId="17018" xr:uid="{00000000-0005-0000-0000-000039700000}"/>
    <cellStyle name="Normal 5 5 4 2 2 3 2 2" xfId="41892" xr:uid="{00000000-0005-0000-0000-00003A700000}"/>
    <cellStyle name="Normal 5 5 4 2 2 3 3" xfId="29459" xr:uid="{00000000-0005-0000-0000-00003B700000}"/>
    <cellStyle name="Normal 5 5 4 2 2 4" xfId="14278" xr:uid="{00000000-0005-0000-0000-00003C700000}"/>
    <cellStyle name="Normal 5 5 4 2 2 4 2" xfId="39152" xr:uid="{00000000-0005-0000-0000-00003D700000}"/>
    <cellStyle name="Normal 5 5 4 2 2 5" xfId="26711" xr:uid="{00000000-0005-0000-0000-00003E700000}"/>
    <cellStyle name="Normal 5 5 4 2 3" xfId="5623" xr:uid="{00000000-0005-0000-0000-00003F700000}"/>
    <cellStyle name="Normal 5 5 4 2 3 2" xfId="10639" xr:uid="{00000000-0005-0000-0000-000040700000}"/>
    <cellStyle name="Normal 5 5 4 2 3 2 2" xfId="23082" xr:uid="{00000000-0005-0000-0000-000041700000}"/>
    <cellStyle name="Normal 5 5 4 2 3 2 2 2" xfId="47956" xr:uid="{00000000-0005-0000-0000-000042700000}"/>
    <cellStyle name="Normal 5 5 4 2 3 2 3" xfId="35523" xr:uid="{00000000-0005-0000-0000-000043700000}"/>
    <cellStyle name="Normal 5 5 4 2 3 3" xfId="18075" xr:uid="{00000000-0005-0000-0000-000044700000}"/>
    <cellStyle name="Normal 5 5 4 2 3 3 2" xfId="42949" xr:uid="{00000000-0005-0000-0000-000045700000}"/>
    <cellStyle name="Normal 5 5 4 2 3 4" xfId="30516" xr:uid="{00000000-0005-0000-0000-000046700000}"/>
    <cellStyle name="Normal 5 5 4 2 4" xfId="8698" xr:uid="{00000000-0005-0000-0000-000047700000}"/>
    <cellStyle name="Normal 5 5 4 2 4 2" xfId="21142" xr:uid="{00000000-0005-0000-0000-000048700000}"/>
    <cellStyle name="Normal 5 5 4 2 4 2 2" xfId="46016" xr:uid="{00000000-0005-0000-0000-000049700000}"/>
    <cellStyle name="Normal 5 5 4 2 4 3" xfId="33583" xr:uid="{00000000-0005-0000-0000-00004A700000}"/>
    <cellStyle name="Normal 5 5 4 2 5" xfId="12093" xr:uid="{00000000-0005-0000-0000-00004B700000}"/>
    <cellStyle name="Normal 5 5 4 2 5 2" xfId="24527" xr:uid="{00000000-0005-0000-0000-00004C700000}"/>
    <cellStyle name="Normal 5 5 4 2 5 2 2" xfId="49401" xr:uid="{00000000-0005-0000-0000-00004D700000}"/>
    <cellStyle name="Normal 5 5 4 2 5 3" xfId="36968" xr:uid="{00000000-0005-0000-0000-00004E700000}"/>
    <cellStyle name="Normal 5 5 4 2 6" xfId="7175" xr:uid="{00000000-0005-0000-0000-00004F700000}"/>
    <cellStyle name="Normal 5 5 4 2 6 2" xfId="19624" xr:uid="{00000000-0005-0000-0000-000050700000}"/>
    <cellStyle name="Normal 5 5 4 2 6 2 2" xfId="44498" xr:uid="{00000000-0005-0000-0000-000051700000}"/>
    <cellStyle name="Normal 5 5 4 2 6 3" xfId="32065" xr:uid="{00000000-0005-0000-0000-000052700000}"/>
    <cellStyle name="Normal 5 5 4 2 7" xfId="3629" xr:uid="{00000000-0005-0000-0000-000053700000}"/>
    <cellStyle name="Normal 5 5 4 2 7 2" xfId="16135" xr:uid="{00000000-0005-0000-0000-000054700000}"/>
    <cellStyle name="Normal 5 5 4 2 7 2 2" xfId="41009" xr:uid="{00000000-0005-0000-0000-000055700000}"/>
    <cellStyle name="Normal 5 5 4 2 7 3" xfId="28568" xr:uid="{00000000-0005-0000-0000-000056700000}"/>
    <cellStyle name="Normal 5 5 4 2 8" xfId="13542" xr:uid="{00000000-0005-0000-0000-000057700000}"/>
    <cellStyle name="Normal 5 5 4 2 8 2" xfId="38416" xr:uid="{00000000-0005-0000-0000-000058700000}"/>
    <cellStyle name="Normal 5 5 4 2 9" xfId="25975" xr:uid="{00000000-0005-0000-0000-000059700000}"/>
    <cellStyle name="Normal 5 5 4 3" xfId="1826" xr:uid="{00000000-0005-0000-0000-00005A700000}"/>
    <cellStyle name="Normal 5 5 4 3 2" xfId="4924" xr:uid="{00000000-0005-0000-0000-00005B700000}"/>
    <cellStyle name="Normal 5 5 4 3 2 2" xfId="9941" xr:uid="{00000000-0005-0000-0000-00005C700000}"/>
    <cellStyle name="Normal 5 5 4 3 2 2 2" xfId="22384" xr:uid="{00000000-0005-0000-0000-00005D700000}"/>
    <cellStyle name="Normal 5 5 4 3 2 2 2 2" xfId="47258" xr:uid="{00000000-0005-0000-0000-00005E700000}"/>
    <cellStyle name="Normal 5 5 4 3 2 2 3" xfId="34825" xr:uid="{00000000-0005-0000-0000-00005F700000}"/>
    <cellStyle name="Normal 5 5 4 3 2 3" xfId="17377" xr:uid="{00000000-0005-0000-0000-000060700000}"/>
    <cellStyle name="Normal 5 5 4 3 2 3 2" xfId="42251" xr:uid="{00000000-0005-0000-0000-000061700000}"/>
    <cellStyle name="Normal 5 5 4 3 2 4" xfId="29818" xr:uid="{00000000-0005-0000-0000-000062700000}"/>
    <cellStyle name="Normal 5 5 4 3 3" xfId="5972" xr:uid="{00000000-0005-0000-0000-000063700000}"/>
    <cellStyle name="Normal 5 5 4 3 3 2" xfId="10987" xr:uid="{00000000-0005-0000-0000-000064700000}"/>
    <cellStyle name="Normal 5 5 4 3 3 2 2" xfId="23430" xr:uid="{00000000-0005-0000-0000-000065700000}"/>
    <cellStyle name="Normal 5 5 4 3 3 2 2 2" xfId="48304" xr:uid="{00000000-0005-0000-0000-000066700000}"/>
    <cellStyle name="Normal 5 5 4 3 3 2 3" xfId="35871" xr:uid="{00000000-0005-0000-0000-000067700000}"/>
    <cellStyle name="Normal 5 5 4 3 3 3" xfId="18423" xr:uid="{00000000-0005-0000-0000-000068700000}"/>
    <cellStyle name="Normal 5 5 4 3 3 3 2" xfId="43297" xr:uid="{00000000-0005-0000-0000-000069700000}"/>
    <cellStyle name="Normal 5 5 4 3 3 4" xfId="30864" xr:uid="{00000000-0005-0000-0000-00006A700000}"/>
    <cellStyle name="Normal 5 5 4 3 4" xfId="8348" xr:uid="{00000000-0005-0000-0000-00006B700000}"/>
    <cellStyle name="Normal 5 5 4 3 4 2" xfId="20792" xr:uid="{00000000-0005-0000-0000-00006C700000}"/>
    <cellStyle name="Normal 5 5 4 3 4 2 2" xfId="45666" xr:uid="{00000000-0005-0000-0000-00006D700000}"/>
    <cellStyle name="Normal 5 5 4 3 4 3" xfId="33233" xr:uid="{00000000-0005-0000-0000-00006E700000}"/>
    <cellStyle name="Normal 5 5 4 3 5" xfId="12441" xr:uid="{00000000-0005-0000-0000-00006F700000}"/>
    <cellStyle name="Normal 5 5 4 3 5 2" xfId="24875" xr:uid="{00000000-0005-0000-0000-000070700000}"/>
    <cellStyle name="Normal 5 5 4 3 5 2 2" xfId="49749" xr:uid="{00000000-0005-0000-0000-000071700000}"/>
    <cellStyle name="Normal 5 5 4 3 5 3" xfId="37316" xr:uid="{00000000-0005-0000-0000-000072700000}"/>
    <cellStyle name="Normal 5 5 4 3 6" xfId="7535" xr:uid="{00000000-0005-0000-0000-000073700000}"/>
    <cellStyle name="Normal 5 5 4 3 6 2" xfId="19983" xr:uid="{00000000-0005-0000-0000-000074700000}"/>
    <cellStyle name="Normal 5 5 4 3 6 2 2" xfId="44857" xr:uid="{00000000-0005-0000-0000-000075700000}"/>
    <cellStyle name="Normal 5 5 4 3 6 3" xfId="32424" xr:uid="{00000000-0005-0000-0000-000076700000}"/>
    <cellStyle name="Normal 5 5 4 3 7" xfId="3279" xr:uid="{00000000-0005-0000-0000-000077700000}"/>
    <cellStyle name="Normal 5 5 4 3 7 2" xfId="15785" xr:uid="{00000000-0005-0000-0000-000078700000}"/>
    <cellStyle name="Normal 5 5 4 3 7 2 2" xfId="40659" xr:uid="{00000000-0005-0000-0000-000079700000}"/>
    <cellStyle name="Normal 5 5 4 3 7 3" xfId="28218" xr:uid="{00000000-0005-0000-0000-00007A700000}"/>
    <cellStyle name="Normal 5 5 4 3 8" xfId="14626" xr:uid="{00000000-0005-0000-0000-00007B700000}"/>
    <cellStyle name="Normal 5 5 4 3 8 2" xfId="39500" xr:uid="{00000000-0005-0000-0000-00007C700000}"/>
    <cellStyle name="Normal 5 5 4 3 9" xfId="27059" xr:uid="{00000000-0005-0000-0000-00007D700000}"/>
    <cellStyle name="Normal 5 5 4 4" xfId="2297" xr:uid="{00000000-0005-0000-0000-00007E700000}"/>
    <cellStyle name="Normal 5 5 4 4 2" xfId="6322" xr:uid="{00000000-0005-0000-0000-00007F700000}"/>
    <cellStyle name="Normal 5 5 4 4 2 2" xfId="11337" xr:uid="{00000000-0005-0000-0000-000080700000}"/>
    <cellStyle name="Normal 5 5 4 4 2 2 2" xfId="23780" xr:uid="{00000000-0005-0000-0000-000081700000}"/>
    <cellStyle name="Normal 5 5 4 4 2 2 2 2" xfId="48654" xr:uid="{00000000-0005-0000-0000-000082700000}"/>
    <cellStyle name="Normal 5 5 4 4 2 2 3" xfId="36221" xr:uid="{00000000-0005-0000-0000-000083700000}"/>
    <cellStyle name="Normal 5 5 4 4 2 3" xfId="18773" xr:uid="{00000000-0005-0000-0000-000084700000}"/>
    <cellStyle name="Normal 5 5 4 4 2 3 2" xfId="43647" xr:uid="{00000000-0005-0000-0000-000085700000}"/>
    <cellStyle name="Normal 5 5 4 4 2 4" xfId="31214" xr:uid="{00000000-0005-0000-0000-000086700000}"/>
    <cellStyle name="Normal 5 5 4 4 3" xfId="12791" xr:uid="{00000000-0005-0000-0000-000087700000}"/>
    <cellStyle name="Normal 5 5 4 4 3 2" xfId="25225" xr:uid="{00000000-0005-0000-0000-000088700000}"/>
    <cellStyle name="Normal 5 5 4 4 3 2 2" xfId="50099" xr:uid="{00000000-0005-0000-0000-000089700000}"/>
    <cellStyle name="Normal 5 5 4 4 3 3" xfId="37666" xr:uid="{00000000-0005-0000-0000-00008A700000}"/>
    <cellStyle name="Normal 5 5 4 4 4" xfId="9232" xr:uid="{00000000-0005-0000-0000-00008B700000}"/>
    <cellStyle name="Normal 5 5 4 4 4 2" xfId="21675" xr:uid="{00000000-0005-0000-0000-00008C700000}"/>
    <cellStyle name="Normal 5 5 4 4 4 2 2" xfId="46549" xr:uid="{00000000-0005-0000-0000-00008D700000}"/>
    <cellStyle name="Normal 5 5 4 4 4 3" xfId="34116" xr:uid="{00000000-0005-0000-0000-00008E700000}"/>
    <cellStyle name="Normal 5 5 4 4 5" xfId="4214" xr:uid="{00000000-0005-0000-0000-00008F700000}"/>
    <cellStyle name="Normal 5 5 4 4 5 2" xfId="16668" xr:uid="{00000000-0005-0000-0000-000090700000}"/>
    <cellStyle name="Normal 5 5 4 4 5 2 2" xfId="41542" xr:uid="{00000000-0005-0000-0000-000091700000}"/>
    <cellStyle name="Normal 5 5 4 4 5 3" xfId="29109" xr:uid="{00000000-0005-0000-0000-000092700000}"/>
    <cellStyle name="Normal 5 5 4 4 6" xfId="14976" xr:uid="{00000000-0005-0000-0000-000093700000}"/>
    <cellStyle name="Normal 5 5 4 4 6 2" xfId="39850" xr:uid="{00000000-0005-0000-0000-000094700000}"/>
    <cellStyle name="Normal 5 5 4 4 7" xfId="27409" xr:uid="{00000000-0005-0000-0000-000095700000}"/>
    <cellStyle name="Normal 5 5 4 5" xfId="1133" xr:uid="{00000000-0005-0000-0000-000096700000}"/>
    <cellStyle name="Normal 5 5 4 5 2" xfId="10294" xr:uid="{00000000-0005-0000-0000-000097700000}"/>
    <cellStyle name="Normal 5 5 4 5 2 2" xfId="22737" xr:uid="{00000000-0005-0000-0000-000098700000}"/>
    <cellStyle name="Normal 5 5 4 5 2 2 2" xfId="47611" xr:uid="{00000000-0005-0000-0000-000099700000}"/>
    <cellStyle name="Normal 5 5 4 5 2 3" xfId="35178" xr:uid="{00000000-0005-0000-0000-00009A700000}"/>
    <cellStyle name="Normal 5 5 4 5 3" xfId="5278" xr:uid="{00000000-0005-0000-0000-00009B700000}"/>
    <cellStyle name="Normal 5 5 4 5 3 2" xfId="17730" xr:uid="{00000000-0005-0000-0000-00009C700000}"/>
    <cellStyle name="Normal 5 5 4 5 3 2 2" xfId="42604" xr:uid="{00000000-0005-0000-0000-00009D700000}"/>
    <cellStyle name="Normal 5 5 4 5 3 3" xfId="30171" xr:uid="{00000000-0005-0000-0000-00009E700000}"/>
    <cellStyle name="Normal 5 5 4 5 4" xfId="13933" xr:uid="{00000000-0005-0000-0000-00009F700000}"/>
    <cellStyle name="Normal 5 5 4 5 4 2" xfId="38807" xr:uid="{00000000-0005-0000-0000-0000A0700000}"/>
    <cellStyle name="Normal 5 5 4 5 5" xfId="26366" xr:uid="{00000000-0005-0000-0000-0000A1700000}"/>
    <cellStyle name="Normal 5 5 4 6" xfId="7855" xr:uid="{00000000-0005-0000-0000-0000A2700000}"/>
    <cellStyle name="Normal 5 5 4 6 2" xfId="20301" xr:uid="{00000000-0005-0000-0000-0000A3700000}"/>
    <cellStyle name="Normal 5 5 4 6 2 2" xfId="45175" xr:uid="{00000000-0005-0000-0000-0000A4700000}"/>
    <cellStyle name="Normal 5 5 4 6 3" xfId="32742" xr:uid="{00000000-0005-0000-0000-0000A5700000}"/>
    <cellStyle name="Normal 5 5 4 7" xfId="11748" xr:uid="{00000000-0005-0000-0000-0000A6700000}"/>
    <cellStyle name="Normal 5 5 4 7 2" xfId="24182" xr:uid="{00000000-0005-0000-0000-0000A7700000}"/>
    <cellStyle name="Normal 5 5 4 7 2 2" xfId="49056" xr:uid="{00000000-0005-0000-0000-0000A8700000}"/>
    <cellStyle name="Normal 5 5 4 7 3" xfId="36623" xr:uid="{00000000-0005-0000-0000-0000A9700000}"/>
    <cellStyle name="Normal 5 5 4 8" xfId="6825" xr:uid="{00000000-0005-0000-0000-0000AA700000}"/>
    <cellStyle name="Normal 5 5 4 8 2" xfId="19274" xr:uid="{00000000-0005-0000-0000-0000AB700000}"/>
    <cellStyle name="Normal 5 5 4 8 2 2" xfId="44148" xr:uid="{00000000-0005-0000-0000-0000AC700000}"/>
    <cellStyle name="Normal 5 5 4 8 3" xfId="31715" xr:uid="{00000000-0005-0000-0000-0000AD700000}"/>
    <cellStyle name="Normal 5 5 4 9" xfId="2776" xr:uid="{00000000-0005-0000-0000-0000AE700000}"/>
    <cellStyle name="Normal 5 5 4 9 2" xfId="15294" xr:uid="{00000000-0005-0000-0000-0000AF700000}"/>
    <cellStyle name="Normal 5 5 4 9 2 2" xfId="40168" xr:uid="{00000000-0005-0000-0000-0000B0700000}"/>
    <cellStyle name="Normal 5 5 4 9 3" xfId="27727" xr:uid="{00000000-0005-0000-0000-0000B1700000}"/>
    <cellStyle name="Normal 5 5 4_Degree data" xfId="2045" xr:uid="{00000000-0005-0000-0000-0000B2700000}"/>
    <cellStyle name="Normal 5 5 5" xfId="208" xr:uid="{00000000-0005-0000-0000-0000B3700000}"/>
    <cellStyle name="Normal 5 5 5 2" xfId="1473" xr:uid="{00000000-0005-0000-0000-0000B4700000}"/>
    <cellStyle name="Normal 5 5 5 2 2" xfId="9073" xr:uid="{00000000-0005-0000-0000-0000B5700000}"/>
    <cellStyle name="Normal 5 5 5 2 2 2" xfId="21516" xr:uid="{00000000-0005-0000-0000-0000B6700000}"/>
    <cellStyle name="Normal 5 5 5 2 2 2 2" xfId="46390" xr:uid="{00000000-0005-0000-0000-0000B7700000}"/>
    <cellStyle name="Normal 5 5 5 2 2 3" xfId="33957" xr:uid="{00000000-0005-0000-0000-0000B8700000}"/>
    <cellStyle name="Normal 5 5 5 2 3" xfId="4055" xr:uid="{00000000-0005-0000-0000-0000B9700000}"/>
    <cellStyle name="Normal 5 5 5 2 3 2" xfId="16509" xr:uid="{00000000-0005-0000-0000-0000BA700000}"/>
    <cellStyle name="Normal 5 5 5 2 3 2 2" xfId="41383" xr:uid="{00000000-0005-0000-0000-0000BB700000}"/>
    <cellStyle name="Normal 5 5 5 2 3 3" xfId="28950" xr:uid="{00000000-0005-0000-0000-0000BC700000}"/>
    <cellStyle name="Normal 5 5 5 2 4" xfId="14273" xr:uid="{00000000-0005-0000-0000-0000BD700000}"/>
    <cellStyle name="Normal 5 5 5 2 4 2" xfId="39147" xr:uid="{00000000-0005-0000-0000-0000BE700000}"/>
    <cellStyle name="Normal 5 5 5 2 5" xfId="26706" xr:uid="{00000000-0005-0000-0000-0000BF700000}"/>
    <cellStyle name="Normal 5 5 5 3" xfId="5618" xr:uid="{00000000-0005-0000-0000-0000C0700000}"/>
    <cellStyle name="Normal 5 5 5 3 2" xfId="10634" xr:uid="{00000000-0005-0000-0000-0000C1700000}"/>
    <cellStyle name="Normal 5 5 5 3 2 2" xfId="23077" xr:uid="{00000000-0005-0000-0000-0000C2700000}"/>
    <cellStyle name="Normal 5 5 5 3 2 2 2" xfId="47951" xr:uid="{00000000-0005-0000-0000-0000C3700000}"/>
    <cellStyle name="Normal 5 5 5 3 2 3" xfId="35518" xr:uid="{00000000-0005-0000-0000-0000C4700000}"/>
    <cellStyle name="Normal 5 5 5 3 3" xfId="18070" xr:uid="{00000000-0005-0000-0000-0000C5700000}"/>
    <cellStyle name="Normal 5 5 5 3 3 2" xfId="42944" xr:uid="{00000000-0005-0000-0000-0000C6700000}"/>
    <cellStyle name="Normal 5 5 5 3 4" xfId="30511" xr:uid="{00000000-0005-0000-0000-0000C7700000}"/>
    <cellStyle name="Normal 5 5 5 4" xfId="8189" xr:uid="{00000000-0005-0000-0000-0000C8700000}"/>
    <cellStyle name="Normal 5 5 5 4 2" xfId="20633" xr:uid="{00000000-0005-0000-0000-0000C9700000}"/>
    <cellStyle name="Normal 5 5 5 4 2 2" xfId="45507" xr:uid="{00000000-0005-0000-0000-0000CA700000}"/>
    <cellStyle name="Normal 5 5 5 4 3" xfId="33074" xr:uid="{00000000-0005-0000-0000-0000CB700000}"/>
    <cellStyle name="Normal 5 5 5 5" xfId="12088" xr:uid="{00000000-0005-0000-0000-0000CC700000}"/>
    <cellStyle name="Normal 5 5 5 5 2" xfId="24522" xr:uid="{00000000-0005-0000-0000-0000CD700000}"/>
    <cellStyle name="Normal 5 5 5 5 2 2" xfId="49396" xr:uid="{00000000-0005-0000-0000-0000CE700000}"/>
    <cellStyle name="Normal 5 5 5 5 3" xfId="36963" xr:uid="{00000000-0005-0000-0000-0000CF700000}"/>
    <cellStyle name="Normal 5 5 5 6" xfId="6666" xr:uid="{00000000-0005-0000-0000-0000D0700000}"/>
    <cellStyle name="Normal 5 5 5 6 2" xfId="19115" xr:uid="{00000000-0005-0000-0000-0000D1700000}"/>
    <cellStyle name="Normal 5 5 5 6 2 2" xfId="43989" xr:uid="{00000000-0005-0000-0000-0000D2700000}"/>
    <cellStyle name="Normal 5 5 5 6 3" xfId="31556" xr:uid="{00000000-0005-0000-0000-0000D3700000}"/>
    <cellStyle name="Normal 5 5 5 7" xfId="3120" xr:uid="{00000000-0005-0000-0000-0000D4700000}"/>
    <cellStyle name="Normal 5 5 5 7 2" xfId="15626" xr:uid="{00000000-0005-0000-0000-0000D5700000}"/>
    <cellStyle name="Normal 5 5 5 7 2 2" xfId="40500" xr:uid="{00000000-0005-0000-0000-0000D6700000}"/>
    <cellStyle name="Normal 5 5 5 7 3" xfId="28059" xr:uid="{00000000-0005-0000-0000-0000D7700000}"/>
    <cellStyle name="Normal 5 5 5 8" xfId="13036" xr:uid="{00000000-0005-0000-0000-0000D8700000}"/>
    <cellStyle name="Normal 5 5 5 8 2" xfId="37910" xr:uid="{00000000-0005-0000-0000-0000D9700000}"/>
    <cellStyle name="Normal 5 5 5 9" xfId="25469" xr:uid="{00000000-0005-0000-0000-0000DA700000}"/>
    <cellStyle name="Normal 5 5 6" xfId="574" xr:uid="{00000000-0005-0000-0000-0000DB700000}"/>
    <cellStyle name="Normal 5 5 6 2" xfId="1821" xr:uid="{00000000-0005-0000-0000-0000DC700000}"/>
    <cellStyle name="Normal 5 5 6 2 2" xfId="9577" xr:uid="{00000000-0005-0000-0000-0000DD700000}"/>
    <cellStyle name="Normal 5 5 6 2 2 2" xfId="22020" xr:uid="{00000000-0005-0000-0000-0000DE700000}"/>
    <cellStyle name="Normal 5 5 6 2 2 2 2" xfId="46894" xr:uid="{00000000-0005-0000-0000-0000DF700000}"/>
    <cellStyle name="Normal 5 5 6 2 2 3" xfId="34461" xr:uid="{00000000-0005-0000-0000-0000E0700000}"/>
    <cellStyle name="Normal 5 5 6 2 3" xfId="4559" xr:uid="{00000000-0005-0000-0000-0000E1700000}"/>
    <cellStyle name="Normal 5 5 6 2 3 2" xfId="17013" xr:uid="{00000000-0005-0000-0000-0000E2700000}"/>
    <cellStyle name="Normal 5 5 6 2 3 2 2" xfId="41887" xr:uid="{00000000-0005-0000-0000-0000E3700000}"/>
    <cellStyle name="Normal 5 5 6 2 3 3" xfId="29454" xr:uid="{00000000-0005-0000-0000-0000E4700000}"/>
    <cellStyle name="Normal 5 5 6 2 4" xfId="14621" xr:uid="{00000000-0005-0000-0000-0000E5700000}"/>
    <cellStyle name="Normal 5 5 6 2 4 2" xfId="39495" xr:uid="{00000000-0005-0000-0000-0000E6700000}"/>
    <cellStyle name="Normal 5 5 6 2 5" xfId="27054" xr:uid="{00000000-0005-0000-0000-0000E7700000}"/>
    <cellStyle name="Normal 5 5 6 3" xfId="5967" xr:uid="{00000000-0005-0000-0000-0000E8700000}"/>
    <cellStyle name="Normal 5 5 6 3 2" xfId="10982" xr:uid="{00000000-0005-0000-0000-0000E9700000}"/>
    <cellStyle name="Normal 5 5 6 3 2 2" xfId="23425" xr:uid="{00000000-0005-0000-0000-0000EA700000}"/>
    <cellStyle name="Normal 5 5 6 3 2 2 2" xfId="48299" xr:uid="{00000000-0005-0000-0000-0000EB700000}"/>
    <cellStyle name="Normal 5 5 6 3 2 3" xfId="35866" xr:uid="{00000000-0005-0000-0000-0000EC700000}"/>
    <cellStyle name="Normal 5 5 6 3 3" xfId="18418" xr:uid="{00000000-0005-0000-0000-0000ED700000}"/>
    <cellStyle name="Normal 5 5 6 3 3 2" xfId="43292" xr:uid="{00000000-0005-0000-0000-0000EE700000}"/>
    <cellStyle name="Normal 5 5 6 3 4" xfId="30859" xr:uid="{00000000-0005-0000-0000-0000EF700000}"/>
    <cellStyle name="Normal 5 5 6 4" xfId="8693" xr:uid="{00000000-0005-0000-0000-0000F0700000}"/>
    <cellStyle name="Normal 5 5 6 4 2" xfId="21137" xr:uid="{00000000-0005-0000-0000-0000F1700000}"/>
    <cellStyle name="Normal 5 5 6 4 2 2" xfId="46011" xr:uid="{00000000-0005-0000-0000-0000F2700000}"/>
    <cellStyle name="Normal 5 5 6 4 3" xfId="33578" xr:uid="{00000000-0005-0000-0000-0000F3700000}"/>
    <cellStyle name="Normal 5 5 6 5" xfId="12436" xr:uid="{00000000-0005-0000-0000-0000F4700000}"/>
    <cellStyle name="Normal 5 5 6 5 2" xfId="24870" xr:uid="{00000000-0005-0000-0000-0000F5700000}"/>
    <cellStyle name="Normal 5 5 6 5 2 2" xfId="49744" xr:uid="{00000000-0005-0000-0000-0000F6700000}"/>
    <cellStyle name="Normal 5 5 6 5 3" xfId="37311" xr:uid="{00000000-0005-0000-0000-0000F7700000}"/>
    <cellStyle name="Normal 5 5 6 6" xfId="7170" xr:uid="{00000000-0005-0000-0000-0000F8700000}"/>
    <cellStyle name="Normal 5 5 6 6 2" xfId="19619" xr:uid="{00000000-0005-0000-0000-0000F9700000}"/>
    <cellStyle name="Normal 5 5 6 6 2 2" xfId="44493" xr:uid="{00000000-0005-0000-0000-0000FA700000}"/>
    <cellStyle name="Normal 5 5 6 6 3" xfId="32060" xr:uid="{00000000-0005-0000-0000-0000FB700000}"/>
    <cellStyle name="Normal 5 5 6 7" xfId="3624" xr:uid="{00000000-0005-0000-0000-0000FC700000}"/>
    <cellStyle name="Normal 5 5 6 7 2" xfId="16130" xr:uid="{00000000-0005-0000-0000-0000FD700000}"/>
    <cellStyle name="Normal 5 5 6 7 2 2" xfId="41004" xr:uid="{00000000-0005-0000-0000-0000FE700000}"/>
    <cellStyle name="Normal 5 5 6 7 3" xfId="28563" xr:uid="{00000000-0005-0000-0000-0000FF700000}"/>
    <cellStyle name="Normal 5 5 6 8" xfId="13383" xr:uid="{00000000-0005-0000-0000-000000710000}"/>
    <cellStyle name="Normal 5 5 6 8 2" xfId="38257" xr:uid="{00000000-0005-0000-0000-000001710000}"/>
    <cellStyle name="Normal 5 5 6 9" xfId="25816" xr:uid="{00000000-0005-0000-0000-000002710000}"/>
    <cellStyle name="Normal 5 5 7" xfId="2126" xr:uid="{00000000-0005-0000-0000-000003710000}"/>
    <cellStyle name="Normal 5 5 7 2" xfId="4765" xr:uid="{00000000-0005-0000-0000-000004710000}"/>
    <cellStyle name="Normal 5 5 7 2 2" xfId="9782" xr:uid="{00000000-0005-0000-0000-000005710000}"/>
    <cellStyle name="Normal 5 5 7 2 2 2" xfId="22225" xr:uid="{00000000-0005-0000-0000-000006710000}"/>
    <cellStyle name="Normal 5 5 7 2 2 2 2" xfId="47099" xr:uid="{00000000-0005-0000-0000-000007710000}"/>
    <cellStyle name="Normal 5 5 7 2 2 3" xfId="34666" xr:uid="{00000000-0005-0000-0000-000008710000}"/>
    <cellStyle name="Normal 5 5 7 2 3" xfId="17218" xr:uid="{00000000-0005-0000-0000-000009710000}"/>
    <cellStyle name="Normal 5 5 7 2 3 2" xfId="42092" xr:uid="{00000000-0005-0000-0000-00000A710000}"/>
    <cellStyle name="Normal 5 5 7 2 4" xfId="29659" xr:uid="{00000000-0005-0000-0000-00000B710000}"/>
    <cellStyle name="Normal 5 5 7 3" xfId="6163" xr:uid="{00000000-0005-0000-0000-00000C710000}"/>
    <cellStyle name="Normal 5 5 7 3 2" xfId="11178" xr:uid="{00000000-0005-0000-0000-00000D710000}"/>
    <cellStyle name="Normal 5 5 7 3 2 2" xfId="23621" xr:uid="{00000000-0005-0000-0000-00000E710000}"/>
    <cellStyle name="Normal 5 5 7 3 2 2 2" xfId="48495" xr:uid="{00000000-0005-0000-0000-00000F710000}"/>
    <cellStyle name="Normal 5 5 7 3 2 3" xfId="36062" xr:uid="{00000000-0005-0000-0000-000010710000}"/>
    <cellStyle name="Normal 5 5 7 3 3" xfId="18614" xr:uid="{00000000-0005-0000-0000-000011710000}"/>
    <cellStyle name="Normal 5 5 7 3 3 2" xfId="43488" xr:uid="{00000000-0005-0000-0000-000012710000}"/>
    <cellStyle name="Normal 5 5 7 3 4" xfId="31055" xr:uid="{00000000-0005-0000-0000-000013710000}"/>
    <cellStyle name="Normal 5 5 7 4" xfId="8028" xr:uid="{00000000-0005-0000-0000-000014710000}"/>
    <cellStyle name="Normal 5 5 7 4 2" xfId="20474" xr:uid="{00000000-0005-0000-0000-000015710000}"/>
    <cellStyle name="Normal 5 5 7 4 2 2" xfId="45348" xr:uid="{00000000-0005-0000-0000-000016710000}"/>
    <cellStyle name="Normal 5 5 7 4 3" xfId="32915" xr:uid="{00000000-0005-0000-0000-000017710000}"/>
    <cellStyle name="Normal 5 5 7 5" xfId="12632" xr:uid="{00000000-0005-0000-0000-000018710000}"/>
    <cellStyle name="Normal 5 5 7 5 2" xfId="25066" xr:uid="{00000000-0005-0000-0000-000019710000}"/>
    <cellStyle name="Normal 5 5 7 5 2 2" xfId="49940" xr:uid="{00000000-0005-0000-0000-00001A710000}"/>
    <cellStyle name="Normal 5 5 7 5 3" xfId="37507" xr:uid="{00000000-0005-0000-0000-00001B710000}"/>
    <cellStyle name="Normal 5 5 7 6" xfId="7376" xr:uid="{00000000-0005-0000-0000-00001C710000}"/>
    <cellStyle name="Normal 5 5 7 6 2" xfId="19824" xr:uid="{00000000-0005-0000-0000-00001D710000}"/>
    <cellStyle name="Normal 5 5 7 6 2 2" xfId="44698" xr:uid="{00000000-0005-0000-0000-00001E710000}"/>
    <cellStyle name="Normal 5 5 7 6 3" xfId="32265" xr:uid="{00000000-0005-0000-0000-00001F710000}"/>
    <cellStyle name="Normal 5 5 7 7" xfId="2955" xr:uid="{00000000-0005-0000-0000-000020710000}"/>
    <cellStyle name="Normal 5 5 7 7 2" xfId="15467" xr:uid="{00000000-0005-0000-0000-000021710000}"/>
    <cellStyle name="Normal 5 5 7 7 2 2" xfId="40341" xr:uid="{00000000-0005-0000-0000-000022710000}"/>
    <cellStyle name="Normal 5 5 7 7 3" xfId="27900" xr:uid="{00000000-0005-0000-0000-000023710000}"/>
    <cellStyle name="Normal 5 5 7 8" xfId="14817" xr:uid="{00000000-0005-0000-0000-000024710000}"/>
    <cellStyle name="Normal 5 5 7 8 2" xfId="39691" xr:uid="{00000000-0005-0000-0000-000025710000}"/>
    <cellStyle name="Normal 5 5 7 9" xfId="27250" xr:uid="{00000000-0005-0000-0000-000026710000}"/>
    <cellStyle name="Normal 5 5 8" xfId="974" xr:uid="{00000000-0005-0000-0000-000027710000}"/>
    <cellStyle name="Normal 5 5 8 2" xfId="11589" xr:uid="{00000000-0005-0000-0000-000028710000}"/>
    <cellStyle name="Normal 5 5 8 2 2" xfId="24023" xr:uid="{00000000-0005-0000-0000-000029710000}"/>
    <cellStyle name="Normal 5 5 8 2 2 2" xfId="48897" xr:uid="{00000000-0005-0000-0000-00002A710000}"/>
    <cellStyle name="Normal 5 5 8 2 3" xfId="36464" xr:uid="{00000000-0005-0000-0000-00002B710000}"/>
    <cellStyle name="Normal 5 5 8 3" xfId="8915" xr:uid="{00000000-0005-0000-0000-00002C710000}"/>
    <cellStyle name="Normal 5 5 8 3 2" xfId="21358" xr:uid="{00000000-0005-0000-0000-00002D710000}"/>
    <cellStyle name="Normal 5 5 8 3 2 2" xfId="46232" xr:uid="{00000000-0005-0000-0000-00002E710000}"/>
    <cellStyle name="Normal 5 5 8 3 3" xfId="33799" xr:uid="{00000000-0005-0000-0000-00002F710000}"/>
    <cellStyle name="Normal 5 5 8 4" xfId="3897" xr:uid="{00000000-0005-0000-0000-000030710000}"/>
    <cellStyle name="Normal 5 5 8 4 2" xfId="16351" xr:uid="{00000000-0005-0000-0000-000031710000}"/>
    <cellStyle name="Normal 5 5 8 4 2 2" xfId="41225" xr:uid="{00000000-0005-0000-0000-000032710000}"/>
    <cellStyle name="Normal 5 5 8 4 3" xfId="28792" xr:uid="{00000000-0005-0000-0000-000033710000}"/>
    <cellStyle name="Normal 5 5 8 5" xfId="13774" xr:uid="{00000000-0005-0000-0000-000034710000}"/>
    <cellStyle name="Normal 5 5 8 5 2" xfId="38648" xr:uid="{00000000-0005-0000-0000-000035710000}"/>
    <cellStyle name="Normal 5 5 8 6" xfId="26207" xr:uid="{00000000-0005-0000-0000-000036710000}"/>
    <cellStyle name="Normal 5 5 9" xfId="901" xr:uid="{00000000-0005-0000-0000-000037710000}"/>
    <cellStyle name="Normal 5 5 9 2" xfId="10133" xr:uid="{00000000-0005-0000-0000-000038710000}"/>
    <cellStyle name="Normal 5 5 9 2 2" xfId="22576" xr:uid="{00000000-0005-0000-0000-000039710000}"/>
    <cellStyle name="Normal 5 5 9 2 2 2" xfId="47450" xr:uid="{00000000-0005-0000-0000-00003A710000}"/>
    <cellStyle name="Normal 5 5 9 2 3" xfId="35017" xr:uid="{00000000-0005-0000-0000-00003B710000}"/>
    <cellStyle name="Normal 5 5 9 3" xfId="5117" xr:uid="{00000000-0005-0000-0000-00003C710000}"/>
    <cellStyle name="Normal 5 5 9 3 2" xfId="17569" xr:uid="{00000000-0005-0000-0000-00003D710000}"/>
    <cellStyle name="Normal 5 5 9 3 2 2" xfId="42443" xr:uid="{00000000-0005-0000-0000-00003E710000}"/>
    <cellStyle name="Normal 5 5 9 3 3" xfId="30010" xr:uid="{00000000-0005-0000-0000-00003F710000}"/>
    <cellStyle name="Normal 5 5 9 4" xfId="13701" xr:uid="{00000000-0005-0000-0000-000040710000}"/>
    <cellStyle name="Normal 5 5 9 4 2" xfId="38575" xr:uid="{00000000-0005-0000-0000-000041710000}"/>
    <cellStyle name="Normal 5 5 9 5" xfId="26134" xr:uid="{00000000-0005-0000-0000-000042710000}"/>
    <cellStyle name="Normal 5 5_Degree data" xfId="2083" xr:uid="{00000000-0005-0000-0000-000043710000}"/>
    <cellStyle name="Normal 5 6" xfId="163" xr:uid="{00000000-0005-0000-0000-000044710000}"/>
    <cellStyle name="Normal 5 6 10" xfId="6542" xr:uid="{00000000-0005-0000-0000-000045710000}"/>
    <cellStyle name="Normal 5 6 10 2" xfId="18991" xr:uid="{00000000-0005-0000-0000-000046710000}"/>
    <cellStyle name="Normal 5 6 10 2 2" xfId="43865" xr:uid="{00000000-0005-0000-0000-000047710000}"/>
    <cellStyle name="Normal 5 6 10 3" xfId="31432" xr:uid="{00000000-0005-0000-0000-000048710000}"/>
    <cellStyle name="Normal 5 6 11" xfId="2710" xr:uid="{00000000-0005-0000-0000-000049710000}"/>
    <cellStyle name="Normal 5 6 11 2" xfId="15228" xr:uid="{00000000-0005-0000-0000-00004A710000}"/>
    <cellStyle name="Normal 5 6 11 2 2" xfId="40102" xr:uid="{00000000-0005-0000-0000-00004B710000}"/>
    <cellStyle name="Normal 5 6 11 3" xfId="27661" xr:uid="{00000000-0005-0000-0000-00004C710000}"/>
    <cellStyle name="Normal 5 6 12" xfId="12993" xr:uid="{00000000-0005-0000-0000-00004D710000}"/>
    <cellStyle name="Normal 5 6 12 2" xfId="37867" xr:uid="{00000000-0005-0000-0000-00004E710000}"/>
    <cellStyle name="Normal 5 6 13" xfId="25426" xr:uid="{00000000-0005-0000-0000-00004F710000}"/>
    <cellStyle name="Normal 5 6 2" xfId="414" xr:uid="{00000000-0005-0000-0000-000050710000}"/>
    <cellStyle name="Normal 5 6 2 10" xfId="13229" xr:uid="{00000000-0005-0000-0000-000051710000}"/>
    <cellStyle name="Normal 5 6 2 10 2" xfId="38103" xr:uid="{00000000-0005-0000-0000-000052710000}"/>
    <cellStyle name="Normal 5 6 2 11" xfId="25662" xr:uid="{00000000-0005-0000-0000-000053710000}"/>
    <cellStyle name="Normal 5 6 2 2" xfId="774" xr:uid="{00000000-0005-0000-0000-000054710000}"/>
    <cellStyle name="Normal 5 6 2 2 2" xfId="1480" xr:uid="{00000000-0005-0000-0000-000055710000}"/>
    <cellStyle name="Normal 5 6 2 2 2 2" xfId="9584" xr:uid="{00000000-0005-0000-0000-000056710000}"/>
    <cellStyle name="Normal 5 6 2 2 2 2 2" xfId="22027" xr:uid="{00000000-0005-0000-0000-000057710000}"/>
    <cellStyle name="Normal 5 6 2 2 2 2 2 2" xfId="46901" xr:uid="{00000000-0005-0000-0000-000058710000}"/>
    <cellStyle name="Normal 5 6 2 2 2 2 3" xfId="34468" xr:uid="{00000000-0005-0000-0000-000059710000}"/>
    <cellStyle name="Normal 5 6 2 2 2 3" xfId="4566" xr:uid="{00000000-0005-0000-0000-00005A710000}"/>
    <cellStyle name="Normal 5 6 2 2 2 3 2" xfId="17020" xr:uid="{00000000-0005-0000-0000-00005B710000}"/>
    <cellStyle name="Normal 5 6 2 2 2 3 2 2" xfId="41894" xr:uid="{00000000-0005-0000-0000-00005C710000}"/>
    <cellStyle name="Normal 5 6 2 2 2 3 3" xfId="29461" xr:uid="{00000000-0005-0000-0000-00005D710000}"/>
    <cellStyle name="Normal 5 6 2 2 2 4" xfId="14280" xr:uid="{00000000-0005-0000-0000-00005E710000}"/>
    <cellStyle name="Normal 5 6 2 2 2 4 2" xfId="39154" xr:uid="{00000000-0005-0000-0000-00005F710000}"/>
    <cellStyle name="Normal 5 6 2 2 2 5" xfId="26713" xr:uid="{00000000-0005-0000-0000-000060710000}"/>
    <cellStyle name="Normal 5 6 2 2 3" xfId="5625" xr:uid="{00000000-0005-0000-0000-000061710000}"/>
    <cellStyle name="Normal 5 6 2 2 3 2" xfId="10641" xr:uid="{00000000-0005-0000-0000-000062710000}"/>
    <cellStyle name="Normal 5 6 2 2 3 2 2" xfId="23084" xr:uid="{00000000-0005-0000-0000-000063710000}"/>
    <cellStyle name="Normal 5 6 2 2 3 2 2 2" xfId="47958" xr:uid="{00000000-0005-0000-0000-000064710000}"/>
    <cellStyle name="Normal 5 6 2 2 3 2 3" xfId="35525" xr:uid="{00000000-0005-0000-0000-000065710000}"/>
    <cellStyle name="Normal 5 6 2 2 3 3" xfId="18077" xr:uid="{00000000-0005-0000-0000-000066710000}"/>
    <cellStyle name="Normal 5 6 2 2 3 3 2" xfId="42951" xr:uid="{00000000-0005-0000-0000-000067710000}"/>
    <cellStyle name="Normal 5 6 2 2 3 4" xfId="30518" xr:uid="{00000000-0005-0000-0000-000068710000}"/>
    <cellStyle name="Normal 5 6 2 2 4" xfId="8700" xr:uid="{00000000-0005-0000-0000-000069710000}"/>
    <cellStyle name="Normal 5 6 2 2 4 2" xfId="21144" xr:uid="{00000000-0005-0000-0000-00006A710000}"/>
    <cellStyle name="Normal 5 6 2 2 4 2 2" xfId="46018" xr:uid="{00000000-0005-0000-0000-00006B710000}"/>
    <cellStyle name="Normal 5 6 2 2 4 3" xfId="33585" xr:uid="{00000000-0005-0000-0000-00006C710000}"/>
    <cellStyle name="Normal 5 6 2 2 5" xfId="12095" xr:uid="{00000000-0005-0000-0000-00006D710000}"/>
    <cellStyle name="Normal 5 6 2 2 5 2" xfId="24529" xr:uid="{00000000-0005-0000-0000-00006E710000}"/>
    <cellStyle name="Normal 5 6 2 2 5 2 2" xfId="49403" xr:uid="{00000000-0005-0000-0000-00006F710000}"/>
    <cellStyle name="Normal 5 6 2 2 5 3" xfId="36970" xr:uid="{00000000-0005-0000-0000-000070710000}"/>
    <cellStyle name="Normal 5 6 2 2 6" xfId="7177" xr:uid="{00000000-0005-0000-0000-000071710000}"/>
    <cellStyle name="Normal 5 6 2 2 6 2" xfId="19626" xr:uid="{00000000-0005-0000-0000-000072710000}"/>
    <cellStyle name="Normal 5 6 2 2 6 2 2" xfId="44500" xr:uid="{00000000-0005-0000-0000-000073710000}"/>
    <cellStyle name="Normal 5 6 2 2 6 3" xfId="32067" xr:uid="{00000000-0005-0000-0000-000074710000}"/>
    <cellStyle name="Normal 5 6 2 2 7" xfId="3631" xr:uid="{00000000-0005-0000-0000-000075710000}"/>
    <cellStyle name="Normal 5 6 2 2 7 2" xfId="16137" xr:uid="{00000000-0005-0000-0000-000076710000}"/>
    <cellStyle name="Normal 5 6 2 2 7 2 2" xfId="41011" xr:uid="{00000000-0005-0000-0000-000077710000}"/>
    <cellStyle name="Normal 5 6 2 2 7 3" xfId="28570" xr:uid="{00000000-0005-0000-0000-000078710000}"/>
    <cellStyle name="Normal 5 6 2 2 8" xfId="13576" xr:uid="{00000000-0005-0000-0000-000079710000}"/>
    <cellStyle name="Normal 5 6 2 2 8 2" xfId="38450" xr:uid="{00000000-0005-0000-0000-00007A710000}"/>
    <cellStyle name="Normal 5 6 2 2 9" xfId="26009" xr:uid="{00000000-0005-0000-0000-00007B710000}"/>
    <cellStyle name="Normal 5 6 2 3" xfId="1828" xr:uid="{00000000-0005-0000-0000-00007C710000}"/>
    <cellStyle name="Normal 5 6 2 3 2" xfId="4958" xr:uid="{00000000-0005-0000-0000-00007D710000}"/>
    <cellStyle name="Normal 5 6 2 3 2 2" xfId="9975" xr:uid="{00000000-0005-0000-0000-00007E710000}"/>
    <cellStyle name="Normal 5 6 2 3 2 2 2" xfId="22418" xr:uid="{00000000-0005-0000-0000-00007F710000}"/>
    <cellStyle name="Normal 5 6 2 3 2 2 2 2" xfId="47292" xr:uid="{00000000-0005-0000-0000-000080710000}"/>
    <cellStyle name="Normal 5 6 2 3 2 2 3" xfId="34859" xr:uid="{00000000-0005-0000-0000-000081710000}"/>
    <cellStyle name="Normal 5 6 2 3 2 3" xfId="17411" xr:uid="{00000000-0005-0000-0000-000082710000}"/>
    <cellStyle name="Normal 5 6 2 3 2 3 2" xfId="42285" xr:uid="{00000000-0005-0000-0000-000083710000}"/>
    <cellStyle name="Normal 5 6 2 3 2 4" xfId="29852" xr:uid="{00000000-0005-0000-0000-000084710000}"/>
    <cellStyle name="Normal 5 6 2 3 3" xfId="5974" xr:uid="{00000000-0005-0000-0000-000085710000}"/>
    <cellStyle name="Normal 5 6 2 3 3 2" xfId="10989" xr:uid="{00000000-0005-0000-0000-000086710000}"/>
    <cellStyle name="Normal 5 6 2 3 3 2 2" xfId="23432" xr:uid="{00000000-0005-0000-0000-000087710000}"/>
    <cellStyle name="Normal 5 6 2 3 3 2 2 2" xfId="48306" xr:uid="{00000000-0005-0000-0000-000088710000}"/>
    <cellStyle name="Normal 5 6 2 3 3 2 3" xfId="35873" xr:uid="{00000000-0005-0000-0000-000089710000}"/>
    <cellStyle name="Normal 5 6 2 3 3 3" xfId="18425" xr:uid="{00000000-0005-0000-0000-00008A710000}"/>
    <cellStyle name="Normal 5 6 2 3 3 3 2" xfId="43299" xr:uid="{00000000-0005-0000-0000-00008B710000}"/>
    <cellStyle name="Normal 5 6 2 3 3 4" xfId="30866" xr:uid="{00000000-0005-0000-0000-00008C710000}"/>
    <cellStyle name="Normal 5 6 2 3 4" xfId="8382" xr:uid="{00000000-0005-0000-0000-00008D710000}"/>
    <cellStyle name="Normal 5 6 2 3 4 2" xfId="20826" xr:uid="{00000000-0005-0000-0000-00008E710000}"/>
    <cellStyle name="Normal 5 6 2 3 4 2 2" xfId="45700" xr:uid="{00000000-0005-0000-0000-00008F710000}"/>
    <cellStyle name="Normal 5 6 2 3 4 3" xfId="33267" xr:uid="{00000000-0005-0000-0000-000090710000}"/>
    <cellStyle name="Normal 5 6 2 3 5" xfId="12443" xr:uid="{00000000-0005-0000-0000-000091710000}"/>
    <cellStyle name="Normal 5 6 2 3 5 2" xfId="24877" xr:uid="{00000000-0005-0000-0000-000092710000}"/>
    <cellStyle name="Normal 5 6 2 3 5 2 2" xfId="49751" xr:uid="{00000000-0005-0000-0000-000093710000}"/>
    <cellStyle name="Normal 5 6 2 3 5 3" xfId="37318" xr:uid="{00000000-0005-0000-0000-000094710000}"/>
    <cellStyle name="Normal 5 6 2 3 6" xfId="7569" xr:uid="{00000000-0005-0000-0000-000095710000}"/>
    <cellStyle name="Normal 5 6 2 3 6 2" xfId="20017" xr:uid="{00000000-0005-0000-0000-000096710000}"/>
    <cellStyle name="Normal 5 6 2 3 6 2 2" xfId="44891" xr:uid="{00000000-0005-0000-0000-000097710000}"/>
    <cellStyle name="Normal 5 6 2 3 6 3" xfId="32458" xr:uid="{00000000-0005-0000-0000-000098710000}"/>
    <cellStyle name="Normal 5 6 2 3 7" xfId="3313" xr:uid="{00000000-0005-0000-0000-000099710000}"/>
    <cellStyle name="Normal 5 6 2 3 7 2" xfId="15819" xr:uid="{00000000-0005-0000-0000-00009A710000}"/>
    <cellStyle name="Normal 5 6 2 3 7 2 2" xfId="40693" xr:uid="{00000000-0005-0000-0000-00009B710000}"/>
    <cellStyle name="Normal 5 6 2 3 7 3" xfId="28252" xr:uid="{00000000-0005-0000-0000-00009C710000}"/>
    <cellStyle name="Normal 5 6 2 3 8" xfId="14628" xr:uid="{00000000-0005-0000-0000-00009D710000}"/>
    <cellStyle name="Normal 5 6 2 3 8 2" xfId="39502" xr:uid="{00000000-0005-0000-0000-00009E710000}"/>
    <cellStyle name="Normal 5 6 2 3 9" xfId="27061" xr:uid="{00000000-0005-0000-0000-00009F710000}"/>
    <cellStyle name="Normal 5 6 2 4" xfId="2332" xr:uid="{00000000-0005-0000-0000-0000A0710000}"/>
    <cellStyle name="Normal 5 6 2 4 2" xfId="6356" xr:uid="{00000000-0005-0000-0000-0000A1710000}"/>
    <cellStyle name="Normal 5 6 2 4 2 2" xfId="11371" xr:uid="{00000000-0005-0000-0000-0000A2710000}"/>
    <cellStyle name="Normal 5 6 2 4 2 2 2" xfId="23814" xr:uid="{00000000-0005-0000-0000-0000A3710000}"/>
    <cellStyle name="Normal 5 6 2 4 2 2 2 2" xfId="48688" xr:uid="{00000000-0005-0000-0000-0000A4710000}"/>
    <cellStyle name="Normal 5 6 2 4 2 2 3" xfId="36255" xr:uid="{00000000-0005-0000-0000-0000A5710000}"/>
    <cellStyle name="Normal 5 6 2 4 2 3" xfId="18807" xr:uid="{00000000-0005-0000-0000-0000A6710000}"/>
    <cellStyle name="Normal 5 6 2 4 2 3 2" xfId="43681" xr:uid="{00000000-0005-0000-0000-0000A7710000}"/>
    <cellStyle name="Normal 5 6 2 4 2 4" xfId="31248" xr:uid="{00000000-0005-0000-0000-0000A8710000}"/>
    <cellStyle name="Normal 5 6 2 4 3" xfId="12825" xr:uid="{00000000-0005-0000-0000-0000A9710000}"/>
    <cellStyle name="Normal 5 6 2 4 3 2" xfId="25259" xr:uid="{00000000-0005-0000-0000-0000AA710000}"/>
    <cellStyle name="Normal 5 6 2 4 3 2 2" xfId="50133" xr:uid="{00000000-0005-0000-0000-0000AB710000}"/>
    <cellStyle name="Normal 5 6 2 4 3 3" xfId="37700" xr:uid="{00000000-0005-0000-0000-0000AC710000}"/>
    <cellStyle name="Normal 5 6 2 4 4" xfId="9266" xr:uid="{00000000-0005-0000-0000-0000AD710000}"/>
    <cellStyle name="Normal 5 6 2 4 4 2" xfId="21709" xr:uid="{00000000-0005-0000-0000-0000AE710000}"/>
    <cellStyle name="Normal 5 6 2 4 4 2 2" xfId="46583" xr:uid="{00000000-0005-0000-0000-0000AF710000}"/>
    <cellStyle name="Normal 5 6 2 4 4 3" xfId="34150" xr:uid="{00000000-0005-0000-0000-0000B0710000}"/>
    <cellStyle name="Normal 5 6 2 4 5" xfId="4248" xr:uid="{00000000-0005-0000-0000-0000B1710000}"/>
    <cellStyle name="Normal 5 6 2 4 5 2" xfId="16702" xr:uid="{00000000-0005-0000-0000-0000B2710000}"/>
    <cellStyle name="Normal 5 6 2 4 5 2 2" xfId="41576" xr:uid="{00000000-0005-0000-0000-0000B3710000}"/>
    <cellStyle name="Normal 5 6 2 4 5 3" xfId="29143" xr:uid="{00000000-0005-0000-0000-0000B4710000}"/>
    <cellStyle name="Normal 5 6 2 4 6" xfId="15010" xr:uid="{00000000-0005-0000-0000-0000B5710000}"/>
    <cellStyle name="Normal 5 6 2 4 6 2" xfId="39884" xr:uid="{00000000-0005-0000-0000-0000B6710000}"/>
    <cellStyle name="Normal 5 6 2 4 7" xfId="27443" xr:uid="{00000000-0005-0000-0000-0000B7710000}"/>
    <cellStyle name="Normal 5 6 2 5" xfId="1167" xr:uid="{00000000-0005-0000-0000-0000B8710000}"/>
    <cellStyle name="Normal 5 6 2 5 2" xfId="10328" xr:uid="{00000000-0005-0000-0000-0000B9710000}"/>
    <cellStyle name="Normal 5 6 2 5 2 2" xfId="22771" xr:uid="{00000000-0005-0000-0000-0000BA710000}"/>
    <cellStyle name="Normal 5 6 2 5 2 2 2" xfId="47645" xr:uid="{00000000-0005-0000-0000-0000BB710000}"/>
    <cellStyle name="Normal 5 6 2 5 2 3" xfId="35212" xr:uid="{00000000-0005-0000-0000-0000BC710000}"/>
    <cellStyle name="Normal 5 6 2 5 3" xfId="5312" xr:uid="{00000000-0005-0000-0000-0000BD710000}"/>
    <cellStyle name="Normal 5 6 2 5 3 2" xfId="17764" xr:uid="{00000000-0005-0000-0000-0000BE710000}"/>
    <cellStyle name="Normal 5 6 2 5 3 2 2" xfId="42638" xr:uid="{00000000-0005-0000-0000-0000BF710000}"/>
    <cellStyle name="Normal 5 6 2 5 3 3" xfId="30205" xr:uid="{00000000-0005-0000-0000-0000C0710000}"/>
    <cellStyle name="Normal 5 6 2 5 4" xfId="13967" xr:uid="{00000000-0005-0000-0000-0000C1710000}"/>
    <cellStyle name="Normal 5 6 2 5 4 2" xfId="38841" xr:uid="{00000000-0005-0000-0000-0000C2710000}"/>
    <cellStyle name="Normal 5 6 2 5 5" xfId="26400" xr:uid="{00000000-0005-0000-0000-0000C3710000}"/>
    <cellStyle name="Normal 5 6 2 6" xfId="7889" xr:uid="{00000000-0005-0000-0000-0000C4710000}"/>
    <cellStyle name="Normal 5 6 2 6 2" xfId="20335" xr:uid="{00000000-0005-0000-0000-0000C5710000}"/>
    <cellStyle name="Normal 5 6 2 6 2 2" xfId="45209" xr:uid="{00000000-0005-0000-0000-0000C6710000}"/>
    <cellStyle name="Normal 5 6 2 6 3" xfId="32776" xr:uid="{00000000-0005-0000-0000-0000C7710000}"/>
    <cellStyle name="Normal 5 6 2 7" xfId="11782" xr:uid="{00000000-0005-0000-0000-0000C8710000}"/>
    <cellStyle name="Normal 5 6 2 7 2" xfId="24216" xr:uid="{00000000-0005-0000-0000-0000C9710000}"/>
    <cellStyle name="Normal 5 6 2 7 2 2" xfId="49090" xr:uid="{00000000-0005-0000-0000-0000CA710000}"/>
    <cellStyle name="Normal 5 6 2 7 3" xfId="36657" xr:uid="{00000000-0005-0000-0000-0000CB710000}"/>
    <cellStyle name="Normal 5 6 2 8" xfId="6859" xr:uid="{00000000-0005-0000-0000-0000CC710000}"/>
    <cellStyle name="Normal 5 6 2 8 2" xfId="19308" xr:uid="{00000000-0005-0000-0000-0000CD710000}"/>
    <cellStyle name="Normal 5 6 2 8 2 2" xfId="44182" xr:uid="{00000000-0005-0000-0000-0000CE710000}"/>
    <cellStyle name="Normal 5 6 2 8 3" xfId="31749" xr:uid="{00000000-0005-0000-0000-0000CF710000}"/>
    <cellStyle name="Normal 5 6 2 9" xfId="2810" xr:uid="{00000000-0005-0000-0000-0000D0710000}"/>
    <cellStyle name="Normal 5 6 2 9 2" xfId="15328" xr:uid="{00000000-0005-0000-0000-0000D1710000}"/>
    <cellStyle name="Normal 5 6 2 9 2 2" xfId="40202" xr:uid="{00000000-0005-0000-0000-0000D2710000}"/>
    <cellStyle name="Normal 5 6 2 9 3" xfId="27761" xr:uid="{00000000-0005-0000-0000-0000D3710000}"/>
    <cellStyle name="Normal 5 6 2_Degree data" xfId="2085" xr:uid="{00000000-0005-0000-0000-0000D4710000}"/>
    <cellStyle name="Normal 5 6 3" xfId="312" xr:uid="{00000000-0005-0000-0000-0000D5710000}"/>
    <cellStyle name="Normal 5 6 3 2" xfId="1479" xr:uid="{00000000-0005-0000-0000-0000D6710000}"/>
    <cellStyle name="Normal 5 6 3 2 2" xfId="9166" xr:uid="{00000000-0005-0000-0000-0000D7710000}"/>
    <cellStyle name="Normal 5 6 3 2 2 2" xfId="21609" xr:uid="{00000000-0005-0000-0000-0000D8710000}"/>
    <cellStyle name="Normal 5 6 3 2 2 2 2" xfId="46483" xr:uid="{00000000-0005-0000-0000-0000D9710000}"/>
    <cellStyle name="Normal 5 6 3 2 2 3" xfId="34050" xr:uid="{00000000-0005-0000-0000-0000DA710000}"/>
    <cellStyle name="Normal 5 6 3 2 3" xfId="4148" xr:uid="{00000000-0005-0000-0000-0000DB710000}"/>
    <cellStyle name="Normal 5 6 3 2 3 2" xfId="16602" xr:uid="{00000000-0005-0000-0000-0000DC710000}"/>
    <cellStyle name="Normal 5 6 3 2 3 2 2" xfId="41476" xr:uid="{00000000-0005-0000-0000-0000DD710000}"/>
    <cellStyle name="Normal 5 6 3 2 3 3" xfId="29043" xr:uid="{00000000-0005-0000-0000-0000DE710000}"/>
    <cellStyle name="Normal 5 6 3 2 4" xfId="14279" xr:uid="{00000000-0005-0000-0000-0000DF710000}"/>
    <cellStyle name="Normal 5 6 3 2 4 2" xfId="39153" xr:uid="{00000000-0005-0000-0000-0000E0710000}"/>
    <cellStyle name="Normal 5 6 3 2 5" xfId="26712" xr:uid="{00000000-0005-0000-0000-0000E1710000}"/>
    <cellStyle name="Normal 5 6 3 3" xfId="5624" xr:uid="{00000000-0005-0000-0000-0000E2710000}"/>
    <cellStyle name="Normal 5 6 3 3 2" xfId="10640" xr:uid="{00000000-0005-0000-0000-0000E3710000}"/>
    <cellStyle name="Normal 5 6 3 3 2 2" xfId="23083" xr:uid="{00000000-0005-0000-0000-0000E4710000}"/>
    <cellStyle name="Normal 5 6 3 3 2 2 2" xfId="47957" xr:uid="{00000000-0005-0000-0000-0000E5710000}"/>
    <cellStyle name="Normal 5 6 3 3 2 3" xfId="35524" xr:uid="{00000000-0005-0000-0000-0000E6710000}"/>
    <cellStyle name="Normal 5 6 3 3 3" xfId="18076" xr:uid="{00000000-0005-0000-0000-0000E7710000}"/>
    <cellStyle name="Normal 5 6 3 3 3 2" xfId="42950" xr:uid="{00000000-0005-0000-0000-0000E8710000}"/>
    <cellStyle name="Normal 5 6 3 3 4" xfId="30517" xr:uid="{00000000-0005-0000-0000-0000E9710000}"/>
    <cellStyle name="Normal 5 6 3 4" xfId="8282" xr:uid="{00000000-0005-0000-0000-0000EA710000}"/>
    <cellStyle name="Normal 5 6 3 4 2" xfId="20726" xr:uid="{00000000-0005-0000-0000-0000EB710000}"/>
    <cellStyle name="Normal 5 6 3 4 2 2" xfId="45600" xr:uid="{00000000-0005-0000-0000-0000EC710000}"/>
    <cellStyle name="Normal 5 6 3 4 3" xfId="33167" xr:uid="{00000000-0005-0000-0000-0000ED710000}"/>
    <cellStyle name="Normal 5 6 3 5" xfId="12094" xr:uid="{00000000-0005-0000-0000-0000EE710000}"/>
    <cellStyle name="Normal 5 6 3 5 2" xfId="24528" xr:uid="{00000000-0005-0000-0000-0000EF710000}"/>
    <cellStyle name="Normal 5 6 3 5 2 2" xfId="49402" xr:uid="{00000000-0005-0000-0000-0000F0710000}"/>
    <cellStyle name="Normal 5 6 3 5 3" xfId="36969" xr:uid="{00000000-0005-0000-0000-0000F1710000}"/>
    <cellStyle name="Normal 5 6 3 6" xfId="6759" xr:uid="{00000000-0005-0000-0000-0000F2710000}"/>
    <cellStyle name="Normal 5 6 3 6 2" xfId="19208" xr:uid="{00000000-0005-0000-0000-0000F3710000}"/>
    <cellStyle name="Normal 5 6 3 6 2 2" xfId="44082" xr:uid="{00000000-0005-0000-0000-0000F4710000}"/>
    <cellStyle name="Normal 5 6 3 6 3" xfId="31649" xr:uid="{00000000-0005-0000-0000-0000F5710000}"/>
    <cellStyle name="Normal 5 6 3 7" xfId="3213" xr:uid="{00000000-0005-0000-0000-0000F6710000}"/>
    <cellStyle name="Normal 5 6 3 7 2" xfId="15719" xr:uid="{00000000-0005-0000-0000-0000F7710000}"/>
    <cellStyle name="Normal 5 6 3 7 2 2" xfId="40593" xr:uid="{00000000-0005-0000-0000-0000F8710000}"/>
    <cellStyle name="Normal 5 6 3 7 3" xfId="28152" xr:uid="{00000000-0005-0000-0000-0000F9710000}"/>
    <cellStyle name="Normal 5 6 3 8" xfId="13129" xr:uid="{00000000-0005-0000-0000-0000FA710000}"/>
    <cellStyle name="Normal 5 6 3 8 2" xfId="38003" xr:uid="{00000000-0005-0000-0000-0000FB710000}"/>
    <cellStyle name="Normal 5 6 3 9" xfId="25562" xr:uid="{00000000-0005-0000-0000-0000FC710000}"/>
    <cellStyle name="Normal 5 6 4" xfId="673" xr:uid="{00000000-0005-0000-0000-0000FD710000}"/>
    <cellStyle name="Normal 5 6 4 2" xfId="1827" xr:uid="{00000000-0005-0000-0000-0000FE710000}"/>
    <cellStyle name="Normal 5 6 4 2 2" xfId="9583" xr:uid="{00000000-0005-0000-0000-0000FF710000}"/>
    <cellStyle name="Normal 5 6 4 2 2 2" xfId="22026" xr:uid="{00000000-0005-0000-0000-000000720000}"/>
    <cellStyle name="Normal 5 6 4 2 2 2 2" xfId="46900" xr:uid="{00000000-0005-0000-0000-000001720000}"/>
    <cellStyle name="Normal 5 6 4 2 2 3" xfId="34467" xr:uid="{00000000-0005-0000-0000-000002720000}"/>
    <cellStyle name="Normal 5 6 4 2 3" xfId="4565" xr:uid="{00000000-0005-0000-0000-000003720000}"/>
    <cellStyle name="Normal 5 6 4 2 3 2" xfId="17019" xr:uid="{00000000-0005-0000-0000-000004720000}"/>
    <cellStyle name="Normal 5 6 4 2 3 2 2" xfId="41893" xr:uid="{00000000-0005-0000-0000-000005720000}"/>
    <cellStyle name="Normal 5 6 4 2 3 3" xfId="29460" xr:uid="{00000000-0005-0000-0000-000006720000}"/>
    <cellStyle name="Normal 5 6 4 2 4" xfId="14627" xr:uid="{00000000-0005-0000-0000-000007720000}"/>
    <cellStyle name="Normal 5 6 4 2 4 2" xfId="39501" xr:uid="{00000000-0005-0000-0000-000008720000}"/>
    <cellStyle name="Normal 5 6 4 2 5" xfId="27060" xr:uid="{00000000-0005-0000-0000-000009720000}"/>
    <cellStyle name="Normal 5 6 4 3" xfId="5973" xr:uid="{00000000-0005-0000-0000-00000A720000}"/>
    <cellStyle name="Normal 5 6 4 3 2" xfId="10988" xr:uid="{00000000-0005-0000-0000-00000B720000}"/>
    <cellStyle name="Normal 5 6 4 3 2 2" xfId="23431" xr:uid="{00000000-0005-0000-0000-00000C720000}"/>
    <cellStyle name="Normal 5 6 4 3 2 2 2" xfId="48305" xr:uid="{00000000-0005-0000-0000-00000D720000}"/>
    <cellStyle name="Normal 5 6 4 3 2 3" xfId="35872" xr:uid="{00000000-0005-0000-0000-00000E720000}"/>
    <cellStyle name="Normal 5 6 4 3 3" xfId="18424" xr:uid="{00000000-0005-0000-0000-00000F720000}"/>
    <cellStyle name="Normal 5 6 4 3 3 2" xfId="43298" xr:uid="{00000000-0005-0000-0000-000010720000}"/>
    <cellStyle name="Normal 5 6 4 3 4" xfId="30865" xr:uid="{00000000-0005-0000-0000-000011720000}"/>
    <cellStyle name="Normal 5 6 4 4" xfId="8699" xr:uid="{00000000-0005-0000-0000-000012720000}"/>
    <cellStyle name="Normal 5 6 4 4 2" xfId="21143" xr:uid="{00000000-0005-0000-0000-000013720000}"/>
    <cellStyle name="Normal 5 6 4 4 2 2" xfId="46017" xr:uid="{00000000-0005-0000-0000-000014720000}"/>
    <cellStyle name="Normal 5 6 4 4 3" xfId="33584" xr:uid="{00000000-0005-0000-0000-000015720000}"/>
    <cellStyle name="Normal 5 6 4 5" xfId="12442" xr:uid="{00000000-0005-0000-0000-000016720000}"/>
    <cellStyle name="Normal 5 6 4 5 2" xfId="24876" xr:uid="{00000000-0005-0000-0000-000017720000}"/>
    <cellStyle name="Normal 5 6 4 5 2 2" xfId="49750" xr:uid="{00000000-0005-0000-0000-000018720000}"/>
    <cellStyle name="Normal 5 6 4 5 3" xfId="37317" xr:uid="{00000000-0005-0000-0000-000019720000}"/>
    <cellStyle name="Normal 5 6 4 6" xfId="7176" xr:uid="{00000000-0005-0000-0000-00001A720000}"/>
    <cellStyle name="Normal 5 6 4 6 2" xfId="19625" xr:uid="{00000000-0005-0000-0000-00001B720000}"/>
    <cellStyle name="Normal 5 6 4 6 2 2" xfId="44499" xr:uid="{00000000-0005-0000-0000-00001C720000}"/>
    <cellStyle name="Normal 5 6 4 6 3" xfId="32066" xr:uid="{00000000-0005-0000-0000-00001D720000}"/>
    <cellStyle name="Normal 5 6 4 7" xfId="3630" xr:uid="{00000000-0005-0000-0000-00001E720000}"/>
    <cellStyle name="Normal 5 6 4 7 2" xfId="16136" xr:uid="{00000000-0005-0000-0000-00001F720000}"/>
    <cellStyle name="Normal 5 6 4 7 2 2" xfId="41010" xr:uid="{00000000-0005-0000-0000-000020720000}"/>
    <cellStyle name="Normal 5 6 4 7 3" xfId="28569" xr:uid="{00000000-0005-0000-0000-000021720000}"/>
    <cellStyle name="Normal 5 6 4 8" xfId="13476" xr:uid="{00000000-0005-0000-0000-000022720000}"/>
    <cellStyle name="Normal 5 6 4 8 2" xfId="38350" xr:uid="{00000000-0005-0000-0000-000023720000}"/>
    <cellStyle name="Normal 5 6 4 9" xfId="25909" xr:uid="{00000000-0005-0000-0000-000024720000}"/>
    <cellStyle name="Normal 5 6 5" xfId="2230" xr:uid="{00000000-0005-0000-0000-000025720000}"/>
    <cellStyle name="Normal 5 6 5 2" xfId="4858" xr:uid="{00000000-0005-0000-0000-000026720000}"/>
    <cellStyle name="Normal 5 6 5 2 2" xfId="9875" xr:uid="{00000000-0005-0000-0000-000027720000}"/>
    <cellStyle name="Normal 5 6 5 2 2 2" xfId="22318" xr:uid="{00000000-0005-0000-0000-000028720000}"/>
    <cellStyle name="Normal 5 6 5 2 2 2 2" xfId="47192" xr:uid="{00000000-0005-0000-0000-000029720000}"/>
    <cellStyle name="Normal 5 6 5 2 2 3" xfId="34759" xr:uid="{00000000-0005-0000-0000-00002A720000}"/>
    <cellStyle name="Normal 5 6 5 2 3" xfId="17311" xr:uid="{00000000-0005-0000-0000-00002B720000}"/>
    <cellStyle name="Normal 5 6 5 2 3 2" xfId="42185" xr:uid="{00000000-0005-0000-0000-00002C720000}"/>
    <cellStyle name="Normal 5 6 5 2 4" xfId="29752" xr:uid="{00000000-0005-0000-0000-00002D720000}"/>
    <cellStyle name="Normal 5 6 5 3" xfId="6256" xr:uid="{00000000-0005-0000-0000-00002E720000}"/>
    <cellStyle name="Normal 5 6 5 3 2" xfId="11271" xr:uid="{00000000-0005-0000-0000-00002F720000}"/>
    <cellStyle name="Normal 5 6 5 3 2 2" xfId="23714" xr:uid="{00000000-0005-0000-0000-000030720000}"/>
    <cellStyle name="Normal 5 6 5 3 2 2 2" xfId="48588" xr:uid="{00000000-0005-0000-0000-000031720000}"/>
    <cellStyle name="Normal 5 6 5 3 2 3" xfId="36155" xr:uid="{00000000-0005-0000-0000-000032720000}"/>
    <cellStyle name="Normal 5 6 5 3 3" xfId="18707" xr:uid="{00000000-0005-0000-0000-000033720000}"/>
    <cellStyle name="Normal 5 6 5 3 3 2" xfId="43581" xr:uid="{00000000-0005-0000-0000-000034720000}"/>
    <cellStyle name="Normal 5 6 5 3 4" xfId="31148" xr:uid="{00000000-0005-0000-0000-000035720000}"/>
    <cellStyle name="Normal 5 6 5 4" xfId="8063" xr:uid="{00000000-0005-0000-0000-000036720000}"/>
    <cellStyle name="Normal 5 6 5 4 2" xfId="20509" xr:uid="{00000000-0005-0000-0000-000037720000}"/>
    <cellStyle name="Normal 5 6 5 4 2 2" xfId="45383" xr:uid="{00000000-0005-0000-0000-000038720000}"/>
    <cellStyle name="Normal 5 6 5 4 3" xfId="32950" xr:uid="{00000000-0005-0000-0000-000039720000}"/>
    <cellStyle name="Normal 5 6 5 5" xfId="12725" xr:uid="{00000000-0005-0000-0000-00003A720000}"/>
    <cellStyle name="Normal 5 6 5 5 2" xfId="25159" xr:uid="{00000000-0005-0000-0000-00003B720000}"/>
    <cellStyle name="Normal 5 6 5 5 2 2" xfId="50033" xr:uid="{00000000-0005-0000-0000-00003C720000}"/>
    <cellStyle name="Normal 5 6 5 5 3" xfId="37600" xr:uid="{00000000-0005-0000-0000-00003D720000}"/>
    <cellStyle name="Normal 5 6 5 6" xfId="7469" xr:uid="{00000000-0005-0000-0000-00003E720000}"/>
    <cellStyle name="Normal 5 6 5 6 2" xfId="19917" xr:uid="{00000000-0005-0000-0000-00003F720000}"/>
    <cellStyle name="Normal 5 6 5 6 2 2" xfId="44791" xr:uid="{00000000-0005-0000-0000-000040720000}"/>
    <cellStyle name="Normal 5 6 5 6 3" xfId="32358" xr:uid="{00000000-0005-0000-0000-000041720000}"/>
    <cellStyle name="Normal 5 6 5 7" xfId="2992" xr:uid="{00000000-0005-0000-0000-000042720000}"/>
    <cellStyle name="Normal 5 6 5 7 2" xfId="15502" xr:uid="{00000000-0005-0000-0000-000043720000}"/>
    <cellStyle name="Normal 5 6 5 7 2 2" xfId="40376" xr:uid="{00000000-0005-0000-0000-000044720000}"/>
    <cellStyle name="Normal 5 6 5 7 3" xfId="27935" xr:uid="{00000000-0005-0000-0000-000045720000}"/>
    <cellStyle name="Normal 5 6 5 8" xfId="14910" xr:uid="{00000000-0005-0000-0000-000046720000}"/>
    <cellStyle name="Normal 5 6 5 8 2" xfId="39784" xr:uid="{00000000-0005-0000-0000-000047720000}"/>
    <cellStyle name="Normal 5 6 5 9" xfId="27343" xr:uid="{00000000-0005-0000-0000-000048720000}"/>
    <cellStyle name="Normal 5 6 6" xfId="1067" xr:uid="{00000000-0005-0000-0000-000049720000}"/>
    <cellStyle name="Normal 5 6 6 2" xfId="8949" xr:uid="{00000000-0005-0000-0000-00004A720000}"/>
    <cellStyle name="Normal 5 6 6 2 2" xfId="21392" xr:uid="{00000000-0005-0000-0000-00004B720000}"/>
    <cellStyle name="Normal 5 6 6 2 2 2" xfId="46266" xr:uid="{00000000-0005-0000-0000-00004C720000}"/>
    <cellStyle name="Normal 5 6 6 2 3" xfId="33833" xr:uid="{00000000-0005-0000-0000-00004D720000}"/>
    <cellStyle name="Normal 5 6 6 3" xfId="3931" xr:uid="{00000000-0005-0000-0000-00004E720000}"/>
    <cellStyle name="Normal 5 6 6 3 2" xfId="16385" xr:uid="{00000000-0005-0000-0000-00004F720000}"/>
    <cellStyle name="Normal 5 6 6 3 2 2" xfId="41259" xr:uid="{00000000-0005-0000-0000-000050720000}"/>
    <cellStyle name="Normal 5 6 6 3 3" xfId="28826" xr:uid="{00000000-0005-0000-0000-000051720000}"/>
    <cellStyle name="Normal 5 6 6 4" xfId="13867" xr:uid="{00000000-0005-0000-0000-000052720000}"/>
    <cellStyle name="Normal 5 6 6 4 2" xfId="38741" xr:uid="{00000000-0005-0000-0000-000053720000}"/>
    <cellStyle name="Normal 5 6 6 5" xfId="26300" xr:uid="{00000000-0005-0000-0000-000054720000}"/>
    <cellStyle name="Normal 5 6 7" xfId="5212" xr:uid="{00000000-0005-0000-0000-000055720000}"/>
    <cellStyle name="Normal 5 6 7 2" xfId="10228" xr:uid="{00000000-0005-0000-0000-000056720000}"/>
    <cellStyle name="Normal 5 6 7 2 2" xfId="22671" xr:uid="{00000000-0005-0000-0000-000057720000}"/>
    <cellStyle name="Normal 5 6 7 2 2 2" xfId="47545" xr:uid="{00000000-0005-0000-0000-000058720000}"/>
    <cellStyle name="Normal 5 6 7 2 3" xfId="35112" xr:uid="{00000000-0005-0000-0000-000059720000}"/>
    <cellStyle name="Normal 5 6 7 3" xfId="17664" xr:uid="{00000000-0005-0000-0000-00005A720000}"/>
    <cellStyle name="Normal 5 6 7 3 2" xfId="42538" xr:uid="{00000000-0005-0000-0000-00005B720000}"/>
    <cellStyle name="Normal 5 6 7 4" xfId="30105" xr:uid="{00000000-0005-0000-0000-00005C720000}"/>
    <cellStyle name="Normal 5 6 8" xfId="7789" xr:uid="{00000000-0005-0000-0000-00005D720000}"/>
    <cellStyle name="Normal 5 6 8 2" xfId="20235" xr:uid="{00000000-0005-0000-0000-00005E720000}"/>
    <cellStyle name="Normal 5 6 8 2 2" xfId="45109" xr:uid="{00000000-0005-0000-0000-00005F720000}"/>
    <cellStyle name="Normal 5 6 8 3" xfId="32676" xr:uid="{00000000-0005-0000-0000-000060720000}"/>
    <cellStyle name="Normal 5 6 9" xfId="11682" xr:uid="{00000000-0005-0000-0000-000061720000}"/>
    <cellStyle name="Normal 5 6 9 2" xfId="24116" xr:uid="{00000000-0005-0000-0000-000062720000}"/>
    <cellStyle name="Normal 5 6 9 2 2" xfId="48990" xr:uid="{00000000-0005-0000-0000-000063720000}"/>
    <cellStyle name="Normal 5 6 9 3" xfId="36557" xr:uid="{00000000-0005-0000-0000-000064720000}"/>
    <cellStyle name="Normal 5 6_Degree data" xfId="2062" xr:uid="{00000000-0005-0000-0000-000065720000}"/>
    <cellStyle name="Normal 5 7" xfId="522" xr:uid="{00000000-0005-0000-0000-000066720000}"/>
    <cellStyle name="Normal 5 7 10" xfId="2915" xr:uid="{00000000-0005-0000-0000-000067720000}"/>
    <cellStyle name="Normal 5 7 10 2" xfId="15433" xr:uid="{00000000-0005-0000-0000-000068720000}"/>
    <cellStyle name="Normal 5 7 10 2 2" xfId="40307" xr:uid="{00000000-0005-0000-0000-000069720000}"/>
    <cellStyle name="Normal 5 7 10 3" xfId="27866" xr:uid="{00000000-0005-0000-0000-00006A720000}"/>
    <cellStyle name="Normal 5 7 11" xfId="13334" xr:uid="{00000000-0005-0000-0000-00006B720000}"/>
    <cellStyle name="Normal 5 7 11 2" xfId="38208" xr:uid="{00000000-0005-0000-0000-00006C720000}"/>
    <cellStyle name="Normal 5 7 12" xfId="25767" xr:uid="{00000000-0005-0000-0000-00006D720000}"/>
    <cellStyle name="Normal 5 7 2" xfId="880" xr:uid="{00000000-0005-0000-0000-00006E720000}"/>
    <cellStyle name="Normal 5 7 2 2" xfId="1481" xr:uid="{00000000-0005-0000-0000-00006F720000}"/>
    <cellStyle name="Normal 5 7 2 2 2" xfId="9371" xr:uid="{00000000-0005-0000-0000-000070720000}"/>
    <cellStyle name="Normal 5 7 2 2 2 2" xfId="21814" xr:uid="{00000000-0005-0000-0000-000071720000}"/>
    <cellStyle name="Normal 5 7 2 2 2 2 2" xfId="46688" xr:uid="{00000000-0005-0000-0000-000072720000}"/>
    <cellStyle name="Normal 5 7 2 2 2 3" xfId="34255" xr:uid="{00000000-0005-0000-0000-000073720000}"/>
    <cellStyle name="Normal 5 7 2 2 3" xfId="4353" xr:uid="{00000000-0005-0000-0000-000074720000}"/>
    <cellStyle name="Normal 5 7 2 2 3 2" xfId="16807" xr:uid="{00000000-0005-0000-0000-000075720000}"/>
    <cellStyle name="Normal 5 7 2 2 3 2 2" xfId="41681" xr:uid="{00000000-0005-0000-0000-000076720000}"/>
    <cellStyle name="Normal 5 7 2 2 3 3" xfId="29248" xr:uid="{00000000-0005-0000-0000-000077720000}"/>
    <cellStyle name="Normal 5 7 2 2 4" xfId="14281" xr:uid="{00000000-0005-0000-0000-000078720000}"/>
    <cellStyle name="Normal 5 7 2 2 4 2" xfId="39155" xr:uid="{00000000-0005-0000-0000-000079720000}"/>
    <cellStyle name="Normal 5 7 2 2 5" xfId="26714" xr:uid="{00000000-0005-0000-0000-00007A720000}"/>
    <cellStyle name="Normal 5 7 2 3" xfId="5626" xr:uid="{00000000-0005-0000-0000-00007B720000}"/>
    <cellStyle name="Normal 5 7 2 3 2" xfId="10642" xr:uid="{00000000-0005-0000-0000-00007C720000}"/>
    <cellStyle name="Normal 5 7 2 3 2 2" xfId="23085" xr:uid="{00000000-0005-0000-0000-00007D720000}"/>
    <cellStyle name="Normal 5 7 2 3 2 2 2" xfId="47959" xr:uid="{00000000-0005-0000-0000-00007E720000}"/>
    <cellStyle name="Normal 5 7 2 3 2 3" xfId="35526" xr:uid="{00000000-0005-0000-0000-00007F720000}"/>
    <cellStyle name="Normal 5 7 2 3 3" xfId="18078" xr:uid="{00000000-0005-0000-0000-000080720000}"/>
    <cellStyle name="Normal 5 7 2 3 3 2" xfId="42952" xr:uid="{00000000-0005-0000-0000-000081720000}"/>
    <cellStyle name="Normal 5 7 2 3 4" xfId="30519" xr:uid="{00000000-0005-0000-0000-000082720000}"/>
    <cellStyle name="Normal 5 7 2 4" xfId="8487" xr:uid="{00000000-0005-0000-0000-000083720000}"/>
    <cellStyle name="Normal 5 7 2 4 2" xfId="20931" xr:uid="{00000000-0005-0000-0000-000084720000}"/>
    <cellStyle name="Normal 5 7 2 4 2 2" xfId="45805" xr:uid="{00000000-0005-0000-0000-000085720000}"/>
    <cellStyle name="Normal 5 7 2 4 3" xfId="33372" xr:uid="{00000000-0005-0000-0000-000086720000}"/>
    <cellStyle name="Normal 5 7 2 5" xfId="12096" xr:uid="{00000000-0005-0000-0000-000087720000}"/>
    <cellStyle name="Normal 5 7 2 5 2" xfId="24530" xr:uid="{00000000-0005-0000-0000-000088720000}"/>
    <cellStyle name="Normal 5 7 2 5 2 2" xfId="49404" xr:uid="{00000000-0005-0000-0000-000089720000}"/>
    <cellStyle name="Normal 5 7 2 5 3" xfId="36971" xr:uid="{00000000-0005-0000-0000-00008A720000}"/>
    <cellStyle name="Normal 5 7 2 6" xfId="6964" xr:uid="{00000000-0005-0000-0000-00008B720000}"/>
    <cellStyle name="Normal 5 7 2 6 2" xfId="19413" xr:uid="{00000000-0005-0000-0000-00008C720000}"/>
    <cellStyle name="Normal 5 7 2 6 2 2" xfId="44287" xr:uid="{00000000-0005-0000-0000-00008D720000}"/>
    <cellStyle name="Normal 5 7 2 6 3" xfId="31854" xr:uid="{00000000-0005-0000-0000-00008E720000}"/>
    <cellStyle name="Normal 5 7 2 7" xfId="3418" xr:uid="{00000000-0005-0000-0000-00008F720000}"/>
    <cellStyle name="Normal 5 7 2 7 2" xfId="15924" xr:uid="{00000000-0005-0000-0000-000090720000}"/>
    <cellStyle name="Normal 5 7 2 7 2 2" xfId="40798" xr:uid="{00000000-0005-0000-0000-000091720000}"/>
    <cellStyle name="Normal 5 7 2 7 3" xfId="28357" xr:uid="{00000000-0005-0000-0000-000092720000}"/>
    <cellStyle name="Normal 5 7 2 8" xfId="13681" xr:uid="{00000000-0005-0000-0000-000093720000}"/>
    <cellStyle name="Normal 5 7 2 8 2" xfId="38555" xr:uid="{00000000-0005-0000-0000-000094720000}"/>
    <cellStyle name="Normal 5 7 2 9" xfId="26114" xr:uid="{00000000-0005-0000-0000-000095720000}"/>
    <cellStyle name="Normal 5 7 3" xfId="1829" xr:uid="{00000000-0005-0000-0000-000096720000}"/>
    <cellStyle name="Normal 5 7 3 2" xfId="4567" xr:uid="{00000000-0005-0000-0000-000097720000}"/>
    <cellStyle name="Normal 5 7 3 2 2" xfId="9585" xr:uid="{00000000-0005-0000-0000-000098720000}"/>
    <cellStyle name="Normal 5 7 3 2 2 2" xfId="22028" xr:uid="{00000000-0005-0000-0000-000099720000}"/>
    <cellStyle name="Normal 5 7 3 2 2 2 2" xfId="46902" xr:uid="{00000000-0005-0000-0000-00009A720000}"/>
    <cellStyle name="Normal 5 7 3 2 2 3" xfId="34469" xr:uid="{00000000-0005-0000-0000-00009B720000}"/>
    <cellStyle name="Normal 5 7 3 2 3" xfId="17021" xr:uid="{00000000-0005-0000-0000-00009C720000}"/>
    <cellStyle name="Normal 5 7 3 2 3 2" xfId="41895" xr:uid="{00000000-0005-0000-0000-00009D720000}"/>
    <cellStyle name="Normal 5 7 3 2 4" xfId="29462" xr:uid="{00000000-0005-0000-0000-00009E720000}"/>
    <cellStyle name="Normal 5 7 3 3" xfId="5975" xr:uid="{00000000-0005-0000-0000-00009F720000}"/>
    <cellStyle name="Normal 5 7 3 3 2" xfId="10990" xr:uid="{00000000-0005-0000-0000-0000A0720000}"/>
    <cellStyle name="Normal 5 7 3 3 2 2" xfId="23433" xr:uid="{00000000-0005-0000-0000-0000A1720000}"/>
    <cellStyle name="Normal 5 7 3 3 2 2 2" xfId="48307" xr:uid="{00000000-0005-0000-0000-0000A2720000}"/>
    <cellStyle name="Normal 5 7 3 3 2 3" xfId="35874" xr:uid="{00000000-0005-0000-0000-0000A3720000}"/>
    <cellStyle name="Normal 5 7 3 3 3" xfId="18426" xr:uid="{00000000-0005-0000-0000-0000A4720000}"/>
    <cellStyle name="Normal 5 7 3 3 3 2" xfId="43300" xr:uid="{00000000-0005-0000-0000-0000A5720000}"/>
    <cellStyle name="Normal 5 7 3 3 4" xfId="30867" xr:uid="{00000000-0005-0000-0000-0000A6720000}"/>
    <cellStyle name="Normal 5 7 3 4" xfId="8701" xr:uid="{00000000-0005-0000-0000-0000A7720000}"/>
    <cellStyle name="Normal 5 7 3 4 2" xfId="21145" xr:uid="{00000000-0005-0000-0000-0000A8720000}"/>
    <cellStyle name="Normal 5 7 3 4 2 2" xfId="46019" xr:uid="{00000000-0005-0000-0000-0000A9720000}"/>
    <cellStyle name="Normal 5 7 3 4 3" xfId="33586" xr:uid="{00000000-0005-0000-0000-0000AA720000}"/>
    <cellStyle name="Normal 5 7 3 5" xfId="12444" xr:uid="{00000000-0005-0000-0000-0000AB720000}"/>
    <cellStyle name="Normal 5 7 3 5 2" xfId="24878" xr:uid="{00000000-0005-0000-0000-0000AC720000}"/>
    <cellStyle name="Normal 5 7 3 5 2 2" xfId="49752" xr:uid="{00000000-0005-0000-0000-0000AD720000}"/>
    <cellStyle name="Normal 5 7 3 5 3" xfId="37319" xr:uid="{00000000-0005-0000-0000-0000AE720000}"/>
    <cellStyle name="Normal 5 7 3 6" xfId="7178" xr:uid="{00000000-0005-0000-0000-0000AF720000}"/>
    <cellStyle name="Normal 5 7 3 6 2" xfId="19627" xr:uid="{00000000-0005-0000-0000-0000B0720000}"/>
    <cellStyle name="Normal 5 7 3 6 2 2" xfId="44501" xr:uid="{00000000-0005-0000-0000-0000B1720000}"/>
    <cellStyle name="Normal 5 7 3 6 3" xfId="32068" xr:uid="{00000000-0005-0000-0000-0000B2720000}"/>
    <cellStyle name="Normal 5 7 3 7" xfId="3632" xr:uid="{00000000-0005-0000-0000-0000B3720000}"/>
    <cellStyle name="Normal 5 7 3 7 2" xfId="16138" xr:uid="{00000000-0005-0000-0000-0000B4720000}"/>
    <cellStyle name="Normal 5 7 3 7 2 2" xfId="41012" xr:uid="{00000000-0005-0000-0000-0000B5720000}"/>
    <cellStyle name="Normal 5 7 3 7 3" xfId="28571" xr:uid="{00000000-0005-0000-0000-0000B6720000}"/>
    <cellStyle name="Normal 5 7 3 8" xfId="14629" xr:uid="{00000000-0005-0000-0000-0000B7720000}"/>
    <cellStyle name="Normal 5 7 3 8 2" xfId="39503" xr:uid="{00000000-0005-0000-0000-0000B8720000}"/>
    <cellStyle name="Normal 5 7 3 9" xfId="27062" xr:uid="{00000000-0005-0000-0000-0000B9720000}"/>
    <cellStyle name="Normal 5 7 4" xfId="2440" xr:uid="{00000000-0005-0000-0000-0000BA720000}"/>
    <cellStyle name="Normal 5 7 4 2" xfId="5063" xr:uid="{00000000-0005-0000-0000-0000BB720000}"/>
    <cellStyle name="Normal 5 7 4 2 2" xfId="10080" xr:uid="{00000000-0005-0000-0000-0000BC720000}"/>
    <cellStyle name="Normal 5 7 4 2 2 2" xfId="22523" xr:uid="{00000000-0005-0000-0000-0000BD720000}"/>
    <cellStyle name="Normal 5 7 4 2 2 2 2" xfId="47397" xr:uid="{00000000-0005-0000-0000-0000BE720000}"/>
    <cellStyle name="Normal 5 7 4 2 2 3" xfId="34964" xr:uid="{00000000-0005-0000-0000-0000BF720000}"/>
    <cellStyle name="Normal 5 7 4 2 3" xfId="17516" xr:uid="{00000000-0005-0000-0000-0000C0720000}"/>
    <cellStyle name="Normal 5 7 4 2 3 2" xfId="42390" xr:uid="{00000000-0005-0000-0000-0000C1720000}"/>
    <cellStyle name="Normal 5 7 4 2 4" xfId="29957" xr:uid="{00000000-0005-0000-0000-0000C2720000}"/>
    <cellStyle name="Normal 5 7 4 3" xfId="6461" xr:uid="{00000000-0005-0000-0000-0000C3720000}"/>
    <cellStyle name="Normal 5 7 4 3 2" xfId="11476" xr:uid="{00000000-0005-0000-0000-0000C4720000}"/>
    <cellStyle name="Normal 5 7 4 3 2 2" xfId="23919" xr:uid="{00000000-0005-0000-0000-0000C5720000}"/>
    <cellStyle name="Normal 5 7 4 3 2 2 2" xfId="48793" xr:uid="{00000000-0005-0000-0000-0000C6720000}"/>
    <cellStyle name="Normal 5 7 4 3 2 3" xfId="36360" xr:uid="{00000000-0005-0000-0000-0000C7720000}"/>
    <cellStyle name="Normal 5 7 4 3 3" xfId="18912" xr:uid="{00000000-0005-0000-0000-0000C8720000}"/>
    <cellStyle name="Normal 5 7 4 3 3 2" xfId="43786" xr:uid="{00000000-0005-0000-0000-0000C9720000}"/>
    <cellStyle name="Normal 5 7 4 3 4" xfId="31353" xr:uid="{00000000-0005-0000-0000-0000CA720000}"/>
    <cellStyle name="Normal 5 7 4 4" xfId="8168" xr:uid="{00000000-0005-0000-0000-0000CB720000}"/>
    <cellStyle name="Normal 5 7 4 4 2" xfId="20614" xr:uid="{00000000-0005-0000-0000-0000CC720000}"/>
    <cellStyle name="Normal 5 7 4 4 2 2" xfId="45488" xr:uid="{00000000-0005-0000-0000-0000CD720000}"/>
    <cellStyle name="Normal 5 7 4 4 3" xfId="33055" xr:uid="{00000000-0005-0000-0000-0000CE720000}"/>
    <cellStyle name="Normal 5 7 4 5" xfId="12930" xr:uid="{00000000-0005-0000-0000-0000CF720000}"/>
    <cellStyle name="Normal 5 7 4 5 2" xfId="25364" xr:uid="{00000000-0005-0000-0000-0000D0720000}"/>
    <cellStyle name="Normal 5 7 4 5 2 2" xfId="50238" xr:uid="{00000000-0005-0000-0000-0000D1720000}"/>
    <cellStyle name="Normal 5 7 4 5 3" xfId="37805" xr:uid="{00000000-0005-0000-0000-0000D2720000}"/>
    <cellStyle name="Normal 5 7 4 6" xfId="7674" xr:uid="{00000000-0005-0000-0000-0000D3720000}"/>
    <cellStyle name="Normal 5 7 4 6 2" xfId="20122" xr:uid="{00000000-0005-0000-0000-0000D4720000}"/>
    <cellStyle name="Normal 5 7 4 6 2 2" xfId="44996" xr:uid="{00000000-0005-0000-0000-0000D5720000}"/>
    <cellStyle name="Normal 5 7 4 6 3" xfId="32563" xr:uid="{00000000-0005-0000-0000-0000D6720000}"/>
    <cellStyle name="Normal 5 7 4 7" xfId="3098" xr:uid="{00000000-0005-0000-0000-0000D7720000}"/>
    <cellStyle name="Normal 5 7 4 7 2" xfId="15607" xr:uid="{00000000-0005-0000-0000-0000D8720000}"/>
    <cellStyle name="Normal 5 7 4 7 2 2" xfId="40481" xr:uid="{00000000-0005-0000-0000-0000D9720000}"/>
    <cellStyle name="Normal 5 7 4 7 3" xfId="28040" xr:uid="{00000000-0005-0000-0000-0000DA720000}"/>
    <cellStyle name="Normal 5 7 4 8" xfId="15115" xr:uid="{00000000-0005-0000-0000-0000DB720000}"/>
    <cellStyle name="Normal 5 7 4 8 2" xfId="39989" xr:uid="{00000000-0005-0000-0000-0000DC720000}"/>
    <cellStyle name="Normal 5 7 4 9" xfId="27548" xr:uid="{00000000-0005-0000-0000-0000DD720000}"/>
    <cellStyle name="Normal 5 7 5" xfId="1272" xr:uid="{00000000-0005-0000-0000-0000DE720000}"/>
    <cellStyle name="Normal 5 7 5 2" xfId="9054" xr:uid="{00000000-0005-0000-0000-0000DF720000}"/>
    <cellStyle name="Normal 5 7 5 2 2" xfId="21497" xr:uid="{00000000-0005-0000-0000-0000E0720000}"/>
    <cellStyle name="Normal 5 7 5 2 2 2" xfId="46371" xr:uid="{00000000-0005-0000-0000-0000E1720000}"/>
    <cellStyle name="Normal 5 7 5 2 3" xfId="33938" xr:uid="{00000000-0005-0000-0000-0000E2720000}"/>
    <cellStyle name="Normal 5 7 5 3" xfId="4036" xr:uid="{00000000-0005-0000-0000-0000E3720000}"/>
    <cellStyle name="Normal 5 7 5 3 2" xfId="16490" xr:uid="{00000000-0005-0000-0000-0000E4720000}"/>
    <cellStyle name="Normal 5 7 5 3 2 2" xfId="41364" xr:uid="{00000000-0005-0000-0000-0000E5720000}"/>
    <cellStyle name="Normal 5 7 5 3 3" xfId="28931" xr:uid="{00000000-0005-0000-0000-0000E6720000}"/>
    <cellStyle name="Normal 5 7 5 4" xfId="14072" xr:uid="{00000000-0005-0000-0000-0000E7720000}"/>
    <cellStyle name="Normal 5 7 5 4 2" xfId="38946" xr:uid="{00000000-0005-0000-0000-0000E8720000}"/>
    <cellStyle name="Normal 5 7 5 5" xfId="26505" xr:uid="{00000000-0005-0000-0000-0000E9720000}"/>
    <cellStyle name="Normal 5 7 6" xfId="5417" xr:uid="{00000000-0005-0000-0000-0000EA720000}"/>
    <cellStyle name="Normal 5 7 6 2" xfId="10433" xr:uid="{00000000-0005-0000-0000-0000EB720000}"/>
    <cellStyle name="Normal 5 7 6 2 2" xfId="22876" xr:uid="{00000000-0005-0000-0000-0000EC720000}"/>
    <cellStyle name="Normal 5 7 6 2 2 2" xfId="47750" xr:uid="{00000000-0005-0000-0000-0000ED720000}"/>
    <cellStyle name="Normal 5 7 6 2 3" xfId="35317" xr:uid="{00000000-0005-0000-0000-0000EE720000}"/>
    <cellStyle name="Normal 5 7 6 3" xfId="17869" xr:uid="{00000000-0005-0000-0000-0000EF720000}"/>
    <cellStyle name="Normal 5 7 6 3 2" xfId="42743" xr:uid="{00000000-0005-0000-0000-0000F0720000}"/>
    <cellStyle name="Normal 5 7 6 4" xfId="30310" xr:uid="{00000000-0005-0000-0000-0000F1720000}"/>
    <cellStyle name="Normal 5 7 7" xfId="7994" xr:uid="{00000000-0005-0000-0000-0000F2720000}"/>
    <cellStyle name="Normal 5 7 7 2" xfId="20440" xr:uid="{00000000-0005-0000-0000-0000F3720000}"/>
    <cellStyle name="Normal 5 7 7 2 2" xfId="45314" xr:uid="{00000000-0005-0000-0000-0000F4720000}"/>
    <cellStyle name="Normal 5 7 7 3" xfId="32881" xr:uid="{00000000-0005-0000-0000-0000F5720000}"/>
    <cellStyle name="Normal 5 7 8" xfId="11887" xr:uid="{00000000-0005-0000-0000-0000F6720000}"/>
    <cellStyle name="Normal 5 7 8 2" xfId="24321" xr:uid="{00000000-0005-0000-0000-0000F7720000}"/>
    <cellStyle name="Normal 5 7 8 2 2" xfId="49195" xr:uid="{00000000-0005-0000-0000-0000F8720000}"/>
    <cellStyle name="Normal 5 7 8 3" xfId="36762" xr:uid="{00000000-0005-0000-0000-0000F9720000}"/>
    <cellStyle name="Normal 5 7 9" xfId="6647" xr:uid="{00000000-0005-0000-0000-0000FA720000}"/>
    <cellStyle name="Normal 5 7 9 2" xfId="19096" xr:uid="{00000000-0005-0000-0000-0000FB720000}"/>
    <cellStyle name="Normal 5 7 9 2 2" xfId="43970" xr:uid="{00000000-0005-0000-0000-0000FC720000}"/>
    <cellStyle name="Normal 5 7 9 3" xfId="31537" xr:uid="{00000000-0005-0000-0000-0000FD720000}"/>
    <cellStyle name="Normal 5 7_Degree data" xfId="2016" xr:uid="{00000000-0005-0000-0000-0000FE720000}"/>
    <cellStyle name="Normal 5 8" xfId="195" xr:uid="{00000000-0005-0000-0000-0000FF720000}"/>
    <cellStyle name="Normal 5 8 10" xfId="13025" xr:uid="{00000000-0005-0000-0000-000000730000}"/>
    <cellStyle name="Normal 5 8 10 2" xfId="37899" xr:uid="{00000000-0005-0000-0000-000001730000}"/>
    <cellStyle name="Normal 5 8 11" xfId="25458" xr:uid="{00000000-0005-0000-0000-000002730000}"/>
    <cellStyle name="Normal 5 8 2" xfId="562" xr:uid="{00000000-0005-0000-0000-000003730000}"/>
    <cellStyle name="Normal 5 8 2 2" xfId="1482" xr:uid="{00000000-0005-0000-0000-000004730000}"/>
    <cellStyle name="Normal 5 8 2 2 2" xfId="9586" xr:uid="{00000000-0005-0000-0000-000005730000}"/>
    <cellStyle name="Normal 5 8 2 2 2 2" xfId="22029" xr:uid="{00000000-0005-0000-0000-000006730000}"/>
    <cellStyle name="Normal 5 8 2 2 2 2 2" xfId="46903" xr:uid="{00000000-0005-0000-0000-000007730000}"/>
    <cellStyle name="Normal 5 8 2 2 2 3" xfId="34470" xr:uid="{00000000-0005-0000-0000-000008730000}"/>
    <cellStyle name="Normal 5 8 2 2 3" xfId="4568" xr:uid="{00000000-0005-0000-0000-000009730000}"/>
    <cellStyle name="Normal 5 8 2 2 3 2" xfId="17022" xr:uid="{00000000-0005-0000-0000-00000A730000}"/>
    <cellStyle name="Normal 5 8 2 2 3 2 2" xfId="41896" xr:uid="{00000000-0005-0000-0000-00000B730000}"/>
    <cellStyle name="Normal 5 8 2 2 3 3" xfId="29463" xr:uid="{00000000-0005-0000-0000-00000C730000}"/>
    <cellStyle name="Normal 5 8 2 2 4" xfId="14282" xr:uid="{00000000-0005-0000-0000-00000D730000}"/>
    <cellStyle name="Normal 5 8 2 2 4 2" xfId="39156" xr:uid="{00000000-0005-0000-0000-00000E730000}"/>
    <cellStyle name="Normal 5 8 2 2 5" xfId="26715" xr:uid="{00000000-0005-0000-0000-00000F730000}"/>
    <cellStyle name="Normal 5 8 2 3" xfId="5627" xr:uid="{00000000-0005-0000-0000-000010730000}"/>
    <cellStyle name="Normal 5 8 2 3 2" xfId="10643" xr:uid="{00000000-0005-0000-0000-000011730000}"/>
    <cellStyle name="Normal 5 8 2 3 2 2" xfId="23086" xr:uid="{00000000-0005-0000-0000-000012730000}"/>
    <cellStyle name="Normal 5 8 2 3 2 2 2" xfId="47960" xr:uid="{00000000-0005-0000-0000-000013730000}"/>
    <cellStyle name="Normal 5 8 2 3 2 3" xfId="35527" xr:uid="{00000000-0005-0000-0000-000014730000}"/>
    <cellStyle name="Normal 5 8 2 3 3" xfId="18079" xr:uid="{00000000-0005-0000-0000-000015730000}"/>
    <cellStyle name="Normal 5 8 2 3 3 2" xfId="42953" xr:uid="{00000000-0005-0000-0000-000016730000}"/>
    <cellStyle name="Normal 5 8 2 3 4" xfId="30520" xr:uid="{00000000-0005-0000-0000-000017730000}"/>
    <cellStyle name="Normal 5 8 2 4" xfId="8702" xr:uid="{00000000-0005-0000-0000-000018730000}"/>
    <cellStyle name="Normal 5 8 2 4 2" xfId="21146" xr:uid="{00000000-0005-0000-0000-000019730000}"/>
    <cellStyle name="Normal 5 8 2 4 2 2" xfId="46020" xr:uid="{00000000-0005-0000-0000-00001A730000}"/>
    <cellStyle name="Normal 5 8 2 4 3" xfId="33587" xr:uid="{00000000-0005-0000-0000-00001B730000}"/>
    <cellStyle name="Normal 5 8 2 5" xfId="12097" xr:uid="{00000000-0005-0000-0000-00001C730000}"/>
    <cellStyle name="Normal 5 8 2 5 2" xfId="24531" xr:uid="{00000000-0005-0000-0000-00001D730000}"/>
    <cellStyle name="Normal 5 8 2 5 2 2" xfId="49405" xr:uid="{00000000-0005-0000-0000-00001E730000}"/>
    <cellStyle name="Normal 5 8 2 5 3" xfId="36972" xr:uid="{00000000-0005-0000-0000-00001F730000}"/>
    <cellStyle name="Normal 5 8 2 6" xfId="7179" xr:uid="{00000000-0005-0000-0000-000020730000}"/>
    <cellStyle name="Normal 5 8 2 6 2" xfId="19628" xr:uid="{00000000-0005-0000-0000-000021730000}"/>
    <cellStyle name="Normal 5 8 2 6 2 2" xfId="44502" xr:uid="{00000000-0005-0000-0000-000022730000}"/>
    <cellStyle name="Normal 5 8 2 6 3" xfId="32069" xr:uid="{00000000-0005-0000-0000-000023730000}"/>
    <cellStyle name="Normal 5 8 2 7" xfId="3633" xr:uid="{00000000-0005-0000-0000-000024730000}"/>
    <cellStyle name="Normal 5 8 2 7 2" xfId="16139" xr:uid="{00000000-0005-0000-0000-000025730000}"/>
    <cellStyle name="Normal 5 8 2 7 2 2" xfId="41013" xr:uid="{00000000-0005-0000-0000-000026730000}"/>
    <cellStyle name="Normal 5 8 2 7 3" xfId="28572" xr:uid="{00000000-0005-0000-0000-000027730000}"/>
    <cellStyle name="Normal 5 8 2 8" xfId="13372" xr:uid="{00000000-0005-0000-0000-000028730000}"/>
    <cellStyle name="Normal 5 8 2 8 2" xfId="38246" xr:uid="{00000000-0005-0000-0000-000029730000}"/>
    <cellStyle name="Normal 5 8 2 9" xfId="25805" xr:uid="{00000000-0005-0000-0000-00002A730000}"/>
    <cellStyle name="Normal 5 8 3" xfId="1830" xr:uid="{00000000-0005-0000-0000-00002B730000}"/>
    <cellStyle name="Normal 5 8 3 2" xfId="4754" xr:uid="{00000000-0005-0000-0000-00002C730000}"/>
    <cellStyle name="Normal 5 8 3 2 2" xfId="9771" xr:uid="{00000000-0005-0000-0000-00002D730000}"/>
    <cellStyle name="Normal 5 8 3 2 2 2" xfId="22214" xr:uid="{00000000-0005-0000-0000-00002E730000}"/>
    <cellStyle name="Normal 5 8 3 2 2 2 2" xfId="47088" xr:uid="{00000000-0005-0000-0000-00002F730000}"/>
    <cellStyle name="Normal 5 8 3 2 2 3" xfId="34655" xr:uid="{00000000-0005-0000-0000-000030730000}"/>
    <cellStyle name="Normal 5 8 3 2 3" xfId="17207" xr:uid="{00000000-0005-0000-0000-000031730000}"/>
    <cellStyle name="Normal 5 8 3 2 3 2" xfId="42081" xr:uid="{00000000-0005-0000-0000-000032730000}"/>
    <cellStyle name="Normal 5 8 3 2 4" xfId="29648" xr:uid="{00000000-0005-0000-0000-000033730000}"/>
    <cellStyle name="Normal 5 8 3 3" xfId="5976" xr:uid="{00000000-0005-0000-0000-000034730000}"/>
    <cellStyle name="Normal 5 8 3 3 2" xfId="10991" xr:uid="{00000000-0005-0000-0000-000035730000}"/>
    <cellStyle name="Normal 5 8 3 3 2 2" xfId="23434" xr:uid="{00000000-0005-0000-0000-000036730000}"/>
    <cellStyle name="Normal 5 8 3 3 2 2 2" xfId="48308" xr:uid="{00000000-0005-0000-0000-000037730000}"/>
    <cellStyle name="Normal 5 8 3 3 2 3" xfId="35875" xr:uid="{00000000-0005-0000-0000-000038730000}"/>
    <cellStyle name="Normal 5 8 3 3 3" xfId="18427" xr:uid="{00000000-0005-0000-0000-000039730000}"/>
    <cellStyle name="Normal 5 8 3 3 3 2" xfId="43301" xr:uid="{00000000-0005-0000-0000-00003A730000}"/>
    <cellStyle name="Normal 5 8 3 3 4" xfId="30868" xr:uid="{00000000-0005-0000-0000-00003B730000}"/>
    <cellStyle name="Normal 5 8 3 4" xfId="8864" xr:uid="{00000000-0005-0000-0000-00003C730000}"/>
    <cellStyle name="Normal 5 8 3 4 2" xfId="21307" xr:uid="{00000000-0005-0000-0000-00003D730000}"/>
    <cellStyle name="Normal 5 8 3 4 2 2" xfId="46181" xr:uid="{00000000-0005-0000-0000-00003E730000}"/>
    <cellStyle name="Normal 5 8 3 4 3" xfId="33748" xr:uid="{00000000-0005-0000-0000-00003F730000}"/>
    <cellStyle name="Normal 5 8 3 5" xfId="12445" xr:uid="{00000000-0005-0000-0000-000040730000}"/>
    <cellStyle name="Normal 5 8 3 5 2" xfId="24879" xr:uid="{00000000-0005-0000-0000-000041730000}"/>
    <cellStyle name="Normal 5 8 3 5 2 2" xfId="49753" xr:uid="{00000000-0005-0000-0000-000042730000}"/>
    <cellStyle name="Normal 5 8 3 5 3" xfId="37320" xr:uid="{00000000-0005-0000-0000-000043730000}"/>
    <cellStyle name="Normal 5 8 3 6" xfId="7365" xr:uid="{00000000-0005-0000-0000-000044730000}"/>
    <cellStyle name="Normal 5 8 3 6 2" xfId="19813" xr:uid="{00000000-0005-0000-0000-000045730000}"/>
    <cellStyle name="Normal 5 8 3 6 2 2" xfId="44687" xr:uid="{00000000-0005-0000-0000-000046730000}"/>
    <cellStyle name="Normal 5 8 3 6 3" xfId="32254" xr:uid="{00000000-0005-0000-0000-000047730000}"/>
    <cellStyle name="Normal 5 8 3 7" xfId="3846" xr:uid="{00000000-0005-0000-0000-000048730000}"/>
    <cellStyle name="Normal 5 8 3 7 2" xfId="16300" xr:uid="{00000000-0005-0000-0000-000049730000}"/>
    <cellStyle name="Normal 5 8 3 7 2 2" xfId="41174" xr:uid="{00000000-0005-0000-0000-00004A730000}"/>
    <cellStyle name="Normal 5 8 3 7 3" xfId="28741" xr:uid="{00000000-0005-0000-0000-00004B730000}"/>
    <cellStyle name="Normal 5 8 3 8" xfId="14630" xr:uid="{00000000-0005-0000-0000-00004C730000}"/>
    <cellStyle name="Normal 5 8 3 8 2" xfId="39504" xr:uid="{00000000-0005-0000-0000-00004D730000}"/>
    <cellStyle name="Normal 5 8 3 9" xfId="27063" xr:uid="{00000000-0005-0000-0000-00004E730000}"/>
    <cellStyle name="Normal 5 8 4" xfId="2113" xr:uid="{00000000-0005-0000-0000-00004F730000}"/>
    <cellStyle name="Normal 5 8 4 2" xfId="6152" xr:uid="{00000000-0005-0000-0000-000050730000}"/>
    <cellStyle name="Normal 5 8 4 2 2" xfId="11167" xr:uid="{00000000-0005-0000-0000-000051730000}"/>
    <cellStyle name="Normal 5 8 4 2 2 2" xfId="23610" xr:uid="{00000000-0005-0000-0000-000052730000}"/>
    <cellStyle name="Normal 5 8 4 2 2 2 2" xfId="48484" xr:uid="{00000000-0005-0000-0000-000053730000}"/>
    <cellStyle name="Normal 5 8 4 2 2 3" xfId="36051" xr:uid="{00000000-0005-0000-0000-000054730000}"/>
    <cellStyle name="Normal 5 8 4 2 3" xfId="18603" xr:uid="{00000000-0005-0000-0000-000055730000}"/>
    <cellStyle name="Normal 5 8 4 2 3 2" xfId="43477" xr:uid="{00000000-0005-0000-0000-000056730000}"/>
    <cellStyle name="Normal 5 8 4 2 4" xfId="31044" xr:uid="{00000000-0005-0000-0000-000057730000}"/>
    <cellStyle name="Normal 5 8 4 3" xfId="12621" xr:uid="{00000000-0005-0000-0000-000058730000}"/>
    <cellStyle name="Normal 5 8 4 3 2" xfId="25055" xr:uid="{00000000-0005-0000-0000-000059730000}"/>
    <cellStyle name="Normal 5 8 4 3 2 2" xfId="49929" xr:uid="{00000000-0005-0000-0000-00005A730000}"/>
    <cellStyle name="Normal 5 8 4 3 3" xfId="37496" xr:uid="{00000000-0005-0000-0000-00005B730000}"/>
    <cellStyle name="Normal 5 8 4 4" xfId="9062" xr:uid="{00000000-0005-0000-0000-00005C730000}"/>
    <cellStyle name="Normal 5 8 4 4 2" xfId="21505" xr:uid="{00000000-0005-0000-0000-00005D730000}"/>
    <cellStyle name="Normal 5 8 4 4 2 2" xfId="46379" xr:uid="{00000000-0005-0000-0000-00005E730000}"/>
    <cellStyle name="Normal 5 8 4 4 3" xfId="33946" xr:uid="{00000000-0005-0000-0000-00005F730000}"/>
    <cellStyle name="Normal 5 8 4 5" xfId="4044" xr:uid="{00000000-0005-0000-0000-000060730000}"/>
    <cellStyle name="Normal 5 8 4 5 2" xfId="16498" xr:uid="{00000000-0005-0000-0000-000061730000}"/>
    <cellStyle name="Normal 5 8 4 5 2 2" xfId="41372" xr:uid="{00000000-0005-0000-0000-000062730000}"/>
    <cellStyle name="Normal 5 8 4 5 3" xfId="28939" xr:uid="{00000000-0005-0000-0000-000063730000}"/>
    <cellStyle name="Normal 5 8 4 6" xfId="14806" xr:uid="{00000000-0005-0000-0000-000064730000}"/>
    <cellStyle name="Normal 5 8 4 6 2" xfId="39680" xr:uid="{00000000-0005-0000-0000-000065730000}"/>
    <cellStyle name="Normal 5 8 4 7" xfId="27239" xr:uid="{00000000-0005-0000-0000-000066730000}"/>
    <cellStyle name="Normal 5 8 5" xfId="963" xr:uid="{00000000-0005-0000-0000-000067730000}"/>
    <cellStyle name="Normal 5 8 5 2" xfId="10122" xr:uid="{00000000-0005-0000-0000-000068730000}"/>
    <cellStyle name="Normal 5 8 5 2 2" xfId="22565" xr:uid="{00000000-0005-0000-0000-000069730000}"/>
    <cellStyle name="Normal 5 8 5 2 2 2" xfId="47439" xr:uid="{00000000-0005-0000-0000-00006A730000}"/>
    <cellStyle name="Normal 5 8 5 2 3" xfId="35006" xr:uid="{00000000-0005-0000-0000-00006B730000}"/>
    <cellStyle name="Normal 5 8 5 3" xfId="5106" xr:uid="{00000000-0005-0000-0000-00006C730000}"/>
    <cellStyle name="Normal 5 8 5 3 2" xfId="17558" xr:uid="{00000000-0005-0000-0000-00006D730000}"/>
    <cellStyle name="Normal 5 8 5 3 2 2" xfId="42432" xr:uid="{00000000-0005-0000-0000-00006E730000}"/>
    <cellStyle name="Normal 5 8 5 3 3" xfId="29999" xr:uid="{00000000-0005-0000-0000-00006F730000}"/>
    <cellStyle name="Normal 5 8 5 4" xfId="13763" xr:uid="{00000000-0005-0000-0000-000070730000}"/>
    <cellStyle name="Normal 5 8 5 4 2" xfId="38637" xr:uid="{00000000-0005-0000-0000-000071730000}"/>
    <cellStyle name="Normal 5 8 5 5" xfId="26196" xr:uid="{00000000-0005-0000-0000-000072730000}"/>
    <cellStyle name="Normal 5 8 6" xfId="8178" xr:uid="{00000000-0005-0000-0000-000073730000}"/>
    <cellStyle name="Normal 5 8 6 2" xfId="20622" xr:uid="{00000000-0005-0000-0000-000074730000}"/>
    <cellStyle name="Normal 5 8 6 2 2" xfId="45496" xr:uid="{00000000-0005-0000-0000-000075730000}"/>
    <cellStyle name="Normal 5 8 6 3" xfId="33063" xr:uid="{00000000-0005-0000-0000-000076730000}"/>
    <cellStyle name="Normal 5 8 7" xfId="11578" xr:uid="{00000000-0005-0000-0000-000077730000}"/>
    <cellStyle name="Normal 5 8 7 2" xfId="24012" xr:uid="{00000000-0005-0000-0000-000078730000}"/>
    <cellStyle name="Normal 5 8 7 2 2" xfId="48886" xr:uid="{00000000-0005-0000-0000-000079730000}"/>
    <cellStyle name="Normal 5 8 7 3" xfId="36453" xr:uid="{00000000-0005-0000-0000-00007A730000}"/>
    <cellStyle name="Normal 5 8 8" xfId="6655" xr:uid="{00000000-0005-0000-0000-00007B730000}"/>
    <cellStyle name="Normal 5 8 8 2" xfId="19104" xr:uid="{00000000-0005-0000-0000-00007C730000}"/>
    <cellStyle name="Normal 5 8 8 2 2" xfId="43978" xr:uid="{00000000-0005-0000-0000-00007D730000}"/>
    <cellStyle name="Normal 5 8 8 3" xfId="31545" xr:uid="{00000000-0005-0000-0000-00007E730000}"/>
    <cellStyle name="Normal 5 8 9" xfId="3109" xr:uid="{00000000-0005-0000-0000-00007F730000}"/>
    <cellStyle name="Normal 5 8 9 2" xfId="15615" xr:uid="{00000000-0005-0000-0000-000080730000}"/>
    <cellStyle name="Normal 5 8 9 2 2" xfId="40489" xr:uid="{00000000-0005-0000-0000-000081730000}"/>
    <cellStyle name="Normal 5 8 9 3" xfId="28048" xr:uid="{00000000-0005-0000-0000-000082730000}"/>
    <cellStyle name="Normal 5 8_Degree data" xfId="2447" xr:uid="{00000000-0005-0000-0000-000083730000}"/>
    <cellStyle name="Normal 5 9" xfId="530" xr:uid="{00000000-0005-0000-0000-000084730000}"/>
    <cellStyle name="Normal 5 9 2" xfId="1440" xr:uid="{00000000-0005-0000-0000-000085730000}"/>
    <cellStyle name="Normal 5 9 2 2" xfId="9544" xr:uid="{00000000-0005-0000-0000-000086730000}"/>
    <cellStyle name="Normal 5 9 2 2 2" xfId="21987" xr:uid="{00000000-0005-0000-0000-000087730000}"/>
    <cellStyle name="Normal 5 9 2 2 2 2" xfId="46861" xr:uid="{00000000-0005-0000-0000-000088730000}"/>
    <cellStyle name="Normal 5 9 2 2 3" xfId="34428" xr:uid="{00000000-0005-0000-0000-000089730000}"/>
    <cellStyle name="Normal 5 9 2 3" xfId="4526" xr:uid="{00000000-0005-0000-0000-00008A730000}"/>
    <cellStyle name="Normal 5 9 2 3 2" xfId="16980" xr:uid="{00000000-0005-0000-0000-00008B730000}"/>
    <cellStyle name="Normal 5 9 2 3 2 2" xfId="41854" xr:uid="{00000000-0005-0000-0000-00008C730000}"/>
    <cellStyle name="Normal 5 9 2 3 3" xfId="29421" xr:uid="{00000000-0005-0000-0000-00008D730000}"/>
    <cellStyle name="Normal 5 9 2 4" xfId="14240" xr:uid="{00000000-0005-0000-0000-00008E730000}"/>
    <cellStyle name="Normal 5 9 2 4 2" xfId="39114" xr:uid="{00000000-0005-0000-0000-00008F730000}"/>
    <cellStyle name="Normal 5 9 2 5" xfId="26673" xr:uid="{00000000-0005-0000-0000-000090730000}"/>
    <cellStyle name="Normal 5 9 3" xfId="5585" xr:uid="{00000000-0005-0000-0000-000091730000}"/>
    <cellStyle name="Normal 5 9 3 2" xfId="10601" xr:uid="{00000000-0005-0000-0000-000092730000}"/>
    <cellStyle name="Normal 5 9 3 2 2" xfId="23044" xr:uid="{00000000-0005-0000-0000-000093730000}"/>
    <cellStyle name="Normal 5 9 3 2 2 2" xfId="47918" xr:uid="{00000000-0005-0000-0000-000094730000}"/>
    <cellStyle name="Normal 5 9 3 2 3" xfId="35485" xr:uid="{00000000-0005-0000-0000-000095730000}"/>
    <cellStyle name="Normal 5 9 3 3" xfId="18037" xr:uid="{00000000-0005-0000-0000-000096730000}"/>
    <cellStyle name="Normal 5 9 3 3 2" xfId="42911" xr:uid="{00000000-0005-0000-0000-000097730000}"/>
    <cellStyle name="Normal 5 9 3 4" xfId="30478" xr:uid="{00000000-0005-0000-0000-000098730000}"/>
    <cellStyle name="Normal 5 9 4" xfId="8660" xr:uid="{00000000-0005-0000-0000-000099730000}"/>
    <cellStyle name="Normal 5 9 4 2" xfId="21104" xr:uid="{00000000-0005-0000-0000-00009A730000}"/>
    <cellStyle name="Normal 5 9 4 2 2" xfId="45978" xr:uid="{00000000-0005-0000-0000-00009B730000}"/>
    <cellStyle name="Normal 5 9 4 3" xfId="33545" xr:uid="{00000000-0005-0000-0000-00009C730000}"/>
    <cellStyle name="Normal 5 9 5" xfId="12055" xr:uid="{00000000-0005-0000-0000-00009D730000}"/>
    <cellStyle name="Normal 5 9 5 2" xfId="24489" xr:uid="{00000000-0005-0000-0000-00009E730000}"/>
    <cellStyle name="Normal 5 9 5 2 2" xfId="49363" xr:uid="{00000000-0005-0000-0000-00009F730000}"/>
    <cellStyle name="Normal 5 9 5 3" xfId="36930" xr:uid="{00000000-0005-0000-0000-0000A0730000}"/>
    <cellStyle name="Normal 5 9 6" xfId="7137" xr:uid="{00000000-0005-0000-0000-0000A1730000}"/>
    <cellStyle name="Normal 5 9 6 2" xfId="19586" xr:uid="{00000000-0005-0000-0000-0000A2730000}"/>
    <cellStyle name="Normal 5 9 6 2 2" xfId="44460" xr:uid="{00000000-0005-0000-0000-0000A3730000}"/>
    <cellStyle name="Normal 5 9 6 3" xfId="32027" xr:uid="{00000000-0005-0000-0000-0000A4730000}"/>
    <cellStyle name="Normal 5 9 7" xfId="3591" xr:uid="{00000000-0005-0000-0000-0000A5730000}"/>
    <cellStyle name="Normal 5 9 7 2" xfId="16097" xr:uid="{00000000-0005-0000-0000-0000A6730000}"/>
    <cellStyle name="Normal 5 9 7 2 2" xfId="40971" xr:uid="{00000000-0005-0000-0000-0000A7730000}"/>
    <cellStyle name="Normal 5 9 7 3" xfId="28530" xr:uid="{00000000-0005-0000-0000-0000A8730000}"/>
    <cellStyle name="Normal 5 9 8" xfId="13340" xr:uid="{00000000-0005-0000-0000-0000A9730000}"/>
    <cellStyle name="Normal 5 9 8 2" xfId="38214" xr:uid="{00000000-0005-0000-0000-0000AA730000}"/>
    <cellStyle name="Normal 5 9 9" xfId="25773" xr:uid="{00000000-0005-0000-0000-0000AB730000}"/>
    <cellStyle name="Normal 5_Degree data" xfId="2079" xr:uid="{00000000-0005-0000-0000-0000AC730000}"/>
    <cellStyle name="Normal 50" xfId="50" xr:uid="{00000000-0005-0000-0000-0000AD730000}"/>
    <cellStyle name="Normal 51" xfId="51" xr:uid="{00000000-0005-0000-0000-0000AE730000}"/>
    <cellStyle name="Normal 52" xfId="41" xr:uid="{00000000-0005-0000-0000-0000AF730000}"/>
    <cellStyle name="Normal 53" xfId="104" xr:uid="{00000000-0005-0000-0000-0000B0730000}"/>
    <cellStyle name="Normal 54" xfId="105" xr:uid="{00000000-0005-0000-0000-0000B1730000}"/>
    <cellStyle name="Normal 55" xfId="106" xr:uid="{00000000-0005-0000-0000-0000B2730000}"/>
    <cellStyle name="Normal 56" xfId="79" xr:uid="{00000000-0005-0000-0000-0000B3730000}"/>
    <cellStyle name="Normal 57" xfId="54" xr:uid="{00000000-0005-0000-0000-0000B4730000}"/>
    <cellStyle name="Normal 57 10" xfId="514" xr:uid="{00000000-0005-0000-0000-0000B5730000}"/>
    <cellStyle name="Normal 57 10 10" xfId="2908" xr:uid="{00000000-0005-0000-0000-0000B6730000}"/>
    <cellStyle name="Normal 57 10 10 2" xfId="15426" xr:uid="{00000000-0005-0000-0000-0000B7730000}"/>
    <cellStyle name="Normal 57 10 10 2 2" xfId="40300" xr:uid="{00000000-0005-0000-0000-0000B8730000}"/>
    <cellStyle name="Normal 57 10 10 3" xfId="27859" xr:uid="{00000000-0005-0000-0000-0000B9730000}"/>
    <cellStyle name="Normal 57 10 11" xfId="13327" xr:uid="{00000000-0005-0000-0000-0000BA730000}"/>
    <cellStyle name="Normal 57 10 11 2" xfId="38201" xr:uid="{00000000-0005-0000-0000-0000BB730000}"/>
    <cellStyle name="Normal 57 10 12" xfId="25760" xr:uid="{00000000-0005-0000-0000-0000BC730000}"/>
    <cellStyle name="Normal 57 10 2" xfId="873" xr:uid="{00000000-0005-0000-0000-0000BD730000}"/>
    <cellStyle name="Normal 57 10 2 2" xfId="1484" xr:uid="{00000000-0005-0000-0000-0000BE730000}"/>
    <cellStyle name="Normal 57 10 2 2 2" xfId="9364" xr:uid="{00000000-0005-0000-0000-0000BF730000}"/>
    <cellStyle name="Normal 57 10 2 2 2 2" xfId="21807" xr:uid="{00000000-0005-0000-0000-0000C0730000}"/>
    <cellStyle name="Normal 57 10 2 2 2 2 2" xfId="46681" xr:uid="{00000000-0005-0000-0000-0000C1730000}"/>
    <cellStyle name="Normal 57 10 2 2 2 3" xfId="34248" xr:uid="{00000000-0005-0000-0000-0000C2730000}"/>
    <cellStyle name="Normal 57 10 2 2 3" xfId="4346" xr:uid="{00000000-0005-0000-0000-0000C3730000}"/>
    <cellStyle name="Normal 57 10 2 2 3 2" xfId="16800" xr:uid="{00000000-0005-0000-0000-0000C4730000}"/>
    <cellStyle name="Normal 57 10 2 2 3 2 2" xfId="41674" xr:uid="{00000000-0005-0000-0000-0000C5730000}"/>
    <cellStyle name="Normal 57 10 2 2 3 3" xfId="29241" xr:uid="{00000000-0005-0000-0000-0000C6730000}"/>
    <cellStyle name="Normal 57 10 2 2 4" xfId="14284" xr:uid="{00000000-0005-0000-0000-0000C7730000}"/>
    <cellStyle name="Normal 57 10 2 2 4 2" xfId="39158" xr:uid="{00000000-0005-0000-0000-0000C8730000}"/>
    <cellStyle name="Normal 57 10 2 2 5" xfId="26717" xr:uid="{00000000-0005-0000-0000-0000C9730000}"/>
    <cellStyle name="Normal 57 10 2 3" xfId="5629" xr:uid="{00000000-0005-0000-0000-0000CA730000}"/>
    <cellStyle name="Normal 57 10 2 3 2" xfId="10645" xr:uid="{00000000-0005-0000-0000-0000CB730000}"/>
    <cellStyle name="Normal 57 10 2 3 2 2" xfId="23088" xr:uid="{00000000-0005-0000-0000-0000CC730000}"/>
    <cellStyle name="Normal 57 10 2 3 2 2 2" xfId="47962" xr:uid="{00000000-0005-0000-0000-0000CD730000}"/>
    <cellStyle name="Normal 57 10 2 3 2 3" xfId="35529" xr:uid="{00000000-0005-0000-0000-0000CE730000}"/>
    <cellStyle name="Normal 57 10 2 3 3" xfId="18081" xr:uid="{00000000-0005-0000-0000-0000CF730000}"/>
    <cellStyle name="Normal 57 10 2 3 3 2" xfId="42955" xr:uid="{00000000-0005-0000-0000-0000D0730000}"/>
    <cellStyle name="Normal 57 10 2 3 4" xfId="30522" xr:uid="{00000000-0005-0000-0000-0000D1730000}"/>
    <cellStyle name="Normal 57 10 2 4" xfId="8480" xr:uid="{00000000-0005-0000-0000-0000D2730000}"/>
    <cellStyle name="Normal 57 10 2 4 2" xfId="20924" xr:uid="{00000000-0005-0000-0000-0000D3730000}"/>
    <cellStyle name="Normal 57 10 2 4 2 2" xfId="45798" xr:uid="{00000000-0005-0000-0000-0000D4730000}"/>
    <cellStyle name="Normal 57 10 2 4 3" xfId="33365" xr:uid="{00000000-0005-0000-0000-0000D5730000}"/>
    <cellStyle name="Normal 57 10 2 5" xfId="12099" xr:uid="{00000000-0005-0000-0000-0000D6730000}"/>
    <cellStyle name="Normal 57 10 2 5 2" xfId="24533" xr:uid="{00000000-0005-0000-0000-0000D7730000}"/>
    <cellStyle name="Normal 57 10 2 5 2 2" xfId="49407" xr:uid="{00000000-0005-0000-0000-0000D8730000}"/>
    <cellStyle name="Normal 57 10 2 5 3" xfId="36974" xr:uid="{00000000-0005-0000-0000-0000D9730000}"/>
    <cellStyle name="Normal 57 10 2 6" xfId="6957" xr:uid="{00000000-0005-0000-0000-0000DA730000}"/>
    <cellStyle name="Normal 57 10 2 6 2" xfId="19406" xr:uid="{00000000-0005-0000-0000-0000DB730000}"/>
    <cellStyle name="Normal 57 10 2 6 2 2" xfId="44280" xr:uid="{00000000-0005-0000-0000-0000DC730000}"/>
    <cellStyle name="Normal 57 10 2 6 3" xfId="31847" xr:uid="{00000000-0005-0000-0000-0000DD730000}"/>
    <cellStyle name="Normal 57 10 2 7" xfId="3411" xr:uid="{00000000-0005-0000-0000-0000DE730000}"/>
    <cellStyle name="Normal 57 10 2 7 2" xfId="15917" xr:uid="{00000000-0005-0000-0000-0000DF730000}"/>
    <cellStyle name="Normal 57 10 2 7 2 2" xfId="40791" xr:uid="{00000000-0005-0000-0000-0000E0730000}"/>
    <cellStyle name="Normal 57 10 2 7 3" xfId="28350" xr:uid="{00000000-0005-0000-0000-0000E1730000}"/>
    <cellStyle name="Normal 57 10 2 8" xfId="13674" xr:uid="{00000000-0005-0000-0000-0000E2730000}"/>
    <cellStyle name="Normal 57 10 2 8 2" xfId="38548" xr:uid="{00000000-0005-0000-0000-0000E3730000}"/>
    <cellStyle name="Normal 57 10 2 9" xfId="26107" xr:uid="{00000000-0005-0000-0000-0000E4730000}"/>
    <cellStyle name="Normal 57 10 3" xfId="1832" xr:uid="{00000000-0005-0000-0000-0000E5730000}"/>
    <cellStyle name="Normal 57 10 3 2" xfId="4570" xr:uid="{00000000-0005-0000-0000-0000E6730000}"/>
    <cellStyle name="Normal 57 10 3 2 2" xfId="9588" xr:uid="{00000000-0005-0000-0000-0000E7730000}"/>
    <cellStyle name="Normal 57 10 3 2 2 2" xfId="22031" xr:uid="{00000000-0005-0000-0000-0000E8730000}"/>
    <cellStyle name="Normal 57 10 3 2 2 2 2" xfId="46905" xr:uid="{00000000-0005-0000-0000-0000E9730000}"/>
    <cellStyle name="Normal 57 10 3 2 2 3" xfId="34472" xr:uid="{00000000-0005-0000-0000-0000EA730000}"/>
    <cellStyle name="Normal 57 10 3 2 3" xfId="17024" xr:uid="{00000000-0005-0000-0000-0000EB730000}"/>
    <cellStyle name="Normal 57 10 3 2 3 2" xfId="41898" xr:uid="{00000000-0005-0000-0000-0000EC730000}"/>
    <cellStyle name="Normal 57 10 3 2 4" xfId="29465" xr:uid="{00000000-0005-0000-0000-0000ED730000}"/>
    <cellStyle name="Normal 57 10 3 3" xfId="5978" xr:uid="{00000000-0005-0000-0000-0000EE730000}"/>
    <cellStyle name="Normal 57 10 3 3 2" xfId="10993" xr:uid="{00000000-0005-0000-0000-0000EF730000}"/>
    <cellStyle name="Normal 57 10 3 3 2 2" xfId="23436" xr:uid="{00000000-0005-0000-0000-0000F0730000}"/>
    <cellStyle name="Normal 57 10 3 3 2 2 2" xfId="48310" xr:uid="{00000000-0005-0000-0000-0000F1730000}"/>
    <cellStyle name="Normal 57 10 3 3 2 3" xfId="35877" xr:uid="{00000000-0005-0000-0000-0000F2730000}"/>
    <cellStyle name="Normal 57 10 3 3 3" xfId="18429" xr:uid="{00000000-0005-0000-0000-0000F3730000}"/>
    <cellStyle name="Normal 57 10 3 3 3 2" xfId="43303" xr:uid="{00000000-0005-0000-0000-0000F4730000}"/>
    <cellStyle name="Normal 57 10 3 3 4" xfId="30870" xr:uid="{00000000-0005-0000-0000-0000F5730000}"/>
    <cellStyle name="Normal 57 10 3 4" xfId="8704" xr:uid="{00000000-0005-0000-0000-0000F6730000}"/>
    <cellStyle name="Normal 57 10 3 4 2" xfId="21148" xr:uid="{00000000-0005-0000-0000-0000F7730000}"/>
    <cellStyle name="Normal 57 10 3 4 2 2" xfId="46022" xr:uid="{00000000-0005-0000-0000-0000F8730000}"/>
    <cellStyle name="Normal 57 10 3 4 3" xfId="33589" xr:uid="{00000000-0005-0000-0000-0000F9730000}"/>
    <cellStyle name="Normal 57 10 3 5" xfId="12447" xr:uid="{00000000-0005-0000-0000-0000FA730000}"/>
    <cellStyle name="Normal 57 10 3 5 2" xfId="24881" xr:uid="{00000000-0005-0000-0000-0000FB730000}"/>
    <cellStyle name="Normal 57 10 3 5 2 2" xfId="49755" xr:uid="{00000000-0005-0000-0000-0000FC730000}"/>
    <cellStyle name="Normal 57 10 3 5 3" xfId="37322" xr:uid="{00000000-0005-0000-0000-0000FD730000}"/>
    <cellStyle name="Normal 57 10 3 6" xfId="7181" xr:uid="{00000000-0005-0000-0000-0000FE730000}"/>
    <cellStyle name="Normal 57 10 3 6 2" xfId="19630" xr:uid="{00000000-0005-0000-0000-0000FF730000}"/>
    <cellStyle name="Normal 57 10 3 6 2 2" xfId="44504" xr:uid="{00000000-0005-0000-0000-000000740000}"/>
    <cellStyle name="Normal 57 10 3 6 3" xfId="32071" xr:uid="{00000000-0005-0000-0000-000001740000}"/>
    <cellStyle name="Normal 57 10 3 7" xfId="3635" xr:uid="{00000000-0005-0000-0000-000002740000}"/>
    <cellStyle name="Normal 57 10 3 7 2" xfId="16141" xr:uid="{00000000-0005-0000-0000-000003740000}"/>
    <cellStyle name="Normal 57 10 3 7 2 2" xfId="41015" xr:uid="{00000000-0005-0000-0000-000004740000}"/>
    <cellStyle name="Normal 57 10 3 7 3" xfId="28574" xr:uid="{00000000-0005-0000-0000-000005740000}"/>
    <cellStyle name="Normal 57 10 3 8" xfId="14632" xr:uid="{00000000-0005-0000-0000-000006740000}"/>
    <cellStyle name="Normal 57 10 3 8 2" xfId="39506" xr:uid="{00000000-0005-0000-0000-000007740000}"/>
    <cellStyle name="Normal 57 10 3 9" xfId="27065" xr:uid="{00000000-0005-0000-0000-000008740000}"/>
    <cellStyle name="Normal 57 10 4" xfId="2432" xr:uid="{00000000-0005-0000-0000-000009740000}"/>
    <cellStyle name="Normal 57 10 4 2" xfId="5056" xr:uid="{00000000-0005-0000-0000-00000A740000}"/>
    <cellStyle name="Normal 57 10 4 2 2" xfId="10073" xr:uid="{00000000-0005-0000-0000-00000B740000}"/>
    <cellStyle name="Normal 57 10 4 2 2 2" xfId="22516" xr:uid="{00000000-0005-0000-0000-00000C740000}"/>
    <cellStyle name="Normal 57 10 4 2 2 2 2" xfId="47390" xr:uid="{00000000-0005-0000-0000-00000D740000}"/>
    <cellStyle name="Normal 57 10 4 2 2 3" xfId="34957" xr:uid="{00000000-0005-0000-0000-00000E740000}"/>
    <cellStyle name="Normal 57 10 4 2 3" xfId="17509" xr:uid="{00000000-0005-0000-0000-00000F740000}"/>
    <cellStyle name="Normal 57 10 4 2 3 2" xfId="42383" xr:uid="{00000000-0005-0000-0000-000010740000}"/>
    <cellStyle name="Normal 57 10 4 2 4" xfId="29950" xr:uid="{00000000-0005-0000-0000-000011740000}"/>
    <cellStyle name="Normal 57 10 4 3" xfId="6454" xr:uid="{00000000-0005-0000-0000-000012740000}"/>
    <cellStyle name="Normal 57 10 4 3 2" xfId="11469" xr:uid="{00000000-0005-0000-0000-000013740000}"/>
    <cellStyle name="Normal 57 10 4 3 2 2" xfId="23912" xr:uid="{00000000-0005-0000-0000-000014740000}"/>
    <cellStyle name="Normal 57 10 4 3 2 2 2" xfId="48786" xr:uid="{00000000-0005-0000-0000-000015740000}"/>
    <cellStyle name="Normal 57 10 4 3 2 3" xfId="36353" xr:uid="{00000000-0005-0000-0000-000016740000}"/>
    <cellStyle name="Normal 57 10 4 3 3" xfId="18905" xr:uid="{00000000-0005-0000-0000-000017740000}"/>
    <cellStyle name="Normal 57 10 4 3 3 2" xfId="43779" xr:uid="{00000000-0005-0000-0000-000018740000}"/>
    <cellStyle name="Normal 57 10 4 3 4" xfId="31346" xr:uid="{00000000-0005-0000-0000-000019740000}"/>
    <cellStyle name="Normal 57 10 4 4" xfId="8161" xr:uid="{00000000-0005-0000-0000-00001A740000}"/>
    <cellStyle name="Normal 57 10 4 4 2" xfId="20607" xr:uid="{00000000-0005-0000-0000-00001B740000}"/>
    <cellStyle name="Normal 57 10 4 4 2 2" xfId="45481" xr:uid="{00000000-0005-0000-0000-00001C740000}"/>
    <cellStyle name="Normal 57 10 4 4 3" xfId="33048" xr:uid="{00000000-0005-0000-0000-00001D740000}"/>
    <cellStyle name="Normal 57 10 4 5" xfId="12923" xr:uid="{00000000-0005-0000-0000-00001E740000}"/>
    <cellStyle name="Normal 57 10 4 5 2" xfId="25357" xr:uid="{00000000-0005-0000-0000-00001F740000}"/>
    <cellStyle name="Normal 57 10 4 5 2 2" xfId="50231" xr:uid="{00000000-0005-0000-0000-000020740000}"/>
    <cellStyle name="Normal 57 10 4 5 3" xfId="37798" xr:uid="{00000000-0005-0000-0000-000021740000}"/>
    <cellStyle name="Normal 57 10 4 6" xfId="7667" xr:uid="{00000000-0005-0000-0000-000022740000}"/>
    <cellStyle name="Normal 57 10 4 6 2" xfId="20115" xr:uid="{00000000-0005-0000-0000-000023740000}"/>
    <cellStyle name="Normal 57 10 4 6 2 2" xfId="44989" xr:uid="{00000000-0005-0000-0000-000024740000}"/>
    <cellStyle name="Normal 57 10 4 6 3" xfId="32556" xr:uid="{00000000-0005-0000-0000-000025740000}"/>
    <cellStyle name="Normal 57 10 4 7" xfId="3091" xr:uid="{00000000-0005-0000-0000-000026740000}"/>
    <cellStyle name="Normal 57 10 4 7 2" xfId="15600" xr:uid="{00000000-0005-0000-0000-000027740000}"/>
    <cellStyle name="Normal 57 10 4 7 2 2" xfId="40474" xr:uid="{00000000-0005-0000-0000-000028740000}"/>
    <cellStyle name="Normal 57 10 4 7 3" xfId="28033" xr:uid="{00000000-0005-0000-0000-000029740000}"/>
    <cellStyle name="Normal 57 10 4 8" xfId="15108" xr:uid="{00000000-0005-0000-0000-00002A740000}"/>
    <cellStyle name="Normal 57 10 4 8 2" xfId="39982" xr:uid="{00000000-0005-0000-0000-00002B740000}"/>
    <cellStyle name="Normal 57 10 4 9" xfId="27541" xr:uid="{00000000-0005-0000-0000-00002C740000}"/>
    <cellStyle name="Normal 57 10 5" xfId="1265" xr:uid="{00000000-0005-0000-0000-00002D740000}"/>
    <cellStyle name="Normal 57 10 5 2" xfId="9047" xr:uid="{00000000-0005-0000-0000-00002E740000}"/>
    <cellStyle name="Normal 57 10 5 2 2" xfId="21490" xr:uid="{00000000-0005-0000-0000-00002F740000}"/>
    <cellStyle name="Normal 57 10 5 2 2 2" xfId="46364" xr:uid="{00000000-0005-0000-0000-000030740000}"/>
    <cellStyle name="Normal 57 10 5 2 3" xfId="33931" xr:uid="{00000000-0005-0000-0000-000031740000}"/>
    <cellStyle name="Normal 57 10 5 3" xfId="4029" xr:uid="{00000000-0005-0000-0000-000032740000}"/>
    <cellStyle name="Normal 57 10 5 3 2" xfId="16483" xr:uid="{00000000-0005-0000-0000-000033740000}"/>
    <cellStyle name="Normal 57 10 5 3 2 2" xfId="41357" xr:uid="{00000000-0005-0000-0000-000034740000}"/>
    <cellStyle name="Normal 57 10 5 3 3" xfId="28924" xr:uid="{00000000-0005-0000-0000-000035740000}"/>
    <cellStyle name="Normal 57 10 5 4" xfId="14065" xr:uid="{00000000-0005-0000-0000-000036740000}"/>
    <cellStyle name="Normal 57 10 5 4 2" xfId="38939" xr:uid="{00000000-0005-0000-0000-000037740000}"/>
    <cellStyle name="Normal 57 10 5 5" xfId="26498" xr:uid="{00000000-0005-0000-0000-000038740000}"/>
    <cellStyle name="Normal 57 10 6" xfId="5410" xr:uid="{00000000-0005-0000-0000-000039740000}"/>
    <cellStyle name="Normal 57 10 6 2" xfId="10426" xr:uid="{00000000-0005-0000-0000-00003A740000}"/>
    <cellStyle name="Normal 57 10 6 2 2" xfId="22869" xr:uid="{00000000-0005-0000-0000-00003B740000}"/>
    <cellStyle name="Normal 57 10 6 2 2 2" xfId="47743" xr:uid="{00000000-0005-0000-0000-00003C740000}"/>
    <cellStyle name="Normal 57 10 6 2 3" xfId="35310" xr:uid="{00000000-0005-0000-0000-00003D740000}"/>
    <cellStyle name="Normal 57 10 6 3" xfId="17862" xr:uid="{00000000-0005-0000-0000-00003E740000}"/>
    <cellStyle name="Normal 57 10 6 3 2" xfId="42736" xr:uid="{00000000-0005-0000-0000-00003F740000}"/>
    <cellStyle name="Normal 57 10 6 4" xfId="30303" xr:uid="{00000000-0005-0000-0000-000040740000}"/>
    <cellStyle name="Normal 57 10 7" xfId="7987" xr:uid="{00000000-0005-0000-0000-000041740000}"/>
    <cellStyle name="Normal 57 10 7 2" xfId="20433" xr:uid="{00000000-0005-0000-0000-000042740000}"/>
    <cellStyle name="Normal 57 10 7 2 2" xfId="45307" xr:uid="{00000000-0005-0000-0000-000043740000}"/>
    <cellStyle name="Normal 57 10 7 3" xfId="32874" xr:uid="{00000000-0005-0000-0000-000044740000}"/>
    <cellStyle name="Normal 57 10 8" xfId="11880" xr:uid="{00000000-0005-0000-0000-000045740000}"/>
    <cellStyle name="Normal 57 10 8 2" xfId="24314" xr:uid="{00000000-0005-0000-0000-000046740000}"/>
    <cellStyle name="Normal 57 10 8 2 2" xfId="49188" xr:uid="{00000000-0005-0000-0000-000047740000}"/>
    <cellStyle name="Normal 57 10 8 3" xfId="36755" xr:uid="{00000000-0005-0000-0000-000048740000}"/>
    <cellStyle name="Normal 57 10 9" xfId="6640" xr:uid="{00000000-0005-0000-0000-000049740000}"/>
    <cellStyle name="Normal 57 10 9 2" xfId="19089" xr:uid="{00000000-0005-0000-0000-00004A740000}"/>
    <cellStyle name="Normal 57 10 9 2 2" xfId="43963" xr:uid="{00000000-0005-0000-0000-00004B740000}"/>
    <cellStyle name="Normal 57 10 9 3" xfId="31530" xr:uid="{00000000-0005-0000-0000-00004C740000}"/>
    <cellStyle name="Normal 57 10_Degree data" xfId="2449" xr:uid="{00000000-0005-0000-0000-00004D740000}"/>
    <cellStyle name="Normal 57 11" xfId="350" xr:uid="{00000000-0005-0000-0000-00004E740000}"/>
    <cellStyle name="Normal 57 11 10" xfId="13166" xr:uid="{00000000-0005-0000-0000-00004F740000}"/>
    <cellStyle name="Normal 57 11 10 2" xfId="38040" xr:uid="{00000000-0005-0000-0000-000050740000}"/>
    <cellStyle name="Normal 57 11 11" xfId="25599" xr:uid="{00000000-0005-0000-0000-000051740000}"/>
    <cellStyle name="Normal 57 11 2" xfId="710" xr:uid="{00000000-0005-0000-0000-000052740000}"/>
    <cellStyle name="Normal 57 11 2 2" xfId="1485" xr:uid="{00000000-0005-0000-0000-000053740000}"/>
    <cellStyle name="Normal 57 11 2 2 2" xfId="9589" xr:uid="{00000000-0005-0000-0000-000054740000}"/>
    <cellStyle name="Normal 57 11 2 2 2 2" xfId="22032" xr:uid="{00000000-0005-0000-0000-000055740000}"/>
    <cellStyle name="Normal 57 11 2 2 2 2 2" xfId="46906" xr:uid="{00000000-0005-0000-0000-000056740000}"/>
    <cellStyle name="Normal 57 11 2 2 2 3" xfId="34473" xr:uid="{00000000-0005-0000-0000-000057740000}"/>
    <cellStyle name="Normal 57 11 2 2 3" xfId="4571" xr:uid="{00000000-0005-0000-0000-000058740000}"/>
    <cellStyle name="Normal 57 11 2 2 3 2" xfId="17025" xr:uid="{00000000-0005-0000-0000-000059740000}"/>
    <cellStyle name="Normal 57 11 2 2 3 2 2" xfId="41899" xr:uid="{00000000-0005-0000-0000-00005A740000}"/>
    <cellStyle name="Normal 57 11 2 2 3 3" xfId="29466" xr:uid="{00000000-0005-0000-0000-00005B740000}"/>
    <cellStyle name="Normal 57 11 2 2 4" xfId="14285" xr:uid="{00000000-0005-0000-0000-00005C740000}"/>
    <cellStyle name="Normal 57 11 2 2 4 2" xfId="39159" xr:uid="{00000000-0005-0000-0000-00005D740000}"/>
    <cellStyle name="Normal 57 11 2 2 5" xfId="26718" xr:uid="{00000000-0005-0000-0000-00005E740000}"/>
    <cellStyle name="Normal 57 11 2 3" xfId="5630" xr:uid="{00000000-0005-0000-0000-00005F740000}"/>
    <cellStyle name="Normal 57 11 2 3 2" xfId="10646" xr:uid="{00000000-0005-0000-0000-000060740000}"/>
    <cellStyle name="Normal 57 11 2 3 2 2" xfId="23089" xr:uid="{00000000-0005-0000-0000-000061740000}"/>
    <cellStyle name="Normal 57 11 2 3 2 2 2" xfId="47963" xr:uid="{00000000-0005-0000-0000-000062740000}"/>
    <cellStyle name="Normal 57 11 2 3 2 3" xfId="35530" xr:uid="{00000000-0005-0000-0000-000063740000}"/>
    <cellStyle name="Normal 57 11 2 3 3" xfId="18082" xr:uid="{00000000-0005-0000-0000-000064740000}"/>
    <cellStyle name="Normal 57 11 2 3 3 2" xfId="42956" xr:uid="{00000000-0005-0000-0000-000065740000}"/>
    <cellStyle name="Normal 57 11 2 3 4" xfId="30523" xr:uid="{00000000-0005-0000-0000-000066740000}"/>
    <cellStyle name="Normal 57 11 2 4" xfId="8705" xr:uid="{00000000-0005-0000-0000-000067740000}"/>
    <cellStyle name="Normal 57 11 2 4 2" xfId="21149" xr:uid="{00000000-0005-0000-0000-000068740000}"/>
    <cellStyle name="Normal 57 11 2 4 2 2" xfId="46023" xr:uid="{00000000-0005-0000-0000-000069740000}"/>
    <cellStyle name="Normal 57 11 2 4 3" xfId="33590" xr:uid="{00000000-0005-0000-0000-00006A740000}"/>
    <cellStyle name="Normal 57 11 2 5" xfId="12100" xr:uid="{00000000-0005-0000-0000-00006B740000}"/>
    <cellStyle name="Normal 57 11 2 5 2" xfId="24534" xr:uid="{00000000-0005-0000-0000-00006C740000}"/>
    <cellStyle name="Normal 57 11 2 5 2 2" xfId="49408" xr:uid="{00000000-0005-0000-0000-00006D740000}"/>
    <cellStyle name="Normal 57 11 2 5 3" xfId="36975" xr:uid="{00000000-0005-0000-0000-00006E740000}"/>
    <cellStyle name="Normal 57 11 2 6" xfId="7182" xr:uid="{00000000-0005-0000-0000-00006F740000}"/>
    <cellStyle name="Normal 57 11 2 6 2" xfId="19631" xr:uid="{00000000-0005-0000-0000-000070740000}"/>
    <cellStyle name="Normal 57 11 2 6 2 2" xfId="44505" xr:uid="{00000000-0005-0000-0000-000071740000}"/>
    <cellStyle name="Normal 57 11 2 6 3" xfId="32072" xr:uid="{00000000-0005-0000-0000-000072740000}"/>
    <cellStyle name="Normal 57 11 2 7" xfId="3636" xr:uid="{00000000-0005-0000-0000-000073740000}"/>
    <cellStyle name="Normal 57 11 2 7 2" xfId="16142" xr:uid="{00000000-0005-0000-0000-000074740000}"/>
    <cellStyle name="Normal 57 11 2 7 2 2" xfId="41016" xr:uid="{00000000-0005-0000-0000-000075740000}"/>
    <cellStyle name="Normal 57 11 2 7 3" xfId="28575" xr:uid="{00000000-0005-0000-0000-000076740000}"/>
    <cellStyle name="Normal 57 11 2 8" xfId="13513" xr:uid="{00000000-0005-0000-0000-000077740000}"/>
    <cellStyle name="Normal 57 11 2 8 2" xfId="38387" xr:uid="{00000000-0005-0000-0000-000078740000}"/>
    <cellStyle name="Normal 57 11 2 9" xfId="25946" xr:uid="{00000000-0005-0000-0000-000079740000}"/>
    <cellStyle name="Normal 57 11 3" xfId="1833" xr:uid="{00000000-0005-0000-0000-00007A740000}"/>
    <cellStyle name="Normal 57 11 3 2" xfId="4895" xr:uid="{00000000-0005-0000-0000-00007B740000}"/>
    <cellStyle name="Normal 57 11 3 2 2" xfId="9912" xr:uid="{00000000-0005-0000-0000-00007C740000}"/>
    <cellStyle name="Normal 57 11 3 2 2 2" xfId="22355" xr:uid="{00000000-0005-0000-0000-00007D740000}"/>
    <cellStyle name="Normal 57 11 3 2 2 2 2" xfId="47229" xr:uid="{00000000-0005-0000-0000-00007E740000}"/>
    <cellStyle name="Normal 57 11 3 2 2 3" xfId="34796" xr:uid="{00000000-0005-0000-0000-00007F740000}"/>
    <cellStyle name="Normal 57 11 3 2 3" xfId="17348" xr:uid="{00000000-0005-0000-0000-000080740000}"/>
    <cellStyle name="Normal 57 11 3 2 3 2" xfId="42222" xr:uid="{00000000-0005-0000-0000-000081740000}"/>
    <cellStyle name="Normal 57 11 3 2 4" xfId="29789" xr:uid="{00000000-0005-0000-0000-000082740000}"/>
    <cellStyle name="Normal 57 11 3 3" xfId="5979" xr:uid="{00000000-0005-0000-0000-000083740000}"/>
    <cellStyle name="Normal 57 11 3 3 2" xfId="10994" xr:uid="{00000000-0005-0000-0000-000084740000}"/>
    <cellStyle name="Normal 57 11 3 3 2 2" xfId="23437" xr:uid="{00000000-0005-0000-0000-000085740000}"/>
    <cellStyle name="Normal 57 11 3 3 2 2 2" xfId="48311" xr:uid="{00000000-0005-0000-0000-000086740000}"/>
    <cellStyle name="Normal 57 11 3 3 2 3" xfId="35878" xr:uid="{00000000-0005-0000-0000-000087740000}"/>
    <cellStyle name="Normal 57 11 3 3 3" xfId="18430" xr:uid="{00000000-0005-0000-0000-000088740000}"/>
    <cellStyle name="Normal 57 11 3 3 3 2" xfId="43304" xr:uid="{00000000-0005-0000-0000-000089740000}"/>
    <cellStyle name="Normal 57 11 3 3 4" xfId="30871" xr:uid="{00000000-0005-0000-0000-00008A740000}"/>
    <cellStyle name="Normal 57 11 3 4" xfId="8319" xr:uid="{00000000-0005-0000-0000-00008B740000}"/>
    <cellStyle name="Normal 57 11 3 4 2" xfId="20763" xr:uid="{00000000-0005-0000-0000-00008C740000}"/>
    <cellStyle name="Normal 57 11 3 4 2 2" xfId="45637" xr:uid="{00000000-0005-0000-0000-00008D740000}"/>
    <cellStyle name="Normal 57 11 3 4 3" xfId="33204" xr:uid="{00000000-0005-0000-0000-00008E740000}"/>
    <cellStyle name="Normal 57 11 3 5" xfId="12448" xr:uid="{00000000-0005-0000-0000-00008F740000}"/>
    <cellStyle name="Normal 57 11 3 5 2" xfId="24882" xr:uid="{00000000-0005-0000-0000-000090740000}"/>
    <cellStyle name="Normal 57 11 3 5 2 2" xfId="49756" xr:uid="{00000000-0005-0000-0000-000091740000}"/>
    <cellStyle name="Normal 57 11 3 5 3" xfId="37323" xr:uid="{00000000-0005-0000-0000-000092740000}"/>
    <cellStyle name="Normal 57 11 3 6" xfId="7506" xr:uid="{00000000-0005-0000-0000-000093740000}"/>
    <cellStyle name="Normal 57 11 3 6 2" xfId="19954" xr:uid="{00000000-0005-0000-0000-000094740000}"/>
    <cellStyle name="Normal 57 11 3 6 2 2" xfId="44828" xr:uid="{00000000-0005-0000-0000-000095740000}"/>
    <cellStyle name="Normal 57 11 3 6 3" xfId="32395" xr:uid="{00000000-0005-0000-0000-000096740000}"/>
    <cellStyle name="Normal 57 11 3 7" xfId="3250" xr:uid="{00000000-0005-0000-0000-000097740000}"/>
    <cellStyle name="Normal 57 11 3 7 2" xfId="15756" xr:uid="{00000000-0005-0000-0000-000098740000}"/>
    <cellStyle name="Normal 57 11 3 7 2 2" xfId="40630" xr:uid="{00000000-0005-0000-0000-000099740000}"/>
    <cellStyle name="Normal 57 11 3 7 3" xfId="28189" xr:uid="{00000000-0005-0000-0000-00009A740000}"/>
    <cellStyle name="Normal 57 11 3 8" xfId="14633" xr:uid="{00000000-0005-0000-0000-00009B740000}"/>
    <cellStyle name="Normal 57 11 3 8 2" xfId="39507" xr:uid="{00000000-0005-0000-0000-00009C740000}"/>
    <cellStyle name="Normal 57 11 3 9" xfId="27066" xr:uid="{00000000-0005-0000-0000-00009D740000}"/>
    <cellStyle name="Normal 57 11 4" xfId="2268" xr:uid="{00000000-0005-0000-0000-00009E740000}"/>
    <cellStyle name="Normal 57 11 4 2" xfId="6293" xr:uid="{00000000-0005-0000-0000-00009F740000}"/>
    <cellStyle name="Normal 57 11 4 2 2" xfId="11308" xr:uid="{00000000-0005-0000-0000-0000A0740000}"/>
    <cellStyle name="Normal 57 11 4 2 2 2" xfId="23751" xr:uid="{00000000-0005-0000-0000-0000A1740000}"/>
    <cellStyle name="Normal 57 11 4 2 2 2 2" xfId="48625" xr:uid="{00000000-0005-0000-0000-0000A2740000}"/>
    <cellStyle name="Normal 57 11 4 2 2 3" xfId="36192" xr:uid="{00000000-0005-0000-0000-0000A3740000}"/>
    <cellStyle name="Normal 57 11 4 2 3" xfId="18744" xr:uid="{00000000-0005-0000-0000-0000A4740000}"/>
    <cellStyle name="Normal 57 11 4 2 3 2" xfId="43618" xr:uid="{00000000-0005-0000-0000-0000A5740000}"/>
    <cellStyle name="Normal 57 11 4 2 4" xfId="31185" xr:uid="{00000000-0005-0000-0000-0000A6740000}"/>
    <cellStyle name="Normal 57 11 4 3" xfId="12762" xr:uid="{00000000-0005-0000-0000-0000A7740000}"/>
    <cellStyle name="Normal 57 11 4 3 2" xfId="25196" xr:uid="{00000000-0005-0000-0000-0000A8740000}"/>
    <cellStyle name="Normal 57 11 4 3 2 2" xfId="50070" xr:uid="{00000000-0005-0000-0000-0000A9740000}"/>
    <cellStyle name="Normal 57 11 4 3 3" xfId="37637" xr:uid="{00000000-0005-0000-0000-0000AA740000}"/>
    <cellStyle name="Normal 57 11 4 4" xfId="9203" xr:uid="{00000000-0005-0000-0000-0000AB740000}"/>
    <cellStyle name="Normal 57 11 4 4 2" xfId="21646" xr:uid="{00000000-0005-0000-0000-0000AC740000}"/>
    <cellStyle name="Normal 57 11 4 4 2 2" xfId="46520" xr:uid="{00000000-0005-0000-0000-0000AD740000}"/>
    <cellStyle name="Normal 57 11 4 4 3" xfId="34087" xr:uid="{00000000-0005-0000-0000-0000AE740000}"/>
    <cellStyle name="Normal 57 11 4 5" xfId="4185" xr:uid="{00000000-0005-0000-0000-0000AF740000}"/>
    <cellStyle name="Normal 57 11 4 5 2" xfId="16639" xr:uid="{00000000-0005-0000-0000-0000B0740000}"/>
    <cellStyle name="Normal 57 11 4 5 2 2" xfId="41513" xr:uid="{00000000-0005-0000-0000-0000B1740000}"/>
    <cellStyle name="Normal 57 11 4 5 3" xfId="29080" xr:uid="{00000000-0005-0000-0000-0000B2740000}"/>
    <cellStyle name="Normal 57 11 4 6" xfId="14947" xr:uid="{00000000-0005-0000-0000-0000B3740000}"/>
    <cellStyle name="Normal 57 11 4 6 2" xfId="39821" xr:uid="{00000000-0005-0000-0000-0000B4740000}"/>
    <cellStyle name="Normal 57 11 4 7" xfId="27380" xr:uid="{00000000-0005-0000-0000-0000B5740000}"/>
    <cellStyle name="Normal 57 11 5" xfId="1104" xr:uid="{00000000-0005-0000-0000-0000B6740000}"/>
    <cellStyle name="Normal 57 11 5 2" xfId="10265" xr:uid="{00000000-0005-0000-0000-0000B7740000}"/>
    <cellStyle name="Normal 57 11 5 2 2" xfId="22708" xr:uid="{00000000-0005-0000-0000-0000B8740000}"/>
    <cellStyle name="Normal 57 11 5 2 2 2" xfId="47582" xr:uid="{00000000-0005-0000-0000-0000B9740000}"/>
    <cellStyle name="Normal 57 11 5 2 3" xfId="35149" xr:uid="{00000000-0005-0000-0000-0000BA740000}"/>
    <cellStyle name="Normal 57 11 5 3" xfId="5249" xr:uid="{00000000-0005-0000-0000-0000BB740000}"/>
    <cellStyle name="Normal 57 11 5 3 2" xfId="17701" xr:uid="{00000000-0005-0000-0000-0000BC740000}"/>
    <cellStyle name="Normal 57 11 5 3 2 2" xfId="42575" xr:uid="{00000000-0005-0000-0000-0000BD740000}"/>
    <cellStyle name="Normal 57 11 5 3 3" xfId="30142" xr:uid="{00000000-0005-0000-0000-0000BE740000}"/>
    <cellStyle name="Normal 57 11 5 4" xfId="13904" xr:uid="{00000000-0005-0000-0000-0000BF740000}"/>
    <cellStyle name="Normal 57 11 5 4 2" xfId="38778" xr:uid="{00000000-0005-0000-0000-0000C0740000}"/>
    <cellStyle name="Normal 57 11 5 5" xfId="26337" xr:uid="{00000000-0005-0000-0000-0000C1740000}"/>
    <cellStyle name="Normal 57 11 6" xfId="7826" xr:uid="{00000000-0005-0000-0000-0000C2740000}"/>
    <cellStyle name="Normal 57 11 6 2" xfId="20272" xr:uid="{00000000-0005-0000-0000-0000C3740000}"/>
    <cellStyle name="Normal 57 11 6 2 2" xfId="45146" xr:uid="{00000000-0005-0000-0000-0000C4740000}"/>
    <cellStyle name="Normal 57 11 6 3" xfId="32713" xr:uid="{00000000-0005-0000-0000-0000C5740000}"/>
    <cellStyle name="Normal 57 11 7" xfId="11719" xr:uid="{00000000-0005-0000-0000-0000C6740000}"/>
    <cellStyle name="Normal 57 11 7 2" xfId="24153" xr:uid="{00000000-0005-0000-0000-0000C7740000}"/>
    <cellStyle name="Normal 57 11 7 2 2" xfId="49027" xr:uid="{00000000-0005-0000-0000-0000C8740000}"/>
    <cellStyle name="Normal 57 11 7 3" xfId="36594" xr:uid="{00000000-0005-0000-0000-0000C9740000}"/>
    <cellStyle name="Normal 57 11 8" xfId="6796" xr:uid="{00000000-0005-0000-0000-0000CA740000}"/>
    <cellStyle name="Normal 57 11 8 2" xfId="19245" xr:uid="{00000000-0005-0000-0000-0000CB740000}"/>
    <cellStyle name="Normal 57 11 8 2 2" xfId="44119" xr:uid="{00000000-0005-0000-0000-0000CC740000}"/>
    <cellStyle name="Normal 57 11 8 3" xfId="31686" xr:uid="{00000000-0005-0000-0000-0000CD740000}"/>
    <cellStyle name="Normal 57 11 9" xfId="2747" xr:uid="{00000000-0005-0000-0000-0000CE740000}"/>
    <cellStyle name="Normal 57 11 9 2" xfId="15265" xr:uid="{00000000-0005-0000-0000-0000CF740000}"/>
    <cellStyle name="Normal 57 11 9 2 2" xfId="40139" xr:uid="{00000000-0005-0000-0000-0000D0740000}"/>
    <cellStyle name="Normal 57 11 9 3" xfId="27698" xr:uid="{00000000-0005-0000-0000-0000D1740000}"/>
    <cellStyle name="Normal 57 11_Degree data" xfId="2450" xr:uid="{00000000-0005-0000-0000-0000D2740000}"/>
    <cellStyle name="Normal 57 12" xfId="191" xr:uid="{00000000-0005-0000-0000-0000D3740000}"/>
    <cellStyle name="Normal 57 12 10" xfId="13021" xr:uid="{00000000-0005-0000-0000-0000D4740000}"/>
    <cellStyle name="Normal 57 12 10 2" xfId="37895" xr:uid="{00000000-0005-0000-0000-0000D5740000}"/>
    <cellStyle name="Normal 57 12 11" xfId="25454" xr:uid="{00000000-0005-0000-0000-0000D6740000}"/>
    <cellStyle name="Normal 57 12 2" xfId="558" xr:uid="{00000000-0005-0000-0000-0000D7740000}"/>
    <cellStyle name="Normal 57 12 2 2" xfId="1486" xr:uid="{00000000-0005-0000-0000-0000D8740000}"/>
    <cellStyle name="Normal 57 12 2 2 2" xfId="9590" xr:uid="{00000000-0005-0000-0000-0000D9740000}"/>
    <cellStyle name="Normal 57 12 2 2 2 2" xfId="22033" xr:uid="{00000000-0005-0000-0000-0000DA740000}"/>
    <cellStyle name="Normal 57 12 2 2 2 2 2" xfId="46907" xr:uid="{00000000-0005-0000-0000-0000DB740000}"/>
    <cellStyle name="Normal 57 12 2 2 2 3" xfId="34474" xr:uid="{00000000-0005-0000-0000-0000DC740000}"/>
    <cellStyle name="Normal 57 12 2 2 3" xfId="4572" xr:uid="{00000000-0005-0000-0000-0000DD740000}"/>
    <cellStyle name="Normal 57 12 2 2 3 2" xfId="17026" xr:uid="{00000000-0005-0000-0000-0000DE740000}"/>
    <cellStyle name="Normal 57 12 2 2 3 2 2" xfId="41900" xr:uid="{00000000-0005-0000-0000-0000DF740000}"/>
    <cellStyle name="Normal 57 12 2 2 3 3" xfId="29467" xr:uid="{00000000-0005-0000-0000-0000E0740000}"/>
    <cellStyle name="Normal 57 12 2 2 4" xfId="14286" xr:uid="{00000000-0005-0000-0000-0000E1740000}"/>
    <cellStyle name="Normal 57 12 2 2 4 2" xfId="39160" xr:uid="{00000000-0005-0000-0000-0000E2740000}"/>
    <cellStyle name="Normal 57 12 2 2 5" xfId="26719" xr:uid="{00000000-0005-0000-0000-0000E3740000}"/>
    <cellStyle name="Normal 57 12 2 3" xfId="5631" xr:uid="{00000000-0005-0000-0000-0000E4740000}"/>
    <cellStyle name="Normal 57 12 2 3 2" xfId="10647" xr:uid="{00000000-0005-0000-0000-0000E5740000}"/>
    <cellStyle name="Normal 57 12 2 3 2 2" xfId="23090" xr:uid="{00000000-0005-0000-0000-0000E6740000}"/>
    <cellStyle name="Normal 57 12 2 3 2 2 2" xfId="47964" xr:uid="{00000000-0005-0000-0000-0000E7740000}"/>
    <cellStyle name="Normal 57 12 2 3 2 3" xfId="35531" xr:uid="{00000000-0005-0000-0000-0000E8740000}"/>
    <cellStyle name="Normal 57 12 2 3 3" xfId="18083" xr:uid="{00000000-0005-0000-0000-0000E9740000}"/>
    <cellStyle name="Normal 57 12 2 3 3 2" xfId="42957" xr:uid="{00000000-0005-0000-0000-0000EA740000}"/>
    <cellStyle name="Normal 57 12 2 3 4" xfId="30524" xr:uid="{00000000-0005-0000-0000-0000EB740000}"/>
    <cellStyle name="Normal 57 12 2 4" xfId="8706" xr:uid="{00000000-0005-0000-0000-0000EC740000}"/>
    <cellStyle name="Normal 57 12 2 4 2" xfId="21150" xr:uid="{00000000-0005-0000-0000-0000ED740000}"/>
    <cellStyle name="Normal 57 12 2 4 2 2" xfId="46024" xr:uid="{00000000-0005-0000-0000-0000EE740000}"/>
    <cellStyle name="Normal 57 12 2 4 3" xfId="33591" xr:uid="{00000000-0005-0000-0000-0000EF740000}"/>
    <cellStyle name="Normal 57 12 2 5" xfId="12101" xr:uid="{00000000-0005-0000-0000-0000F0740000}"/>
    <cellStyle name="Normal 57 12 2 5 2" xfId="24535" xr:uid="{00000000-0005-0000-0000-0000F1740000}"/>
    <cellStyle name="Normal 57 12 2 5 2 2" xfId="49409" xr:uid="{00000000-0005-0000-0000-0000F2740000}"/>
    <cellStyle name="Normal 57 12 2 5 3" xfId="36976" xr:uid="{00000000-0005-0000-0000-0000F3740000}"/>
    <cellStyle name="Normal 57 12 2 6" xfId="7183" xr:uid="{00000000-0005-0000-0000-0000F4740000}"/>
    <cellStyle name="Normal 57 12 2 6 2" xfId="19632" xr:uid="{00000000-0005-0000-0000-0000F5740000}"/>
    <cellStyle name="Normal 57 12 2 6 2 2" xfId="44506" xr:uid="{00000000-0005-0000-0000-0000F6740000}"/>
    <cellStyle name="Normal 57 12 2 6 3" xfId="32073" xr:uid="{00000000-0005-0000-0000-0000F7740000}"/>
    <cellStyle name="Normal 57 12 2 7" xfId="3637" xr:uid="{00000000-0005-0000-0000-0000F8740000}"/>
    <cellStyle name="Normal 57 12 2 7 2" xfId="16143" xr:uid="{00000000-0005-0000-0000-0000F9740000}"/>
    <cellStyle name="Normal 57 12 2 7 2 2" xfId="41017" xr:uid="{00000000-0005-0000-0000-0000FA740000}"/>
    <cellStyle name="Normal 57 12 2 7 3" xfId="28576" xr:uid="{00000000-0005-0000-0000-0000FB740000}"/>
    <cellStyle name="Normal 57 12 2 8" xfId="13368" xr:uid="{00000000-0005-0000-0000-0000FC740000}"/>
    <cellStyle name="Normal 57 12 2 8 2" xfId="38242" xr:uid="{00000000-0005-0000-0000-0000FD740000}"/>
    <cellStyle name="Normal 57 12 2 9" xfId="25801" xr:uid="{00000000-0005-0000-0000-0000FE740000}"/>
    <cellStyle name="Normal 57 12 3" xfId="1834" xr:uid="{00000000-0005-0000-0000-0000FF740000}"/>
    <cellStyle name="Normal 57 12 3 2" xfId="4750" xr:uid="{00000000-0005-0000-0000-000000750000}"/>
    <cellStyle name="Normal 57 12 3 2 2" xfId="9767" xr:uid="{00000000-0005-0000-0000-000001750000}"/>
    <cellStyle name="Normal 57 12 3 2 2 2" xfId="22210" xr:uid="{00000000-0005-0000-0000-000002750000}"/>
    <cellStyle name="Normal 57 12 3 2 2 2 2" xfId="47084" xr:uid="{00000000-0005-0000-0000-000003750000}"/>
    <cellStyle name="Normal 57 12 3 2 2 3" xfId="34651" xr:uid="{00000000-0005-0000-0000-000004750000}"/>
    <cellStyle name="Normal 57 12 3 2 3" xfId="17203" xr:uid="{00000000-0005-0000-0000-000005750000}"/>
    <cellStyle name="Normal 57 12 3 2 3 2" xfId="42077" xr:uid="{00000000-0005-0000-0000-000006750000}"/>
    <cellStyle name="Normal 57 12 3 2 4" xfId="29644" xr:uid="{00000000-0005-0000-0000-000007750000}"/>
    <cellStyle name="Normal 57 12 3 3" xfId="5980" xr:uid="{00000000-0005-0000-0000-000008750000}"/>
    <cellStyle name="Normal 57 12 3 3 2" xfId="10995" xr:uid="{00000000-0005-0000-0000-000009750000}"/>
    <cellStyle name="Normal 57 12 3 3 2 2" xfId="23438" xr:uid="{00000000-0005-0000-0000-00000A750000}"/>
    <cellStyle name="Normal 57 12 3 3 2 2 2" xfId="48312" xr:uid="{00000000-0005-0000-0000-00000B750000}"/>
    <cellStyle name="Normal 57 12 3 3 2 3" xfId="35879" xr:uid="{00000000-0005-0000-0000-00000C750000}"/>
    <cellStyle name="Normal 57 12 3 3 3" xfId="18431" xr:uid="{00000000-0005-0000-0000-00000D750000}"/>
    <cellStyle name="Normal 57 12 3 3 3 2" xfId="43305" xr:uid="{00000000-0005-0000-0000-00000E750000}"/>
    <cellStyle name="Normal 57 12 3 3 4" xfId="30872" xr:uid="{00000000-0005-0000-0000-00000F750000}"/>
    <cellStyle name="Normal 57 12 3 4" xfId="8858" xr:uid="{00000000-0005-0000-0000-000010750000}"/>
    <cellStyle name="Normal 57 12 3 4 2" xfId="21301" xr:uid="{00000000-0005-0000-0000-000011750000}"/>
    <cellStyle name="Normal 57 12 3 4 2 2" xfId="46175" xr:uid="{00000000-0005-0000-0000-000012750000}"/>
    <cellStyle name="Normal 57 12 3 4 3" xfId="33742" xr:uid="{00000000-0005-0000-0000-000013750000}"/>
    <cellStyle name="Normal 57 12 3 5" xfId="12449" xr:uid="{00000000-0005-0000-0000-000014750000}"/>
    <cellStyle name="Normal 57 12 3 5 2" xfId="24883" xr:uid="{00000000-0005-0000-0000-000015750000}"/>
    <cellStyle name="Normal 57 12 3 5 2 2" xfId="49757" xr:uid="{00000000-0005-0000-0000-000016750000}"/>
    <cellStyle name="Normal 57 12 3 5 3" xfId="37324" xr:uid="{00000000-0005-0000-0000-000017750000}"/>
    <cellStyle name="Normal 57 12 3 6" xfId="7361" xr:uid="{00000000-0005-0000-0000-000018750000}"/>
    <cellStyle name="Normal 57 12 3 6 2" xfId="19809" xr:uid="{00000000-0005-0000-0000-000019750000}"/>
    <cellStyle name="Normal 57 12 3 6 2 2" xfId="44683" xr:uid="{00000000-0005-0000-0000-00001A750000}"/>
    <cellStyle name="Normal 57 12 3 6 3" xfId="32250" xr:uid="{00000000-0005-0000-0000-00001B750000}"/>
    <cellStyle name="Normal 57 12 3 7" xfId="3840" xr:uid="{00000000-0005-0000-0000-00001C750000}"/>
    <cellStyle name="Normal 57 12 3 7 2" xfId="16294" xr:uid="{00000000-0005-0000-0000-00001D750000}"/>
    <cellStyle name="Normal 57 12 3 7 2 2" xfId="41168" xr:uid="{00000000-0005-0000-0000-00001E750000}"/>
    <cellStyle name="Normal 57 12 3 7 3" xfId="28735" xr:uid="{00000000-0005-0000-0000-00001F750000}"/>
    <cellStyle name="Normal 57 12 3 8" xfId="14634" xr:uid="{00000000-0005-0000-0000-000020750000}"/>
    <cellStyle name="Normal 57 12 3 8 2" xfId="39508" xr:uid="{00000000-0005-0000-0000-000021750000}"/>
    <cellStyle name="Normal 57 12 3 9" xfId="27067" xr:uid="{00000000-0005-0000-0000-000022750000}"/>
    <cellStyle name="Normal 57 12 4" xfId="2109" xr:uid="{00000000-0005-0000-0000-000023750000}"/>
    <cellStyle name="Normal 57 12 4 2" xfId="6148" xr:uid="{00000000-0005-0000-0000-000024750000}"/>
    <cellStyle name="Normal 57 12 4 2 2" xfId="11163" xr:uid="{00000000-0005-0000-0000-000025750000}"/>
    <cellStyle name="Normal 57 12 4 2 2 2" xfId="23606" xr:uid="{00000000-0005-0000-0000-000026750000}"/>
    <cellStyle name="Normal 57 12 4 2 2 2 2" xfId="48480" xr:uid="{00000000-0005-0000-0000-000027750000}"/>
    <cellStyle name="Normal 57 12 4 2 2 3" xfId="36047" xr:uid="{00000000-0005-0000-0000-000028750000}"/>
    <cellStyle name="Normal 57 12 4 2 3" xfId="18599" xr:uid="{00000000-0005-0000-0000-000029750000}"/>
    <cellStyle name="Normal 57 12 4 2 3 2" xfId="43473" xr:uid="{00000000-0005-0000-0000-00002A750000}"/>
    <cellStyle name="Normal 57 12 4 2 4" xfId="31040" xr:uid="{00000000-0005-0000-0000-00002B750000}"/>
    <cellStyle name="Normal 57 12 4 3" xfId="12617" xr:uid="{00000000-0005-0000-0000-00002C750000}"/>
    <cellStyle name="Normal 57 12 4 3 2" xfId="25051" xr:uid="{00000000-0005-0000-0000-00002D750000}"/>
    <cellStyle name="Normal 57 12 4 3 2 2" xfId="49925" xr:uid="{00000000-0005-0000-0000-00002E750000}"/>
    <cellStyle name="Normal 57 12 4 3 3" xfId="37492" xr:uid="{00000000-0005-0000-0000-00002F750000}"/>
    <cellStyle name="Normal 57 12 4 4" xfId="9058" xr:uid="{00000000-0005-0000-0000-000030750000}"/>
    <cellStyle name="Normal 57 12 4 4 2" xfId="21501" xr:uid="{00000000-0005-0000-0000-000031750000}"/>
    <cellStyle name="Normal 57 12 4 4 2 2" xfId="46375" xr:uid="{00000000-0005-0000-0000-000032750000}"/>
    <cellStyle name="Normal 57 12 4 4 3" xfId="33942" xr:uid="{00000000-0005-0000-0000-000033750000}"/>
    <cellStyle name="Normal 57 12 4 5" xfId="4040" xr:uid="{00000000-0005-0000-0000-000034750000}"/>
    <cellStyle name="Normal 57 12 4 5 2" xfId="16494" xr:uid="{00000000-0005-0000-0000-000035750000}"/>
    <cellStyle name="Normal 57 12 4 5 2 2" xfId="41368" xr:uid="{00000000-0005-0000-0000-000036750000}"/>
    <cellStyle name="Normal 57 12 4 5 3" xfId="28935" xr:uid="{00000000-0005-0000-0000-000037750000}"/>
    <cellStyle name="Normal 57 12 4 6" xfId="14802" xr:uid="{00000000-0005-0000-0000-000038750000}"/>
    <cellStyle name="Normal 57 12 4 6 2" xfId="39676" xr:uid="{00000000-0005-0000-0000-000039750000}"/>
    <cellStyle name="Normal 57 12 4 7" xfId="27235" xr:uid="{00000000-0005-0000-0000-00003A750000}"/>
    <cellStyle name="Normal 57 12 5" xfId="959" xr:uid="{00000000-0005-0000-0000-00003B750000}"/>
    <cellStyle name="Normal 57 12 5 2" xfId="10118" xr:uid="{00000000-0005-0000-0000-00003C750000}"/>
    <cellStyle name="Normal 57 12 5 2 2" xfId="22561" xr:uid="{00000000-0005-0000-0000-00003D750000}"/>
    <cellStyle name="Normal 57 12 5 2 2 2" xfId="47435" xr:uid="{00000000-0005-0000-0000-00003E750000}"/>
    <cellStyle name="Normal 57 12 5 2 3" xfId="35002" xr:uid="{00000000-0005-0000-0000-00003F750000}"/>
    <cellStyle name="Normal 57 12 5 3" xfId="5102" xr:uid="{00000000-0005-0000-0000-000040750000}"/>
    <cellStyle name="Normal 57 12 5 3 2" xfId="17554" xr:uid="{00000000-0005-0000-0000-000041750000}"/>
    <cellStyle name="Normal 57 12 5 3 2 2" xfId="42428" xr:uid="{00000000-0005-0000-0000-000042750000}"/>
    <cellStyle name="Normal 57 12 5 3 3" xfId="29995" xr:uid="{00000000-0005-0000-0000-000043750000}"/>
    <cellStyle name="Normal 57 12 5 4" xfId="13759" xr:uid="{00000000-0005-0000-0000-000044750000}"/>
    <cellStyle name="Normal 57 12 5 4 2" xfId="38633" xr:uid="{00000000-0005-0000-0000-000045750000}"/>
    <cellStyle name="Normal 57 12 5 5" xfId="26192" xr:uid="{00000000-0005-0000-0000-000046750000}"/>
    <cellStyle name="Normal 57 12 6" xfId="8174" xr:uid="{00000000-0005-0000-0000-000047750000}"/>
    <cellStyle name="Normal 57 12 6 2" xfId="20618" xr:uid="{00000000-0005-0000-0000-000048750000}"/>
    <cellStyle name="Normal 57 12 6 2 2" xfId="45492" xr:uid="{00000000-0005-0000-0000-000049750000}"/>
    <cellStyle name="Normal 57 12 6 3" xfId="33059" xr:uid="{00000000-0005-0000-0000-00004A750000}"/>
    <cellStyle name="Normal 57 12 7" xfId="11574" xr:uid="{00000000-0005-0000-0000-00004B750000}"/>
    <cellStyle name="Normal 57 12 7 2" xfId="24008" xr:uid="{00000000-0005-0000-0000-00004C750000}"/>
    <cellStyle name="Normal 57 12 7 2 2" xfId="48882" xr:uid="{00000000-0005-0000-0000-00004D750000}"/>
    <cellStyle name="Normal 57 12 7 3" xfId="36449" xr:uid="{00000000-0005-0000-0000-00004E750000}"/>
    <cellStyle name="Normal 57 12 8" xfId="6651" xr:uid="{00000000-0005-0000-0000-00004F750000}"/>
    <cellStyle name="Normal 57 12 8 2" xfId="19100" xr:uid="{00000000-0005-0000-0000-000050750000}"/>
    <cellStyle name="Normal 57 12 8 2 2" xfId="43974" xr:uid="{00000000-0005-0000-0000-000051750000}"/>
    <cellStyle name="Normal 57 12 8 3" xfId="31541" xr:uid="{00000000-0005-0000-0000-000052750000}"/>
    <cellStyle name="Normal 57 12 9" xfId="3105" xr:uid="{00000000-0005-0000-0000-000053750000}"/>
    <cellStyle name="Normal 57 12 9 2" xfId="15611" xr:uid="{00000000-0005-0000-0000-000054750000}"/>
    <cellStyle name="Normal 57 12 9 2 2" xfId="40485" xr:uid="{00000000-0005-0000-0000-000055750000}"/>
    <cellStyle name="Normal 57 12 9 3" xfId="28044" xr:uid="{00000000-0005-0000-0000-000056750000}"/>
    <cellStyle name="Normal 57 12_Degree data" xfId="2451" xr:uid="{00000000-0005-0000-0000-000057750000}"/>
    <cellStyle name="Normal 57 13" xfId="528" xr:uid="{00000000-0005-0000-0000-000058750000}"/>
    <cellStyle name="Normal 57 13 2" xfId="1483" xr:uid="{00000000-0005-0000-0000-000059750000}"/>
    <cellStyle name="Normal 57 13 2 2" xfId="9587" xr:uid="{00000000-0005-0000-0000-00005A750000}"/>
    <cellStyle name="Normal 57 13 2 2 2" xfId="22030" xr:uid="{00000000-0005-0000-0000-00005B750000}"/>
    <cellStyle name="Normal 57 13 2 2 2 2" xfId="46904" xr:uid="{00000000-0005-0000-0000-00005C750000}"/>
    <cellStyle name="Normal 57 13 2 2 3" xfId="34471" xr:uid="{00000000-0005-0000-0000-00005D750000}"/>
    <cellStyle name="Normal 57 13 2 3" xfId="4569" xr:uid="{00000000-0005-0000-0000-00005E750000}"/>
    <cellStyle name="Normal 57 13 2 3 2" xfId="17023" xr:uid="{00000000-0005-0000-0000-00005F750000}"/>
    <cellStyle name="Normal 57 13 2 3 2 2" xfId="41897" xr:uid="{00000000-0005-0000-0000-000060750000}"/>
    <cellStyle name="Normal 57 13 2 3 3" xfId="29464" xr:uid="{00000000-0005-0000-0000-000061750000}"/>
    <cellStyle name="Normal 57 13 2 4" xfId="14283" xr:uid="{00000000-0005-0000-0000-000062750000}"/>
    <cellStyle name="Normal 57 13 2 4 2" xfId="39157" xr:uid="{00000000-0005-0000-0000-000063750000}"/>
    <cellStyle name="Normal 57 13 2 5" xfId="26716" xr:uid="{00000000-0005-0000-0000-000064750000}"/>
    <cellStyle name="Normal 57 13 3" xfId="5628" xr:uid="{00000000-0005-0000-0000-000065750000}"/>
    <cellStyle name="Normal 57 13 3 2" xfId="10644" xr:uid="{00000000-0005-0000-0000-000066750000}"/>
    <cellStyle name="Normal 57 13 3 2 2" xfId="23087" xr:uid="{00000000-0005-0000-0000-000067750000}"/>
    <cellStyle name="Normal 57 13 3 2 2 2" xfId="47961" xr:uid="{00000000-0005-0000-0000-000068750000}"/>
    <cellStyle name="Normal 57 13 3 2 3" xfId="35528" xr:uid="{00000000-0005-0000-0000-000069750000}"/>
    <cellStyle name="Normal 57 13 3 3" xfId="18080" xr:uid="{00000000-0005-0000-0000-00006A750000}"/>
    <cellStyle name="Normal 57 13 3 3 2" xfId="42954" xr:uid="{00000000-0005-0000-0000-00006B750000}"/>
    <cellStyle name="Normal 57 13 3 4" xfId="30521" xr:uid="{00000000-0005-0000-0000-00006C750000}"/>
    <cellStyle name="Normal 57 13 4" xfId="8703" xr:uid="{00000000-0005-0000-0000-00006D750000}"/>
    <cellStyle name="Normal 57 13 4 2" xfId="21147" xr:uid="{00000000-0005-0000-0000-00006E750000}"/>
    <cellStyle name="Normal 57 13 4 2 2" xfId="46021" xr:uid="{00000000-0005-0000-0000-00006F750000}"/>
    <cellStyle name="Normal 57 13 4 3" xfId="33588" xr:uid="{00000000-0005-0000-0000-000070750000}"/>
    <cellStyle name="Normal 57 13 5" xfId="12098" xr:uid="{00000000-0005-0000-0000-000071750000}"/>
    <cellStyle name="Normal 57 13 5 2" xfId="24532" xr:uid="{00000000-0005-0000-0000-000072750000}"/>
    <cellStyle name="Normal 57 13 5 2 2" xfId="49406" xr:uid="{00000000-0005-0000-0000-000073750000}"/>
    <cellStyle name="Normal 57 13 5 3" xfId="36973" xr:uid="{00000000-0005-0000-0000-000074750000}"/>
    <cellStyle name="Normal 57 13 6" xfId="7180" xr:uid="{00000000-0005-0000-0000-000075750000}"/>
    <cellStyle name="Normal 57 13 6 2" xfId="19629" xr:uid="{00000000-0005-0000-0000-000076750000}"/>
    <cellStyle name="Normal 57 13 6 2 2" xfId="44503" xr:uid="{00000000-0005-0000-0000-000077750000}"/>
    <cellStyle name="Normal 57 13 6 3" xfId="32070" xr:uid="{00000000-0005-0000-0000-000078750000}"/>
    <cellStyle name="Normal 57 13 7" xfId="3634" xr:uid="{00000000-0005-0000-0000-000079750000}"/>
    <cellStyle name="Normal 57 13 7 2" xfId="16140" xr:uid="{00000000-0005-0000-0000-00007A750000}"/>
    <cellStyle name="Normal 57 13 7 2 2" xfId="41014" xr:uid="{00000000-0005-0000-0000-00007B750000}"/>
    <cellStyle name="Normal 57 13 7 3" xfId="28573" xr:uid="{00000000-0005-0000-0000-00007C750000}"/>
    <cellStyle name="Normal 57 13 8" xfId="13338" xr:uid="{00000000-0005-0000-0000-00007D750000}"/>
    <cellStyle name="Normal 57 13 8 2" xfId="38212" xr:uid="{00000000-0005-0000-0000-00007E750000}"/>
    <cellStyle name="Normal 57 13 9" xfId="25771" xr:uid="{00000000-0005-0000-0000-00007F750000}"/>
    <cellStyle name="Normal 57 14" xfId="1831" xr:uid="{00000000-0005-0000-0000-000080750000}"/>
    <cellStyle name="Normal 57 14 2" xfId="4720" xr:uid="{00000000-0005-0000-0000-000081750000}"/>
    <cellStyle name="Normal 57 14 2 2" xfId="9737" xr:uid="{00000000-0005-0000-0000-000082750000}"/>
    <cellStyle name="Normal 57 14 2 2 2" xfId="22180" xr:uid="{00000000-0005-0000-0000-000083750000}"/>
    <cellStyle name="Normal 57 14 2 2 2 2" xfId="47054" xr:uid="{00000000-0005-0000-0000-000084750000}"/>
    <cellStyle name="Normal 57 14 2 2 3" xfId="34621" xr:uid="{00000000-0005-0000-0000-000085750000}"/>
    <cellStyle name="Normal 57 14 2 3" xfId="17173" xr:uid="{00000000-0005-0000-0000-000086750000}"/>
    <cellStyle name="Normal 57 14 2 3 2" xfId="42047" xr:uid="{00000000-0005-0000-0000-000087750000}"/>
    <cellStyle name="Normal 57 14 2 4" xfId="29614" xr:uid="{00000000-0005-0000-0000-000088750000}"/>
    <cellStyle name="Normal 57 14 3" xfId="5977" xr:uid="{00000000-0005-0000-0000-000089750000}"/>
    <cellStyle name="Normal 57 14 3 2" xfId="10992" xr:uid="{00000000-0005-0000-0000-00008A750000}"/>
    <cellStyle name="Normal 57 14 3 2 2" xfId="23435" xr:uid="{00000000-0005-0000-0000-00008B750000}"/>
    <cellStyle name="Normal 57 14 3 2 2 2" xfId="48309" xr:uid="{00000000-0005-0000-0000-00008C750000}"/>
    <cellStyle name="Normal 57 14 3 2 3" xfId="35876" xr:uid="{00000000-0005-0000-0000-00008D750000}"/>
    <cellStyle name="Normal 57 14 3 3" xfId="18428" xr:uid="{00000000-0005-0000-0000-00008E750000}"/>
    <cellStyle name="Normal 57 14 3 3 2" xfId="43302" xr:uid="{00000000-0005-0000-0000-00008F750000}"/>
    <cellStyle name="Normal 57 14 3 4" xfId="30869" xr:uid="{00000000-0005-0000-0000-000090750000}"/>
    <cellStyle name="Normal 57 14 4" xfId="7998" xr:uid="{00000000-0005-0000-0000-000091750000}"/>
    <cellStyle name="Normal 57 14 4 2" xfId="20444" xr:uid="{00000000-0005-0000-0000-000092750000}"/>
    <cellStyle name="Normal 57 14 4 2 2" xfId="45318" xr:uid="{00000000-0005-0000-0000-000093750000}"/>
    <cellStyle name="Normal 57 14 4 3" xfId="32885" xr:uid="{00000000-0005-0000-0000-000094750000}"/>
    <cellStyle name="Normal 57 14 5" xfId="12446" xr:uid="{00000000-0005-0000-0000-000095750000}"/>
    <cellStyle name="Normal 57 14 5 2" xfId="24880" xr:uid="{00000000-0005-0000-0000-000096750000}"/>
    <cellStyle name="Normal 57 14 5 2 2" xfId="49754" xr:uid="{00000000-0005-0000-0000-000097750000}"/>
    <cellStyle name="Normal 57 14 5 3" xfId="37321" xr:uid="{00000000-0005-0000-0000-000098750000}"/>
    <cellStyle name="Normal 57 14 6" xfId="7331" xr:uid="{00000000-0005-0000-0000-000099750000}"/>
    <cellStyle name="Normal 57 14 6 2" xfId="19779" xr:uid="{00000000-0005-0000-0000-00009A750000}"/>
    <cellStyle name="Normal 57 14 6 2 2" xfId="44653" xr:uid="{00000000-0005-0000-0000-00009B750000}"/>
    <cellStyle name="Normal 57 14 6 3" xfId="32220" xr:uid="{00000000-0005-0000-0000-00009C750000}"/>
    <cellStyle name="Normal 57 14 7" xfId="2919" xr:uid="{00000000-0005-0000-0000-00009D750000}"/>
    <cellStyle name="Normal 57 14 7 2" xfId="15437" xr:uid="{00000000-0005-0000-0000-00009E750000}"/>
    <cellStyle name="Normal 57 14 7 2 2" xfId="40311" xr:uid="{00000000-0005-0000-0000-00009F750000}"/>
    <cellStyle name="Normal 57 14 7 3" xfId="27870" xr:uid="{00000000-0005-0000-0000-0000A0750000}"/>
    <cellStyle name="Normal 57 14 8" xfId="14631" xr:uid="{00000000-0005-0000-0000-0000A1750000}"/>
    <cellStyle name="Normal 57 14 8 2" xfId="39505" xr:uid="{00000000-0005-0000-0000-0000A2750000}"/>
    <cellStyle name="Normal 57 14 9" xfId="27064" xr:uid="{00000000-0005-0000-0000-0000A3750000}"/>
    <cellStyle name="Normal 57 15" xfId="2021" xr:uid="{00000000-0005-0000-0000-0000A4750000}"/>
    <cellStyle name="Normal 57 15 2" xfId="6118" xr:uid="{00000000-0005-0000-0000-0000A5750000}"/>
    <cellStyle name="Normal 57 15 2 2" xfId="11133" xr:uid="{00000000-0005-0000-0000-0000A6750000}"/>
    <cellStyle name="Normal 57 15 2 2 2" xfId="23576" xr:uid="{00000000-0005-0000-0000-0000A7750000}"/>
    <cellStyle name="Normal 57 15 2 2 2 2" xfId="48450" xr:uid="{00000000-0005-0000-0000-0000A8750000}"/>
    <cellStyle name="Normal 57 15 2 2 3" xfId="36017" xr:uid="{00000000-0005-0000-0000-0000A9750000}"/>
    <cellStyle name="Normal 57 15 2 3" xfId="18569" xr:uid="{00000000-0005-0000-0000-0000AA750000}"/>
    <cellStyle name="Normal 57 15 2 3 2" xfId="43443" xr:uid="{00000000-0005-0000-0000-0000AB750000}"/>
    <cellStyle name="Normal 57 15 2 4" xfId="31010" xr:uid="{00000000-0005-0000-0000-0000AC750000}"/>
    <cellStyle name="Normal 57 15 3" xfId="12587" xr:uid="{00000000-0005-0000-0000-0000AD750000}"/>
    <cellStyle name="Normal 57 15 3 2" xfId="25021" xr:uid="{00000000-0005-0000-0000-0000AE750000}"/>
    <cellStyle name="Normal 57 15 3 2 2" xfId="49895" xr:uid="{00000000-0005-0000-0000-0000AF750000}"/>
    <cellStyle name="Normal 57 15 3 3" xfId="37462" xr:uid="{00000000-0005-0000-0000-0000B0750000}"/>
    <cellStyle name="Normal 57 15 4" xfId="8885" xr:uid="{00000000-0005-0000-0000-0000B1750000}"/>
    <cellStyle name="Normal 57 15 4 2" xfId="21328" xr:uid="{00000000-0005-0000-0000-0000B2750000}"/>
    <cellStyle name="Normal 57 15 4 2 2" xfId="46202" xr:uid="{00000000-0005-0000-0000-0000B3750000}"/>
    <cellStyle name="Normal 57 15 4 3" xfId="33769" xr:uid="{00000000-0005-0000-0000-0000B4750000}"/>
    <cellStyle name="Normal 57 15 5" xfId="3867" xr:uid="{00000000-0005-0000-0000-0000B5750000}"/>
    <cellStyle name="Normal 57 15 5 2" xfId="16321" xr:uid="{00000000-0005-0000-0000-0000B6750000}"/>
    <cellStyle name="Normal 57 15 5 2 2" xfId="41195" xr:uid="{00000000-0005-0000-0000-0000B7750000}"/>
    <cellStyle name="Normal 57 15 5 3" xfId="28762" xr:uid="{00000000-0005-0000-0000-0000B8750000}"/>
    <cellStyle name="Normal 57 15 6" xfId="14772" xr:uid="{00000000-0005-0000-0000-0000B9750000}"/>
    <cellStyle name="Normal 57 15 6 2" xfId="39646" xr:uid="{00000000-0005-0000-0000-0000BA750000}"/>
    <cellStyle name="Normal 57 15 7" xfId="27205" xr:uid="{00000000-0005-0000-0000-0000BB750000}"/>
    <cellStyle name="Normal 57 16" xfId="929" xr:uid="{00000000-0005-0000-0000-0000BC750000}"/>
    <cellStyle name="Normal 57 16 2" xfId="11544" xr:uid="{00000000-0005-0000-0000-0000BD750000}"/>
    <cellStyle name="Normal 57 16 2 2" xfId="23978" xr:uid="{00000000-0005-0000-0000-0000BE750000}"/>
    <cellStyle name="Normal 57 16 2 2 2" xfId="48852" xr:uid="{00000000-0005-0000-0000-0000BF750000}"/>
    <cellStyle name="Normal 57 16 2 3" xfId="36419" xr:uid="{00000000-0005-0000-0000-0000C0750000}"/>
    <cellStyle name="Normal 57 16 3" xfId="10087" xr:uid="{00000000-0005-0000-0000-0000C1750000}"/>
    <cellStyle name="Normal 57 16 3 2" xfId="22530" xr:uid="{00000000-0005-0000-0000-0000C2750000}"/>
    <cellStyle name="Normal 57 16 3 2 2" xfId="47404" xr:uid="{00000000-0005-0000-0000-0000C3750000}"/>
    <cellStyle name="Normal 57 16 3 3" xfId="34971" xr:uid="{00000000-0005-0000-0000-0000C4750000}"/>
    <cellStyle name="Normal 57 16 4" xfId="5071" xr:uid="{00000000-0005-0000-0000-0000C5750000}"/>
    <cellStyle name="Normal 57 16 4 2" xfId="17523" xr:uid="{00000000-0005-0000-0000-0000C6750000}"/>
    <cellStyle name="Normal 57 16 4 2 2" xfId="42397" xr:uid="{00000000-0005-0000-0000-0000C7750000}"/>
    <cellStyle name="Normal 57 16 4 3" xfId="29964" xr:uid="{00000000-0005-0000-0000-0000C8750000}"/>
    <cellStyle name="Normal 57 16 5" xfId="13729" xr:uid="{00000000-0005-0000-0000-0000C9750000}"/>
    <cellStyle name="Normal 57 16 5 2" xfId="38603" xr:uid="{00000000-0005-0000-0000-0000CA750000}"/>
    <cellStyle name="Normal 57 16 6" xfId="26162" xr:uid="{00000000-0005-0000-0000-0000CB750000}"/>
    <cellStyle name="Normal 57 17" xfId="886" xr:uid="{00000000-0005-0000-0000-0000CC750000}"/>
    <cellStyle name="Normal 57 17 2" xfId="7681" xr:uid="{00000000-0005-0000-0000-0000CD750000}"/>
    <cellStyle name="Normal 57 17 2 2" xfId="20127" xr:uid="{00000000-0005-0000-0000-0000CE750000}"/>
    <cellStyle name="Normal 57 17 2 2 2" xfId="45001" xr:uid="{00000000-0005-0000-0000-0000CF750000}"/>
    <cellStyle name="Normal 57 17 2 3" xfId="32568" xr:uid="{00000000-0005-0000-0000-0000D0750000}"/>
    <cellStyle name="Normal 57 17 3" xfId="13686" xr:uid="{00000000-0005-0000-0000-0000D1750000}"/>
    <cellStyle name="Normal 57 17 3 2" xfId="38560" xr:uid="{00000000-0005-0000-0000-0000D2750000}"/>
    <cellStyle name="Normal 57 17 4" xfId="26119" xr:uid="{00000000-0005-0000-0000-0000D3750000}"/>
    <cellStyle name="Normal 57 18" xfId="11501" xr:uid="{00000000-0005-0000-0000-0000D4750000}"/>
    <cellStyle name="Normal 57 18 2" xfId="23935" xr:uid="{00000000-0005-0000-0000-0000D5750000}"/>
    <cellStyle name="Normal 57 18 2 2" xfId="48809" xr:uid="{00000000-0005-0000-0000-0000D6750000}"/>
    <cellStyle name="Normal 57 18 3" xfId="36376" xr:uid="{00000000-0005-0000-0000-0000D7750000}"/>
    <cellStyle name="Normal 57 19" xfId="6479" xr:uid="{00000000-0005-0000-0000-0000D8750000}"/>
    <cellStyle name="Normal 57 19 2" xfId="18928" xr:uid="{00000000-0005-0000-0000-0000D9750000}"/>
    <cellStyle name="Normal 57 19 2 2" xfId="43802" xr:uid="{00000000-0005-0000-0000-0000DA750000}"/>
    <cellStyle name="Normal 57 19 3" xfId="31369" xr:uid="{00000000-0005-0000-0000-0000DB750000}"/>
    <cellStyle name="Normal 57 2" xfId="71" xr:uid="{00000000-0005-0000-0000-0000DC750000}"/>
    <cellStyle name="Normal 57 20" xfId="2598" xr:uid="{00000000-0005-0000-0000-0000DD750000}"/>
    <cellStyle name="Normal 57 20 2" xfId="15120" xr:uid="{00000000-0005-0000-0000-0000DE750000}"/>
    <cellStyle name="Normal 57 20 2 2" xfId="39994" xr:uid="{00000000-0005-0000-0000-0000DF750000}"/>
    <cellStyle name="Normal 57 20 3" xfId="27553" xr:uid="{00000000-0005-0000-0000-0000E0750000}"/>
    <cellStyle name="Normal 57 21" xfId="12937" xr:uid="{00000000-0005-0000-0000-0000E1750000}"/>
    <cellStyle name="Normal 57 21 2" xfId="37811" xr:uid="{00000000-0005-0000-0000-0000E2750000}"/>
    <cellStyle name="Normal 57 22" xfId="25370" xr:uid="{00000000-0005-0000-0000-0000E3750000}"/>
    <cellStyle name="Normal 57 3" xfId="61" xr:uid="{00000000-0005-0000-0000-0000E4750000}"/>
    <cellStyle name="Normal 57 3 10" xfId="2031" xr:uid="{00000000-0005-0000-0000-0000E5750000}"/>
    <cellStyle name="Normal 57 3 10 2" xfId="6122" xr:uid="{00000000-0005-0000-0000-0000E6750000}"/>
    <cellStyle name="Normal 57 3 10 2 2" xfId="11137" xr:uid="{00000000-0005-0000-0000-0000E7750000}"/>
    <cellStyle name="Normal 57 3 10 2 2 2" xfId="23580" xr:uid="{00000000-0005-0000-0000-0000E8750000}"/>
    <cellStyle name="Normal 57 3 10 2 2 2 2" xfId="48454" xr:uid="{00000000-0005-0000-0000-0000E9750000}"/>
    <cellStyle name="Normal 57 3 10 2 2 3" xfId="36021" xr:uid="{00000000-0005-0000-0000-0000EA750000}"/>
    <cellStyle name="Normal 57 3 10 2 3" xfId="18573" xr:uid="{00000000-0005-0000-0000-0000EB750000}"/>
    <cellStyle name="Normal 57 3 10 2 3 2" xfId="43447" xr:uid="{00000000-0005-0000-0000-0000EC750000}"/>
    <cellStyle name="Normal 57 3 10 2 4" xfId="31014" xr:uid="{00000000-0005-0000-0000-0000ED750000}"/>
    <cellStyle name="Normal 57 3 10 3" xfId="12591" xr:uid="{00000000-0005-0000-0000-0000EE750000}"/>
    <cellStyle name="Normal 57 3 10 3 2" xfId="25025" xr:uid="{00000000-0005-0000-0000-0000EF750000}"/>
    <cellStyle name="Normal 57 3 10 3 2 2" xfId="49899" xr:uid="{00000000-0005-0000-0000-0000F0750000}"/>
    <cellStyle name="Normal 57 3 10 3 3" xfId="37466" xr:uid="{00000000-0005-0000-0000-0000F1750000}"/>
    <cellStyle name="Normal 57 3 10 4" xfId="8898" xr:uid="{00000000-0005-0000-0000-0000F2750000}"/>
    <cellStyle name="Normal 57 3 10 4 2" xfId="21341" xr:uid="{00000000-0005-0000-0000-0000F3750000}"/>
    <cellStyle name="Normal 57 3 10 4 2 2" xfId="46215" xr:uid="{00000000-0005-0000-0000-0000F4750000}"/>
    <cellStyle name="Normal 57 3 10 4 3" xfId="33782" xr:uid="{00000000-0005-0000-0000-0000F5750000}"/>
    <cellStyle name="Normal 57 3 10 5" xfId="3880" xr:uid="{00000000-0005-0000-0000-0000F6750000}"/>
    <cellStyle name="Normal 57 3 10 5 2" xfId="16334" xr:uid="{00000000-0005-0000-0000-0000F7750000}"/>
    <cellStyle name="Normal 57 3 10 5 2 2" xfId="41208" xr:uid="{00000000-0005-0000-0000-0000F8750000}"/>
    <cellStyle name="Normal 57 3 10 5 3" xfId="28775" xr:uid="{00000000-0005-0000-0000-0000F9750000}"/>
    <cellStyle name="Normal 57 3 10 6" xfId="14776" xr:uid="{00000000-0005-0000-0000-0000FA750000}"/>
    <cellStyle name="Normal 57 3 10 6 2" xfId="39650" xr:uid="{00000000-0005-0000-0000-0000FB750000}"/>
    <cellStyle name="Normal 57 3 10 7" xfId="27209" xr:uid="{00000000-0005-0000-0000-0000FC750000}"/>
    <cellStyle name="Normal 57 3 11" xfId="933" xr:uid="{00000000-0005-0000-0000-0000FD750000}"/>
    <cellStyle name="Normal 57 3 11 2" xfId="11548" xr:uid="{00000000-0005-0000-0000-0000FE750000}"/>
    <cellStyle name="Normal 57 3 11 2 2" xfId="23982" xr:uid="{00000000-0005-0000-0000-0000FF750000}"/>
    <cellStyle name="Normal 57 3 11 2 2 2" xfId="48856" xr:uid="{00000000-0005-0000-0000-000000760000}"/>
    <cellStyle name="Normal 57 3 11 2 3" xfId="36423" xr:uid="{00000000-0005-0000-0000-000001760000}"/>
    <cellStyle name="Normal 57 3 11 3" xfId="10091" xr:uid="{00000000-0005-0000-0000-000002760000}"/>
    <cellStyle name="Normal 57 3 11 3 2" xfId="22534" xr:uid="{00000000-0005-0000-0000-000003760000}"/>
    <cellStyle name="Normal 57 3 11 3 2 2" xfId="47408" xr:uid="{00000000-0005-0000-0000-000004760000}"/>
    <cellStyle name="Normal 57 3 11 3 3" xfId="34975" xr:uid="{00000000-0005-0000-0000-000005760000}"/>
    <cellStyle name="Normal 57 3 11 4" xfId="5075" xr:uid="{00000000-0005-0000-0000-000006760000}"/>
    <cellStyle name="Normal 57 3 11 4 2" xfId="17527" xr:uid="{00000000-0005-0000-0000-000007760000}"/>
    <cellStyle name="Normal 57 3 11 4 2 2" xfId="42401" xr:uid="{00000000-0005-0000-0000-000008760000}"/>
    <cellStyle name="Normal 57 3 11 4 3" xfId="29968" xr:uid="{00000000-0005-0000-0000-000009760000}"/>
    <cellStyle name="Normal 57 3 11 5" xfId="13733" xr:uid="{00000000-0005-0000-0000-00000A760000}"/>
    <cellStyle name="Normal 57 3 11 5 2" xfId="38607" xr:uid="{00000000-0005-0000-0000-00000B760000}"/>
    <cellStyle name="Normal 57 3 11 6" xfId="26166" xr:uid="{00000000-0005-0000-0000-00000C760000}"/>
    <cellStyle name="Normal 57 3 12" xfId="893" xr:uid="{00000000-0005-0000-0000-00000D760000}"/>
    <cellStyle name="Normal 57 3 12 2" xfId="7687" xr:uid="{00000000-0005-0000-0000-00000E760000}"/>
    <cellStyle name="Normal 57 3 12 2 2" xfId="20133" xr:uid="{00000000-0005-0000-0000-00000F760000}"/>
    <cellStyle name="Normal 57 3 12 2 2 2" xfId="45007" xr:uid="{00000000-0005-0000-0000-000010760000}"/>
    <cellStyle name="Normal 57 3 12 2 3" xfId="32574" xr:uid="{00000000-0005-0000-0000-000011760000}"/>
    <cellStyle name="Normal 57 3 12 3" xfId="13693" xr:uid="{00000000-0005-0000-0000-000012760000}"/>
    <cellStyle name="Normal 57 3 12 3 2" xfId="38567" xr:uid="{00000000-0005-0000-0000-000013760000}"/>
    <cellStyle name="Normal 57 3 12 4" xfId="26126" xr:uid="{00000000-0005-0000-0000-000014760000}"/>
    <cellStyle name="Normal 57 3 13" xfId="11508" xr:uid="{00000000-0005-0000-0000-000015760000}"/>
    <cellStyle name="Normal 57 3 13 2" xfId="23942" xr:uid="{00000000-0005-0000-0000-000016760000}"/>
    <cellStyle name="Normal 57 3 13 2 2" xfId="48816" xr:uid="{00000000-0005-0000-0000-000017760000}"/>
    <cellStyle name="Normal 57 3 13 3" xfId="36383" xr:uid="{00000000-0005-0000-0000-000018760000}"/>
    <cellStyle name="Normal 57 3 14" xfId="6492" xr:uid="{00000000-0005-0000-0000-000019760000}"/>
    <cellStyle name="Normal 57 3 14 2" xfId="18941" xr:uid="{00000000-0005-0000-0000-00001A760000}"/>
    <cellStyle name="Normal 57 3 14 2 2" xfId="43815" xr:uid="{00000000-0005-0000-0000-00001B760000}"/>
    <cellStyle name="Normal 57 3 14 3" xfId="31382" xr:uid="{00000000-0005-0000-0000-00001C760000}"/>
    <cellStyle name="Normal 57 3 15" xfId="2606" xr:uid="{00000000-0005-0000-0000-00001D760000}"/>
    <cellStyle name="Normal 57 3 15 2" xfId="15126" xr:uid="{00000000-0005-0000-0000-00001E760000}"/>
    <cellStyle name="Normal 57 3 15 2 2" xfId="40000" xr:uid="{00000000-0005-0000-0000-00001F760000}"/>
    <cellStyle name="Normal 57 3 15 3" xfId="27559" xr:uid="{00000000-0005-0000-0000-000020760000}"/>
    <cellStyle name="Normal 57 3 16" xfId="12941" xr:uid="{00000000-0005-0000-0000-000021760000}"/>
    <cellStyle name="Normal 57 3 16 2" xfId="37815" xr:uid="{00000000-0005-0000-0000-000022760000}"/>
    <cellStyle name="Normal 57 3 17" xfId="25374" xr:uid="{00000000-0005-0000-0000-000023760000}"/>
    <cellStyle name="Normal 57 3 2" xfId="117" xr:uid="{00000000-0005-0000-0000-000024760000}"/>
    <cellStyle name="Normal 57 3 2 10" xfId="915" xr:uid="{00000000-0005-0000-0000-000025760000}"/>
    <cellStyle name="Normal 57 3 2 10 2" xfId="7712" xr:uid="{00000000-0005-0000-0000-000026760000}"/>
    <cellStyle name="Normal 57 3 2 10 2 2" xfId="20158" xr:uid="{00000000-0005-0000-0000-000027760000}"/>
    <cellStyle name="Normal 57 3 2 10 2 2 2" xfId="45032" xr:uid="{00000000-0005-0000-0000-000028760000}"/>
    <cellStyle name="Normal 57 3 2 10 2 3" xfId="32599" xr:uid="{00000000-0005-0000-0000-000029760000}"/>
    <cellStyle name="Normal 57 3 2 10 3" xfId="13715" xr:uid="{00000000-0005-0000-0000-00002A760000}"/>
    <cellStyle name="Normal 57 3 2 10 3 2" xfId="38589" xr:uid="{00000000-0005-0000-0000-00002B760000}"/>
    <cellStyle name="Normal 57 3 2 10 4" xfId="26148" xr:uid="{00000000-0005-0000-0000-00002C760000}"/>
    <cellStyle name="Normal 57 3 2 11" xfId="11530" xr:uid="{00000000-0005-0000-0000-00002D760000}"/>
    <cellStyle name="Normal 57 3 2 11 2" xfId="23964" xr:uid="{00000000-0005-0000-0000-00002E760000}"/>
    <cellStyle name="Normal 57 3 2 11 2 2" xfId="48838" xr:uid="{00000000-0005-0000-0000-00002F760000}"/>
    <cellStyle name="Normal 57 3 2 11 3" xfId="36405" xr:uid="{00000000-0005-0000-0000-000030760000}"/>
    <cellStyle name="Normal 57 3 2 12" xfId="6522" xr:uid="{00000000-0005-0000-0000-000031760000}"/>
    <cellStyle name="Normal 57 3 2 12 2" xfId="18971" xr:uid="{00000000-0005-0000-0000-000032760000}"/>
    <cellStyle name="Normal 57 3 2 12 2 2" xfId="43845" xr:uid="{00000000-0005-0000-0000-000033760000}"/>
    <cellStyle name="Normal 57 3 2 12 3" xfId="31412" xr:uid="{00000000-0005-0000-0000-000034760000}"/>
    <cellStyle name="Normal 57 3 2 13" xfId="2633" xr:uid="{00000000-0005-0000-0000-000035760000}"/>
    <cellStyle name="Normal 57 3 2 13 2" xfId="15151" xr:uid="{00000000-0005-0000-0000-000036760000}"/>
    <cellStyle name="Normal 57 3 2 13 2 2" xfId="40025" xr:uid="{00000000-0005-0000-0000-000037760000}"/>
    <cellStyle name="Normal 57 3 2 13 3" xfId="27584" xr:uid="{00000000-0005-0000-0000-000038760000}"/>
    <cellStyle name="Normal 57 3 2 14" xfId="12953" xr:uid="{00000000-0005-0000-0000-000039760000}"/>
    <cellStyle name="Normal 57 3 2 14 2" xfId="37827" xr:uid="{00000000-0005-0000-0000-00003A760000}"/>
    <cellStyle name="Normal 57 3 2 15" xfId="25386" xr:uid="{00000000-0005-0000-0000-00003B760000}"/>
    <cellStyle name="Normal 57 3 2 2" xfId="147" xr:uid="{00000000-0005-0000-0000-00003C760000}"/>
    <cellStyle name="Normal 57 3 2 2 10" xfId="6565" xr:uid="{00000000-0005-0000-0000-00003D760000}"/>
    <cellStyle name="Normal 57 3 2 2 10 2" xfId="19014" xr:uid="{00000000-0005-0000-0000-00003E760000}"/>
    <cellStyle name="Normal 57 3 2 2 10 2 2" xfId="43888" xr:uid="{00000000-0005-0000-0000-00003F760000}"/>
    <cellStyle name="Normal 57 3 2 2 10 3" xfId="31455" xr:uid="{00000000-0005-0000-0000-000040760000}"/>
    <cellStyle name="Normal 57 3 2 2 11" xfId="2733" xr:uid="{00000000-0005-0000-0000-000041760000}"/>
    <cellStyle name="Normal 57 3 2 2 11 2" xfId="15251" xr:uid="{00000000-0005-0000-0000-000042760000}"/>
    <cellStyle name="Normal 57 3 2 2 11 2 2" xfId="40125" xr:uid="{00000000-0005-0000-0000-000043760000}"/>
    <cellStyle name="Normal 57 3 2 2 11 3" xfId="27684" xr:uid="{00000000-0005-0000-0000-000044760000}"/>
    <cellStyle name="Normal 57 3 2 2 12" xfId="12977" xr:uid="{00000000-0005-0000-0000-000045760000}"/>
    <cellStyle name="Normal 57 3 2 2 12 2" xfId="37851" xr:uid="{00000000-0005-0000-0000-000046760000}"/>
    <cellStyle name="Normal 57 3 2 2 13" xfId="25410" xr:uid="{00000000-0005-0000-0000-000047760000}"/>
    <cellStyle name="Normal 57 3 2 2 2" xfId="438" xr:uid="{00000000-0005-0000-0000-000048760000}"/>
    <cellStyle name="Normal 57 3 2 2 2 10" xfId="13252" xr:uid="{00000000-0005-0000-0000-000049760000}"/>
    <cellStyle name="Normal 57 3 2 2 2 10 2" xfId="38126" xr:uid="{00000000-0005-0000-0000-00004A760000}"/>
    <cellStyle name="Normal 57 3 2 2 2 11" xfId="25685" xr:uid="{00000000-0005-0000-0000-00004B760000}"/>
    <cellStyle name="Normal 57 3 2 2 2 2" xfId="798" xr:uid="{00000000-0005-0000-0000-00004C760000}"/>
    <cellStyle name="Normal 57 3 2 2 2 2 2" xfId="1490" xr:uid="{00000000-0005-0000-0000-00004D760000}"/>
    <cellStyle name="Normal 57 3 2 2 2 2 2 2" xfId="9594" xr:uid="{00000000-0005-0000-0000-00004E760000}"/>
    <cellStyle name="Normal 57 3 2 2 2 2 2 2 2" xfId="22037" xr:uid="{00000000-0005-0000-0000-00004F760000}"/>
    <cellStyle name="Normal 57 3 2 2 2 2 2 2 2 2" xfId="46911" xr:uid="{00000000-0005-0000-0000-000050760000}"/>
    <cellStyle name="Normal 57 3 2 2 2 2 2 2 3" xfId="34478" xr:uid="{00000000-0005-0000-0000-000051760000}"/>
    <cellStyle name="Normal 57 3 2 2 2 2 2 3" xfId="4576" xr:uid="{00000000-0005-0000-0000-000052760000}"/>
    <cellStyle name="Normal 57 3 2 2 2 2 2 3 2" xfId="17030" xr:uid="{00000000-0005-0000-0000-000053760000}"/>
    <cellStyle name="Normal 57 3 2 2 2 2 2 3 2 2" xfId="41904" xr:uid="{00000000-0005-0000-0000-000054760000}"/>
    <cellStyle name="Normal 57 3 2 2 2 2 2 3 3" xfId="29471" xr:uid="{00000000-0005-0000-0000-000055760000}"/>
    <cellStyle name="Normal 57 3 2 2 2 2 2 4" xfId="14290" xr:uid="{00000000-0005-0000-0000-000056760000}"/>
    <cellStyle name="Normal 57 3 2 2 2 2 2 4 2" xfId="39164" xr:uid="{00000000-0005-0000-0000-000057760000}"/>
    <cellStyle name="Normal 57 3 2 2 2 2 2 5" xfId="26723" xr:uid="{00000000-0005-0000-0000-000058760000}"/>
    <cellStyle name="Normal 57 3 2 2 2 2 3" xfId="5635" xr:uid="{00000000-0005-0000-0000-000059760000}"/>
    <cellStyle name="Normal 57 3 2 2 2 2 3 2" xfId="10651" xr:uid="{00000000-0005-0000-0000-00005A760000}"/>
    <cellStyle name="Normal 57 3 2 2 2 2 3 2 2" xfId="23094" xr:uid="{00000000-0005-0000-0000-00005B760000}"/>
    <cellStyle name="Normal 57 3 2 2 2 2 3 2 2 2" xfId="47968" xr:uid="{00000000-0005-0000-0000-00005C760000}"/>
    <cellStyle name="Normal 57 3 2 2 2 2 3 2 3" xfId="35535" xr:uid="{00000000-0005-0000-0000-00005D760000}"/>
    <cellStyle name="Normal 57 3 2 2 2 2 3 3" xfId="18087" xr:uid="{00000000-0005-0000-0000-00005E760000}"/>
    <cellStyle name="Normal 57 3 2 2 2 2 3 3 2" xfId="42961" xr:uid="{00000000-0005-0000-0000-00005F760000}"/>
    <cellStyle name="Normal 57 3 2 2 2 2 3 4" xfId="30528" xr:uid="{00000000-0005-0000-0000-000060760000}"/>
    <cellStyle name="Normal 57 3 2 2 2 2 4" xfId="8710" xr:uid="{00000000-0005-0000-0000-000061760000}"/>
    <cellStyle name="Normal 57 3 2 2 2 2 4 2" xfId="21154" xr:uid="{00000000-0005-0000-0000-000062760000}"/>
    <cellStyle name="Normal 57 3 2 2 2 2 4 2 2" xfId="46028" xr:uid="{00000000-0005-0000-0000-000063760000}"/>
    <cellStyle name="Normal 57 3 2 2 2 2 4 3" xfId="33595" xr:uid="{00000000-0005-0000-0000-000064760000}"/>
    <cellStyle name="Normal 57 3 2 2 2 2 5" xfId="12105" xr:uid="{00000000-0005-0000-0000-000065760000}"/>
    <cellStyle name="Normal 57 3 2 2 2 2 5 2" xfId="24539" xr:uid="{00000000-0005-0000-0000-000066760000}"/>
    <cellStyle name="Normal 57 3 2 2 2 2 5 2 2" xfId="49413" xr:uid="{00000000-0005-0000-0000-000067760000}"/>
    <cellStyle name="Normal 57 3 2 2 2 2 5 3" xfId="36980" xr:uid="{00000000-0005-0000-0000-000068760000}"/>
    <cellStyle name="Normal 57 3 2 2 2 2 6" xfId="7187" xr:uid="{00000000-0005-0000-0000-000069760000}"/>
    <cellStyle name="Normal 57 3 2 2 2 2 6 2" xfId="19636" xr:uid="{00000000-0005-0000-0000-00006A760000}"/>
    <cellStyle name="Normal 57 3 2 2 2 2 6 2 2" xfId="44510" xr:uid="{00000000-0005-0000-0000-00006B760000}"/>
    <cellStyle name="Normal 57 3 2 2 2 2 6 3" xfId="32077" xr:uid="{00000000-0005-0000-0000-00006C760000}"/>
    <cellStyle name="Normal 57 3 2 2 2 2 7" xfId="3641" xr:uid="{00000000-0005-0000-0000-00006D760000}"/>
    <cellStyle name="Normal 57 3 2 2 2 2 7 2" xfId="16147" xr:uid="{00000000-0005-0000-0000-00006E760000}"/>
    <cellStyle name="Normal 57 3 2 2 2 2 7 2 2" xfId="41021" xr:uid="{00000000-0005-0000-0000-00006F760000}"/>
    <cellStyle name="Normal 57 3 2 2 2 2 7 3" xfId="28580" xr:uid="{00000000-0005-0000-0000-000070760000}"/>
    <cellStyle name="Normal 57 3 2 2 2 2 8" xfId="13599" xr:uid="{00000000-0005-0000-0000-000071760000}"/>
    <cellStyle name="Normal 57 3 2 2 2 2 8 2" xfId="38473" xr:uid="{00000000-0005-0000-0000-000072760000}"/>
    <cellStyle name="Normal 57 3 2 2 2 2 9" xfId="26032" xr:uid="{00000000-0005-0000-0000-000073760000}"/>
    <cellStyle name="Normal 57 3 2 2 2 3" xfId="1838" xr:uid="{00000000-0005-0000-0000-000074760000}"/>
    <cellStyle name="Normal 57 3 2 2 2 3 2" xfId="4981" xr:uid="{00000000-0005-0000-0000-000075760000}"/>
    <cellStyle name="Normal 57 3 2 2 2 3 2 2" xfId="9998" xr:uid="{00000000-0005-0000-0000-000076760000}"/>
    <cellStyle name="Normal 57 3 2 2 2 3 2 2 2" xfId="22441" xr:uid="{00000000-0005-0000-0000-000077760000}"/>
    <cellStyle name="Normal 57 3 2 2 2 3 2 2 2 2" xfId="47315" xr:uid="{00000000-0005-0000-0000-000078760000}"/>
    <cellStyle name="Normal 57 3 2 2 2 3 2 2 3" xfId="34882" xr:uid="{00000000-0005-0000-0000-000079760000}"/>
    <cellStyle name="Normal 57 3 2 2 2 3 2 3" xfId="17434" xr:uid="{00000000-0005-0000-0000-00007A760000}"/>
    <cellStyle name="Normal 57 3 2 2 2 3 2 3 2" xfId="42308" xr:uid="{00000000-0005-0000-0000-00007B760000}"/>
    <cellStyle name="Normal 57 3 2 2 2 3 2 4" xfId="29875" xr:uid="{00000000-0005-0000-0000-00007C760000}"/>
    <cellStyle name="Normal 57 3 2 2 2 3 3" xfId="5984" xr:uid="{00000000-0005-0000-0000-00007D760000}"/>
    <cellStyle name="Normal 57 3 2 2 2 3 3 2" xfId="10999" xr:uid="{00000000-0005-0000-0000-00007E760000}"/>
    <cellStyle name="Normal 57 3 2 2 2 3 3 2 2" xfId="23442" xr:uid="{00000000-0005-0000-0000-00007F760000}"/>
    <cellStyle name="Normal 57 3 2 2 2 3 3 2 2 2" xfId="48316" xr:uid="{00000000-0005-0000-0000-000080760000}"/>
    <cellStyle name="Normal 57 3 2 2 2 3 3 2 3" xfId="35883" xr:uid="{00000000-0005-0000-0000-000081760000}"/>
    <cellStyle name="Normal 57 3 2 2 2 3 3 3" xfId="18435" xr:uid="{00000000-0005-0000-0000-000082760000}"/>
    <cellStyle name="Normal 57 3 2 2 2 3 3 3 2" xfId="43309" xr:uid="{00000000-0005-0000-0000-000083760000}"/>
    <cellStyle name="Normal 57 3 2 2 2 3 3 4" xfId="30876" xr:uid="{00000000-0005-0000-0000-000084760000}"/>
    <cellStyle name="Normal 57 3 2 2 2 3 4" xfId="8405" xr:uid="{00000000-0005-0000-0000-000085760000}"/>
    <cellStyle name="Normal 57 3 2 2 2 3 4 2" xfId="20849" xr:uid="{00000000-0005-0000-0000-000086760000}"/>
    <cellStyle name="Normal 57 3 2 2 2 3 4 2 2" xfId="45723" xr:uid="{00000000-0005-0000-0000-000087760000}"/>
    <cellStyle name="Normal 57 3 2 2 2 3 4 3" xfId="33290" xr:uid="{00000000-0005-0000-0000-000088760000}"/>
    <cellStyle name="Normal 57 3 2 2 2 3 5" xfId="12453" xr:uid="{00000000-0005-0000-0000-000089760000}"/>
    <cellStyle name="Normal 57 3 2 2 2 3 5 2" xfId="24887" xr:uid="{00000000-0005-0000-0000-00008A760000}"/>
    <cellStyle name="Normal 57 3 2 2 2 3 5 2 2" xfId="49761" xr:uid="{00000000-0005-0000-0000-00008B760000}"/>
    <cellStyle name="Normal 57 3 2 2 2 3 5 3" xfId="37328" xr:uid="{00000000-0005-0000-0000-00008C760000}"/>
    <cellStyle name="Normal 57 3 2 2 2 3 6" xfId="7592" xr:uid="{00000000-0005-0000-0000-00008D760000}"/>
    <cellStyle name="Normal 57 3 2 2 2 3 6 2" xfId="20040" xr:uid="{00000000-0005-0000-0000-00008E760000}"/>
    <cellStyle name="Normal 57 3 2 2 2 3 6 2 2" xfId="44914" xr:uid="{00000000-0005-0000-0000-00008F760000}"/>
    <cellStyle name="Normal 57 3 2 2 2 3 6 3" xfId="32481" xr:uid="{00000000-0005-0000-0000-000090760000}"/>
    <cellStyle name="Normal 57 3 2 2 2 3 7" xfId="3336" xr:uid="{00000000-0005-0000-0000-000091760000}"/>
    <cellStyle name="Normal 57 3 2 2 2 3 7 2" xfId="15842" xr:uid="{00000000-0005-0000-0000-000092760000}"/>
    <cellStyle name="Normal 57 3 2 2 2 3 7 2 2" xfId="40716" xr:uid="{00000000-0005-0000-0000-000093760000}"/>
    <cellStyle name="Normal 57 3 2 2 2 3 7 3" xfId="28275" xr:uid="{00000000-0005-0000-0000-000094760000}"/>
    <cellStyle name="Normal 57 3 2 2 2 3 8" xfId="14638" xr:uid="{00000000-0005-0000-0000-000095760000}"/>
    <cellStyle name="Normal 57 3 2 2 2 3 8 2" xfId="39512" xr:uid="{00000000-0005-0000-0000-000096760000}"/>
    <cellStyle name="Normal 57 3 2 2 2 3 9" xfId="27071" xr:uid="{00000000-0005-0000-0000-000097760000}"/>
    <cellStyle name="Normal 57 3 2 2 2 4" xfId="2356" xr:uid="{00000000-0005-0000-0000-000098760000}"/>
    <cellStyle name="Normal 57 3 2 2 2 4 2" xfId="6379" xr:uid="{00000000-0005-0000-0000-000099760000}"/>
    <cellStyle name="Normal 57 3 2 2 2 4 2 2" xfId="11394" xr:uid="{00000000-0005-0000-0000-00009A760000}"/>
    <cellStyle name="Normal 57 3 2 2 2 4 2 2 2" xfId="23837" xr:uid="{00000000-0005-0000-0000-00009B760000}"/>
    <cellStyle name="Normal 57 3 2 2 2 4 2 2 2 2" xfId="48711" xr:uid="{00000000-0005-0000-0000-00009C760000}"/>
    <cellStyle name="Normal 57 3 2 2 2 4 2 2 3" xfId="36278" xr:uid="{00000000-0005-0000-0000-00009D760000}"/>
    <cellStyle name="Normal 57 3 2 2 2 4 2 3" xfId="18830" xr:uid="{00000000-0005-0000-0000-00009E760000}"/>
    <cellStyle name="Normal 57 3 2 2 2 4 2 3 2" xfId="43704" xr:uid="{00000000-0005-0000-0000-00009F760000}"/>
    <cellStyle name="Normal 57 3 2 2 2 4 2 4" xfId="31271" xr:uid="{00000000-0005-0000-0000-0000A0760000}"/>
    <cellStyle name="Normal 57 3 2 2 2 4 3" xfId="12848" xr:uid="{00000000-0005-0000-0000-0000A1760000}"/>
    <cellStyle name="Normal 57 3 2 2 2 4 3 2" xfId="25282" xr:uid="{00000000-0005-0000-0000-0000A2760000}"/>
    <cellStyle name="Normal 57 3 2 2 2 4 3 2 2" xfId="50156" xr:uid="{00000000-0005-0000-0000-0000A3760000}"/>
    <cellStyle name="Normal 57 3 2 2 2 4 3 3" xfId="37723" xr:uid="{00000000-0005-0000-0000-0000A4760000}"/>
    <cellStyle name="Normal 57 3 2 2 2 4 4" xfId="9289" xr:uid="{00000000-0005-0000-0000-0000A5760000}"/>
    <cellStyle name="Normal 57 3 2 2 2 4 4 2" xfId="21732" xr:uid="{00000000-0005-0000-0000-0000A6760000}"/>
    <cellStyle name="Normal 57 3 2 2 2 4 4 2 2" xfId="46606" xr:uid="{00000000-0005-0000-0000-0000A7760000}"/>
    <cellStyle name="Normal 57 3 2 2 2 4 4 3" xfId="34173" xr:uid="{00000000-0005-0000-0000-0000A8760000}"/>
    <cellStyle name="Normal 57 3 2 2 2 4 5" xfId="4271" xr:uid="{00000000-0005-0000-0000-0000A9760000}"/>
    <cellStyle name="Normal 57 3 2 2 2 4 5 2" xfId="16725" xr:uid="{00000000-0005-0000-0000-0000AA760000}"/>
    <cellStyle name="Normal 57 3 2 2 2 4 5 2 2" xfId="41599" xr:uid="{00000000-0005-0000-0000-0000AB760000}"/>
    <cellStyle name="Normal 57 3 2 2 2 4 5 3" xfId="29166" xr:uid="{00000000-0005-0000-0000-0000AC760000}"/>
    <cellStyle name="Normal 57 3 2 2 2 4 6" xfId="15033" xr:uid="{00000000-0005-0000-0000-0000AD760000}"/>
    <cellStyle name="Normal 57 3 2 2 2 4 6 2" xfId="39907" xr:uid="{00000000-0005-0000-0000-0000AE760000}"/>
    <cellStyle name="Normal 57 3 2 2 2 4 7" xfId="27466" xr:uid="{00000000-0005-0000-0000-0000AF760000}"/>
    <cellStyle name="Normal 57 3 2 2 2 5" xfId="1190" xr:uid="{00000000-0005-0000-0000-0000B0760000}"/>
    <cellStyle name="Normal 57 3 2 2 2 5 2" xfId="10351" xr:uid="{00000000-0005-0000-0000-0000B1760000}"/>
    <cellStyle name="Normal 57 3 2 2 2 5 2 2" xfId="22794" xr:uid="{00000000-0005-0000-0000-0000B2760000}"/>
    <cellStyle name="Normal 57 3 2 2 2 5 2 2 2" xfId="47668" xr:uid="{00000000-0005-0000-0000-0000B3760000}"/>
    <cellStyle name="Normal 57 3 2 2 2 5 2 3" xfId="35235" xr:uid="{00000000-0005-0000-0000-0000B4760000}"/>
    <cellStyle name="Normal 57 3 2 2 2 5 3" xfId="5335" xr:uid="{00000000-0005-0000-0000-0000B5760000}"/>
    <cellStyle name="Normal 57 3 2 2 2 5 3 2" xfId="17787" xr:uid="{00000000-0005-0000-0000-0000B6760000}"/>
    <cellStyle name="Normal 57 3 2 2 2 5 3 2 2" xfId="42661" xr:uid="{00000000-0005-0000-0000-0000B7760000}"/>
    <cellStyle name="Normal 57 3 2 2 2 5 3 3" xfId="30228" xr:uid="{00000000-0005-0000-0000-0000B8760000}"/>
    <cellStyle name="Normal 57 3 2 2 2 5 4" xfId="13990" xr:uid="{00000000-0005-0000-0000-0000B9760000}"/>
    <cellStyle name="Normal 57 3 2 2 2 5 4 2" xfId="38864" xr:uid="{00000000-0005-0000-0000-0000BA760000}"/>
    <cellStyle name="Normal 57 3 2 2 2 5 5" xfId="26423" xr:uid="{00000000-0005-0000-0000-0000BB760000}"/>
    <cellStyle name="Normal 57 3 2 2 2 6" xfId="7912" xr:uid="{00000000-0005-0000-0000-0000BC760000}"/>
    <cellStyle name="Normal 57 3 2 2 2 6 2" xfId="20358" xr:uid="{00000000-0005-0000-0000-0000BD760000}"/>
    <cellStyle name="Normal 57 3 2 2 2 6 2 2" xfId="45232" xr:uid="{00000000-0005-0000-0000-0000BE760000}"/>
    <cellStyle name="Normal 57 3 2 2 2 6 3" xfId="32799" xr:uid="{00000000-0005-0000-0000-0000BF760000}"/>
    <cellStyle name="Normal 57 3 2 2 2 7" xfId="11805" xr:uid="{00000000-0005-0000-0000-0000C0760000}"/>
    <cellStyle name="Normal 57 3 2 2 2 7 2" xfId="24239" xr:uid="{00000000-0005-0000-0000-0000C1760000}"/>
    <cellStyle name="Normal 57 3 2 2 2 7 2 2" xfId="49113" xr:uid="{00000000-0005-0000-0000-0000C2760000}"/>
    <cellStyle name="Normal 57 3 2 2 2 7 3" xfId="36680" xr:uid="{00000000-0005-0000-0000-0000C3760000}"/>
    <cellStyle name="Normal 57 3 2 2 2 8" xfId="6882" xr:uid="{00000000-0005-0000-0000-0000C4760000}"/>
    <cellStyle name="Normal 57 3 2 2 2 8 2" xfId="19331" xr:uid="{00000000-0005-0000-0000-0000C5760000}"/>
    <cellStyle name="Normal 57 3 2 2 2 8 2 2" xfId="44205" xr:uid="{00000000-0005-0000-0000-0000C6760000}"/>
    <cellStyle name="Normal 57 3 2 2 2 8 3" xfId="31772" xr:uid="{00000000-0005-0000-0000-0000C7760000}"/>
    <cellStyle name="Normal 57 3 2 2 2 9" xfId="2833" xr:uid="{00000000-0005-0000-0000-0000C8760000}"/>
    <cellStyle name="Normal 57 3 2 2 2 9 2" xfId="15351" xr:uid="{00000000-0005-0000-0000-0000C9760000}"/>
    <cellStyle name="Normal 57 3 2 2 2 9 2 2" xfId="40225" xr:uid="{00000000-0005-0000-0000-0000CA760000}"/>
    <cellStyle name="Normal 57 3 2 2 2 9 3" xfId="27784" xr:uid="{00000000-0005-0000-0000-0000CB760000}"/>
    <cellStyle name="Normal 57 3 2 2 2_Degree data" xfId="2455" xr:uid="{00000000-0005-0000-0000-0000CC760000}"/>
    <cellStyle name="Normal 57 3 2 2 3" xfId="336" xr:uid="{00000000-0005-0000-0000-0000CD760000}"/>
    <cellStyle name="Normal 57 3 2 2 3 2" xfId="1489" xr:uid="{00000000-0005-0000-0000-0000CE760000}"/>
    <cellStyle name="Normal 57 3 2 2 3 2 2" xfId="9189" xr:uid="{00000000-0005-0000-0000-0000CF760000}"/>
    <cellStyle name="Normal 57 3 2 2 3 2 2 2" xfId="21632" xr:uid="{00000000-0005-0000-0000-0000D0760000}"/>
    <cellStyle name="Normal 57 3 2 2 3 2 2 2 2" xfId="46506" xr:uid="{00000000-0005-0000-0000-0000D1760000}"/>
    <cellStyle name="Normal 57 3 2 2 3 2 2 3" xfId="34073" xr:uid="{00000000-0005-0000-0000-0000D2760000}"/>
    <cellStyle name="Normal 57 3 2 2 3 2 3" xfId="4171" xr:uid="{00000000-0005-0000-0000-0000D3760000}"/>
    <cellStyle name="Normal 57 3 2 2 3 2 3 2" xfId="16625" xr:uid="{00000000-0005-0000-0000-0000D4760000}"/>
    <cellStyle name="Normal 57 3 2 2 3 2 3 2 2" xfId="41499" xr:uid="{00000000-0005-0000-0000-0000D5760000}"/>
    <cellStyle name="Normal 57 3 2 2 3 2 3 3" xfId="29066" xr:uid="{00000000-0005-0000-0000-0000D6760000}"/>
    <cellStyle name="Normal 57 3 2 2 3 2 4" xfId="14289" xr:uid="{00000000-0005-0000-0000-0000D7760000}"/>
    <cellStyle name="Normal 57 3 2 2 3 2 4 2" xfId="39163" xr:uid="{00000000-0005-0000-0000-0000D8760000}"/>
    <cellStyle name="Normal 57 3 2 2 3 2 5" xfId="26722" xr:uid="{00000000-0005-0000-0000-0000D9760000}"/>
    <cellStyle name="Normal 57 3 2 2 3 3" xfId="5634" xr:uid="{00000000-0005-0000-0000-0000DA760000}"/>
    <cellStyle name="Normal 57 3 2 2 3 3 2" xfId="10650" xr:uid="{00000000-0005-0000-0000-0000DB760000}"/>
    <cellStyle name="Normal 57 3 2 2 3 3 2 2" xfId="23093" xr:uid="{00000000-0005-0000-0000-0000DC760000}"/>
    <cellStyle name="Normal 57 3 2 2 3 3 2 2 2" xfId="47967" xr:uid="{00000000-0005-0000-0000-0000DD760000}"/>
    <cellStyle name="Normal 57 3 2 2 3 3 2 3" xfId="35534" xr:uid="{00000000-0005-0000-0000-0000DE760000}"/>
    <cellStyle name="Normal 57 3 2 2 3 3 3" xfId="18086" xr:uid="{00000000-0005-0000-0000-0000DF760000}"/>
    <cellStyle name="Normal 57 3 2 2 3 3 3 2" xfId="42960" xr:uid="{00000000-0005-0000-0000-0000E0760000}"/>
    <cellStyle name="Normal 57 3 2 2 3 3 4" xfId="30527" xr:uid="{00000000-0005-0000-0000-0000E1760000}"/>
    <cellStyle name="Normal 57 3 2 2 3 4" xfId="8305" xr:uid="{00000000-0005-0000-0000-0000E2760000}"/>
    <cellStyle name="Normal 57 3 2 2 3 4 2" xfId="20749" xr:uid="{00000000-0005-0000-0000-0000E3760000}"/>
    <cellStyle name="Normal 57 3 2 2 3 4 2 2" xfId="45623" xr:uid="{00000000-0005-0000-0000-0000E4760000}"/>
    <cellStyle name="Normal 57 3 2 2 3 4 3" xfId="33190" xr:uid="{00000000-0005-0000-0000-0000E5760000}"/>
    <cellStyle name="Normal 57 3 2 2 3 5" xfId="12104" xr:uid="{00000000-0005-0000-0000-0000E6760000}"/>
    <cellStyle name="Normal 57 3 2 2 3 5 2" xfId="24538" xr:uid="{00000000-0005-0000-0000-0000E7760000}"/>
    <cellStyle name="Normal 57 3 2 2 3 5 2 2" xfId="49412" xr:uid="{00000000-0005-0000-0000-0000E8760000}"/>
    <cellStyle name="Normal 57 3 2 2 3 5 3" xfId="36979" xr:uid="{00000000-0005-0000-0000-0000E9760000}"/>
    <cellStyle name="Normal 57 3 2 2 3 6" xfId="6782" xr:uid="{00000000-0005-0000-0000-0000EA760000}"/>
    <cellStyle name="Normal 57 3 2 2 3 6 2" xfId="19231" xr:uid="{00000000-0005-0000-0000-0000EB760000}"/>
    <cellStyle name="Normal 57 3 2 2 3 6 2 2" xfId="44105" xr:uid="{00000000-0005-0000-0000-0000EC760000}"/>
    <cellStyle name="Normal 57 3 2 2 3 6 3" xfId="31672" xr:uid="{00000000-0005-0000-0000-0000ED760000}"/>
    <cellStyle name="Normal 57 3 2 2 3 7" xfId="3236" xr:uid="{00000000-0005-0000-0000-0000EE760000}"/>
    <cellStyle name="Normal 57 3 2 2 3 7 2" xfId="15742" xr:uid="{00000000-0005-0000-0000-0000EF760000}"/>
    <cellStyle name="Normal 57 3 2 2 3 7 2 2" xfId="40616" xr:uid="{00000000-0005-0000-0000-0000F0760000}"/>
    <cellStyle name="Normal 57 3 2 2 3 7 3" xfId="28175" xr:uid="{00000000-0005-0000-0000-0000F1760000}"/>
    <cellStyle name="Normal 57 3 2 2 3 8" xfId="13152" xr:uid="{00000000-0005-0000-0000-0000F2760000}"/>
    <cellStyle name="Normal 57 3 2 2 3 8 2" xfId="38026" xr:uid="{00000000-0005-0000-0000-0000F3760000}"/>
    <cellStyle name="Normal 57 3 2 2 3 9" xfId="25585" xr:uid="{00000000-0005-0000-0000-0000F4760000}"/>
    <cellStyle name="Normal 57 3 2 2 4" xfId="696" xr:uid="{00000000-0005-0000-0000-0000F5760000}"/>
    <cellStyle name="Normal 57 3 2 2 4 2" xfId="1837" xr:uid="{00000000-0005-0000-0000-0000F6760000}"/>
    <cellStyle name="Normal 57 3 2 2 4 2 2" xfId="9593" xr:uid="{00000000-0005-0000-0000-0000F7760000}"/>
    <cellStyle name="Normal 57 3 2 2 4 2 2 2" xfId="22036" xr:uid="{00000000-0005-0000-0000-0000F8760000}"/>
    <cellStyle name="Normal 57 3 2 2 4 2 2 2 2" xfId="46910" xr:uid="{00000000-0005-0000-0000-0000F9760000}"/>
    <cellStyle name="Normal 57 3 2 2 4 2 2 3" xfId="34477" xr:uid="{00000000-0005-0000-0000-0000FA760000}"/>
    <cellStyle name="Normal 57 3 2 2 4 2 3" xfId="4575" xr:uid="{00000000-0005-0000-0000-0000FB760000}"/>
    <cellStyle name="Normal 57 3 2 2 4 2 3 2" xfId="17029" xr:uid="{00000000-0005-0000-0000-0000FC760000}"/>
    <cellStyle name="Normal 57 3 2 2 4 2 3 2 2" xfId="41903" xr:uid="{00000000-0005-0000-0000-0000FD760000}"/>
    <cellStyle name="Normal 57 3 2 2 4 2 3 3" xfId="29470" xr:uid="{00000000-0005-0000-0000-0000FE760000}"/>
    <cellStyle name="Normal 57 3 2 2 4 2 4" xfId="14637" xr:uid="{00000000-0005-0000-0000-0000FF760000}"/>
    <cellStyle name="Normal 57 3 2 2 4 2 4 2" xfId="39511" xr:uid="{00000000-0005-0000-0000-000000770000}"/>
    <cellStyle name="Normal 57 3 2 2 4 2 5" xfId="27070" xr:uid="{00000000-0005-0000-0000-000001770000}"/>
    <cellStyle name="Normal 57 3 2 2 4 3" xfId="5983" xr:uid="{00000000-0005-0000-0000-000002770000}"/>
    <cellStyle name="Normal 57 3 2 2 4 3 2" xfId="10998" xr:uid="{00000000-0005-0000-0000-000003770000}"/>
    <cellStyle name="Normal 57 3 2 2 4 3 2 2" xfId="23441" xr:uid="{00000000-0005-0000-0000-000004770000}"/>
    <cellStyle name="Normal 57 3 2 2 4 3 2 2 2" xfId="48315" xr:uid="{00000000-0005-0000-0000-000005770000}"/>
    <cellStyle name="Normal 57 3 2 2 4 3 2 3" xfId="35882" xr:uid="{00000000-0005-0000-0000-000006770000}"/>
    <cellStyle name="Normal 57 3 2 2 4 3 3" xfId="18434" xr:uid="{00000000-0005-0000-0000-000007770000}"/>
    <cellStyle name="Normal 57 3 2 2 4 3 3 2" xfId="43308" xr:uid="{00000000-0005-0000-0000-000008770000}"/>
    <cellStyle name="Normal 57 3 2 2 4 3 4" xfId="30875" xr:uid="{00000000-0005-0000-0000-000009770000}"/>
    <cellStyle name="Normal 57 3 2 2 4 4" xfId="8709" xr:uid="{00000000-0005-0000-0000-00000A770000}"/>
    <cellStyle name="Normal 57 3 2 2 4 4 2" xfId="21153" xr:uid="{00000000-0005-0000-0000-00000B770000}"/>
    <cellStyle name="Normal 57 3 2 2 4 4 2 2" xfId="46027" xr:uid="{00000000-0005-0000-0000-00000C770000}"/>
    <cellStyle name="Normal 57 3 2 2 4 4 3" xfId="33594" xr:uid="{00000000-0005-0000-0000-00000D770000}"/>
    <cellStyle name="Normal 57 3 2 2 4 5" xfId="12452" xr:uid="{00000000-0005-0000-0000-00000E770000}"/>
    <cellStyle name="Normal 57 3 2 2 4 5 2" xfId="24886" xr:uid="{00000000-0005-0000-0000-00000F770000}"/>
    <cellStyle name="Normal 57 3 2 2 4 5 2 2" xfId="49760" xr:uid="{00000000-0005-0000-0000-000010770000}"/>
    <cellStyle name="Normal 57 3 2 2 4 5 3" xfId="37327" xr:uid="{00000000-0005-0000-0000-000011770000}"/>
    <cellStyle name="Normal 57 3 2 2 4 6" xfId="7186" xr:uid="{00000000-0005-0000-0000-000012770000}"/>
    <cellStyle name="Normal 57 3 2 2 4 6 2" xfId="19635" xr:uid="{00000000-0005-0000-0000-000013770000}"/>
    <cellStyle name="Normal 57 3 2 2 4 6 2 2" xfId="44509" xr:uid="{00000000-0005-0000-0000-000014770000}"/>
    <cellStyle name="Normal 57 3 2 2 4 6 3" xfId="32076" xr:uid="{00000000-0005-0000-0000-000015770000}"/>
    <cellStyle name="Normal 57 3 2 2 4 7" xfId="3640" xr:uid="{00000000-0005-0000-0000-000016770000}"/>
    <cellStyle name="Normal 57 3 2 2 4 7 2" xfId="16146" xr:uid="{00000000-0005-0000-0000-000017770000}"/>
    <cellStyle name="Normal 57 3 2 2 4 7 2 2" xfId="41020" xr:uid="{00000000-0005-0000-0000-000018770000}"/>
    <cellStyle name="Normal 57 3 2 2 4 7 3" xfId="28579" xr:uid="{00000000-0005-0000-0000-000019770000}"/>
    <cellStyle name="Normal 57 3 2 2 4 8" xfId="13499" xr:uid="{00000000-0005-0000-0000-00001A770000}"/>
    <cellStyle name="Normal 57 3 2 2 4 8 2" xfId="38373" xr:uid="{00000000-0005-0000-0000-00001B770000}"/>
    <cellStyle name="Normal 57 3 2 2 4 9" xfId="25932" xr:uid="{00000000-0005-0000-0000-00001C770000}"/>
    <cellStyle name="Normal 57 3 2 2 5" xfId="2254" xr:uid="{00000000-0005-0000-0000-00001D770000}"/>
    <cellStyle name="Normal 57 3 2 2 5 2" xfId="4881" xr:uid="{00000000-0005-0000-0000-00001E770000}"/>
    <cellStyle name="Normal 57 3 2 2 5 2 2" xfId="9898" xr:uid="{00000000-0005-0000-0000-00001F770000}"/>
    <cellStyle name="Normal 57 3 2 2 5 2 2 2" xfId="22341" xr:uid="{00000000-0005-0000-0000-000020770000}"/>
    <cellStyle name="Normal 57 3 2 2 5 2 2 2 2" xfId="47215" xr:uid="{00000000-0005-0000-0000-000021770000}"/>
    <cellStyle name="Normal 57 3 2 2 5 2 2 3" xfId="34782" xr:uid="{00000000-0005-0000-0000-000022770000}"/>
    <cellStyle name="Normal 57 3 2 2 5 2 3" xfId="17334" xr:uid="{00000000-0005-0000-0000-000023770000}"/>
    <cellStyle name="Normal 57 3 2 2 5 2 3 2" xfId="42208" xr:uid="{00000000-0005-0000-0000-000024770000}"/>
    <cellStyle name="Normal 57 3 2 2 5 2 4" xfId="29775" xr:uid="{00000000-0005-0000-0000-000025770000}"/>
    <cellStyle name="Normal 57 3 2 2 5 3" xfId="6279" xr:uid="{00000000-0005-0000-0000-000026770000}"/>
    <cellStyle name="Normal 57 3 2 2 5 3 2" xfId="11294" xr:uid="{00000000-0005-0000-0000-000027770000}"/>
    <cellStyle name="Normal 57 3 2 2 5 3 2 2" xfId="23737" xr:uid="{00000000-0005-0000-0000-000028770000}"/>
    <cellStyle name="Normal 57 3 2 2 5 3 2 2 2" xfId="48611" xr:uid="{00000000-0005-0000-0000-000029770000}"/>
    <cellStyle name="Normal 57 3 2 2 5 3 2 3" xfId="36178" xr:uid="{00000000-0005-0000-0000-00002A770000}"/>
    <cellStyle name="Normal 57 3 2 2 5 3 3" xfId="18730" xr:uid="{00000000-0005-0000-0000-00002B770000}"/>
    <cellStyle name="Normal 57 3 2 2 5 3 3 2" xfId="43604" xr:uid="{00000000-0005-0000-0000-00002C770000}"/>
    <cellStyle name="Normal 57 3 2 2 5 3 4" xfId="31171" xr:uid="{00000000-0005-0000-0000-00002D770000}"/>
    <cellStyle name="Normal 57 3 2 2 5 4" xfId="8086" xr:uid="{00000000-0005-0000-0000-00002E770000}"/>
    <cellStyle name="Normal 57 3 2 2 5 4 2" xfId="20532" xr:uid="{00000000-0005-0000-0000-00002F770000}"/>
    <cellStyle name="Normal 57 3 2 2 5 4 2 2" xfId="45406" xr:uid="{00000000-0005-0000-0000-000030770000}"/>
    <cellStyle name="Normal 57 3 2 2 5 4 3" xfId="32973" xr:uid="{00000000-0005-0000-0000-000031770000}"/>
    <cellStyle name="Normal 57 3 2 2 5 5" xfId="12748" xr:uid="{00000000-0005-0000-0000-000032770000}"/>
    <cellStyle name="Normal 57 3 2 2 5 5 2" xfId="25182" xr:uid="{00000000-0005-0000-0000-000033770000}"/>
    <cellStyle name="Normal 57 3 2 2 5 5 2 2" xfId="50056" xr:uid="{00000000-0005-0000-0000-000034770000}"/>
    <cellStyle name="Normal 57 3 2 2 5 5 3" xfId="37623" xr:uid="{00000000-0005-0000-0000-000035770000}"/>
    <cellStyle name="Normal 57 3 2 2 5 6" xfId="7492" xr:uid="{00000000-0005-0000-0000-000036770000}"/>
    <cellStyle name="Normal 57 3 2 2 5 6 2" xfId="19940" xr:uid="{00000000-0005-0000-0000-000037770000}"/>
    <cellStyle name="Normal 57 3 2 2 5 6 2 2" xfId="44814" xr:uid="{00000000-0005-0000-0000-000038770000}"/>
    <cellStyle name="Normal 57 3 2 2 5 6 3" xfId="32381" xr:uid="{00000000-0005-0000-0000-000039770000}"/>
    <cellStyle name="Normal 57 3 2 2 5 7" xfId="3016" xr:uid="{00000000-0005-0000-0000-00003A770000}"/>
    <cellStyle name="Normal 57 3 2 2 5 7 2" xfId="15525" xr:uid="{00000000-0005-0000-0000-00003B770000}"/>
    <cellStyle name="Normal 57 3 2 2 5 7 2 2" xfId="40399" xr:uid="{00000000-0005-0000-0000-00003C770000}"/>
    <cellStyle name="Normal 57 3 2 2 5 7 3" xfId="27958" xr:uid="{00000000-0005-0000-0000-00003D770000}"/>
    <cellStyle name="Normal 57 3 2 2 5 8" xfId="14933" xr:uid="{00000000-0005-0000-0000-00003E770000}"/>
    <cellStyle name="Normal 57 3 2 2 5 8 2" xfId="39807" xr:uid="{00000000-0005-0000-0000-00003F770000}"/>
    <cellStyle name="Normal 57 3 2 2 5 9" xfId="27366" xr:uid="{00000000-0005-0000-0000-000040770000}"/>
    <cellStyle name="Normal 57 3 2 2 6" xfId="1090" xr:uid="{00000000-0005-0000-0000-000041770000}"/>
    <cellStyle name="Normal 57 3 2 2 6 2" xfId="8972" xr:uid="{00000000-0005-0000-0000-000042770000}"/>
    <cellStyle name="Normal 57 3 2 2 6 2 2" xfId="21415" xr:uid="{00000000-0005-0000-0000-000043770000}"/>
    <cellStyle name="Normal 57 3 2 2 6 2 2 2" xfId="46289" xr:uid="{00000000-0005-0000-0000-000044770000}"/>
    <cellStyle name="Normal 57 3 2 2 6 2 3" xfId="33856" xr:uid="{00000000-0005-0000-0000-000045770000}"/>
    <cellStyle name="Normal 57 3 2 2 6 3" xfId="3954" xr:uid="{00000000-0005-0000-0000-000046770000}"/>
    <cellStyle name="Normal 57 3 2 2 6 3 2" xfId="16408" xr:uid="{00000000-0005-0000-0000-000047770000}"/>
    <cellStyle name="Normal 57 3 2 2 6 3 2 2" xfId="41282" xr:uid="{00000000-0005-0000-0000-000048770000}"/>
    <cellStyle name="Normal 57 3 2 2 6 3 3" xfId="28849" xr:uid="{00000000-0005-0000-0000-000049770000}"/>
    <cellStyle name="Normal 57 3 2 2 6 4" xfId="13890" xr:uid="{00000000-0005-0000-0000-00004A770000}"/>
    <cellStyle name="Normal 57 3 2 2 6 4 2" xfId="38764" xr:uid="{00000000-0005-0000-0000-00004B770000}"/>
    <cellStyle name="Normal 57 3 2 2 6 5" xfId="26323" xr:uid="{00000000-0005-0000-0000-00004C770000}"/>
    <cellStyle name="Normal 57 3 2 2 7" xfId="5235" xr:uid="{00000000-0005-0000-0000-00004D770000}"/>
    <cellStyle name="Normal 57 3 2 2 7 2" xfId="10251" xr:uid="{00000000-0005-0000-0000-00004E770000}"/>
    <cellStyle name="Normal 57 3 2 2 7 2 2" xfId="22694" xr:uid="{00000000-0005-0000-0000-00004F770000}"/>
    <cellStyle name="Normal 57 3 2 2 7 2 2 2" xfId="47568" xr:uid="{00000000-0005-0000-0000-000050770000}"/>
    <cellStyle name="Normal 57 3 2 2 7 2 3" xfId="35135" xr:uid="{00000000-0005-0000-0000-000051770000}"/>
    <cellStyle name="Normal 57 3 2 2 7 3" xfId="17687" xr:uid="{00000000-0005-0000-0000-000052770000}"/>
    <cellStyle name="Normal 57 3 2 2 7 3 2" xfId="42561" xr:uid="{00000000-0005-0000-0000-000053770000}"/>
    <cellStyle name="Normal 57 3 2 2 7 4" xfId="30128" xr:uid="{00000000-0005-0000-0000-000054770000}"/>
    <cellStyle name="Normal 57 3 2 2 8" xfId="7812" xr:uid="{00000000-0005-0000-0000-000055770000}"/>
    <cellStyle name="Normal 57 3 2 2 8 2" xfId="20258" xr:uid="{00000000-0005-0000-0000-000056770000}"/>
    <cellStyle name="Normal 57 3 2 2 8 2 2" xfId="45132" xr:uid="{00000000-0005-0000-0000-000057770000}"/>
    <cellStyle name="Normal 57 3 2 2 8 3" xfId="32699" xr:uid="{00000000-0005-0000-0000-000058770000}"/>
    <cellStyle name="Normal 57 3 2 2 9" xfId="11705" xr:uid="{00000000-0005-0000-0000-000059770000}"/>
    <cellStyle name="Normal 57 3 2 2 9 2" xfId="24139" xr:uid="{00000000-0005-0000-0000-00005A770000}"/>
    <cellStyle name="Normal 57 3 2 2 9 2 2" xfId="49013" xr:uid="{00000000-0005-0000-0000-00005B770000}"/>
    <cellStyle name="Normal 57 3 2 2 9 3" xfId="36580" xr:uid="{00000000-0005-0000-0000-00005C770000}"/>
    <cellStyle name="Normal 57 3 2 2_Degree data" xfId="2454" xr:uid="{00000000-0005-0000-0000-00005D770000}"/>
    <cellStyle name="Normal 57 3 2 3" xfId="177" xr:uid="{00000000-0005-0000-0000-00005E770000}"/>
    <cellStyle name="Normal 57 3 2 3 10" xfId="6626" xr:uid="{00000000-0005-0000-0000-00005F770000}"/>
    <cellStyle name="Normal 57 3 2 3 10 2" xfId="19075" xr:uid="{00000000-0005-0000-0000-000060770000}"/>
    <cellStyle name="Normal 57 3 2 3 10 2 2" xfId="43949" xr:uid="{00000000-0005-0000-0000-000061770000}"/>
    <cellStyle name="Normal 57 3 2 3 10 3" xfId="31516" xr:uid="{00000000-0005-0000-0000-000062770000}"/>
    <cellStyle name="Normal 57 3 2 3 11" xfId="2690" xr:uid="{00000000-0005-0000-0000-000063770000}"/>
    <cellStyle name="Normal 57 3 2 3 11 2" xfId="15208" xr:uid="{00000000-0005-0000-0000-000064770000}"/>
    <cellStyle name="Normal 57 3 2 3 11 2 2" xfId="40082" xr:uid="{00000000-0005-0000-0000-000065770000}"/>
    <cellStyle name="Normal 57 3 2 3 11 3" xfId="27641" xr:uid="{00000000-0005-0000-0000-000066770000}"/>
    <cellStyle name="Normal 57 3 2 3 12" xfId="13007" xr:uid="{00000000-0005-0000-0000-000067770000}"/>
    <cellStyle name="Normal 57 3 2 3 12 2" xfId="37881" xr:uid="{00000000-0005-0000-0000-000068770000}"/>
    <cellStyle name="Normal 57 3 2 3 13" xfId="25440" xr:uid="{00000000-0005-0000-0000-000069770000}"/>
    <cellStyle name="Normal 57 3 2 3 2" xfId="500" xr:uid="{00000000-0005-0000-0000-00006A770000}"/>
    <cellStyle name="Normal 57 3 2 3 2 10" xfId="13313" xr:uid="{00000000-0005-0000-0000-00006B770000}"/>
    <cellStyle name="Normal 57 3 2 3 2 10 2" xfId="38187" xr:uid="{00000000-0005-0000-0000-00006C770000}"/>
    <cellStyle name="Normal 57 3 2 3 2 11" xfId="25746" xr:uid="{00000000-0005-0000-0000-00006D770000}"/>
    <cellStyle name="Normal 57 3 2 3 2 2" xfId="859" xr:uid="{00000000-0005-0000-0000-00006E770000}"/>
    <cellStyle name="Normal 57 3 2 3 2 2 2" xfId="1492" xr:uid="{00000000-0005-0000-0000-00006F770000}"/>
    <cellStyle name="Normal 57 3 2 3 2 2 2 2" xfId="9596" xr:uid="{00000000-0005-0000-0000-000070770000}"/>
    <cellStyle name="Normal 57 3 2 3 2 2 2 2 2" xfId="22039" xr:uid="{00000000-0005-0000-0000-000071770000}"/>
    <cellStyle name="Normal 57 3 2 3 2 2 2 2 2 2" xfId="46913" xr:uid="{00000000-0005-0000-0000-000072770000}"/>
    <cellStyle name="Normal 57 3 2 3 2 2 2 2 3" xfId="34480" xr:uid="{00000000-0005-0000-0000-000073770000}"/>
    <cellStyle name="Normal 57 3 2 3 2 2 2 3" xfId="4578" xr:uid="{00000000-0005-0000-0000-000074770000}"/>
    <cellStyle name="Normal 57 3 2 3 2 2 2 3 2" xfId="17032" xr:uid="{00000000-0005-0000-0000-000075770000}"/>
    <cellStyle name="Normal 57 3 2 3 2 2 2 3 2 2" xfId="41906" xr:uid="{00000000-0005-0000-0000-000076770000}"/>
    <cellStyle name="Normal 57 3 2 3 2 2 2 3 3" xfId="29473" xr:uid="{00000000-0005-0000-0000-000077770000}"/>
    <cellStyle name="Normal 57 3 2 3 2 2 2 4" xfId="14292" xr:uid="{00000000-0005-0000-0000-000078770000}"/>
    <cellStyle name="Normal 57 3 2 3 2 2 2 4 2" xfId="39166" xr:uid="{00000000-0005-0000-0000-000079770000}"/>
    <cellStyle name="Normal 57 3 2 3 2 2 2 5" xfId="26725" xr:uid="{00000000-0005-0000-0000-00007A770000}"/>
    <cellStyle name="Normal 57 3 2 3 2 2 3" xfId="5637" xr:uid="{00000000-0005-0000-0000-00007B770000}"/>
    <cellStyle name="Normal 57 3 2 3 2 2 3 2" xfId="10653" xr:uid="{00000000-0005-0000-0000-00007C770000}"/>
    <cellStyle name="Normal 57 3 2 3 2 2 3 2 2" xfId="23096" xr:uid="{00000000-0005-0000-0000-00007D770000}"/>
    <cellStyle name="Normal 57 3 2 3 2 2 3 2 2 2" xfId="47970" xr:uid="{00000000-0005-0000-0000-00007E770000}"/>
    <cellStyle name="Normal 57 3 2 3 2 2 3 2 3" xfId="35537" xr:uid="{00000000-0005-0000-0000-00007F770000}"/>
    <cellStyle name="Normal 57 3 2 3 2 2 3 3" xfId="18089" xr:uid="{00000000-0005-0000-0000-000080770000}"/>
    <cellStyle name="Normal 57 3 2 3 2 2 3 3 2" xfId="42963" xr:uid="{00000000-0005-0000-0000-000081770000}"/>
    <cellStyle name="Normal 57 3 2 3 2 2 3 4" xfId="30530" xr:uid="{00000000-0005-0000-0000-000082770000}"/>
    <cellStyle name="Normal 57 3 2 3 2 2 4" xfId="8712" xr:uid="{00000000-0005-0000-0000-000083770000}"/>
    <cellStyle name="Normal 57 3 2 3 2 2 4 2" xfId="21156" xr:uid="{00000000-0005-0000-0000-000084770000}"/>
    <cellStyle name="Normal 57 3 2 3 2 2 4 2 2" xfId="46030" xr:uid="{00000000-0005-0000-0000-000085770000}"/>
    <cellStyle name="Normal 57 3 2 3 2 2 4 3" xfId="33597" xr:uid="{00000000-0005-0000-0000-000086770000}"/>
    <cellStyle name="Normal 57 3 2 3 2 2 5" xfId="12107" xr:uid="{00000000-0005-0000-0000-000087770000}"/>
    <cellStyle name="Normal 57 3 2 3 2 2 5 2" xfId="24541" xr:uid="{00000000-0005-0000-0000-000088770000}"/>
    <cellStyle name="Normal 57 3 2 3 2 2 5 2 2" xfId="49415" xr:uid="{00000000-0005-0000-0000-000089770000}"/>
    <cellStyle name="Normal 57 3 2 3 2 2 5 3" xfId="36982" xr:uid="{00000000-0005-0000-0000-00008A770000}"/>
    <cellStyle name="Normal 57 3 2 3 2 2 6" xfId="7189" xr:uid="{00000000-0005-0000-0000-00008B770000}"/>
    <cellStyle name="Normal 57 3 2 3 2 2 6 2" xfId="19638" xr:uid="{00000000-0005-0000-0000-00008C770000}"/>
    <cellStyle name="Normal 57 3 2 3 2 2 6 2 2" xfId="44512" xr:uid="{00000000-0005-0000-0000-00008D770000}"/>
    <cellStyle name="Normal 57 3 2 3 2 2 6 3" xfId="32079" xr:uid="{00000000-0005-0000-0000-00008E770000}"/>
    <cellStyle name="Normal 57 3 2 3 2 2 7" xfId="3643" xr:uid="{00000000-0005-0000-0000-00008F770000}"/>
    <cellStyle name="Normal 57 3 2 3 2 2 7 2" xfId="16149" xr:uid="{00000000-0005-0000-0000-000090770000}"/>
    <cellStyle name="Normal 57 3 2 3 2 2 7 2 2" xfId="41023" xr:uid="{00000000-0005-0000-0000-000091770000}"/>
    <cellStyle name="Normal 57 3 2 3 2 2 7 3" xfId="28582" xr:uid="{00000000-0005-0000-0000-000092770000}"/>
    <cellStyle name="Normal 57 3 2 3 2 2 8" xfId="13660" xr:uid="{00000000-0005-0000-0000-000093770000}"/>
    <cellStyle name="Normal 57 3 2 3 2 2 8 2" xfId="38534" xr:uid="{00000000-0005-0000-0000-000094770000}"/>
    <cellStyle name="Normal 57 3 2 3 2 2 9" xfId="26093" xr:uid="{00000000-0005-0000-0000-000095770000}"/>
    <cellStyle name="Normal 57 3 2 3 2 3" xfId="1840" xr:uid="{00000000-0005-0000-0000-000096770000}"/>
    <cellStyle name="Normal 57 3 2 3 2 3 2" xfId="5042" xr:uid="{00000000-0005-0000-0000-000097770000}"/>
    <cellStyle name="Normal 57 3 2 3 2 3 2 2" xfId="10059" xr:uid="{00000000-0005-0000-0000-000098770000}"/>
    <cellStyle name="Normal 57 3 2 3 2 3 2 2 2" xfId="22502" xr:uid="{00000000-0005-0000-0000-000099770000}"/>
    <cellStyle name="Normal 57 3 2 3 2 3 2 2 2 2" xfId="47376" xr:uid="{00000000-0005-0000-0000-00009A770000}"/>
    <cellStyle name="Normal 57 3 2 3 2 3 2 2 3" xfId="34943" xr:uid="{00000000-0005-0000-0000-00009B770000}"/>
    <cellStyle name="Normal 57 3 2 3 2 3 2 3" xfId="17495" xr:uid="{00000000-0005-0000-0000-00009C770000}"/>
    <cellStyle name="Normal 57 3 2 3 2 3 2 3 2" xfId="42369" xr:uid="{00000000-0005-0000-0000-00009D770000}"/>
    <cellStyle name="Normal 57 3 2 3 2 3 2 4" xfId="29936" xr:uid="{00000000-0005-0000-0000-00009E770000}"/>
    <cellStyle name="Normal 57 3 2 3 2 3 3" xfId="5986" xr:uid="{00000000-0005-0000-0000-00009F770000}"/>
    <cellStyle name="Normal 57 3 2 3 2 3 3 2" xfId="11001" xr:uid="{00000000-0005-0000-0000-0000A0770000}"/>
    <cellStyle name="Normal 57 3 2 3 2 3 3 2 2" xfId="23444" xr:uid="{00000000-0005-0000-0000-0000A1770000}"/>
    <cellStyle name="Normal 57 3 2 3 2 3 3 2 2 2" xfId="48318" xr:uid="{00000000-0005-0000-0000-0000A2770000}"/>
    <cellStyle name="Normal 57 3 2 3 2 3 3 2 3" xfId="35885" xr:uid="{00000000-0005-0000-0000-0000A3770000}"/>
    <cellStyle name="Normal 57 3 2 3 2 3 3 3" xfId="18437" xr:uid="{00000000-0005-0000-0000-0000A4770000}"/>
    <cellStyle name="Normal 57 3 2 3 2 3 3 3 2" xfId="43311" xr:uid="{00000000-0005-0000-0000-0000A5770000}"/>
    <cellStyle name="Normal 57 3 2 3 2 3 3 4" xfId="30878" xr:uid="{00000000-0005-0000-0000-0000A6770000}"/>
    <cellStyle name="Normal 57 3 2 3 2 3 4" xfId="8466" xr:uid="{00000000-0005-0000-0000-0000A7770000}"/>
    <cellStyle name="Normal 57 3 2 3 2 3 4 2" xfId="20910" xr:uid="{00000000-0005-0000-0000-0000A8770000}"/>
    <cellStyle name="Normal 57 3 2 3 2 3 4 2 2" xfId="45784" xr:uid="{00000000-0005-0000-0000-0000A9770000}"/>
    <cellStyle name="Normal 57 3 2 3 2 3 4 3" xfId="33351" xr:uid="{00000000-0005-0000-0000-0000AA770000}"/>
    <cellStyle name="Normal 57 3 2 3 2 3 5" xfId="12455" xr:uid="{00000000-0005-0000-0000-0000AB770000}"/>
    <cellStyle name="Normal 57 3 2 3 2 3 5 2" xfId="24889" xr:uid="{00000000-0005-0000-0000-0000AC770000}"/>
    <cellStyle name="Normal 57 3 2 3 2 3 5 2 2" xfId="49763" xr:uid="{00000000-0005-0000-0000-0000AD770000}"/>
    <cellStyle name="Normal 57 3 2 3 2 3 5 3" xfId="37330" xr:uid="{00000000-0005-0000-0000-0000AE770000}"/>
    <cellStyle name="Normal 57 3 2 3 2 3 6" xfId="7653" xr:uid="{00000000-0005-0000-0000-0000AF770000}"/>
    <cellStyle name="Normal 57 3 2 3 2 3 6 2" xfId="20101" xr:uid="{00000000-0005-0000-0000-0000B0770000}"/>
    <cellStyle name="Normal 57 3 2 3 2 3 6 2 2" xfId="44975" xr:uid="{00000000-0005-0000-0000-0000B1770000}"/>
    <cellStyle name="Normal 57 3 2 3 2 3 6 3" xfId="32542" xr:uid="{00000000-0005-0000-0000-0000B2770000}"/>
    <cellStyle name="Normal 57 3 2 3 2 3 7" xfId="3397" xr:uid="{00000000-0005-0000-0000-0000B3770000}"/>
    <cellStyle name="Normal 57 3 2 3 2 3 7 2" xfId="15903" xr:uid="{00000000-0005-0000-0000-0000B4770000}"/>
    <cellStyle name="Normal 57 3 2 3 2 3 7 2 2" xfId="40777" xr:uid="{00000000-0005-0000-0000-0000B5770000}"/>
    <cellStyle name="Normal 57 3 2 3 2 3 7 3" xfId="28336" xr:uid="{00000000-0005-0000-0000-0000B6770000}"/>
    <cellStyle name="Normal 57 3 2 3 2 3 8" xfId="14640" xr:uid="{00000000-0005-0000-0000-0000B7770000}"/>
    <cellStyle name="Normal 57 3 2 3 2 3 8 2" xfId="39514" xr:uid="{00000000-0005-0000-0000-0000B8770000}"/>
    <cellStyle name="Normal 57 3 2 3 2 3 9" xfId="27073" xr:uid="{00000000-0005-0000-0000-0000B9770000}"/>
    <cellStyle name="Normal 57 3 2 3 2 4" xfId="2418" xr:uid="{00000000-0005-0000-0000-0000BA770000}"/>
    <cellStyle name="Normal 57 3 2 3 2 4 2" xfId="6440" xr:uid="{00000000-0005-0000-0000-0000BB770000}"/>
    <cellStyle name="Normal 57 3 2 3 2 4 2 2" xfId="11455" xr:uid="{00000000-0005-0000-0000-0000BC770000}"/>
    <cellStyle name="Normal 57 3 2 3 2 4 2 2 2" xfId="23898" xr:uid="{00000000-0005-0000-0000-0000BD770000}"/>
    <cellStyle name="Normal 57 3 2 3 2 4 2 2 2 2" xfId="48772" xr:uid="{00000000-0005-0000-0000-0000BE770000}"/>
    <cellStyle name="Normal 57 3 2 3 2 4 2 2 3" xfId="36339" xr:uid="{00000000-0005-0000-0000-0000BF770000}"/>
    <cellStyle name="Normal 57 3 2 3 2 4 2 3" xfId="18891" xr:uid="{00000000-0005-0000-0000-0000C0770000}"/>
    <cellStyle name="Normal 57 3 2 3 2 4 2 3 2" xfId="43765" xr:uid="{00000000-0005-0000-0000-0000C1770000}"/>
    <cellStyle name="Normal 57 3 2 3 2 4 2 4" xfId="31332" xr:uid="{00000000-0005-0000-0000-0000C2770000}"/>
    <cellStyle name="Normal 57 3 2 3 2 4 3" xfId="12909" xr:uid="{00000000-0005-0000-0000-0000C3770000}"/>
    <cellStyle name="Normal 57 3 2 3 2 4 3 2" xfId="25343" xr:uid="{00000000-0005-0000-0000-0000C4770000}"/>
    <cellStyle name="Normal 57 3 2 3 2 4 3 2 2" xfId="50217" xr:uid="{00000000-0005-0000-0000-0000C5770000}"/>
    <cellStyle name="Normal 57 3 2 3 2 4 3 3" xfId="37784" xr:uid="{00000000-0005-0000-0000-0000C6770000}"/>
    <cellStyle name="Normal 57 3 2 3 2 4 4" xfId="9350" xr:uid="{00000000-0005-0000-0000-0000C7770000}"/>
    <cellStyle name="Normal 57 3 2 3 2 4 4 2" xfId="21793" xr:uid="{00000000-0005-0000-0000-0000C8770000}"/>
    <cellStyle name="Normal 57 3 2 3 2 4 4 2 2" xfId="46667" xr:uid="{00000000-0005-0000-0000-0000C9770000}"/>
    <cellStyle name="Normal 57 3 2 3 2 4 4 3" xfId="34234" xr:uid="{00000000-0005-0000-0000-0000CA770000}"/>
    <cellStyle name="Normal 57 3 2 3 2 4 5" xfId="4332" xr:uid="{00000000-0005-0000-0000-0000CB770000}"/>
    <cellStyle name="Normal 57 3 2 3 2 4 5 2" xfId="16786" xr:uid="{00000000-0005-0000-0000-0000CC770000}"/>
    <cellStyle name="Normal 57 3 2 3 2 4 5 2 2" xfId="41660" xr:uid="{00000000-0005-0000-0000-0000CD770000}"/>
    <cellStyle name="Normal 57 3 2 3 2 4 5 3" xfId="29227" xr:uid="{00000000-0005-0000-0000-0000CE770000}"/>
    <cellStyle name="Normal 57 3 2 3 2 4 6" xfId="15094" xr:uid="{00000000-0005-0000-0000-0000CF770000}"/>
    <cellStyle name="Normal 57 3 2 3 2 4 6 2" xfId="39968" xr:uid="{00000000-0005-0000-0000-0000D0770000}"/>
    <cellStyle name="Normal 57 3 2 3 2 4 7" xfId="27527" xr:uid="{00000000-0005-0000-0000-0000D1770000}"/>
    <cellStyle name="Normal 57 3 2 3 2 5" xfId="1251" xr:uid="{00000000-0005-0000-0000-0000D2770000}"/>
    <cellStyle name="Normal 57 3 2 3 2 5 2" xfId="10412" xr:uid="{00000000-0005-0000-0000-0000D3770000}"/>
    <cellStyle name="Normal 57 3 2 3 2 5 2 2" xfId="22855" xr:uid="{00000000-0005-0000-0000-0000D4770000}"/>
    <cellStyle name="Normal 57 3 2 3 2 5 2 2 2" xfId="47729" xr:uid="{00000000-0005-0000-0000-0000D5770000}"/>
    <cellStyle name="Normal 57 3 2 3 2 5 2 3" xfId="35296" xr:uid="{00000000-0005-0000-0000-0000D6770000}"/>
    <cellStyle name="Normal 57 3 2 3 2 5 3" xfId="5396" xr:uid="{00000000-0005-0000-0000-0000D7770000}"/>
    <cellStyle name="Normal 57 3 2 3 2 5 3 2" xfId="17848" xr:uid="{00000000-0005-0000-0000-0000D8770000}"/>
    <cellStyle name="Normal 57 3 2 3 2 5 3 2 2" xfId="42722" xr:uid="{00000000-0005-0000-0000-0000D9770000}"/>
    <cellStyle name="Normal 57 3 2 3 2 5 3 3" xfId="30289" xr:uid="{00000000-0005-0000-0000-0000DA770000}"/>
    <cellStyle name="Normal 57 3 2 3 2 5 4" xfId="14051" xr:uid="{00000000-0005-0000-0000-0000DB770000}"/>
    <cellStyle name="Normal 57 3 2 3 2 5 4 2" xfId="38925" xr:uid="{00000000-0005-0000-0000-0000DC770000}"/>
    <cellStyle name="Normal 57 3 2 3 2 5 5" xfId="26484" xr:uid="{00000000-0005-0000-0000-0000DD770000}"/>
    <cellStyle name="Normal 57 3 2 3 2 6" xfId="7973" xr:uid="{00000000-0005-0000-0000-0000DE770000}"/>
    <cellStyle name="Normal 57 3 2 3 2 6 2" xfId="20419" xr:uid="{00000000-0005-0000-0000-0000DF770000}"/>
    <cellStyle name="Normal 57 3 2 3 2 6 2 2" xfId="45293" xr:uid="{00000000-0005-0000-0000-0000E0770000}"/>
    <cellStyle name="Normal 57 3 2 3 2 6 3" xfId="32860" xr:uid="{00000000-0005-0000-0000-0000E1770000}"/>
    <cellStyle name="Normal 57 3 2 3 2 7" xfId="11866" xr:uid="{00000000-0005-0000-0000-0000E2770000}"/>
    <cellStyle name="Normal 57 3 2 3 2 7 2" xfId="24300" xr:uid="{00000000-0005-0000-0000-0000E3770000}"/>
    <cellStyle name="Normal 57 3 2 3 2 7 2 2" xfId="49174" xr:uid="{00000000-0005-0000-0000-0000E4770000}"/>
    <cellStyle name="Normal 57 3 2 3 2 7 3" xfId="36741" xr:uid="{00000000-0005-0000-0000-0000E5770000}"/>
    <cellStyle name="Normal 57 3 2 3 2 8" xfId="6943" xr:uid="{00000000-0005-0000-0000-0000E6770000}"/>
    <cellStyle name="Normal 57 3 2 3 2 8 2" xfId="19392" xr:uid="{00000000-0005-0000-0000-0000E7770000}"/>
    <cellStyle name="Normal 57 3 2 3 2 8 2 2" xfId="44266" xr:uid="{00000000-0005-0000-0000-0000E8770000}"/>
    <cellStyle name="Normal 57 3 2 3 2 8 3" xfId="31833" xr:uid="{00000000-0005-0000-0000-0000E9770000}"/>
    <cellStyle name="Normal 57 3 2 3 2 9" xfId="2894" xr:uid="{00000000-0005-0000-0000-0000EA770000}"/>
    <cellStyle name="Normal 57 3 2 3 2 9 2" xfId="15412" xr:uid="{00000000-0005-0000-0000-0000EB770000}"/>
    <cellStyle name="Normal 57 3 2 3 2 9 2 2" xfId="40286" xr:uid="{00000000-0005-0000-0000-0000EC770000}"/>
    <cellStyle name="Normal 57 3 2 3 2 9 3" xfId="27845" xr:uid="{00000000-0005-0000-0000-0000ED770000}"/>
    <cellStyle name="Normal 57 3 2 3 2_Degree data" xfId="2457" xr:uid="{00000000-0005-0000-0000-0000EE770000}"/>
    <cellStyle name="Normal 57 3 2 3 3" xfId="291" xr:uid="{00000000-0005-0000-0000-0000EF770000}"/>
    <cellStyle name="Normal 57 3 2 3 3 2" xfId="1491" xr:uid="{00000000-0005-0000-0000-0000F0770000}"/>
    <cellStyle name="Normal 57 3 2 3 3 2 2" xfId="9146" xr:uid="{00000000-0005-0000-0000-0000F1770000}"/>
    <cellStyle name="Normal 57 3 2 3 3 2 2 2" xfId="21589" xr:uid="{00000000-0005-0000-0000-0000F2770000}"/>
    <cellStyle name="Normal 57 3 2 3 3 2 2 2 2" xfId="46463" xr:uid="{00000000-0005-0000-0000-0000F3770000}"/>
    <cellStyle name="Normal 57 3 2 3 3 2 2 3" xfId="34030" xr:uid="{00000000-0005-0000-0000-0000F4770000}"/>
    <cellStyle name="Normal 57 3 2 3 3 2 3" xfId="4128" xr:uid="{00000000-0005-0000-0000-0000F5770000}"/>
    <cellStyle name="Normal 57 3 2 3 3 2 3 2" xfId="16582" xr:uid="{00000000-0005-0000-0000-0000F6770000}"/>
    <cellStyle name="Normal 57 3 2 3 3 2 3 2 2" xfId="41456" xr:uid="{00000000-0005-0000-0000-0000F7770000}"/>
    <cellStyle name="Normal 57 3 2 3 3 2 3 3" xfId="29023" xr:uid="{00000000-0005-0000-0000-0000F8770000}"/>
    <cellStyle name="Normal 57 3 2 3 3 2 4" xfId="14291" xr:uid="{00000000-0005-0000-0000-0000F9770000}"/>
    <cellStyle name="Normal 57 3 2 3 3 2 4 2" xfId="39165" xr:uid="{00000000-0005-0000-0000-0000FA770000}"/>
    <cellStyle name="Normal 57 3 2 3 3 2 5" xfId="26724" xr:uid="{00000000-0005-0000-0000-0000FB770000}"/>
    <cellStyle name="Normal 57 3 2 3 3 3" xfId="5636" xr:uid="{00000000-0005-0000-0000-0000FC770000}"/>
    <cellStyle name="Normal 57 3 2 3 3 3 2" xfId="10652" xr:uid="{00000000-0005-0000-0000-0000FD770000}"/>
    <cellStyle name="Normal 57 3 2 3 3 3 2 2" xfId="23095" xr:uid="{00000000-0005-0000-0000-0000FE770000}"/>
    <cellStyle name="Normal 57 3 2 3 3 3 2 2 2" xfId="47969" xr:uid="{00000000-0005-0000-0000-0000FF770000}"/>
    <cellStyle name="Normal 57 3 2 3 3 3 2 3" xfId="35536" xr:uid="{00000000-0005-0000-0000-000000780000}"/>
    <cellStyle name="Normal 57 3 2 3 3 3 3" xfId="18088" xr:uid="{00000000-0005-0000-0000-000001780000}"/>
    <cellStyle name="Normal 57 3 2 3 3 3 3 2" xfId="42962" xr:uid="{00000000-0005-0000-0000-000002780000}"/>
    <cellStyle name="Normal 57 3 2 3 3 3 4" xfId="30529" xr:uid="{00000000-0005-0000-0000-000003780000}"/>
    <cellStyle name="Normal 57 3 2 3 3 4" xfId="8262" xr:uid="{00000000-0005-0000-0000-000004780000}"/>
    <cellStyle name="Normal 57 3 2 3 3 4 2" xfId="20706" xr:uid="{00000000-0005-0000-0000-000005780000}"/>
    <cellStyle name="Normal 57 3 2 3 3 4 2 2" xfId="45580" xr:uid="{00000000-0005-0000-0000-000006780000}"/>
    <cellStyle name="Normal 57 3 2 3 3 4 3" xfId="33147" xr:uid="{00000000-0005-0000-0000-000007780000}"/>
    <cellStyle name="Normal 57 3 2 3 3 5" xfId="12106" xr:uid="{00000000-0005-0000-0000-000008780000}"/>
    <cellStyle name="Normal 57 3 2 3 3 5 2" xfId="24540" xr:uid="{00000000-0005-0000-0000-000009780000}"/>
    <cellStyle name="Normal 57 3 2 3 3 5 2 2" xfId="49414" xr:uid="{00000000-0005-0000-0000-00000A780000}"/>
    <cellStyle name="Normal 57 3 2 3 3 5 3" xfId="36981" xr:uid="{00000000-0005-0000-0000-00000B780000}"/>
    <cellStyle name="Normal 57 3 2 3 3 6" xfId="6739" xr:uid="{00000000-0005-0000-0000-00000C780000}"/>
    <cellStyle name="Normal 57 3 2 3 3 6 2" xfId="19188" xr:uid="{00000000-0005-0000-0000-00000D780000}"/>
    <cellStyle name="Normal 57 3 2 3 3 6 2 2" xfId="44062" xr:uid="{00000000-0005-0000-0000-00000E780000}"/>
    <cellStyle name="Normal 57 3 2 3 3 6 3" xfId="31629" xr:uid="{00000000-0005-0000-0000-00000F780000}"/>
    <cellStyle name="Normal 57 3 2 3 3 7" xfId="3193" xr:uid="{00000000-0005-0000-0000-000010780000}"/>
    <cellStyle name="Normal 57 3 2 3 3 7 2" xfId="15699" xr:uid="{00000000-0005-0000-0000-000011780000}"/>
    <cellStyle name="Normal 57 3 2 3 3 7 2 2" xfId="40573" xr:uid="{00000000-0005-0000-0000-000012780000}"/>
    <cellStyle name="Normal 57 3 2 3 3 7 3" xfId="28132" xr:uid="{00000000-0005-0000-0000-000013780000}"/>
    <cellStyle name="Normal 57 3 2 3 3 8" xfId="13109" xr:uid="{00000000-0005-0000-0000-000014780000}"/>
    <cellStyle name="Normal 57 3 2 3 3 8 2" xfId="37983" xr:uid="{00000000-0005-0000-0000-000015780000}"/>
    <cellStyle name="Normal 57 3 2 3 3 9" xfId="25542" xr:uid="{00000000-0005-0000-0000-000016780000}"/>
    <cellStyle name="Normal 57 3 2 3 4" xfId="652" xr:uid="{00000000-0005-0000-0000-000017780000}"/>
    <cellStyle name="Normal 57 3 2 3 4 2" xfId="1839" xr:uid="{00000000-0005-0000-0000-000018780000}"/>
    <cellStyle name="Normal 57 3 2 3 4 2 2" xfId="9595" xr:uid="{00000000-0005-0000-0000-000019780000}"/>
    <cellStyle name="Normal 57 3 2 3 4 2 2 2" xfId="22038" xr:uid="{00000000-0005-0000-0000-00001A780000}"/>
    <cellStyle name="Normal 57 3 2 3 4 2 2 2 2" xfId="46912" xr:uid="{00000000-0005-0000-0000-00001B780000}"/>
    <cellStyle name="Normal 57 3 2 3 4 2 2 3" xfId="34479" xr:uid="{00000000-0005-0000-0000-00001C780000}"/>
    <cellStyle name="Normal 57 3 2 3 4 2 3" xfId="4577" xr:uid="{00000000-0005-0000-0000-00001D780000}"/>
    <cellStyle name="Normal 57 3 2 3 4 2 3 2" xfId="17031" xr:uid="{00000000-0005-0000-0000-00001E780000}"/>
    <cellStyle name="Normal 57 3 2 3 4 2 3 2 2" xfId="41905" xr:uid="{00000000-0005-0000-0000-00001F780000}"/>
    <cellStyle name="Normal 57 3 2 3 4 2 3 3" xfId="29472" xr:uid="{00000000-0005-0000-0000-000020780000}"/>
    <cellStyle name="Normal 57 3 2 3 4 2 4" xfId="14639" xr:uid="{00000000-0005-0000-0000-000021780000}"/>
    <cellStyle name="Normal 57 3 2 3 4 2 4 2" xfId="39513" xr:uid="{00000000-0005-0000-0000-000022780000}"/>
    <cellStyle name="Normal 57 3 2 3 4 2 5" xfId="27072" xr:uid="{00000000-0005-0000-0000-000023780000}"/>
    <cellStyle name="Normal 57 3 2 3 4 3" xfId="5985" xr:uid="{00000000-0005-0000-0000-000024780000}"/>
    <cellStyle name="Normal 57 3 2 3 4 3 2" xfId="11000" xr:uid="{00000000-0005-0000-0000-000025780000}"/>
    <cellStyle name="Normal 57 3 2 3 4 3 2 2" xfId="23443" xr:uid="{00000000-0005-0000-0000-000026780000}"/>
    <cellStyle name="Normal 57 3 2 3 4 3 2 2 2" xfId="48317" xr:uid="{00000000-0005-0000-0000-000027780000}"/>
    <cellStyle name="Normal 57 3 2 3 4 3 2 3" xfId="35884" xr:uid="{00000000-0005-0000-0000-000028780000}"/>
    <cellStyle name="Normal 57 3 2 3 4 3 3" xfId="18436" xr:uid="{00000000-0005-0000-0000-000029780000}"/>
    <cellStyle name="Normal 57 3 2 3 4 3 3 2" xfId="43310" xr:uid="{00000000-0005-0000-0000-00002A780000}"/>
    <cellStyle name="Normal 57 3 2 3 4 3 4" xfId="30877" xr:uid="{00000000-0005-0000-0000-00002B780000}"/>
    <cellStyle name="Normal 57 3 2 3 4 4" xfId="8711" xr:uid="{00000000-0005-0000-0000-00002C780000}"/>
    <cellStyle name="Normal 57 3 2 3 4 4 2" xfId="21155" xr:uid="{00000000-0005-0000-0000-00002D780000}"/>
    <cellStyle name="Normal 57 3 2 3 4 4 2 2" xfId="46029" xr:uid="{00000000-0005-0000-0000-00002E780000}"/>
    <cellStyle name="Normal 57 3 2 3 4 4 3" xfId="33596" xr:uid="{00000000-0005-0000-0000-00002F780000}"/>
    <cellStyle name="Normal 57 3 2 3 4 5" xfId="12454" xr:uid="{00000000-0005-0000-0000-000030780000}"/>
    <cellStyle name="Normal 57 3 2 3 4 5 2" xfId="24888" xr:uid="{00000000-0005-0000-0000-000031780000}"/>
    <cellStyle name="Normal 57 3 2 3 4 5 2 2" xfId="49762" xr:uid="{00000000-0005-0000-0000-000032780000}"/>
    <cellStyle name="Normal 57 3 2 3 4 5 3" xfId="37329" xr:uid="{00000000-0005-0000-0000-000033780000}"/>
    <cellStyle name="Normal 57 3 2 3 4 6" xfId="7188" xr:uid="{00000000-0005-0000-0000-000034780000}"/>
    <cellStyle name="Normal 57 3 2 3 4 6 2" xfId="19637" xr:uid="{00000000-0005-0000-0000-000035780000}"/>
    <cellStyle name="Normal 57 3 2 3 4 6 2 2" xfId="44511" xr:uid="{00000000-0005-0000-0000-000036780000}"/>
    <cellStyle name="Normal 57 3 2 3 4 6 3" xfId="32078" xr:uid="{00000000-0005-0000-0000-000037780000}"/>
    <cellStyle name="Normal 57 3 2 3 4 7" xfId="3642" xr:uid="{00000000-0005-0000-0000-000038780000}"/>
    <cellStyle name="Normal 57 3 2 3 4 7 2" xfId="16148" xr:uid="{00000000-0005-0000-0000-000039780000}"/>
    <cellStyle name="Normal 57 3 2 3 4 7 2 2" xfId="41022" xr:uid="{00000000-0005-0000-0000-00003A780000}"/>
    <cellStyle name="Normal 57 3 2 3 4 7 3" xfId="28581" xr:uid="{00000000-0005-0000-0000-00003B780000}"/>
    <cellStyle name="Normal 57 3 2 3 4 8" xfId="13456" xr:uid="{00000000-0005-0000-0000-00003C780000}"/>
    <cellStyle name="Normal 57 3 2 3 4 8 2" xfId="38330" xr:uid="{00000000-0005-0000-0000-00003D780000}"/>
    <cellStyle name="Normal 57 3 2 3 4 9" xfId="25889" xr:uid="{00000000-0005-0000-0000-00003E780000}"/>
    <cellStyle name="Normal 57 3 2 3 5" xfId="2209" xr:uid="{00000000-0005-0000-0000-00003F780000}"/>
    <cellStyle name="Normal 57 3 2 3 5 2" xfId="4838" xr:uid="{00000000-0005-0000-0000-000040780000}"/>
    <cellStyle name="Normal 57 3 2 3 5 2 2" xfId="9855" xr:uid="{00000000-0005-0000-0000-000041780000}"/>
    <cellStyle name="Normal 57 3 2 3 5 2 2 2" xfId="22298" xr:uid="{00000000-0005-0000-0000-000042780000}"/>
    <cellStyle name="Normal 57 3 2 3 5 2 2 2 2" xfId="47172" xr:uid="{00000000-0005-0000-0000-000043780000}"/>
    <cellStyle name="Normal 57 3 2 3 5 2 2 3" xfId="34739" xr:uid="{00000000-0005-0000-0000-000044780000}"/>
    <cellStyle name="Normal 57 3 2 3 5 2 3" xfId="17291" xr:uid="{00000000-0005-0000-0000-000045780000}"/>
    <cellStyle name="Normal 57 3 2 3 5 2 3 2" xfId="42165" xr:uid="{00000000-0005-0000-0000-000046780000}"/>
    <cellStyle name="Normal 57 3 2 3 5 2 4" xfId="29732" xr:uid="{00000000-0005-0000-0000-000047780000}"/>
    <cellStyle name="Normal 57 3 2 3 5 3" xfId="6236" xr:uid="{00000000-0005-0000-0000-000048780000}"/>
    <cellStyle name="Normal 57 3 2 3 5 3 2" xfId="11251" xr:uid="{00000000-0005-0000-0000-000049780000}"/>
    <cellStyle name="Normal 57 3 2 3 5 3 2 2" xfId="23694" xr:uid="{00000000-0005-0000-0000-00004A780000}"/>
    <cellStyle name="Normal 57 3 2 3 5 3 2 2 2" xfId="48568" xr:uid="{00000000-0005-0000-0000-00004B780000}"/>
    <cellStyle name="Normal 57 3 2 3 5 3 2 3" xfId="36135" xr:uid="{00000000-0005-0000-0000-00004C780000}"/>
    <cellStyle name="Normal 57 3 2 3 5 3 3" xfId="18687" xr:uid="{00000000-0005-0000-0000-00004D780000}"/>
    <cellStyle name="Normal 57 3 2 3 5 3 3 2" xfId="43561" xr:uid="{00000000-0005-0000-0000-00004E780000}"/>
    <cellStyle name="Normal 57 3 2 3 5 3 4" xfId="31128" xr:uid="{00000000-0005-0000-0000-00004F780000}"/>
    <cellStyle name="Normal 57 3 2 3 5 4" xfId="8147" xr:uid="{00000000-0005-0000-0000-000050780000}"/>
    <cellStyle name="Normal 57 3 2 3 5 4 2" xfId="20593" xr:uid="{00000000-0005-0000-0000-000051780000}"/>
    <cellStyle name="Normal 57 3 2 3 5 4 2 2" xfId="45467" xr:uid="{00000000-0005-0000-0000-000052780000}"/>
    <cellStyle name="Normal 57 3 2 3 5 4 3" xfId="33034" xr:uid="{00000000-0005-0000-0000-000053780000}"/>
    <cellStyle name="Normal 57 3 2 3 5 5" xfId="12705" xr:uid="{00000000-0005-0000-0000-000054780000}"/>
    <cellStyle name="Normal 57 3 2 3 5 5 2" xfId="25139" xr:uid="{00000000-0005-0000-0000-000055780000}"/>
    <cellStyle name="Normal 57 3 2 3 5 5 2 2" xfId="50013" xr:uid="{00000000-0005-0000-0000-000056780000}"/>
    <cellStyle name="Normal 57 3 2 3 5 5 3" xfId="37580" xr:uid="{00000000-0005-0000-0000-000057780000}"/>
    <cellStyle name="Normal 57 3 2 3 5 6" xfId="7449" xr:uid="{00000000-0005-0000-0000-000058780000}"/>
    <cellStyle name="Normal 57 3 2 3 5 6 2" xfId="19897" xr:uid="{00000000-0005-0000-0000-000059780000}"/>
    <cellStyle name="Normal 57 3 2 3 5 6 2 2" xfId="44771" xr:uid="{00000000-0005-0000-0000-00005A780000}"/>
    <cellStyle name="Normal 57 3 2 3 5 6 3" xfId="32338" xr:uid="{00000000-0005-0000-0000-00005B780000}"/>
    <cellStyle name="Normal 57 3 2 3 5 7" xfId="3077" xr:uid="{00000000-0005-0000-0000-00005C780000}"/>
    <cellStyle name="Normal 57 3 2 3 5 7 2" xfId="15586" xr:uid="{00000000-0005-0000-0000-00005D780000}"/>
    <cellStyle name="Normal 57 3 2 3 5 7 2 2" xfId="40460" xr:uid="{00000000-0005-0000-0000-00005E780000}"/>
    <cellStyle name="Normal 57 3 2 3 5 7 3" xfId="28019" xr:uid="{00000000-0005-0000-0000-00005F780000}"/>
    <cellStyle name="Normal 57 3 2 3 5 8" xfId="14890" xr:uid="{00000000-0005-0000-0000-000060780000}"/>
    <cellStyle name="Normal 57 3 2 3 5 8 2" xfId="39764" xr:uid="{00000000-0005-0000-0000-000061780000}"/>
    <cellStyle name="Normal 57 3 2 3 5 9" xfId="27323" xr:uid="{00000000-0005-0000-0000-000062780000}"/>
    <cellStyle name="Normal 57 3 2 3 6" xfId="1047" xr:uid="{00000000-0005-0000-0000-000063780000}"/>
    <cellStyle name="Normal 57 3 2 3 6 2" xfId="9033" xr:uid="{00000000-0005-0000-0000-000064780000}"/>
    <cellStyle name="Normal 57 3 2 3 6 2 2" xfId="21476" xr:uid="{00000000-0005-0000-0000-000065780000}"/>
    <cellStyle name="Normal 57 3 2 3 6 2 2 2" xfId="46350" xr:uid="{00000000-0005-0000-0000-000066780000}"/>
    <cellStyle name="Normal 57 3 2 3 6 2 3" xfId="33917" xr:uid="{00000000-0005-0000-0000-000067780000}"/>
    <cellStyle name="Normal 57 3 2 3 6 3" xfId="4015" xr:uid="{00000000-0005-0000-0000-000068780000}"/>
    <cellStyle name="Normal 57 3 2 3 6 3 2" xfId="16469" xr:uid="{00000000-0005-0000-0000-000069780000}"/>
    <cellStyle name="Normal 57 3 2 3 6 3 2 2" xfId="41343" xr:uid="{00000000-0005-0000-0000-00006A780000}"/>
    <cellStyle name="Normal 57 3 2 3 6 3 3" xfId="28910" xr:uid="{00000000-0005-0000-0000-00006B780000}"/>
    <cellStyle name="Normal 57 3 2 3 6 4" xfId="13847" xr:uid="{00000000-0005-0000-0000-00006C780000}"/>
    <cellStyle name="Normal 57 3 2 3 6 4 2" xfId="38721" xr:uid="{00000000-0005-0000-0000-00006D780000}"/>
    <cellStyle name="Normal 57 3 2 3 6 5" xfId="26280" xr:uid="{00000000-0005-0000-0000-00006E780000}"/>
    <cellStyle name="Normal 57 3 2 3 7" xfId="5192" xr:uid="{00000000-0005-0000-0000-00006F780000}"/>
    <cellStyle name="Normal 57 3 2 3 7 2" xfId="10208" xr:uid="{00000000-0005-0000-0000-000070780000}"/>
    <cellStyle name="Normal 57 3 2 3 7 2 2" xfId="22651" xr:uid="{00000000-0005-0000-0000-000071780000}"/>
    <cellStyle name="Normal 57 3 2 3 7 2 2 2" xfId="47525" xr:uid="{00000000-0005-0000-0000-000072780000}"/>
    <cellStyle name="Normal 57 3 2 3 7 2 3" xfId="35092" xr:uid="{00000000-0005-0000-0000-000073780000}"/>
    <cellStyle name="Normal 57 3 2 3 7 3" xfId="17644" xr:uid="{00000000-0005-0000-0000-000074780000}"/>
    <cellStyle name="Normal 57 3 2 3 7 3 2" xfId="42518" xr:uid="{00000000-0005-0000-0000-000075780000}"/>
    <cellStyle name="Normal 57 3 2 3 7 4" xfId="30085" xr:uid="{00000000-0005-0000-0000-000076780000}"/>
    <cellStyle name="Normal 57 3 2 3 8" xfId="7769" xr:uid="{00000000-0005-0000-0000-000077780000}"/>
    <cellStyle name="Normal 57 3 2 3 8 2" xfId="20215" xr:uid="{00000000-0005-0000-0000-000078780000}"/>
    <cellStyle name="Normal 57 3 2 3 8 2 2" xfId="45089" xr:uid="{00000000-0005-0000-0000-000079780000}"/>
    <cellStyle name="Normal 57 3 2 3 8 3" xfId="32656" xr:uid="{00000000-0005-0000-0000-00007A780000}"/>
    <cellStyle name="Normal 57 3 2 3 9" xfId="11662" xr:uid="{00000000-0005-0000-0000-00007B780000}"/>
    <cellStyle name="Normal 57 3 2 3 9 2" xfId="24096" xr:uid="{00000000-0005-0000-0000-00007C780000}"/>
    <cellStyle name="Normal 57 3 2 3 9 2 2" xfId="48970" xr:uid="{00000000-0005-0000-0000-00007D780000}"/>
    <cellStyle name="Normal 57 3 2 3 9 3" xfId="36537" xr:uid="{00000000-0005-0000-0000-00007E780000}"/>
    <cellStyle name="Normal 57 3 2 3_Degree data" xfId="2456" xr:uid="{00000000-0005-0000-0000-00007F780000}"/>
    <cellStyle name="Normal 57 3 2 4" xfId="393" xr:uid="{00000000-0005-0000-0000-000080780000}"/>
    <cellStyle name="Normal 57 3 2 4 10" xfId="13209" xr:uid="{00000000-0005-0000-0000-000081780000}"/>
    <cellStyle name="Normal 57 3 2 4 10 2" xfId="38083" xr:uid="{00000000-0005-0000-0000-000082780000}"/>
    <cellStyle name="Normal 57 3 2 4 11" xfId="25642" xr:uid="{00000000-0005-0000-0000-000083780000}"/>
    <cellStyle name="Normal 57 3 2 4 2" xfId="753" xr:uid="{00000000-0005-0000-0000-000084780000}"/>
    <cellStyle name="Normal 57 3 2 4 2 2" xfId="1493" xr:uid="{00000000-0005-0000-0000-000085780000}"/>
    <cellStyle name="Normal 57 3 2 4 2 2 2" xfId="9597" xr:uid="{00000000-0005-0000-0000-000086780000}"/>
    <cellStyle name="Normal 57 3 2 4 2 2 2 2" xfId="22040" xr:uid="{00000000-0005-0000-0000-000087780000}"/>
    <cellStyle name="Normal 57 3 2 4 2 2 2 2 2" xfId="46914" xr:uid="{00000000-0005-0000-0000-000088780000}"/>
    <cellStyle name="Normal 57 3 2 4 2 2 2 3" xfId="34481" xr:uid="{00000000-0005-0000-0000-000089780000}"/>
    <cellStyle name="Normal 57 3 2 4 2 2 3" xfId="4579" xr:uid="{00000000-0005-0000-0000-00008A780000}"/>
    <cellStyle name="Normal 57 3 2 4 2 2 3 2" xfId="17033" xr:uid="{00000000-0005-0000-0000-00008B780000}"/>
    <cellStyle name="Normal 57 3 2 4 2 2 3 2 2" xfId="41907" xr:uid="{00000000-0005-0000-0000-00008C780000}"/>
    <cellStyle name="Normal 57 3 2 4 2 2 3 3" xfId="29474" xr:uid="{00000000-0005-0000-0000-00008D780000}"/>
    <cellStyle name="Normal 57 3 2 4 2 2 4" xfId="14293" xr:uid="{00000000-0005-0000-0000-00008E780000}"/>
    <cellStyle name="Normal 57 3 2 4 2 2 4 2" xfId="39167" xr:uid="{00000000-0005-0000-0000-00008F780000}"/>
    <cellStyle name="Normal 57 3 2 4 2 2 5" xfId="26726" xr:uid="{00000000-0005-0000-0000-000090780000}"/>
    <cellStyle name="Normal 57 3 2 4 2 3" xfId="5638" xr:uid="{00000000-0005-0000-0000-000091780000}"/>
    <cellStyle name="Normal 57 3 2 4 2 3 2" xfId="10654" xr:uid="{00000000-0005-0000-0000-000092780000}"/>
    <cellStyle name="Normal 57 3 2 4 2 3 2 2" xfId="23097" xr:uid="{00000000-0005-0000-0000-000093780000}"/>
    <cellStyle name="Normal 57 3 2 4 2 3 2 2 2" xfId="47971" xr:uid="{00000000-0005-0000-0000-000094780000}"/>
    <cellStyle name="Normal 57 3 2 4 2 3 2 3" xfId="35538" xr:uid="{00000000-0005-0000-0000-000095780000}"/>
    <cellStyle name="Normal 57 3 2 4 2 3 3" xfId="18090" xr:uid="{00000000-0005-0000-0000-000096780000}"/>
    <cellStyle name="Normal 57 3 2 4 2 3 3 2" xfId="42964" xr:uid="{00000000-0005-0000-0000-000097780000}"/>
    <cellStyle name="Normal 57 3 2 4 2 3 4" xfId="30531" xr:uid="{00000000-0005-0000-0000-000098780000}"/>
    <cellStyle name="Normal 57 3 2 4 2 4" xfId="8713" xr:uid="{00000000-0005-0000-0000-000099780000}"/>
    <cellStyle name="Normal 57 3 2 4 2 4 2" xfId="21157" xr:uid="{00000000-0005-0000-0000-00009A780000}"/>
    <cellStyle name="Normal 57 3 2 4 2 4 2 2" xfId="46031" xr:uid="{00000000-0005-0000-0000-00009B780000}"/>
    <cellStyle name="Normal 57 3 2 4 2 4 3" xfId="33598" xr:uid="{00000000-0005-0000-0000-00009C780000}"/>
    <cellStyle name="Normal 57 3 2 4 2 5" xfId="12108" xr:uid="{00000000-0005-0000-0000-00009D780000}"/>
    <cellStyle name="Normal 57 3 2 4 2 5 2" xfId="24542" xr:uid="{00000000-0005-0000-0000-00009E780000}"/>
    <cellStyle name="Normal 57 3 2 4 2 5 2 2" xfId="49416" xr:uid="{00000000-0005-0000-0000-00009F780000}"/>
    <cellStyle name="Normal 57 3 2 4 2 5 3" xfId="36983" xr:uid="{00000000-0005-0000-0000-0000A0780000}"/>
    <cellStyle name="Normal 57 3 2 4 2 6" xfId="7190" xr:uid="{00000000-0005-0000-0000-0000A1780000}"/>
    <cellStyle name="Normal 57 3 2 4 2 6 2" xfId="19639" xr:uid="{00000000-0005-0000-0000-0000A2780000}"/>
    <cellStyle name="Normal 57 3 2 4 2 6 2 2" xfId="44513" xr:uid="{00000000-0005-0000-0000-0000A3780000}"/>
    <cellStyle name="Normal 57 3 2 4 2 6 3" xfId="32080" xr:uid="{00000000-0005-0000-0000-0000A4780000}"/>
    <cellStyle name="Normal 57 3 2 4 2 7" xfId="3644" xr:uid="{00000000-0005-0000-0000-0000A5780000}"/>
    <cellStyle name="Normal 57 3 2 4 2 7 2" xfId="16150" xr:uid="{00000000-0005-0000-0000-0000A6780000}"/>
    <cellStyle name="Normal 57 3 2 4 2 7 2 2" xfId="41024" xr:uid="{00000000-0005-0000-0000-0000A7780000}"/>
    <cellStyle name="Normal 57 3 2 4 2 7 3" xfId="28583" xr:uid="{00000000-0005-0000-0000-0000A8780000}"/>
    <cellStyle name="Normal 57 3 2 4 2 8" xfId="13556" xr:uid="{00000000-0005-0000-0000-0000A9780000}"/>
    <cellStyle name="Normal 57 3 2 4 2 8 2" xfId="38430" xr:uid="{00000000-0005-0000-0000-0000AA780000}"/>
    <cellStyle name="Normal 57 3 2 4 2 9" xfId="25989" xr:uid="{00000000-0005-0000-0000-0000AB780000}"/>
    <cellStyle name="Normal 57 3 2 4 3" xfId="1841" xr:uid="{00000000-0005-0000-0000-0000AC780000}"/>
    <cellStyle name="Normal 57 3 2 4 3 2" xfId="4938" xr:uid="{00000000-0005-0000-0000-0000AD780000}"/>
    <cellStyle name="Normal 57 3 2 4 3 2 2" xfId="9955" xr:uid="{00000000-0005-0000-0000-0000AE780000}"/>
    <cellStyle name="Normal 57 3 2 4 3 2 2 2" xfId="22398" xr:uid="{00000000-0005-0000-0000-0000AF780000}"/>
    <cellStyle name="Normal 57 3 2 4 3 2 2 2 2" xfId="47272" xr:uid="{00000000-0005-0000-0000-0000B0780000}"/>
    <cellStyle name="Normal 57 3 2 4 3 2 2 3" xfId="34839" xr:uid="{00000000-0005-0000-0000-0000B1780000}"/>
    <cellStyle name="Normal 57 3 2 4 3 2 3" xfId="17391" xr:uid="{00000000-0005-0000-0000-0000B2780000}"/>
    <cellStyle name="Normal 57 3 2 4 3 2 3 2" xfId="42265" xr:uid="{00000000-0005-0000-0000-0000B3780000}"/>
    <cellStyle name="Normal 57 3 2 4 3 2 4" xfId="29832" xr:uid="{00000000-0005-0000-0000-0000B4780000}"/>
    <cellStyle name="Normal 57 3 2 4 3 3" xfId="5987" xr:uid="{00000000-0005-0000-0000-0000B5780000}"/>
    <cellStyle name="Normal 57 3 2 4 3 3 2" xfId="11002" xr:uid="{00000000-0005-0000-0000-0000B6780000}"/>
    <cellStyle name="Normal 57 3 2 4 3 3 2 2" xfId="23445" xr:uid="{00000000-0005-0000-0000-0000B7780000}"/>
    <cellStyle name="Normal 57 3 2 4 3 3 2 2 2" xfId="48319" xr:uid="{00000000-0005-0000-0000-0000B8780000}"/>
    <cellStyle name="Normal 57 3 2 4 3 3 2 3" xfId="35886" xr:uid="{00000000-0005-0000-0000-0000B9780000}"/>
    <cellStyle name="Normal 57 3 2 4 3 3 3" xfId="18438" xr:uid="{00000000-0005-0000-0000-0000BA780000}"/>
    <cellStyle name="Normal 57 3 2 4 3 3 3 2" xfId="43312" xr:uid="{00000000-0005-0000-0000-0000BB780000}"/>
    <cellStyle name="Normal 57 3 2 4 3 3 4" xfId="30879" xr:uid="{00000000-0005-0000-0000-0000BC780000}"/>
    <cellStyle name="Normal 57 3 2 4 3 4" xfId="8362" xr:uid="{00000000-0005-0000-0000-0000BD780000}"/>
    <cellStyle name="Normal 57 3 2 4 3 4 2" xfId="20806" xr:uid="{00000000-0005-0000-0000-0000BE780000}"/>
    <cellStyle name="Normal 57 3 2 4 3 4 2 2" xfId="45680" xr:uid="{00000000-0005-0000-0000-0000BF780000}"/>
    <cellStyle name="Normal 57 3 2 4 3 4 3" xfId="33247" xr:uid="{00000000-0005-0000-0000-0000C0780000}"/>
    <cellStyle name="Normal 57 3 2 4 3 5" xfId="12456" xr:uid="{00000000-0005-0000-0000-0000C1780000}"/>
    <cellStyle name="Normal 57 3 2 4 3 5 2" xfId="24890" xr:uid="{00000000-0005-0000-0000-0000C2780000}"/>
    <cellStyle name="Normal 57 3 2 4 3 5 2 2" xfId="49764" xr:uid="{00000000-0005-0000-0000-0000C3780000}"/>
    <cellStyle name="Normal 57 3 2 4 3 5 3" xfId="37331" xr:uid="{00000000-0005-0000-0000-0000C4780000}"/>
    <cellStyle name="Normal 57 3 2 4 3 6" xfId="7549" xr:uid="{00000000-0005-0000-0000-0000C5780000}"/>
    <cellStyle name="Normal 57 3 2 4 3 6 2" xfId="19997" xr:uid="{00000000-0005-0000-0000-0000C6780000}"/>
    <cellStyle name="Normal 57 3 2 4 3 6 2 2" xfId="44871" xr:uid="{00000000-0005-0000-0000-0000C7780000}"/>
    <cellStyle name="Normal 57 3 2 4 3 6 3" xfId="32438" xr:uid="{00000000-0005-0000-0000-0000C8780000}"/>
    <cellStyle name="Normal 57 3 2 4 3 7" xfId="3293" xr:uid="{00000000-0005-0000-0000-0000C9780000}"/>
    <cellStyle name="Normal 57 3 2 4 3 7 2" xfId="15799" xr:uid="{00000000-0005-0000-0000-0000CA780000}"/>
    <cellStyle name="Normal 57 3 2 4 3 7 2 2" xfId="40673" xr:uid="{00000000-0005-0000-0000-0000CB780000}"/>
    <cellStyle name="Normal 57 3 2 4 3 7 3" xfId="28232" xr:uid="{00000000-0005-0000-0000-0000CC780000}"/>
    <cellStyle name="Normal 57 3 2 4 3 8" xfId="14641" xr:uid="{00000000-0005-0000-0000-0000CD780000}"/>
    <cellStyle name="Normal 57 3 2 4 3 8 2" xfId="39515" xr:uid="{00000000-0005-0000-0000-0000CE780000}"/>
    <cellStyle name="Normal 57 3 2 4 3 9" xfId="27074" xr:uid="{00000000-0005-0000-0000-0000CF780000}"/>
    <cellStyle name="Normal 57 3 2 4 4" xfId="2311" xr:uid="{00000000-0005-0000-0000-0000D0780000}"/>
    <cellStyle name="Normal 57 3 2 4 4 2" xfId="6336" xr:uid="{00000000-0005-0000-0000-0000D1780000}"/>
    <cellStyle name="Normal 57 3 2 4 4 2 2" xfId="11351" xr:uid="{00000000-0005-0000-0000-0000D2780000}"/>
    <cellStyle name="Normal 57 3 2 4 4 2 2 2" xfId="23794" xr:uid="{00000000-0005-0000-0000-0000D3780000}"/>
    <cellStyle name="Normal 57 3 2 4 4 2 2 2 2" xfId="48668" xr:uid="{00000000-0005-0000-0000-0000D4780000}"/>
    <cellStyle name="Normal 57 3 2 4 4 2 2 3" xfId="36235" xr:uid="{00000000-0005-0000-0000-0000D5780000}"/>
    <cellStyle name="Normal 57 3 2 4 4 2 3" xfId="18787" xr:uid="{00000000-0005-0000-0000-0000D6780000}"/>
    <cellStyle name="Normal 57 3 2 4 4 2 3 2" xfId="43661" xr:uid="{00000000-0005-0000-0000-0000D7780000}"/>
    <cellStyle name="Normal 57 3 2 4 4 2 4" xfId="31228" xr:uid="{00000000-0005-0000-0000-0000D8780000}"/>
    <cellStyle name="Normal 57 3 2 4 4 3" xfId="12805" xr:uid="{00000000-0005-0000-0000-0000D9780000}"/>
    <cellStyle name="Normal 57 3 2 4 4 3 2" xfId="25239" xr:uid="{00000000-0005-0000-0000-0000DA780000}"/>
    <cellStyle name="Normal 57 3 2 4 4 3 2 2" xfId="50113" xr:uid="{00000000-0005-0000-0000-0000DB780000}"/>
    <cellStyle name="Normal 57 3 2 4 4 3 3" xfId="37680" xr:uid="{00000000-0005-0000-0000-0000DC780000}"/>
    <cellStyle name="Normal 57 3 2 4 4 4" xfId="9246" xr:uid="{00000000-0005-0000-0000-0000DD780000}"/>
    <cellStyle name="Normal 57 3 2 4 4 4 2" xfId="21689" xr:uid="{00000000-0005-0000-0000-0000DE780000}"/>
    <cellStyle name="Normal 57 3 2 4 4 4 2 2" xfId="46563" xr:uid="{00000000-0005-0000-0000-0000DF780000}"/>
    <cellStyle name="Normal 57 3 2 4 4 4 3" xfId="34130" xr:uid="{00000000-0005-0000-0000-0000E0780000}"/>
    <cellStyle name="Normal 57 3 2 4 4 5" xfId="4228" xr:uid="{00000000-0005-0000-0000-0000E1780000}"/>
    <cellStyle name="Normal 57 3 2 4 4 5 2" xfId="16682" xr:uid="{00000000-0005-0000-0000-0000E2780000}"/>
    <cellStyle name="Normal 57 3 2 4 4 5 2 2" xfId="41556" xr:uid="{00000000-0005-0000-0000-0000E3780000}"/>
    <cellStyle name="Normal 57 3 2 4 4 5 3" xfId="29123" xr:uid="{00000000-0005-0000-0000-0000E4780000}"/>
    <cellStyle name="Normal 57 3 2 4 4 6" xfId="14990" xr:uid="{00000000-0005-0000-0000-0000E5780000}"/>
    <cellStyle name="Normal 57 3 2 4 4 6 2" xfId="39864" xr:uid="{00000000-0005-0000-0000-0000E6780000}"/>
    <cellStyle name="Normal 57 3 2 4 4 7" xfId="27423" xr:uid="{00000000-0005-0000-0000-0000E7780000}"/>
    <cellStyle name="Normal 57 3 2 4 5" xfId="1147" xr:uid="{00000000-0005-0000-0000-0000E8780000}"/>
    <cellStyle name="Normal 57 3 2 4 5 2" xfId="10308" xr:uid="{00000000-0005-0000-0000-0000E9780000}"/>
    <cellStyle name="Normal 57 3 2 4 5 2 2" xfId="22751" xr:uid="{00000000-0005-0000-0000-0000EA780000}"/>
    <cellStyle name="Normal 57 3 2 4 5 2 2 2" xfId="47625" xr:uid="{00000000-0005-0000-0000-0000EB780000}"/>
    <cellStyle name="Normal 57 3 2 4 5 2 3" xfId="35192" xr:uid="{00000000-0005-0000-0000-0000EC780000}"/>
    <cellStyle name="Normal 57 3 2 4 5 3" xfId="5292" xr:uid="{00000000-0005-0000-0000-0000ED780000}"/>
    <cellStyle name="Normal 57 3 2 4 5 3 2" xfId="17744" xr:uid="{00000000-0005-0000-0000-0000EE780000}"/>
    <cellStyle name="Normal 57 3 2 4 5 3 2 2" xfId="42618" xr:uid="{00000000-0005-0000-0000-0000EF780000}"/>
    <cellStyle name="Normal 57 3 2 4 5 3 3" xfId="30185" xr:uid="{00000000-0005-0000-0000-0000F0780000}"/>
    <cellStyle name="Normal 57 3 2 4 5 4" xfId="13947" xr:uid="{00000000-0005-0000-0000-0000F1780000}"/>
    <cellStyle name="Normal 57 3 2 4 5 4 2" xfId="38821" xr:uid="{00000000-0005-0000-0000-0000F2780000}"/>
    <cellStyle name="Normal 57 3 2 4 5 5" xfId="26380" xr:uid="{00000000-0005-0000-0000-0000F3780000}"/>
    <cellStyle name="Normal 57 3 2 4 6" xfId="7869" xr:uid="{00000000-0005-0000-0000-0000F4780000}"/>
    <cellStyle name="Normal 57 3 2 4 6 2" xfId="20315" xr:uid="{00000000-0005-0000-0000-0000F5780000}"/>
    <cellStyle name="Normal 57 3 2 4 6 2 2" xfId="45189" xr:uid="{00000000-0005-0000-0000-0000F6780000}"/>
    <cellStyle name="Normal 57 3 2 4 6 3" xfId="32756" xr:uid="{00000000-0005-0000-0000-0000F7780000}"/>
    <cellStyle name="Normal 57 3 2 4 7" xfId="11762" xr:uid="{00000000-0005-0000-0000-0000F8780000}"/>
    <cellStyle name="Normal 57 3 2 4 7 2" xfId="24196" xr:uid="{00000000-0005-0000-0000-0000F9780000}"/>
    <cellStyle name="Normal 57 3 2 4 7 2 2" xfId="49070" xr:uid="{00000000-0005-0000-0000-0000FA780000}"/>
    <cellStyle name="Normal 57 3 2 4 7 3" xfId="36637" xr:uid="{00000000-0005-0000-0000-0000FB780000}"/>
    <cellStyle name="Normal 57 3 2 4 8" xfId="6839" xr:uid="{00000000-0005-0000-0000-0000FC780000}"/>
    <cellStyle name="Normal 57 3 2 4 8 2" xfId="19288" xr:uid="{00000000-0005-0000-0000-0000FD780000}"/>
    <cellStyle name="Normal 57 3 2 4 8 2 2" xfId="44162" xr:uid="{00000000-0005-0000-0000-0000FE780000}"/>
    <cellStyle name="Normal 57 3 2 4 8 3" xfId="31729" xr:uid="{00000000-0005-0000-0000-0000FF780000}"/>
    <cellStyle name="Normal 57 3 2 4 9" xfId="2790" xr:uid="{00000000-0005-0000-0000-000000790000}"/>
    <cellStyle name="Normal 57 3 2 4 9 2" xfId="15308" xr:uid="{00000000-0005-0000-0000-000001790000}"/>
    <cellStyle name="Normal 57 3 2 4 9 2 2" xfId="40182" xr:uid="{00000000-0005-0000-0000-000002790000}"/>
    <cellStyle name="Normal 57 3 2 4 9 3" xfId="27741" xr:uid="{00000000-0005-0000-0000-000003790000}"/>
    <cellStyle name="Normal 57 3 2 4_Degree data" xfId="2458" xr:uid="{00000000-0005-0000-0000-000004790000}"/>
    <cellStyle name="Normal 57 3 2 5" xfId="225" xr:uid="{00000000-0005-0000-0000-000005790000}"/>
    <cellStyle name="Normal 57 3 2 5 10" xfId="13052" xr:uid="{00000000-0005-0000-0000-000006790000}"/>
    <cellStyle name="Normal 57 3 2 5 10 2" xfId="37926" xr:uid="{00000000-0005-0000-0000-000007790000}"/>
    <cellStyle name="Normal 57 3 2 5 11" xfId="25485" xr:uid="{00000000-0005-0000-0000-000008790000}"/>
    <cellStyle name="Normal 57 3 2 5 2" xfId="590" xr:uid="{00000000-0005-0000-0000-000009790000}"/>
    <cellStyle name="Normal 57 3 2 5 2 2" xfId="1494" xr:uid="{00000000-0005-0000-0000-00000A790000}"/>
    <cellStyle name="Normal 57 3 2 5 2 2 2" xfId="9598" xr:uid="{00000000-0005-0000-0000-00000B790000}"/>
    <cellStyle name="Normal 57 3 2 5 2 2 2 2" xfId="22041" xr:uid="{00000000-0005-0000-0000-00000C790000}"/>
    <cellStyle name="Normal 57 3 2 5 2 2 2 2 2" xfId="46915" xr:uid="{00000000-0005-0000-0000-00000D790000}"/>
    <cellStyle name="Normal 57 3 2 5 2 2 2 3" xfId="34482" xr:uid="{00000000-0005-0000-0000-00000E790000}"/>
    <cellStyle name="Normal 57 3 2 5 2 2 3" xfId="4580" xr:uid="{00000000-0005-0000-0000-00000F790000}"/>
    <cellStyle name="Normal 57 3 2 5 2 2 3 2" xfId="17034" xr:uid="{00000000-0005-0000-0000-000010790000}"/>
    <cellStyle name="Normal 57 3 2 5 2 2 3 2 2" xfId="41908" xr:uid="{00000000-0005-0000-0000-000011790000}"/>
    <cellStyle name="Normal 57 3 2 5 2 2 3 3" xfId="29475" xr:uid="{00000000-0005-0000-0000-000012790000}"/>
    <cellStyle name="Normal 57 3 2 5 2 2 4" xfId="14294" xr:uid="{00000000-0005-0000-0000-000013790000}"/>
    <cellStyle name="Normal 57 3 2 5 2 2 4 2" xfId="39168" xr:uid="{00000000-0005-0000-0000-000014790000}"/>
    <cellStyle name="Normal 57 3 2 5 2 2 5" xfId="26727" xr:uid="{00000000-0005-0000-0000-000015790000}"/>
    <cellStyle name="Normal 57 3 2 5 2 3" xfId="5639" xr:uid="{00000000-0005-0000-0000-000016790000}"/>
    <cellStyle name="Normal 57 3 2 5 2 3 2" xfId="10655" xr:uid="{00000000-0005-0000-0000-000017790000}"/>
    <cellStyle name="Normal 57 3 2 5 2 3 2 2" xfId="23098" xr:uid="{00000000-0005-0000-0000-000018790000}"/>
    <cellStyle name="Normal 57 3 2 5 2 3 2 2 2" xfId="47972" xr:uid="{00000000-0005-0000-0000-000019790000}"/>
    <cellStyle name="Normal 57 3 2 5 2 3 2 3" xfId="35539" xr:uid="{00000000-0005-0000-0000-00001A790000}"/>
    <cellStyle name="Normal 57 3 2 5 2 3 3" xfId="18091" xr:uid="{00000000-0005-0000-0000-00001B790000}"/>
    <cellStyle name="Normal 57 3 2 5 2 3 3 2" xfId="42965" xr:uid="{00000000-0005-0000-0000-00001C790000}"/>
    <cellStyle name="Normal 57 3 2 5 2 3 4" xfId="30532" xr:uid="{00000000-0005-0000-0000-00001D790000}"/>
    <cellStyle name="Normal 57 3 2 5 2 4" xfId="8714" xr:uid="{00000000-0005-0000-0000-00001E790000}"/>
    <cellStyle name="Normal 57 3 2 5 2 4 2" xfId="21158" xr:uid="{00000000-0005-0000-0000-00001F790000}"/>
    <cellStyle name="Normal 57 3 2 5 2 4 2 2" xfId="46032" xr:uid="{00000000-0005-0000-0000-000020790000}"/>
    <cellStyle name="Normal 57 3 2 5 2 4 3" xfId="33599" xr:uid="{00000000-0005-0000-0000-000021790000}"/>
    <cellStyle name="Normal 57 3 2 5 2 5" xfId="12109" xr:uid="{00000000-0005-0000-0000-000022790000}"/>
    <cellStyle name="Normal 57 3 2 5 2 5 2" xfId="24543" xr:uid="{00000000-0005-0000-0000-000023790000}"/>
    <cellStyle name="Normal 57 3 2 5 2 5 2 2" xfId="49417" xr:uid="{00000000-0005-0000-0000-000024790000}"/>
    <cellStyle name="Normal 57 3 2 5 2 5 3" xfId="36984" xr:uid="{00000000-0005-0000-0000-000025790000}"/>
    <cellStyle name="Normal 57 3 2 5 2 6" xfId="7191" xr:uid="{00000000-0005-0000-0000-000026790000}"/>
    <cellStyle name="Normal 57 3 2 5 2 6 2" xfId="19640" xr:uid="{00000000-0005-0000-0000-000027790000}"/>
    <cellStyle name="Normal 57 3 2 5 2 6 2 2" xfId="44514" xr:uid="{00000000-0005-0000-0000-000028790000}"/>
    <cellStyle name="Normal 57 3 2 5 2 6 3" xfId="32081" xr:uid="{00000000-0005-0000-0000-000029790000}"/>
    <cellStyle name="Normal 57 3 2 5 2 7" xfId="3645" xr:uid="{00000000-0005-0000-0000-00002A790000}"/>
    <cellStyle name="Normal 57 3 2 5 2 7 2" xfId="16151" xr:uid="{00000000-0005-0000-0000-00002B790000}"/>
    <cellStyle name="Normal 57 3 2 5 2 7 2 2" xfId="41025" xr:uid="{00000000-0005-0000-0000-00002C790000}"/>
    <cellStyle name="Normal 57 3 2 5 2 7 3" xfId="28584" xr:uid="{00000000-0005-0000-0000-00002D790000}"/>
    <cellStyle name="Normal 57 3 2 5 2 8" xfId="13399" xr:uid="{00000000-0005-0000-0000-00002E790000}"/>
    <cellStyle name="Normal 57 3 2 5 2 8 2" xfId="38273" xr:uid="{00000000-0005-0000-0000-00002F790000}"/>
    <cellStyle name="Normal 57 3 2 5 2 9" xfId="25832" xr:uid="{00000000-0005-0000-0000-000030790000}"/>
    <cellStyle name="Normal 57 3 2 5 3" xfId="1842" xr:uid="{00000000-0005-0000-0000-000031790000}"/>
    <cellStyle name="Normal 57 3 2 5 3 2" xfId="4781" xr:uid="{00000000-0005-0000-0000-000032790000}"/>
    <cellStyle name="Normal 57 3 2 5 3 2 2" xfId="9798" xr:uid="{00000000-0005-0000-0000-000033790000}"/>
    <cellStyle name="Normal 57 3 2 5 3 2 2 2" xfId="22241" xr:uid="{00000000-0005-0000-0000-000034790000}"/>
    <cellStyle name="Normal 57 3 2 5 3 2 2 2 2" xfId="47115" xr:uid="{00000000-0005-0000-0000-000035790000}"/>
    <cellStyle name="Normal 57 3 2 5 3 2 2 3" xfId="34682" xr:uid="{00000000-0005-0000-0000-000036790000}"/>
    <cellStyle name="Normal 57 3 2 5 3 2 3" xfId="17234" xr:uid="{00000000-0005-0000-0000-000037790000}"/>
    <cellStyle name="Normal 57 3 2 5 3 2 3 2" xfId="42108" xr:uid="{00000000-0005-0000-0000-000038790000}"/>
    <cellStyle name="Normal 57 3 2 5 3 2 4" xfId="29675" xr:uid="{00000000-0005-0000-0000-000039790000}"/>
    <cellStyle name="Normal 57 3 2 5 3 3" xfId="5988" xr:uid="{00000000-0005-0000-0000-00003A790000}"/>
    <cellStyle name="Normal 57 3 2 5 3 3 2" xfId="11003" xr:uid="{00000000-0005-0000-0000-00003B790000}"/>
    <cellStyle name="Normal 57 3 2 5 3 3 2 2" xfId="23446" xr:uid="{00000000-0005-0000-0000-00003C790000}"/>
    <cellStyle name="Normal 57 3 2 5 3 3 2 2 2" xfId="48320" xr:uid="{00000000-0005-0000-0000-00003D790000}"/>
    <cellStyle name="Normal 57 3 2 5 3 3 2 3" xfId="35887" xr:uid="{00000000-0005-0000-0000-00003E790000}"/>
    <cellStyle name="Normal 57 3 2 5 3 3 3" xfId="18439" xr:uid="{00000000-0005-0000-0000-00003F790000}"/>
    <cellStyle name="Normal 57 3 2 5 3 3 3 2" xfId="43313" xr:uid="{00000000-0005-0000-0000-000040790000}"/>
    <cellStyle name="Normal 57 3 2 5 3 3 4" xfId="30880" xr:uid="{00000000-0005-0000-0000-000041790000}"/>
    <cellStyle name="Normal 57 3 2 5 3 4" xfId="8874" xr:uid="{00000000-0005-0000-0000-000042790000}"/>
    <cellStyle name="Normal 57 3 2 5 3 4 2" xfId="21317" xr:uid="{00000000-0005-0000-0000-000043790000}"/>
    <cellStyle name="Normal 57 3 2 5 3 4 2 2" xfId="46191" xr:uid="{00000000-0005-0000-0000-000044790000}"/>
    <cellStyle name="Normal 57 3 2 5 3 4 3" xfId="33758" xr:uid="{00000000-0005-0000-0000-000045790000}"/>
    <cellStyle name="Normal 57 3 2 5 3 5" xfId="12457" xr:uid="{00000000-0005-0000-0000-000046790000}"/>
    <cellStyle name="Normal 57 3 2 5 3 5 2" xfId="24891" xr:uid="{00000000-0005-0000-0000-000047790000}"/>
    <cellStyle name="Normal 57 3 2 5 3 5 2 2" xfId="49765" xr:uid="{00000000-0005-0000-0000-000048790000}"/>
    <cellStyle name="Normal 57 3 2 5 3 5 3" xfId="37332" xr:uid="{00000000-0005-0000-0000-000049790000}"/>
    <cellStyle name="Normal 57 3 2 5 3 6" xfId="7392" xr:uid="{00000000-0005-0000-0000-00004A790000}"/>
    <cellStyle name="Normal 57 3 2 5 3 6 2" xfId="19840" xr:uid="{00000000-0005-0000-0000-00004B790000}"/>
    <cellStyle name="Normal 57 3 2 5 3 6 2 2" xfId="44714" xr:uid="{00000000-0005-0000-0000-00004C790000}"/>
    <cellStyle name="Normal 57 3 2 5 3 6 3" xfId="32281" xr:uid="{00000000-0005-0000-0000-00004D790000}"/>
    <cellStyle name="Normal 57 3 2 5 3 7" xfId="3856" xr:uid="{00000000-0005-0000-0000-00004E790000}"/>
    <cellStyle name="Normal 57 3 2 5 3 7 2" xfId="16310" xr:uid="{00000000-0005-0000-0000-00004F790000}"/>
    <cellStyle name="Normal 57 3 2 5 3 7 2 2" xfId="41184" xr:uid="{00000000-0005-0000-0000-000050790000}"/>
    <cellStyle name="Normal 57 3 2 5 3 7 3" xfId="28751" xr:uid="{00000000-0005-0000-0000-000051790000}"/>
    <cellStyle name="Normal 57 3 2 5 3 8" xfId="14642" xr:uid="{00000000-0005-0000-0000-000052790000}"/>
    <cellStyle name="Normal 57 3 2 5 3 8 2" xfId="39516" xr:uid="{00000000-0005-0000-0000-000053790000}"/>
    <cellStyle name="Normal 57 3 2 5 3 9" xfId="27075" xr:uid="{00000000-0005-0000-0000-000054790000}"/>
    <cellStyle name="Normal 57 3 2 5 4" xfId="2143" xr:uid="{00000000-0005-0000-0000-000055790000}"/>
    <cellStyle name="Normal 57 3 2 5 4 2" xfId="6179" xr:uid="{00000000-0005-0000-0000-000056790000}"/>
    <cellStyle name="Normal 57 3 2 5 4 2 2" xfId="11194" xr:uid="{00000000-0005-0000-0000-000057790000}"/>
    <cellStyle name="Normal 57 3 2 5 4 2 2 2" xfId="23637" xr:uid="{00000000-0005-0000-0000-000058790000}"/>
    <cellStyle name="Normal 57 3 2 5 4 2 2 2 2" xfId="48511" xr:uid="{00000000-0005-0000-0000-000059790000}"/>
    <cellStyle name="Normal 57 3 2 5 4 2 2 3" xfId="36078" xr:uid="{00000000-0005-0000-0000-00005A790000}"/>
    <cellStyle name="Normal 57 3 2 5 4 2 3" xfId="18630" xr:uid="{00000000-0005-0000-0000-00005B790000}"/>
    <cellStyle name="Normal 57 3 2 5 4 2 3 2" xfId="43504" xr:uid="{00000000-0005-0000-0000-00005C790000}"/>
    <cellStyle name="Normal 57 3 2 5 4 2 4" xfId="31071" xr:uid="{00000000-0005-0000-0000-00005D790000}"/>
    <cellStyle name="Normal 57 3 2 5 4 3" xfId="12648" xr:uid="{00000000-0005-0000-0000-00005E790000}"/>
    <cellStyle name="Normal 57 3 2 5 4 3 2" xfId="25082" xr:uid="{00000000-0005-0000-0000-00005F790000}"/>
    <cellStyle name="Normal 57 3 2 5 4 3 2 2" xfId="49956" xr:uid="{00000000-0005-0000-0000-000060790000}"/>
    <cellStyle name="Normal 57 3 2 5 4 3 3" xfId="37523" xr:uid="{00000000-0005-0000-0000-000061790000}"/>
    <cellStyle name="Normal 57 3 2 5 4 4" xfId="9089" xr:uid="{00000000-0005-0000-0000-000062790000}"/>
    <cellStyle name="Normal 57 3 2 5 4 4 2" xfId="21532" xr:uid="{00000000-0005-0000-0000-000063790000}"/>
    <cellStyle name="Normal 57 3 2 5 4 4 2 2" xfId="46406" xr:uid="{00000000-0005-0000-0000-000064790000}"/>
    <cellStyle name="Normal 57 3 2 5 4 4 3" xfId="33973" xr:uid="{00000000-0005-0000-0000-000065790000}"/>
    <cellStyle name="Normal 57 3 2 5 4 5" xfId="4071" xr:uid="{00000000-0005-0000-0000-000066790000}"/>
    <cellStyle name="Normal 57 3 2 5 4 5 2" xfId="16525" xr:uid="{00000000-0005-0000-0000-000067790000}"/>
    <cellStyle name="Normal 57 3 2 5 4 5 2 2" xfId="41399" xr:uid="{00000000-0005-0000-0000-000068790000}"/>
    <cellStyle name="Normal 57 3 2 5 4 5 3" xfId="28966" xr:uid="{00000000-0005-0000-0000-000069790000}"/>
    <cellStyle name="Normal 57 3 2 5 4 6" xfId="14833" xr:uid="{00000000-0005-0000-0000-00006A790000}"/>
    <cellStyle name="Normal 57 3 2 5 4 6 2" xfId="39707" xr:uid="{00000000-0005-0000-0000-00006B790000}"/>
    <cellStyle name="Normal 57 3 2 5 4 7" xfId="27266" xr:uid="{00000000-0005-0000-0000-00006C790000}"/>
    <cellStyle name="Normal 57 3 2 5 5" xfId="990" xr:uid="{00000000-0005-0000-0000-00006D790000}"/>
    <cellStyle name="Normal 57 3 2 5 5 2" xfId="10149" xr:uid="{00000000-0005-0000-0000-00006E790000}"/>
    <cellStyle name="Normal 57 3 2 5 5 2 2" xfId="22592" xr:uid="{00000000-0005-0000-0000-00006F790000}"/>
    <cellStyle name="Normal 57 3 2 5 5 2 2 2" xfId="47466" xr:uid="{00000000-0005-0000-0000-000070790000}"/>
    <cellStyle name="Normal 57 3 2 5 5 2 3" xfId="35033" xr:uid="{00000000-0005-0000-0000-000071790000}"/>
    <cellStyle name="Normal 57 3 2 5 5 3" xfId="5133" xr:uid="{00000000-0005-0000-0000-000072790000}"/>
    <cellStyle name="Normal 57 3 2 5 5 3 2" xfId="17585" xr:uid="{00000000-0005-0000-0000-000073790000}"/>
    <cellStyle name="Normal 57 3 2 5 5 3 2 2" xfId="42459" xr:uid="{00000000-0005-0000-0000-000074790000}"/>
    <cellStyle name="Normal 57 3 2 5 5 3 3" xfId="30026" xr:uid="{00000000-0005-0000-0000-000075790000}"/>
    <cellStyle name="Normal 57 3 2 5 5 4" xfId="13790" xr:uid="{00000000-0005-0000-0000-000076790000}"/>
    <cellStyle name="Normal 57 3 2 5 5 4 2" xfId="38664" xr:uid="{00000000-0005-0000-0000-000077790000}"/>
    <cellStyle name="Normal 57 3 2 5 5 5" xfId="26223" xr:uid="{00000000-0005-0000-0000-000078790000}"/>
    <cellStyle name="Normal 57 3 2 5 6" xfId="8205" xr:uid="{00000000-0005-0000-0000-000079790000}"/>
    <cellStyle name="Normal 57 3 2 5 6 2" xfId="20649" xr:uid="{00000000-0005-0000-0000-00007A790000}"/>
    <cellStyle name="Normal 57 3 2 5 6 2 2" xfId="45523" xr:uid="{00000000-0005-0000-0000-00007B790000}"/>
    <cellStyle name="Normal 57 3 2 5 6 3" xfId="33090" xr:uid="{00000000-0005-0000-0000-00007C790000}"/>
    <cellStyle name="Normal 57 3 2 5 7" xfId="11605" xr:uid="{00000000-0005-0000-0000-00007D790000}"/>
    <cellStyle name="Normal 57 3 2 5 7 2" xfId="24039" xr:uid="{00000000-0005-0000-0000-00007E790000}"/>
    <cellStyle name="Normal 57 3 2 5 7 2 2" xfId="48913" xr:uid="{00000000-0005-0000-0000-00007F790000}"/>
    <cellStyle name="Normal 57 3 2 5 7 3" xfId="36480" xr:uid="{00000000-0005-0000-0000-000080790000}"/>
    <cellStyle name="Normal 57 3 2 5 8" xfId="6682" xr:uid="{00000000-0005-0000-0000-000081790000}"/>
    <cellStyle name="Normal 57 3 2 5 8 2" xfId="19131" xr:uid="{00000000-0005-0000-0000-000082790000}"/>
    <cellStyle name="Normal 57 3 2 5 8 2 2" xfId="44005" xr:uid="{00000000-0005-0000-0000-000083790000}"/>
    <cellStyle name="Normal 57 3 2 5 8 3" xfId="31572" xr:uid="{00000000-0005-0000-0000-000084790000}"/>
    <cellStyle name="Normal 57 3 2 5 9" xfId="3136" xr:uid="{00000000-0005-0000-0000-000085790000}"/>
    <cellStyle name="Normal 57 3 2 5 9 2" xfId="15642" xr:uid="{00000000-0005-0000-0000-000086790000}"/>
    <cellStyle name="Normal 57 3 2 5 9 2 2" xfId="40516" xr:uid="{00000000-0005-0000-0000-000087790000}"/>
    <cellStyle name="Normal 57 3 2 5 9 3" xfId="28075" xr:uid="{00000000-0005-0000-0000-000088790000}"/>
    <cellStyle name="Normal 57 3 2 5_Degree data" xfId="2459" xr:uid="{00000000-0005-0000-0000-000089790000}"/>
    <cellStyle name="Normal 57 3 2 6" xfId="544" xr:uid="{00000000-0005-0000-0000-00008A790000}"/>
    <cellStyle name="Normal 57 3 2 6 2" xfId="1488" xr:uid="{00000000-0005-0000-0000-00008B790000}"/>
    <cellStyle name="Normal 57 3 2 6 2 2" xfId="9592" xr:uid="{00000000-0005-0000-0000-00008C790000}"/>
    <cellStyle name="Normal 57 3 2 6 2 2 2" xfId="22035" xr:uid="{00000000-0005-0000-0000-00008D790000}"/>
    <cellStyle name="Normal 57 3 2 6 2 2 2 2" xfId="46909" xr:uid="{00000000-0005-0000-0000-00008E790000}"/>
    <cellStyle name="Normal 57 3 2 6 2 2 3" xfId="34476" xr:uid="{00000000-0005-0000-0000-00008F790000}"/>
    <cellStyle name="Normal 57 3 2 6 2 3" xfId="4574" xr:uid="{00000000-0005-0000-0000-000090790000}"/>
    <cellStyle name="Normal 57 3 2 6 2 3 2" xfId="17028" xr:uid="{00000000-0005-0000-0000-000091790000}"/>
    <cellStyle name="Normal 57 3 2 6 2 3 2 2" xfId="41902" xr:uid="{00000000-0005-0000-0000-000092790000}"/>
    <cellStyle name="Normal 57 3 2 6 2 3 3" xfId="29469" xr:uid="{00000000-0005-0000-0000-000093790000}"/>
    <cellStyle name="Normal 57 3 2 6 2 4" xfId="14288" xr:uid="{00000000-0005-0000-0000-000094790000}"/>
    <cellStyle name="Normal 57 3 2 6 2 4 2" xfId="39162" xr:uid="{00000000-0005-0000-0000-000095790000}"/>
    <cellStyle name="Normal 57 3 2 6 2 5" xfId="26721" xr:uid="{00000000-0005-0000-0000-000096790000}"/>
    <cellStyle name="Normal 57 3 2 6 3" xfId="5633" xr:uid="{00000000-0005-0000-0000-000097790000}"/>
    <cellStyle name="Normal 57 3 2 6 3 2" xfId="10649" xr:uid="{00000000-0005-0000-0000-000098790000}"/>
    <cellStyle name="Normal 57 3 2 6 3 2 2" xfId="23092" xr:uid="{00000000-0005-0000-0000-000099790000}"/>
    <cellStyle name="Normal 57 3 2 6 3 2 2 2" xfId="47966" xr:uid="{00000000-0005-0000-0000-00009A790000}"/>
    <cellStyle name="Normal 57 3 2 6 3 2 3" xfId="35533" xr:uid="{00000000-0005-0000-0000-00009B790000}"/>
    <cellStyle name="Normal 57 3 2 6 3 3" xfId="18085" xr:uid="{00000000-0005-0000-0000-00009C790000}"/>
    <cellStyle name="Normal 57 3 2 6 3 3 2" xfId="42959" xr:uid="{00000000-0005-0000-0000-00009D790000}"/>
    <cellStyle name="Normal 57 3 2 6 3 4" xfId="30526" xr:uid="{00000000-0005-0000-0000-00009E790000}"/>
    <cellStyle name="Normal 57 3 2 6 4" xfId="8708" xr:uid="{00000000-0005-0000-0000-00009F790000}"/>
    <cellStyle name="Normal 57 3 2 6 4 2" xfId="21152" xr:uid="{00000000-0005-0000-0000-0000A0790000}"/>
    <cellStyle name="Normal 57 3 2 6 4 2 2" xfId="46026" xr:uid="{00000000-0005-0000-0000-0000A1790000}"/>
    <cellStyle name="Normal 57 3 2 6 4 3" xfId="33593" xr:uid="{00000000-0005-0000-0000-0000A2790000}"/>
    <cellStyle name="Normal 57 3 2 6 5" xfId="12103" xr:uid="{00000000-0005-0000-0000-0000A3790000}"/>
    <cellStyle name="Normal 57 3 2 6 5 2" xfId="24537" xr:uid="{00000000-0005-0000-0000-0000A4790000}"/>
    <cellStyle name="Normal 57 3 2 6 5 2 2" xfId="49411" xr:uid="{00000000-0005-0000-0000-0000A5790000}"/>
    <cellStyle name="Normal 57 3 2 6 5 3" xfId="36978" xr:uid="{00000000-0005-0000-0000-0000A6790000}"/>
    <cellStyle name="Normal 57 3 2 6 6" xfId="7185" xr:uid="{00000000-0005-0000-0000-0000A7790000}"/>
    <cellStyle name="Normal 57 3 2 6 6 2" xfId="19634" xr:uid="{00000000-0005-0000-0000-0000A8790000}"/>
    <cellStyle name="Normal 57 3 2 6 6 2 2" xfId="44508" xr:uid="{00000000-0005-0000-0000-0000A9790000}"/>
    <cellStyle name="Normal 57 3 2 6 6 3" xfId="32075" xr:uid="{00000000-0005-0000-0000-0000AA790000}"/>
    <cellStyle name="Normal 57 3 2 6 7" xfId="3639" xr:uid="{00000000-0005-0000-0000-0000AB790000}"/>
    <cellStyle name="Normal 57 3 2 6 7 2" xfId="16145" xr:uid="{00000000-0005-0000-0000-0000AC790000}"/>
    <cellStyle name="Normal 57 3 2 6 7 2 2" xfId="41019" xr:uid="{00000000-0005-0000-0000-0000AD790000}"/>
    <cellStyle name="Normal 57 3 2 6 7 3" xfId="28578" xr:uid="{00000000-0005-0000-0000-0000AE790000}"/>
    <cellStyle name="Normal 57 3 2 6 8" xfId="13354" xr:uid="{00000000-0005-0000-0000-0000AF790000}"/>
    <cellStyle name="Normal 57 3 2 6 8 2" xfId="38228" xr:uid="{00000000-0005-0000-0000-0000B0790000}"/>
    <cellStyle name="Normal 57 3 2 6 9" xfId="25787" xr:uid="{00000000-0005-0000-0000-0000B1790000}"/>
    <cellStyle name="Normal 57 3 2 7" xfId="1836" xr:uid="{00000000-0005-0000-0000-0000B2790000}"/>
    <cellStyle name="Normal 57 3 2 7 2" xfId="4736" xr:uid="{00000000-0005-0000-0000-0000B3790000}"/>
    <cellStyle name="Normal 57 3 2 7 2 2" xfId="9753" xr:uid="{00000000-0005-0000-0000-0000B4790000}"/>
    <cellStyle name="Normal 57 3 2 7 2 2 2" xfId="22196" xr:uid="{00000000-0005-0000-0000-0000B5790000}"/>
    <cellStyle name="Normal 57 3 2 7 2 2 2 2" xfId="47070" xr:uid="{00000000-0005-0000-0000-0000B6790000}"/>
    <cellStyle name="Normal 57 3 2 7 2 2 3" xfId="34637" xr:uid="{00000000-0005-0000-0000-0000B7790000}"/>
    <cellStyle name="Normal 57 3 2 7 2 3" xfId="17189" xr:uid="{00000000-0005-0000-0000-0000B8790000}"/>
    <cellStyle name="Normal 57 3 2 7 2 3 2" xfId="42063" xr:uid="{00000000-0005-0000-0000-0000B9790000}"/>
    <cellStyle name="Normal 57 3 2 7 2 4" xfId="29630" xr:uid="{00000000-0005-0000-0000-0000BA790000}"/>
    <cellStyle name="Normal 57 3 2 7 3" xfId="5982" xr:uid="{00000000-0005-0000-0000-0000BB790000}"/>
    <cellStyle name="Normal 57 3 2 7 3 2" xfId="10997" xr:uid="{00000000-0005-0000-0000-0000BC790000}"/>
    <cellStyle name="Normal 57 3 2 7 3 2 2" xfId="23440" xr:uid="{00000000-0005-0000-0000-0000BD790000}"/>
    <cellStyle name="Normal 57 3 2 7 3 2 2 2" xfId="48314" xr:uid="{00000000-0005-0000-0000-0000BE790000}"/>
    <cellStyle name="Normal 57 3 2 7 3 2 3" xfId="35881" xr:uid="{00000000-0005-0000-0000-0000BF790000}"/>
    <cellStyle name="Normal 57 3 2 7 3 3" xfId="18433" xr:uid="{00000000-0005-0000-0000-0000C0790000}"/>
    <cellStyle name="Normal 57 3 2 7 3 3 2" xfId="43307" xr:uid="{00000000-0005-0000-0000-0000C1790000}"/>
    <cellStyle name="Normal 57 3 2 7 3 4" xfId="30874" xr:uid="{00000000-0005-0000-0000-0000C2790000}"/>
    <cellStyle name="Normal 57 3 2 7 4" xfId="8043" xr:uid="{00000000-0005-0000-0000-0000C3790000}"/>
    <cellStyle name="Normal 57 3 2 7 4 2" xfId="20489" xr:uid="{00000000-0005-0000-0000-0000C4790000}"/>
    <cellStyle name="Normal 57 3 2 7 4 2 2" xfId="45363" xr:uid="{00000000-0005-0000-0000-0000C5790000}"/>
    <cellStyle name="Normal 57 3 2 7 4 3" xfId="32930" xr:uid="{00000000-0005-0000-0000-0000C6790000}"/>
    <cellStyle name="Normal 57 3 2 7 5" xfId="12451" xr:uid="{00000000-0005-0000-0000-0000C7790000}"/>
    <cellStyle name="Normal 57 3 2 7 5 2" xfId="24885" xr:uid="{00000000-0005-0000-0000-0000C8790000}"/>
    <cellStyle name="Normal 57 3 2 7 5 2 2" xfId="49759" xr:uid="{00000000-0005-0000-0000-0000C9790000}"/>
    <cellStyle name="Normal 57 3 2 7 5 3" xfId="37326" xr:uid="{00000000-0005-0000-0000-0000CA790000}"/>
    <cellStyle name="Normal 57 3 2 7 6" xfId="7347" xr:uid="{00000000-0005-0000-0000-0000CB790000}"/>
    <cellStyle name="Normal 57 3 2 7 6 2" xfId="19795" xr:uid="{00000000-0005-0000-0000-0000CC790000}"/>
    <cellStyle name="Normal 57 3 2 7 6 2 2" xfId="44669" xr:uid="{00000000-0005-0000-0000-0000CD790000}"/>
    <cellStyle name="Normal 57 3 2 7 6 3" xfId="32236" xr:uid="{00000000-0005-0000-0000-0000CE790000}"/>
    <cellStyle name="Normal 57 3 2 7 7" xfId="2970" xr:uid="{00000000-0005-0000-0000-0000CF790000}"/>
    <cellStyle name="Normal 57 3 2 7 7 2" xfId="15482" xr:uid="{00000000-0005-0000-0000-0000D0790000}"/>
    <cellStyle name="Normal 57 3 2 7 7 2 2" xfId="40356" xr:uid="{00000000-0005-0000-0000-0000D1790000}"/>
    <cellStyle name="Normal 57 3 2 7 7 3" xfId="27915" xr:uid="{00000000-0005-0000-0000-0000D2790000}"/>
    <cellStyle name="Normal 57 3 2 7 8" xfId="14636" xr:uid="{00000000-0005-0000-0000-0000D3790000}"/>
    <cellStyle name="Normal 57 3 2 7 8 2" xfId="39510" xr:uid="{00000000-0005-0000-0000-0000D4790000}"/>
    <cellStyle name="Normal 57 3 2 7 9" xfId="27069" xr:uid="{00000000-0005-0000-0000-0000D5790000}"/>
    <cellStyle name="Normal 57 3 2 8" xfId="2089" xr:uid="{00000000-0005-0000-0000-0000D6790000}"/>
    <cellStyle name="Normal 57 3 2 8 2" xfId="6134" xr:uid="{00000000-0005-0000-0000-0000D7790000}"/>
    <cellStyle name="Normal 57 3 2 8 2 2" xfId="11149" xr:uid="{00000000-0005-0000-0000-0000D8790000}"/>
    <cellStyle name="Normal 57 3 2 8 2 2 2" xfId="23592" xr:uid="{00000000-0005-0000-0000-0000D9790000}"/>
    <cellStyle name="Normal 57 3 2 8 2 2 2 2" xfId="48466" xr:uid="{00000000-0005-0000-0000-0000DA790000}"/>
    <cellStyle name="Normal 57 3 2 8 2 2 3" xfId="36033" xr:uid="{00000000-0005-0000-0000-0000DB790000}"/>
    <cellStyle name="Normal 57 3 2 8 2 3" xfId="18585" xr:uid="{00000000-0005-0000-0000-0000DC790000}"/>
    <cellStyle name="Normal 57 3 2 8 2 3 2" xfId="43459" xr:uid="{00000000-0005-0000-0000-0000DD790000}"/>
    <cellStyle name="Normal 57 3 2 8 2 4" xfId="31026" xr:uid="{00000000-0005-0000-0000-0000DE790000}"/>
    <cellStyle name="Normal 57 3 2 8 3" xfId="12603" xr:uid="{00000000-0005-0000-0000-0000DF790000}"/>
    <cellStyle name="Normal 57 3 2 8 3 2" xfId="25037" xr:uid="{00000000-0005-0000-0000-0000E0790000}"/>
    <cellStyle name="Normal 57 3 2 8 3 2 2" xfId="49911" xr:uid="{00000000-0005-0000-0000-0000E1790000}"/>
    <cellStyle name="Normal 57 3 2 8 3 3" xfId="37478" xr:uid="{00000000-0005-0000-0000-0000E2790000}"/>
    <cellStyle name="Normal 57 3 2 8 4" xfId="8929" xr:uid="{00000000-0005-0000-0000-0000E3790000}"/>
    <cellStyle name="Normal 57 3 2 8 4 2" xfId="21372" xr:uid="{00000000-0005-0000-0000-0000E4790000}"/>
    <cellStyle name="Normal 57 3 2 8 4 2 2" xfId="46246" xr:uid="{00000000-0005-0000-0000-0000E5790000}"/>
    <cellStyle name="Normal 57 3 2 8 4 3" xfId="33813" xr:uid="{00000000-0005-0000-0000-0000E6790000}"/>
    <cellStyle name="Normal 57 3 2 8 5" xfId="3911" xr:uid="{00000000-0005-0000-0000-0000E7790000}"/>
    <cellStyle name="Normal 57 3 2 8 5 2" xfId="16365" xr:uid="{00000000-0005-0000-0000-0000E8790000}"/>
    <cellStyle name="Normal 57 3 2 8 5 2 2" xfId="41239" xr:uid="{00000000-0005-0000-0000-0000E9790000}"/>
    <cellStyle name="Normal 57 3 2 8 5 3" xfId="28806" xr:uid="{00000000-0005-0000-0000-0000EA790000}"/>
    <cellStyle name="Normal 57 3 2 8 6" xfId="14788" xr:uid="{00000000-0005-0000-0000-0000EB790000}"/>
    <cellStyle name="Normal 57 3 2 8 6 2" xfId="39662" xr:uid="{00000000-0005-0000-0000-0000EC790000}"/>
    <cellStyle name="Normal 57 3 2 8 7" xfId="27221" xr:uid="{00000000-0005-0000-0000-0000ED790000}"/>
    <cellStyle name="Normal 57 3 2 9" xfId="945" xr:uid="{00000000-0005-0000-0000-0000EE790000}"/>
    <cellStyle name="Normal 57 3 2 9 2" xfId="11560" xr:uid="{00000000-0005-0000-0000-0000EF790000}"/>
    <cellStyle name="Normal 57 3 2 9 2 2" xfId="23994" xr:uid="{00000000-0005-0000-0000-0000F0790000}"/>
    <cellStyle name="Normal 57 3 2 9 2 2 2" xfId="48868" xr:uid="{00000000-0005-0000-0000-0000F1790000}"/>
    <cellStyle name="Normal 57 3 2 9 2 3" xfId="36435" xr:uid="{00000000-0005-0000-0000-0000F2790000}"/>
    <cellStyle name="Normal 57 3 2 9 3" xfId="10104" xr:uid="{00000000-0005-0000-0000-0000F3790000}"/>
    <cellStyle name="Normal 57 3 2 9 3 2" xfId="22547" xr:uid="{00000000-0005-0000-0000-0000F4790000}"/>
    <cellStyle name="Normal 57 3 2 9 3 2 2" xfId="47421" xr:uid="{00000000-0005-0000-0000-0000F5790000}"/>
    <cellStyle name="Normal 57 3 2 9 3 3" xfId="34988" xr:uid="{00000000-0005-0000-0000-0000F6790000}"/>
    <cellStyle name="Normal 57 3 2 9 4" xfId="5088" xr:uid="{00000000-0005-0000-0000-0000F7790000}"/>
    <cellStyle name="Normal 57 3 2 9 4 2" xfId="17540" xr:uid="{00000000-0005-0000-0000-0000F8790000}"/>
    <cellStyle name="Normal 57 3 2 9 4 2 2" xfId="42414" xr:uid="{00000000-0005-0000-0000-0000F9790000}"/>
    <cellStyle name="Normal 57 3 2 9 4 3" xfId="29981" xr:uid="{00000000-0005-0000-0000-0000FA790000}"/>
    <cellStyle name="Normal 57 3 2 9 5" xfId="13745" xr:uid="{00000000-0005-0000-0000-0000FB790000}"/>
    <cellStyle name="Normal 57 3 2 9 5 2" xfId="38619" xr:uid="{00000000-0005-0000-0000-0000FC790000}"/>
    <cellStyle name="Normal 57 3 2 9 6" xfId="26178" xr:uid="{00000000-0005-0000-0000-0000FD790000}"/>
    <cellStyle name="Normal 57 3 2_Degree data" xfId="2453" xr:uid="{00000000-0005-0000-0000-0000FE790000}"/>
    <cellStyle name="Normal 57 3 3" xfId="135" xr:uid="{00000000-0005-0000-0000-0000FF790000}"/>
    <cellStyle name="Normal 57 3 3 10" xfId="7698" xr:uid="{00000000-0005-0000-0000-0000007A0000}"/>
    <cellStyle name="Normal 57 3 3 10 2" xfId="20144" xr:uid="{00000000-0005-0000-0000-0000017A0000}"/>
    <cellStyle name="Normal 57 3 3 10 2 2" xfId="45018" xr:uid="{00000000-0005-0000-0000-0000027A0000}"/>
    <cellStyle name="Normal 57 3 3 10 3" xfId="32585" xr:uid="{00000000-0005-0000-0000-0000037A0000}"/>
    <cellStyle name="Normal 57 3 3 11" xfId="11518" xr:uid="{00000000-0005-0000-0000-0000047A0000}"/>
    <cellStyle name="Normal 57 3 3 11 2" xfId="23952" xr:uid="{00000000-0005-0000-0000-0000057A0000}"/>
    <cellStyle name="Normal 57 3 3 11 2 2" xfId="48826" xr:uid="{00000000-0005-0000-0000-0000067A0000}"/>
    <cellStyle name="Normal 57 3 3 11 3" xfId="36393" xr:uid="{00000000-0005-0000-0000-0000077A0000}"/>
    <cellStyle name="Normal 57 3 3 12" xfId="6510" xr:uid="{00000000-0005-0000-0000-0000087A0000}"/>
    <cellStyle name="Normal 57 3 3 12 2" xfId="18959" xr:uid="{00000000-0005-0000-0000-0000097A0000}"/>
    <cellStyle name="Normal 57 3 3 12 2 2" xfId="43833" xr:uid="{00000000-0005-0000-0000-00000A7A0000}"/>
    <cellStyle name="Normal 57 3 3 12 3" xfId="31400" xr:uid="{00000000-0005-0000-0000-00000B7A0000}"/>
    <cellStyle name="Normal 57 3 3 13" xfId="2618" xr:uid="{00000000-0005-0000-0000-00000C7A0000}"/>
    <cellStyle name="Normal 57 3 3 13 2" xfId="15137" xr:uid="{00000000-0005-0000-0000-00000D7A0000}"/>
    <cellStyle name="Normal 57 3 3 13 2 2" xfId="40011" xr:uid="{00000000-0005-0000-0000-00000E7A0000}"/>
    <cellStyle name="Normal 57 3 3 13 3" xfId="27570" xr:uid="{00000000-0005-0000-0000-00000F7A0000}"/>
    <cellStyle name="Normal 57 3 3 14" xfId="12965" xr:uid="{00000000-0005-0000-0000-0000107A0000}"/>
    <cellStyle name="Normal 57 3 3 14 2" xfId="37839" xr:uid="{00000000-0005-0000-0000-0000117A0000}"/>
    <cellStyle name="Normal 57 3 3 15" xfId="25398" xr:uid="{00000000-0005-0000-0000-0000127A0000}"/>
    <cellStyle name="Normal 57 3 3 2" xfId="323" xr:uid="{00000000-0005-0000-0000-0000137A0000}"/>
    <cellStyle name="Normal 57 3 3 2 10" xfId="6553" xr:uid="{00000000-0005-0000-0000-0000147A0000}"/>
    <cellStyle name="Normal 57 3 3 2 10 2" xfId="19002" xr:uid="{00000000-0005-0000-0000-0000157A0000}"/>
    <cellStyle name="Normal 57 3 3 2 10 2 2" xfId="43876" xr:uid="{00000000-0005-0000-0000-0000167A0000}"/>
    <cellStyle name="Normal 57 3 3 2 10 3" xfId="31443" xr:uid="{00000000-0005-0000-0000-0000177A0000}"/>
    <cellStyle name="Normal 57 3 3 2 11" xfId="2721" xr:uid="{00000000-0005-0000-0000-0000187A0000}"/>
    <cellStyle name="Normal 57 3 3 2 11 2" xfId="15239" xr:uid="{00000000-0005-0000-0000-0000197A0000}"/>
    <cellStyle name="Normal 57 3 3 2 11 2 2" xfId="40113" xr:uid="{00000000-0005-0000-0000-00001A7A0000}"/>
    <cellStyle name="Normal 57 3 3 2 11 3" xfId="27672" xr:uid="{00000000-0005-0000-0000-00001B7A0000}"/>
    <cellStyle name="Normal 57 3 3 2 12" xfId="13140" xr:uid="{00000000-0005-0000-0000-00001C7A0000}"/>
    <cellStyle name="Normal 57 3 3 2 12 2" xfId="38014" xr:uid="{00000000-0005-0000-0000-00001D7A0000}"/>
    <cellStyle name="Normal 57 3 3 2 13" xfId="25573" xr:uid="{00000000-0005-0000-0000-00001E7A0000}"/>
    <cellStyle name="Normal 57 3 3 2 2" xfId="425" xr:uid="{00000000-0005-0000-0000-00001F7A0000}"/>
    <cellStyle name="Normal 57 3 3 2 2 10" xfId="13240" xr:uid="{00000000-0005-0000-0000-0000207A0000}"/>
    <cellStyle name="Normal 57 3 3 2 2 10 2" xfId="38114" xr:uid="{00000000-0005-0000-0000-0000217A0000}"/>
    <cellStyle name="Normal 57 3 3 2 2 11" xfId="25673" xr:uid="{00000000-0005-0000-0000-0000227A0000}"/>
    <cellStyle name="Normal 57 3 3 2 2 2" xfId="785" xr:uid="{00000000-0005-0000-0000-0000237A0000}"/>
    <cellStyle name="Normal 57 3 3 2 2 2 2" xfId="1497" xr:uid="{00000000-0005-0000-0000-0000247A0000}"/>
    <cellStyle name="Normal 57 3 3 2 2 2 2 2" xfId="9601" xr:uid="{00000000-0005-0000-0000-0000257A0000}"/>
    <cellStyle name="Normal 57 3 3 2 2 2 2 2 2" xfId="22044" xr:uid="{00000000-0005-0000-0000-0000267A0000}"/>
    <cellStyle name="Normal 57 3 3 2 2 2 2 2 2 2" xfId="46918" xr:uid="{00000000-0005-0000-0000-0000277A0000}"/>
    <cellStyle name="Normal 57 3 3 2 2 2 2 2 3" xfId="34485" xr:uid="{00000000-0005-0000-0000-0000287A0000}"/>
    <cellStyle name="Normal 57 3 3 2 2 2 2 3" xfId="4583" xr:uid="{00000000-0005-0000-0000-0000297A0000}"/>
    <cellStyle name="Normal 57 3 3 2 2 2 2 3 2" xfId="17037" xr:uid="{00000000-0005-0000-0000-00002A7A0000}"/>
    <cellStyle name="Normal 57 3 3 2 2 2 2 3 2 2" xfId="41911" xr:uid="{00000000-0005-0000-0000-00002B7A0000}"/>
    <cellStyle name="Normal 57 3 3 2 2 2 2 3 3" xfId="29478" xr:uid="{00000000-0005-0000-0000-00002C7A0000}"/>
    <cellStyle name="Normal 57 3 3 2 2 2 2 4" xfId="14297" xr:uid="{00000000-0005-0000-0000-00002D7A0000}"/>
    <cellStyle name="Normal 57 3 3 2 2 2 2 4 2" xfId="39171" xr:uid="{00000000-0005-0000-0000-00002E7A0000}"/>
    <cellStyle name="Normal 57 3 3 2 2 2 2 5" xfId="26730" xr:uid="{00000000-0005-0000-0000-00002F7A0000}"/>
    <cellStyle name="Normal 57 3 3 2 2 2 3" xfId="5642" xr:uid="{00000000-0005-0000-0000-0000307A0000}"/>
    <cellStyle name="Normal 57 3 3 2 2 2 3 2" xfId="10658" xr:uid="{00000000-0005-0000-0000-0000317A0000}"/>
    <cellStyle name="Normal 57 3 3 2 2 2 3 2 2" xfId="23101" xr:uid="{00000000-0005-0000-0000-0000327A0000}"/>
    <cellStyle name="Normal 57 3 3 2 2 2 3 2 2 2" xfId="47975" xr:uid="{00000000-0005-0000-0000-0000337A0000}"/>
    <cellStyle name="Normal 57 3 3 2 2 2 3 2 3" xfId="35542" xr:uid="{00000000-0005-0000-0000-0000347A0000}"/>
    <cellStyle name="Normal 57 3 3 2 2 2 3 3" xfId="18094" xr:uid="{00000000-0005-0000-0000-0000357A0000}"/>
    <cellStyle name="Normal 57 3 3 2 2 2 3 3 2" xfId="42968" xr:uid="{00000000-0005-0000-0000-0000367A0000}"/>
    <cellStyle name="Normal 57 3 3 2 2 2 3 4" xfId="30535" xr:uid="{00000000-0005-0000-0000-0000377A0000}"/>
    <cellStyle name="Normal 57 3 3 2 2 2 4" xfId="8717" xr:uid="{00000000-0005-0000-0000-0000387A0000}"/>
    <cellStyle name="Normal 57 3 3 2 2 2 4 2" xfId="21161" xr:uid="{00000000-0005-0000-0000-0000397A0000}"/>
    <cellStyle name="Normal 57 3 3 2 2 2 4 2 2" xfId="46035" xr:uid="{00000000-0005-0000-0000-00003A7A0000}"/>
    <cellStyle name="Normal 57 3 3 2 2 2 4 3" xfId="33602" xr:uid="{00000000-0005-0000-0000-00003B7A0000}"/>
    <cellStyle name="Normal 57 3 3 2 2 2 5" xfId="12112" xr:uid="{00000000-0005-0000-0000-00003C7A0000}"/>
    <cellStyle name="Normal 57 3 3 2 2 2 5 2" xfId="24546" xr:uid="{00000000-0005-0000-0000-00003D7A0000}"/>
    <cellStyle name="Normal 57 3 3 2 2 2 5 2 2" xfId="49420" xr:uid="{00000000-0005-0000-0000-00003E7A0000}"/>
    <cellStyle name="Normal 57 3 3 2 2 2 5 3" xfId="36987" xr:uid="{00000000-0005-0000-0000-00003F7A0000}"/>
    <cellStyle name="Normal 57 3 3 2 2 2 6" xfId="7194" xr:uid="{00000000-0005-0000-0000-0000407A0000}"/>
    <cellStyle name="Normal 57 3 3 2 2 2 6 2" xfId="19643" xr:uid="{00000000-0005-0000-0000-0000417A0000}"/>
    <cellStyle name="Normal 57 3 3 2 2 2 6 2 2" xfId="44517" xr:uid="{00000000-0005-0000-0000-0000427A0000}"/>
    <cellStyle name="Normal 57 3 3 2 2 2 6 3" xfId="32084" xr:uid="{00000000-0005-0000-0000-0000437A0000}"/>
    <cellStyle name="Normal 57 3 3 2 2 2 7" xfId="3648" xr:uid="{00000000-0005-0000-0000-0000447A0000}"/>
    <cellStyle name="Normal 57 3 3 2 2 2 7 2" xfId="16154" xr:uid="{00000000-0005-0000-0000-0000457A0000}"/>
    <cellStyle name="Normal 57 3 3 2 2 2 7 2 2" xfId="41028" xr:uid="{00000000-0005-0000-0000-0000467A0000}"/>
    <cellStyle name="Normal 57 3 3 2 2 2 7 3" xfId="28587" xr:uid="{00000000-0005-0000-0000-0000477A0000}"/>
    <cellStyle name="Normal 57 3 3 2 2 2 8" xfId="13587" xr:uid="{00000000-0005-0000-0000-0000487A0000}"/>
    <cellStyle name="Normal 57 3 3 2 2 2 8 2" xfId="38461" xr:uid="{00000000-0005-0000-0000-0000497A0000}"/>
    <cellStyle name="Normal 57 3 3 2 2 2 9" xfId="26020" xr:uid="{00000000-0005-0000-0000-00004A7A0000}"/>
    <cellStyle name="Normal 57 3 3 2 2 3" xfId="1845" xr:uid="{00000000-0005-0000-0000-00004B7A0000}"/>
    <cellStyle name="Normal 57 3 3 2 2 3 2" xfId="4969" xr:uid="{00000000-0005-0000-0000-00004C7A0000}"/>
    <cellStyle name="Normal 57 3 3 2 2 3 2 2" xfId="9986" xr:uid="{00000000-0005-0000-0000-00004D7A0000}"/>
    <cellStyle name="Normal 57 3 3 2 2 3 2 2 2" xfId="22429" xr:uid="{00000000-0005-0000-0000-00004E7A0000}"/>
    <cellStyle name="Normal 57 3 3 2 2 3 2 2 2 2" xfId="47303" xr:uid="{00000000-0005-0000-0000-00004F7A0000}"/>
    <cellStyle name="Normal 57 3 3 2 2 3 2 2 3" xfId="34870" xr:uid="{00000000-0005-0000-0000-0000507A0000}"/>
    <cellStyle name="Normal 57 3 3 2 2 3 2 3" xfId="17422" xr:uid="{00000000-0005-0000-0000-0000517A0000}"/>
    <cellStyle name="Normal 57 3 3 2 2 3 2 3 2" xfId="42296" xr:uid="{00000000-0005-0000-0000-0000527A0000}"/>
    <cellStyle name="Normal 57 3 3 2 2 3 2 4" xfId="29863" xr:uid="{00000000-0005-0000-0000-0000537A0000}"/>
    <cellStyle name="Normal 57 3 3 2 2 3 3" xfId="5991" xr:uid="{00000000-0005-0000-0000-0000547A0000}"/>
    <cellStyle name="Normal 57 3 3 2 2 3 3 2" xfId="11006" xr:uid="{00000000-0005-0000-0000-0000557A0000}"/>
    <cellStyle name="Normal 57 3 3 2 2 3 3 2 2" xfId="23449" xr:uid="{00000000-0005-0000-0000-0000567A0000}"/>
    <cellStyle name="Normal 57 3 3 2 2 3 3 2 2 2" xfId="48323" xr:uid="{00000000-0005-0000-0000-0000577A0000}"/>
    <cellStyle name="Normal 57 3 3 2 2 3 3 2 3" xfId="35890" xr:uid="{00000000-0005-0000-0000-0000587A0000}"/>
    <cellStyle name="Normal 57 3 3 2 2 3 3 3" xfId="18442" xr:uid="{00000000-0005-0000-0000-0000597A0000}"/>
    <cellStyle name="Normal 57 3 3 2 2 3 3 3 2" xfId="43316" xr:uid="{00000000-0005-0000-0000-00005A7A0000}"/>
    <cellStyle name="Normal 57 3 3 2 2 3 3 4" xfId="30883" xr:uid="{00000000-0005-0000-0000-00005B7A0000}"/>
    <cellStyle name="Normal 57 3 3 2 2 3 4" xfId="8393" xr:uid="{00000000-0005-0000-0000-00005C7A0000}"/>
    <cellStyle name="Normal 57 3 3 2 2 3 4 2" xfId="20837" xr:uid="{00000000-0005-0000-0000-00005D7A0000}"/>
    <cellStyle name="Normal 57 3 3 2 2 3 4 2 2" xfId="45711" xr:uid="{00000000-0005-0000-0000-00005E7A0000}"/>
    <cellStyle name="Normal 57 3 3 2 2 3 4 3" xfId="33278" xr:uid="{00000000-0005-0000-0000-00005F7A0000}"/>
    <cellStyle name="Normal 57 3 3 2 2 3 5" xfId="12460" xr:uid="{00000000-0005-0000-0000-0000607A0000}"/>
    <cellStyle name="Normal 57 3 3 2 2 3 5 2" xfId="24894" xr:uid="{00000000-0005-0000-0000-0000617A0000}"/>
    <cellStyle name="Normal 57 3 3 2 2 3 5 2 2" xfId="49768" xr:uid="{00000000-0005-0000-0000-0000627A0000}"/>
    <cellStyle name="Normal 57 3 3 2 2 3 5 3" xfId="37335" xr:uid="{00000000-0005-0000-0000-0000637A0000}"/>
    <cellStyle name="Normal 57 3 3 2 2 3 6" xfId="7580" xr:uid="{00000000-0005-0000-0000-0000647A0000}"/>
    <cellStyle name="Normal 57 3 3 2 2 3 6 2" xfId="20028" xr:uid="{00000000-0005-0000-0000-0000657A0000}"/>
    <cellStyle name="Normal 57 3 3 2 2 3 6 2 2" xfId="44902" xr:uid="{00000000-0005-0000-0000-0000667A0000}"/>
    <cellStyle name="Normal 57 3 3 2 2 3 6 3" xfId="32469" xr:uid="{00000000-0005-0000-0000-0000677A0000}"/>
    <cellStyle name="Normal 57 3 3 2 2 3 7" xfId="3324" xr:uid="{00000000-0005-0000-0000-0000687A0000}"/>
    <cellStyle name="Normal 57 3 3 2 2 3 7 2" xfId="15830" xr:uid="{00000000-0005-0000-0000-0000697A0000}"/>
    <cellStyle name="Normal 57 3 3 2 2 3 7 2 2" xfId="40704" xr:uid="{00000000-0005-0000-0000-00006A7A0000}"/>
    <cellStyle name="Normal 57 3 3 2 2 3 7 3" xfId="28263" xr:uid="{00000000-0005-0000-0000-00006B7A0000}"/>
    <cellStyle name="Normal 57 3 3 2 2 3 8" xfId="14645" xr:uid="{00000000-0005-0000-0000-00006C7A0000}"/>
    <cellStyle name="Normal 57 3 3 2 2 3 8 2" xfId="39519" xr:uid="{00000000-0005-0000-0000-00006D7A0000}"/>
    <cellStyle name="Normal 57 3 3 2 2 3 9" xfId="27078" xr:uid="{00000000-0005-0000-0000-00006E7A0000}"/>
    <cellStyle name="Normal 57 3 3 2 2 4" xfId="2343" xr:uid="{00000000-0005-0000-0000-00006F7A0000}"/>
    <cellStyle name="Normal 57 3 3 2 2 4 2" xfId="6367" xr:uid="{00000000-0005-0000-0000-0000707A0000}"/>
    <cellStyle name="Normal 57 3 3 2 2 4 2 2" xfId="11382" xr:uid="{00000000-0005-0000-0000-0000717A0000}"/>
    <cellStyle name="Normal 57 3 3 2 2 4 2 2 2" xfId="23825" xr:uid="{00000000-0005-0000-0000-0000727A0000}"/>
    <cellStyle name="Normal 57 3 3 2 2 4 2 2 2 2" xfId="48699" xr:uid="{00000000-0005-0000-0000-0000737A0000}"/>
    <cellStyle name="Normal 57 3 3 2 2 4 2 2 3" xfId="36266" xr:uid="{00000000-0005-0000-0000-0000747A0000}"/>
    <cellStyle name="Normal 57 3 3 2 2 4 2 3" xfId="18818" xr:uid="{00000000-0005-0000-0000-0000757A0000}"/>
    <cellStyle name="Normal 57 3 3 2 2 4 2 3 2" xfId="43692" xr:uid="{00000000-0005-0000-0000-0000767A0000}"/>
    <cellStyle name="Normal 57 3 3 2 2 4 2 4" xfId="31259" xr:uid="{00000000-0005-0000-0000-0000777A0000}"/>
    <cellStyle name="Normal 57 3 3 2 2 4 3" xfId="12836" xr:uid="{00000000-0005-0000-0000-0000787A0000}"/>
    <cellStyle name="Normal 57 3 3 2 2 4 3 2" xfId="25270" xr:uid="{00000000-0005-0000-0000-0000797A0000}"/>
    <cellStyle name="Normal 57 3 3 2 2 4 3 2 2" xfId="50144" xr:uid="{00000000-0005-0000-0000-00007A7A0000}"/>
    <cellStyle name="Normal 57 3 3 2 2 4 3 3" xfId="37711" xr:uid="{00000000-0005-0000-0000-00007B7A0000}"/>
    <cellStyle name="Normal 57 3 3 2 2 4 4" xfId="9277" xr:uid="{00000000-0005-0000-0000-00007C7A0000}"/>
    <cellStyle name="Normal 57 3 3 2 2 4 4 2" xfId="21720" xr:uid="{00000000-0005-0000-0000-00007D7A0000}"/>
    <cellStyle name="Normal 57 3 3 2 2 4 4 2 2" xfId="46594" xr:uid="{00000000-0005-0000-0000-00007E7A0000}"/>
    <cellStyle name="Normal 57 3 3 2 2 4 4 3" xfId="34161" xr:uid="{00000000-0005-0000-0000-00007F7A0000}"/>
    <cellStyle name="Normal 57 3 3 2 2 4 5" xfId="4259" xr:uid="{00000000-0005-0000-0000-0000807A0000}"/>
    <cellStyle name="Normal 57 3 3 2 2 4 5 2" xfId="16713" xr:uid="{00000000-0005-0000-0000-0000817A0000}"/>
    <cellStyle name="Normal 57 3 3 2 2 4 5 2 2" xfId="41587" xr:uid="{00000000-0005-0000-0000-0000827A0000}"/>
    <cellStyle name="Normal 57 3 3 2 2 4 5 3" xfId="29154" xr:uid="{00000000-0005-0000-0000-0000837A0000}"/>
    <cellStyle name="Normal 57 3 3 2 2 4 6" xfId="15021" xr:uid="{00000000-0005-0000-0000-0000847A0000}"/>
    <cellStyle name="Normal 57 3 3 2 2 4 6 2" xfId="39895" xr:uid="{00000000-0005-0000-0000-0000857A0000}"/>
    <cellStyle name="Normal 57 3 3 2 2 4 7" xfId="27454" xr:uid="{00000000-0005-0000-0000-0000867A0000}"/>
    <cellStyle name="Normal 57 3 3 2 2 5" xfId="1178" xr:uid="{00000000-0005-0000-0000-0000877A0000}"/>
    <cellStyle name="Normal 57 3 3 2 2 5 2" xfId="10339" xr:uid="{00000000-0005-0000-0000-0000887A0000}"/>
    <cellStyle name="Normal 57 3 3 2 2 5 2 2" xfId="22782" xr:uid="{00000000-0005-0000-0000-0000897A0000}"/>
    <cellStyle name="Normal 57 3 3 2 2 5 2 2 2" xfId="47656" xr:uid="{00000000-0005-0000-0000-00008A7A0000}"/>
    <cellStyle name="Normal 57 3 3 2 2 5 2 3" xfId="35223" xr:uid="{00000000-0005-0000-0000-00008B7A0000}"/>
    <cellStyle name="Normal 57 3 3 2 2 5 3" xfId="5323" xr:uid="{00000000-0005-0000-0000-00008C7A0000}"/>
    <cellStyle name="Normal 57 3 3 2 2 5 3 2" xfId="17775" xr:uid="{00000000-0005-0000-0000-00008D7A0000}"/>
    <cellStyle name="Normal 57 3 3 2 2 5 3 2 2" xfId="42649" xr:uid="{00000000-0005-0000-0000-00008E7A0000}"/>
    <cellStyle name="Normal 57 3 3 2 2 5 3 3" xfId="30216" xr:uid="{00000000-0005-0000-0000-00008F7A0000}"/>
    <cellStyle name="Normal 57 3 3 2 2 5 4" xfId="13978" xr:uid="{00000000-0005-0000-0000-0000907A0000}"/>
    <cellStyle name="Normal 57 3 3 2 2 5 4 2" xfId="38852" xr:uid="{00000000-0005-0000-0000-0000917A0000}"/>
    <cellStyle name="Normal 57 3 3 2 2 5 5" xfId="26411" xr:uid="{00000000-0005-0000-0000-0000927A0000}"/>
    <cellStyle name="Normal 57 3 3 2 2 6" xfId="7900" xr:uid="{00000000-0005-0000-0000-0000937A0000}"/>
    <cellStyle name="Normal 57 3 3 2 2 6 2" xfId="20346" xr:uid="{00000000-0005-0000-0000-0000947A0000}"/>
    <cellStyle name="Normal 57 3 3 2 2 6 2 2" xfId="45220" xr:uid="{00000000-0005-0000-0000-0000957A0000}"/>
    <cellStyle name="Normal 57 3 3 2 2 6 3" xfId="32787" xr:uid="{00000000-0005-0000-0000-0000967A0000}"/>
    <cellStyle name="Normal 57 3 3 2 2 7" xfId="11793" xr:uid="{00000000-0005-0000-0000-0000977A0000}"/>
    <cellStyle name="Normal 57 3 3 2 2 7 2" xfId="24227" xr:uid="{00000000-0005-0000-0000-0000987A0000}"/>
    <cellStyle name="Normal 57 3 3 2 2 7 2 2" xfId="49101" xr:uid="{00000000-0005-0000-0000-0000997A0000}"/>
    <cellStyle name="Normal 57 3 3 2 2 7 3" xfId="36668" xr:uid="{00000000-0005-0000-0000-00009A7A0000}"/>
    <cellStyle name="Normal 57 3 3 2 2 8" xfId="6870" xr:uid="{00000000-0005-0000-0000-00009B7A0000}"/>
    <cellStyle name="Normal 57 3 3 2 2 8 2" xfId="19319" xr:uid="{00000000-0005-0000-0000-00009C7A0000}"/>
    <cellStyle name="Normal 57 3 3 2 2 8 2 2" xfId="44193" xr:uid="{00000000-0005-0000-0000-00009D7A0000}"/>
    <cellStyle name="Normal 57 3 3 2 2 8 3" xfId="31760" xr:uid="{00000000-0005-0000-0000-00009E7A0000}"/>
    <cellStyle name="Normal 57 3 3 2 2 9" xfId="2821" xr:uid="{00000000-0005-0000-0000-00009F7A0000}"/>
    <cellStyle name="Normal 57 3 3 2 2 9 2" xfId="15339" xr:uid="{00000000-0005-0000-0000-0000A07A0000}"/>
    <cellStyle name="Normal 57 3 3 2 2 9 2 2" xfId="40213" xr:uid="{00000000-0005-0000-0000-0000A17A0000}"/>
    <cellStyle name="Normal 57 3 3 2 2 9 3" xfId="27772" xr:uid="{00000000-0005-0000-0000-0000A27A0000}"/>
    <cellStyle name="Normal 57 3 3 2 2_Degree data" xfId="2462" xr:uid="{00000000-0005-0000-0000-0000A37A0000}"/>
    <cellStyle name="Normal 57 3 3 2 3" xfId="684" xr:uid="{00000000-0005-0000-0000-0000A47A0000}"/>
    <cellStyle name="Normal 57 3 3 2 3 2" xfId="1496" xr:uid="{00000000-0005-0000-0000-0000A57A0000}"/>
    <cellStyle name="Normal 57 3 3 2 3 2 2" xfId="9177" xr:uid="{00000000-0005-0000-0000-0000A67A0000}"/>
    <cellStyle name="Normal 57 3 3 2 3 2 2 2" xfId="21620" xr:uid="{00000000-0005-0000-0000-0000A77A0000}"/>
    <cellStyle name="Normal 57 3 3 2 3 2 2 2 2" xfId="46494" xr:uid="{00000000-0005-0000-0000-0000A87A0000}"/>
    <cellStyle name="Normal 57 3 3 2 3 2 2 3" xfId="34061" xr:uid="{00000000-0005-0000-0000-0000A97A0000}"/>
    <cellStyle name="Normal 57 3 3 2 3 2 3" xfId="4159" xr:uid="{00000000-0005-0000-0000-0000AA7A0000}"/>
    <cellStyle name="Normal 57 3 3 2 3 2 3 2" xfId="16613" xr:uid="{00000000-0005-0000-0000-0000AB7A0000}"/>
    <cellStyle name="Normal 57 3 3 2 3 2 3 2 2" xfId="41487" xr:uid="{00000000-0005-0000-0000-0000AC7A0000}"/>
    <cellStyle name="Normal 57 3 3 2 3 2 3 3" xfId="29054" xr:uid="{00000000-0005-0000-0000-0000AD7A0000}"/>
    <cellStyle name="Normal 57 3 3 2 3 2 4" xfId="14296" xr:uid="{00000000-0005-0000-0000-0000AE7A0000}"/>
    <cellStyle name="Normal 57 3 3 2 3 2 4 2" xfId="39170" xr:uid="{00000000-0005-0000-0000-0000AF7A0000}"/>
    <cellStyle name="Normal 57 3 3 2 3 2 5" xfId="26729" xr:uid="{00000000-0005-0000-0000-0000B07A0000}"/>
    <cellStyle name="Normal 57 3 3 2 3 3" xfId="5641" xr:uid="{00000000-0005-0000-0000-0000B17A0000}"/>
    <cellStyle name="Normal 57 3 3 2 3 3 2" xfId="10657" xr:uid="{00000000-0005-0000-0000-0000B27A0000}"/>
    <cellStyle name="Normal 57 3 3 2 3 3 2 2" xfId="23100" xr:uid="{00000000-0005-0000-0000-0000B37A0000}"/>
    <cellStyle name="Normal 57 3 3 2 3 3 2 2 2" xfId="47974" xr:uid="{00000000-0005-0000-0000-0000B47A0000}"/>
    <cellStyle name="Normal 57 3 3 2 3 3 2 3" xfId="35541" xr:uid="{00000000-0005-0000-0000-0000B57A0000}"/>
    <cellStyle name="Normal 57 3 3 2 3 3 3" xfId="18093" xr:uid="{00000000-0005-0000-0000-0000B67A0000}"/>
    <cellStyle name="Normal 57 3 3 2 3 3 3 2" xfId="42967" xr:uid="{00000000-0005-0000-0000-0000B77A0000}"/>
    <cellStyle name="Normal 57 3 3 2 3 3 4" xfId="30534" xr:uid="{00000000-0005-0000-0000-0000B87A0000}"/>
    <cellStyle name="Normal 57 3 3 2 3 4" xfId="8293" xr:uid="{00000000-0005-0000-0000-0000B97A0000}"/>
    <cellStyle name="Normal 57 3 3 2 3 4 2" xfId="20737" xr:uid="{00000000-0005-0000-0000-0000BA7A0000}"/>
    <cellStyle name="Normal 57 3 3 2 3 4 2 2" xfId="45611" xr:uid="{00000000-0005-0000-0000-0000BB7A0000}"/>
    <cellStyle name="Normal 57 3 3 2 3 4 3" xfId="33178" xr:uid="{00000000-0005-0000-0000-0000BC7A0000}"/>
    <cellStyle name="Normal 57 3 3 2 3 5" xfId="12111" xr:uid="{00000000-0005-0000-0000-0000BD7A0000}"/>
    <cellStyle name="Normal 57 3 3 2 3 5 2" xfId="24545" xr:uid="{00000000-0005-0000-0000-0000BE7A0000}"/>
    <cellStyle name="Normal 57 3 3 2 3 5 2 2" xfId="49419" xr:uid="{00000000-0005-0000-0000-0000BF7A0000}"/>
    <cellStyle name="Normal 57 3 3 2 3 5 3" xfId="36986" xr:uid="{00000000-0005-0000-0000-0000C07A0000}"/>
    <cellStyle name="Normal 57 3 3 2 3 6" xfId="6770" xr:uid="{00000000-0005-0000-0000-0000C17A0000}"/>
    <cellStyle name="Normal 57 3 3 2 3 6 2" xfId="19219" xr:uid="{00000000-0005-0000-0000-0000C27A0000}"/>
    <cellStyle name="Normal 57 3 3 2 3 6 2 2" xfId="44093" xr:uid="{00000000-0005-0000-0000-0000C37A0000}"/>
    <cellStyle name="Normal 57 3 3 2 3 6 3" xfId="31660" xr:uid="{00000000-0005-0000-0000-0000C47A0000}"/>
    <cellStyle name="Normal 57 3 3 2 3 7" xfId="3224" xr:uid="{00000000-0005-0000-0000-0000C57A0000}"/>
    <cellStyle name="Normal 57 3 3 2 3 7 2" xfId="15730" xr:uid="{00000000-0005-0000-0000-0000C67A0000}"/>
    <cellStyle name="Normal 57 3 3 2 3 7 2 2" xfId="40604" xr:uid="{00000000-0005-0000-0000-0000C77A0000}"/>
    <cellStyle name="Normal 57 3 3 2 3 7 3" xfId="28163" xr:uid="{00000000-0005-0000-0000-0000C87A0000}"/>
    <cellStyle name="Normal 57 3 3 2 3 8" xfId="13487" xr:uid="{00000000-0005-0000-0000-0000C97A0000}"/>
    <cellStyle name="Normal 57 3 3 2 3 8 2" xfId="38361" xr:uid="{00000000-0005-0000-0000-0000CA7A0000}"/>
    <cellStyle name="Normal 57 3 3 2 3 9" xfId="25920" xr:uid="{00000000-0005-0000-0000-0000CB7A0000}"/>
    <cellStyle name="Normal 57 3 3 2 4" xfId="1844" xr:uid="{00000000-0005-0000-0000-0000CC7A0000}"/>
    <cellStyle name="Normal 57 3 3 2 4 2" xfId="4582" xr:uid="{00000000-0005-0000-0000-0000CD7A0000}"/>
    <cellStyle name="Normal 57 3 3 2 4 2 2" xfId="9600" xr:uid="{00000000-0005-0000-0000-0000CE7A0000}"/>
    <cellStyle name="Normal 57 3 3 2 4 2 2 2" xfId="22043" xr:uid="{00000000-0005-0000-0000-0000CF7A0000}"/>
    <cellStyle name="Normal 57 3 3 2 4 2 2 2 2" xfId="46917" xr:uid="{00000000-0005-0000-0000-0000D07A0000}"/>
    <cellStyle name="Normal 57 3 3 2 4 2 2 3" xfId="34484" xr:uid="{00000000-0005-0000-0000-0000D17A0000}"/>
    <cellStyle name="Normal 57 3 3 2 4 2 3" xfId="17036" xr:uid="{00000000-0005-0000-0000-0000D27A0000}"/>
    <cellStyle name="Normal 57 3 3 2 4 2 3 2" xfId="41910" xr:uid="{00000000-0005-0000-0000-0000D37A0000}"/>
    <cellStyle name="Normal 57 3 3 2 4 2 4" xfId="29477" xr:uid="{00000000-0005-0000-0000-0000D47A0000}"/>
    <cellStyle name="Normal 57 3 3 2 4 3" xfId="5990" xr:uid="{00000000-0005-0000-0000-0000D57A0000}"/>
    <cellStyle name="Normal 57 3 3 2 4 3 2" xfId="11005" xr:uid="{00000000-0005-0000-0000-0000D67A0000}"/>
    <cellStyle name="Normal 57 3 3 2 4 3 2 2" xfId="23448" xr:uid="{00000000-0005-0000-0000-0000D77A0000}"/>
    <cellStyle name="Normal 57 3 3 2 4 3 2 2 2" xfId="48322" xr:uid="{00000000-0005-0000-0000-0000D87A0000}"/>
    <cellStyle name="Normal 57 3 3 2 4 3 2 3" xfId="35889" xr:uid="{00000000-0005-0000-0000-0000D97A0000}"/>
    <cellStyle name="Normal 57 3 3 2 4 3 3" xfId="18441" xr:uid="{00000000-0005-0000-0000-0000DA7A0000}"/>
    <cellStyle name="Normal 57 3 3 2 4 3 3 2" xfId="43315" xr:uid="{00000000-0005-0000-0000-0000DB7A0000}"/>
    <cellStyle name="Normal 57 3 3 2 4 3 4" xfId="30882" xr:uid="{00000000-0005-0000-0000-0000DC7A0000}"/>
    <cellStyle name="Normal 57 3 3 2 4 4" xfId="8716" xr:uid="{00000000-0005-0000-0000-0000DD7A0000}"/>
    <cellStyle name="Normal 57 3 3 2 4 4 2" xfId="21160" xr:uid="{00000000-0005-0000-0000-0000DE7A0000}"/>
    <cellStyle name="Normal 57 3 3 2 4 4 2 2" xfId="46034" xr:uid="{00000000-0005-0000-0000-0000DF7A0000}"/>
    <cellStyle name="Normal 57 3 3 2 4 4 3" xfId="33601" xr:uid="{00000000-0005-0000-0000-0000E07A0000}"/>
    <cellStyle name="Normal 57 3 3 2 4 5" xfId="12459" xr:uid="{00000000-0005-0000-0000-0000E17A0000}"/>
    <cellStyle name="Normal 57 3 3 2 4 5 2" xfId="24893" xr:uid="{00000000-0005-0000-0000-0000E27A0000}"/>
    <cellStyle name="Normal 57 3 3 2 4 5 2 2" xfId="49767" xr:uid="{00000000-0005-0000-0000-0000E37A0000}"/>
    <cellStyle name="Normal 57 3 3 2 4 5 3" xfId="37334" xr:uid="{00000000-0005-0000-0000-0000E47A0000}"/>
    <cellStyle name="Normal 57 3 3 2 4 6" xfId="7193" xr:uid="{00000000-0005-0000-0000-0000E57A0000}"/>
    <cellStyle name="Normal 57 3 3 2 4 6 2" xfId="19642" xr:uid="{00000000-0005-0000-0000-0000E67A0000}"/>
    <cellStyle name="Normal 57 3 3 2 4 6 2 2" xfId="44516" xr:uid="{00000000-0005-0000-0000-0000E77A0000}"/>
    <cellStyle name="Normal 57 3 3 2 4 6 3" xfId="32083" xr:uid="{00000000-0005-0000-0000-0000E87A0000}"/>
    <cellStyle name="Normal 57 3 3 2 4 7" xfId="3647" xr:uid="{00000000-0005-0000-0000-0000E97A0000}"/>
    <cellStyle name="Normal 57 3 3 2 4 7 2" xfId="16153" xr:uid="{00000000-0005-0000-0000-0000EA7A0000}"/>
    <cellStyle name="Normal 57 3 3 2 4 7 2 2" xfId="41027" xr:uid="{00000000-0005-0000-0000-0000EB7A0000}"/>
    <cellStyle name="Normal 57 3 3 2 4 7 3" xfId="28586" xr:uid="{00000000-0005-0000-0000-0000EC7A0000}"/>
    <cellStyle name="Normal 57 3 3 2 4 8" xfId="14644" xr:uid="{00000000-0005-0000-0000-0000ED7A0000}"/>
    <cellStyle name="Normal 57 3 3 2 4 8 2" xfId="39518" xr:uid="{00000000-0005-0000-0000-0000EE7A0000}"/>
    <cellStyle name="Normal 57 3 3 2 4 9" xfId="27077" xr:uid="{00000000-0005-0000-0000-0000EF7A0000}"/>
    <cellStyle name="Normal 57 3 3 2 5" xfId="2241" xr:uid="{00000000-0005-0000-0000-0000F07A0000}"/>
    <cellStyle name="Normal 57 3 3 2 5 2" xfId="4869" xr:uid="{00000000-0005-0000-0000-0000F17A0000}"/>
    <cellStyle name="Normal 57 3 3 2 5 2 2" xfId="9886" xr:uid="{00000000-0005-0000-0000-0000F27A0000}"/>
    <cellStyle name="Normal 57 3 3 2 5 2 2 2" xfId="22329" xr:uid="{00000000-0005-0000-0000-0000F37A0000}"/>
    <cellStyle name="Normal 57 3 3 2 5 2 2 2 2" xfId="47203" xr:uid="{00000000-0005-0000-0000-0000F47A0000}"/>
    <cellStyle name="Normal 57 3 3 2 5 2 2 3" xfId="34770" xr:uid="{00000000-0005-0000-0000-0000F57A0000}"/>
    <cellStyle name="Normal 57 3 3 2 5 2 3" xfId="17322" xr:uid="{00000000-0005-0000-0000-0000F67A0000}"/>
    <cellStyle name="Normal 57 3 3 2 5 2 3 2" xfId="42196" xr:uid="{00000000-0005-0000-0000-0000F77A0000}"/>
    <cellStyle name="Normal 57 3 3 2 5 2 4" xfId="29763" xr:uid="{00000000-0005-0000-0000-0000F87A0000}"/>
    <cellStyle name="Normal 57 3 3 2 5 3" xfId="6267" xr:uid="{00000000-0005-0000-0000-0000F97A0000}"/>
    <cellStyle name="Normal 57 3 3 2 5 3 2" xfId="11282" xr:uid="{00000000-0005-0000-0000-0000FA7A0000}"/>
    <cellStyle name="Normal 57 3 3 2 5 3 2 2" xfId="23725" xr:uid="{00000000-0005-0000-0000-0000FB7A0000}"/>
    <cellStyle name="Normal 57 3 3 2 5 3 2 2 2" xfId="48599" xr:uid="{00000000-0005-0000-0000-0000FC7A0000}"/>
    <cellStyle name="Normal 57 3 3 2 5 3 2 3" xfId="36166" xr:uid="{00000000-0005-0000-0000-0000FD7A0000}"/>
    <cellStyle name="Normal 57 3 3 2 5 3 3" xfId="18718" xr:uid="{00000000-0005-0000-0000-0000FE7A0000}"/>
    <cellStyle name="Normal 57 3 3 2 5 3 3 2" xfId="43592" xr:uid="{00000000-0005-0000-0000-0000FF7A0000}"/>
    <cellStyle name="Normal 57 3 3 2 5 3 4" xfId="31159" xr:uid="{00000000-0005-0000-0000-0000007B0000}"/>
    <cellStyle name="Normal 57 3 3 2 5 4" xfId="8074" xr:uid="{00000000-0005-0000-0000-0000017B0000}"/>
    <cellStyle name="Normal 57 3 3 2 5 4 2" xfId="20520" xr:uid="{00000000-0005-0000-0000-0000027B0000}"/>
    <cellStyle name="Normal 57 3 3 2 5 4 2 2" xfId="45394" xr:uid="{00000000-0005-0000-0000-0000037B0000}"/>
    <cellStyle name="Normal 57 3 3 2 5 4 3" xfId="32961" xr:uid="{00000000-0005-0000-0000-0000047B0000}"/>
    <cellStyle name="Normal 57 3 3 2 5 5" xfId="12736" xr:uid="{00000000-0005-0000-0000-0000057B0000}"/>
    <cellStyle name="Normal 57 3 3 2 5 5 2" xfId="25170" xr:uid="{00000000-0005-0000-0000-0000067B0000}"/>
    <cellStyle name="Normal 57 3 3 2 5 5 2 2" xfId="50044" xr:uid="{00000000-0005-0000-0000-0000077B0000}"/>
    <cellStyle name="Normal 57 3 3 2 5 5 3" xfId="37611" xr:uid="{00000000-0005-0000-0000-0000087B0000}"/>
    <cellStyle name="Normal 57 3 3 2 5 6" xfId="7480" xr:uid="{00000000-0005-0000-0000-0000097B0000}"/>
    <cellStyle name="Normal 57 3 3 2 5 6 2" xfId="19928" xr:uid="{00000000-0005-0000-0000-00000A7B0000}"/>
    <cellStyle name="Normal 57 3 3 2 5 6 2 2" xfId="44802" xr:uid="{00000000-0005-0000-0000-00000B7B0000}"/>
    <cellStyle name="Normal 57 3 3 2 5 6 3" xfId="32369" xr:uid="{00000000-0005-0000-0000-00000C7B0000}"/>
    <cellStyle name="Normal 57 3 3 2 5 7" xfId="3003" xr:uid="{00000000-0005-0000-0000-00000D7B0000}"/>
    <cellStyle name="Normal 57 3 3 2 5 7 2" xfId="15513" xr:uid="{00000000-0005-0000-0000-00000E7B0000}"/>
    <cellStyle name="Normal 57 3 3 2 5 7 2 2" xfId="40387" xr:uid="{00000000-0005-0000-0000-00000F7B0000}"/>
    <cellStyle name="Normal 57 3 3 2 5 7 3" xfId="27946" xr:uid="{00000000-0005-0000-0000-0000107B0000}"/>
    <cellStyle name="Normal 57 3 3 2 5 8" xfId="14921" xr:uid="{00000000-0005-0000-0000-0000117B0000}"/>
    <cellStyle name="Normal 57 3 3 2 5 8 2" xfId="39795" xr:uid="{00000000-0005-0000-0000-0000127B0000}"/>
    <cellStyle name="Normal 57 3 3 2 5 9" xfId="27354" xr:uid="{00000000-0005-0000-0000-0000137B0000}"/>
    <cellStyle name="Normal 57 3 3 2 6" xfId="1078" xr:uid="{00000000-0005-0000-0000-0000147B0000}"/>
    <cellStyle name="Normal 57 3 3 2 6 2" xfId="8960" xr:uid="{00000000-0005-0000-0000-0000157B0000}"/>
    <cellStyle name="Normal 57 3 3 2 6 2 2" xfId="21403" xr:uid="{00000000-0005-0000-0000-0000167B0000}"/>
    <cellStyle name="Normal 57 3 3 2 6 2 2 2" xfId="46277" xr:uid="{00000000-0005-0000-0000-0000177B0000}"/>
    <cellStyle name="Normal 57 3 3 2 6 2 3" xfId="33844" xr:uid="{00000000-0005-0000-0000-0000187B0000}"/>
    <cellStyle name="Normal 57 3 3 2 6 3" xfId="3942" xr:uid="{00000000-0005-0000-0000-0000197B0000}"/>
    <cellStyle name="Normal 57 3 3 2 6 3 2" xfId="16396" xr:uid="{00000000-0005-0000-0000-00001A7B0000}"/>
    <cellStyle name="Normal 57 3 3 2 6 3 2 2" xfId="41270" xr:uid="{00000000-0005-0000-0000-00001B7B0000}"/>
    <cellStyle name="Normal 57 3 3 2 6 3 3" xfId="28837" xr:uid="{00000000-0005-0000-0000-00001C7B0000}"/>
    <cellStyle name="Normal 57 3 3 2 6 4" xfId="13878" xr:uid="{00000000-0005-0000-0000-00001D7B0000}"/>
    <cellStyle name="Normal 57 3 3 2 6 4 2" xfId="38752" xr:uid="{00000000-0005-0000-0000-00001E7B0000}"/>
    <cellStyle name="Normal 57 3 3 2 6 5" xfId="26311" xr:uid="{00000000-0005-0000-0000-00001F7B0000}"/>
    <cellStyle name="Normal 57 3 3 2 7" xfId="5223" xr:uid="{00000000-0005-0000-0000-0000207B0000}"/>
    <cellStyle name="Normal 57 3 3 2 7 2" xfId="10239" xr:uid="{00000000-0005-0000-0000-0000217B0000}"/>
    <cellStyle name="Normal 57 3 3 2 7 2 2" xfId="22682" xr:uid="{00000000-0005-0000-0000-0000227B0000}"/>
    <cellStyle name="Normal 57 3 3 2 7 2 2 2" xfId="47556" xr:uid="{00000000-0005-0000-0000-0000237B0000}"/>
    <cellStyle name="Normal 57 3 3 2 7 2 3" xfId="35123" xr:uid="{00000000-0005-0000-0000-0000247B0000}"/>
    <cellStyle name="Normal 57 3 3 2 7 3" xfId="17675" xr:uid="{00000000-0005-0000-0000-0000257B0000}"/>
    <cellStyle name="Normal 57 3 3 2 7 3 2" xfId="42549" xr:uid="{00000000-0005-0000-0000-0000267B0000}"/>
    <cellStyle name="Normal 57 3 3 2 7 4" xfId="30116" xr:uid="{00000000-0005-0000-0000-0000277B0000}"/>
    <cellStyle name="Normal 57 3 3 2 8" xfId="7800" xr:uid="{00000000-0005-0000-0000-0000287B0000}"/>
    <cellStyle name="Normal 57 3 3 2 8 2" xfId="20246" xr:uid="{00000000-0005-0000-0000-0000297B0000}"/>
    <cellStyle name="Normal 57 3 3 2 8 2 2" xfId="45120" xr:uid="{00000000-0005-0000-0000-00002A7B0000}"/>
    <cellStyle name="Normal 57 3 3 2 8 3" xfId="32687" xr:uid="{00000000-0005-0000-0000-00002B7B0000}"/>
    <cellStyle name="Normal 57 3 3 2 9" xfId="11693" xr:uid="{00000000-0005-0000-0000-00002C7B0000}"/>
    <cellStyle name="Normal 57 3 3 2 9 2" xfId="24127" xr:uid="{00000000-0005-0000-0000-00002D7B0000}"/>
    <cellStyle name="Normal 57 3 3 2 9 2 2" xfId="49001" xr:uid="{00000000-0005-0000-0000-00002E7B0000}"/>
    <cellStyle name="Normal 57 3 3 2 9 3" xfId="36568" xr:uid="{00000000-0005-0000-0000-00002F7B0000}"/>
    <cellStyle name="Normal 57 3 3 2_Degree data" xfId="2461" xr:uid="{00000000-0005-0000-0000-0000307B0000}"/>
    <cellStyle name="Normal 57 3 3 3" xfId="278" xr:uid="{00000000-0005-0000-0000-0000317B0000}"/>
    <cellStyle name="Normal 57 3 3 3 10" xfId="6615" xr:uid="{00000000-0005-0000-0000-0000327B0000}"/>
    <cellStyle name="Normal 57 3 3 3 10 2" xfId="19064" xr:uid="{00000000-0005-0000-0000-0000337B0000}"/>
    <cellStyle name="Normal 57 3 3 3 10 2 2" xfId="43938" xr:uid="{00000000-0005-0000-0000-0000347B0000}"/>
    <cellStyle name="Normal 57 3 3 3 10 3" xfId="31505" xr:uid="{00000000-0005-0000-0000-0000357B0000}"/>
    <cellStyle name="Normal 57 3 3 3 11" xfId="2678" xr:uid="{00000000-0005-0000-0000-0000367B0000}"/>
    <cellStyle name="Normal 57 3 3 3 11 2" xfId="15196" xr:uid="{00000000-0005-0000-0000-0000377B0000}"/>
    <cellStyle name="Normal 57 3 3 3 11 2 2" xfId="40070" xr:uid="{00000000-0005-0000-0000-0000387B0000}"/>
    <cellStyle name="Normal 57 3 3 3 11 3" xfId="27629" xr:uid="{00000000-0005-0000-0000-0000397B0000}"/>
    <cellStyle name="Normal 57 3 3 3 12" xfId="13097" xr:uid="{00000000-0005-0000-0000-00003A7B0000}"/>
    <cellStyle name="Normal 57 3 3 3 12 2" xfId="37971" xr:uid="{00000000-0005-0000-0000-00003B7B0000}"/>
    <cellStyle name="Normal 57 3 3 3 13" xfId="25530" xr:uid="{00000000-0005-0000-0000-00003C7B0000}"/>
    <cellStyle name="Normal 57 3 3 3 2" xfId="489" xr:uid="{00000000-0005-0000-0000-00003D7B0000}"/>
    <cellStyle name="Normal 57 3 3 3 2 10" xfId="13302" xr:uid="{00000000-0005-0000-0000-00003E7B0000}"/>
    <cellStyle name="Normal 57 3 3 3 2 10 2" xfId="38176" xr:uid="{00000000-0005-0000-0000-00003F7B0000}"/>
    <cellStyle name="Normal 57 3 3 3 2 11" xfId="25735" xr:uid="{00000000-0005-0000-0000-0000407B0000}"/>
    <cellStyle name="Normal 57 3 3 3 2 2" xfId="848" xr:uid="{00000000-0005-0000-0000-0000417B0000}"/>
    <cellStyle name="Normal 57 3 3 3 2 2 2" xfId="1499" xr:uid="{00000000-0005-0000-0000-0000427B0000}"/>
    <cellStyle name="Normal 57 3 3 3 2 2 2 2" xfId="9603" xr:uid="{00000000-0005-0000-0000-0000437B0000}"/>
    <cellStyle name="Normal 57 3 3 3 2 2 2 2 2" xfId="22046" xr:uid="{00000000-0005-0000-0000-0000447B0000}"/>
    <cellStyle name="Normal 57 3 3 3 2 2 2 2 2 2" xfId="46920" xr:uid="{00000000-0005-0000-0000-0000457B0000}"/>
    <cellStyle name="Normal 57 3 3 3 2 2 2 2 3" xfId="34487" xr:uid="{00000000-0005-0000-0000-0000467B0000}"/>
    <cellStyle name="Normal 57 3 3 3 2 2 2 3" xfId="4585" xr:uid="{00000000-0005-0000-0000-0000477B0000}"/>
    <cellStyle name="Normal 57 3 3 3 2 2 2 3 2" xfId="17039" xr:uid="{00000000-0005-0000-0000-0000487B0000}"/>
    <cellStyle name="Normal 57 3 3 3 2 2 2 3 2 2" xfId="41913" xr:uid="{00000000-0005-0000-0000-0000497B0000}"/>
    <cellStyle name="Normal 57 3 3 3 2 2 2 3 3" xfId="29480" xr:uid="{00000000-0005-0000-0000-00004A7B0000}"/>
    <cellStyle name="Normal 57 3 3 3 2 2 2 4" xfId="14299" xr:uid="{00000000-0005-0000-0000-00004B7B0000}"/>
    <cellStyle name="Normal 57 3 3 3 2 2 2 4 2" xfId="39173" xr:uid="{00000000-0005-0000-0000-00004C7B0000}"/>
    <cellStyle name="Normal 57 3 3 3 2 2 2 5" xfId="26732" xr:uid="{00000000-0005-0000-0000-00004D7B0000}"/>
    <cellStyle name="Normal 57 3 3 3 2 2 3" xfId="5644" xr:uid="{00000000-0005-0000-0000-00004E7B0000}"/>
    <cellStyle name="Normal 57 3 3 3 2 2 3 2" xfId="10660" xr:uid="{00000000-0005-0000-0000-00004F7B0000}"/>
    <cellStyle name="Normal 57 3 3 3 2 2 3 2 2" xfId="23103" xr:uid="{00000000-0005-0000-0000-0000507B0000}"/>
    <cellStyle name="Normal 57 3 3 3 2 2 3 2 2 2" xfId="47977" xr:uid="{00000000-0005-0000-0000-0000517B0000}"/>
    <cellStyle name="Normal 57 3 3 3 2 2 3 2 3" xfId="35544" xr:uid="{00000000-0005-0000-0000-0000527B0000}"/>
    <cellStyle name="Normal 57 3 3 3 2 2 3 3" xfId="18096" xr:uid="{00000000-0005-0000-0000-0000537B0000}"/>
    <cellStyle name="Normal 57 3 3 3 2 2 3 3 2" xfId="42970" xr:uid="{00000000-0005-0000-0000-0000547B0000}"/>
    <cellStyle name="Normal 57 3 3 3 2 2 3 4" xfId="30537" xr:uid="{00000000-0005-0000-0000-0000557B0000}"/>
    <cellStyle name="Normal 57 3 3 3 2 2 4" xfId="8719" xr:uid="{00000000-0005-0000-0000-0000567B0000}"/>
    <cellStyle name="Normal 57 3 3 3 2 2 4 2" xfId="21163" xr:uid="{00000000-0005-0000-0000-0000577B0000}"/>
    <cellStyle name="Normal 57 3 3 3 2 2 4 2 2" xfId="46037" xr:uid="{00000000-0005-0000-0000-0000587B0000}"/>
    <cellStyle name="Normal 57 3 3 3 2 2 4 3" xfId="33604" xr:uid="{00000000-0005-0000-0000-0000597B0000}"/>
    <cellStyle name="Normal 57 3 3 3 2 2 5" xfId="12114" xr:uid="{00000000-0005-0000-0000-00005A7B0000}"/>
    <cellStyle name="Normal 57 3 3 3 2 2 5 2" xfId="24548" xr:uid="{00000000-0005-0000-0000-00005B7B0000}"/>
    <cellStyle name="Normal 57 3 3 3 2 2 5 2 2" xfId="49422" xr:uid="{00000000-0005-0000-0000-00005C7B0000}"/>
    <cellStyle name="Normal 57 3 3 3 2 2 5 3" xfId="36989" xr:uid="{00000000-0005-0000-0000-00005D7B0000}"/>
    <cellStyle name="Normal 57 3 3 3 2 2 6" xfId="7196" xr:uid="{00000000-0005-0000-0000-00005E7B0000}"/>
    <cellStyle name="Normal 57 3 3 3 2 2 6 2" xfId="19645" xr:uid="{00000000-0005-0000-0000-00005F7B0000}"/>
    <cellStyle name="Normal 57 3 3 3 2 2 6 2 2" xfId="44519" xr:uid="{00000000-0005-0000-0000-0000607B0000}"/>
    <cellStyle name="Normal 57 3 3 3 2 2 6 3" xfId="32086" xr:uid="{00000000-0005-0000-0000-0000617B0000}"/>
    <cellStyle name="Normal 57 3 3 3 2 2 7" xfId="3650" xr:uid="{00000000-0005-0000-0000-0000627B0000}"/>
    <cellStyle name="Normal 57 3 3 3 2 2 7 2" xfId="16156" xr:uid="{00000000-0005-0000-0000-0000637B0000}"/>
    <cellStyle name="Normal 57 3 3 3 2 2 7 2 2" xfId="41030" xr:uid="{00000000-0005-0000-0000-0000647B0000}"/>
    <cellStyle name="Normal 57 3 3 3 2 2 7 3" xfId="28589" xr:uid="{00000000-0005-0000-0000-0000657B0000}"/>
    <cellStyle name="Normal 57 3 3 3 2 2 8" xfId="13649" xr:uid="{00000000-0005-0000-0000-0000667B0000}"/>
    <cellStyle name="Normal 57 3 3 3 2 2 8 2" xfId="38523" xr:uid="{00000000-0005-0000-0000-0000677B0000}"/>
    <cellStyle name="Normal 57 3 3 3 2 2 9" xfId="26082" xr:uid="{00000000-0005-0000-0000-0000687B0000}"/>
    <cellStyle name="Normal 57 3 3 3 2 3" xfId="1847" xr:uid="{00000000-0005-0000-0000-0000697B0000}"/>
    <cellStyle name="Normal 57 3 3 3 2 3 2" xfId="5031" xr:uid="{00000000-0005-0000-0000-00006A7B0000}"/>
    <cellStyle name="Normal 57 3 3 3 2 3 2 2" xfId="10048" xr:uid="{00000000-0005-0000-0000-00006B7B0000}"/>
    <cellStyle name="Normal 57 3 3 3 2 3 2 2 2" xfId="22491" xr:uid="{00000000-0005-0000-0000-00006C7B0000}"/>
    <cellStyle name="Normal 57 3 3 3 2 3 2 2 2 2" xfId="47365" xr:uid="{00000000-0005-0000-0000-00006D7B0000}"/>
    <cellStyle name="Normal 57 3 3 3 2 3 2 2 3" xfId="34932" xr:uid="{00000000-0005-0000-0000-00006E7B0000}"/>
    <cellStyle name="Normal 57 3 3 3 2 3 2 3" xfId="17484" xr:uid="{00000000-0005-0000-0000-00006F7B0000}"/>
    <cellStyle name="Normal 57 3 3 3 2 3 2 3 2" xfId="42358" xr:uid="{00000000-0005-0000-0000-0000707B0000}"/>
    <cellStyle name="Normal 57 3 3 3 2 3 2 4" xfId="29925" xr:uid="{00000000-0005-0000-0000-0000717B0000}"/>
    <cellStyle name="Normal 57 3 3 3 2 3 3" xfId="5993" xr:uid="{00000000-0005-0000-0000-0000727B0000}"/>
    <cellStyle name="Normal 57 3 3 3 2 3 3 2" xfId="11008" xr:uid="{00000000-0005-0000-0000-0000737B0000}"/>
    <cellStyle name="Normal 57 3 3 3 2 3 3 2 2" xfId="23451" xr:uid="{00000000-0005-0000-0000-0000747B0000}"/>
    <cellStyle name="Normal 57 3 3 3 2 3 3 2 2 2" xfId="48325" xr:uid="{00000000-0005-0000-0000-0000757B0000}"/>
    <cellStyle name="Normal 57 3 3 3 2 3 3 2 3" xfId="35892" xr:uid="{00000000-0005-0000-0000-0000767B0000}"/>
    <cellStyle name="Normal 57 3 3 3 2 3 3 3" xfId="18444" xr:uid="{00000000-0005-0000-0000-0000777B0000}"/>
    <cellStyle name="Normal 57 3 3 3 2 3 3 3 2" xfId="43318" xr:uid="{00000000-0005-0000-0000-0000787B0000}"/>
    <cellStyle name="Normal 57 3 3 3 2 3 3 4" xfId="30885" xr:uid="{00000000-0005-0000-0000-0000797B0000}"/>
    <cellStyle name="Normal 57 3 3 3 2 3 4" xfId="8455" xr:uid="{00000000-0005-0000-0000-00007A7B0000}"/>
    <cellStyle name="Normal 57 3 3 3 2 3 4 2" xfId="20899" xr:uid="{00000000-0005-0000-0000-00007B7B0000}"/>
    <cellStyle name="Normal 57 3 3 3 2 3 4 2 2" xfId="45773" xr:uid="{00000000-0005-0000-0000-00007C7B0000}"/>
    <cellStyle name="Normal 57 3 3 3 2 3 4 3" xfId="33340" xr:uid="{00000000-0005-0000-0000-00007D7B0000}"/>
    <cellStyle name="Normal 57 3 3 3 2 3 5" xfId="12462" xr:uid="{00000000-0005-0000-0000-00007E7B0000}"/>
    <cellStyle name="Normal 57 3 3 3 2 3 5 2" xfId="24896" xr:uid="{00000000-0005-0000-0000-00007F7B0000}"/>
    <cellStyle name="Normal 57 3 3 3 2 3 5 2 2" xfId="49770" xr:uid="{00000000-0005-0000-0000-0000807B0000}"/>
    <cellStyle name="Normal 57 3 3 3 2 3 5 3" xfId="37337" xr:uid="{00000000-0005-0000-0000-0000817B0000}"/>
    <cellStyle name="Normal 57 3 3 3 2 3 6" xfId="7642" xr:uid="{00000000-0005-0000-0000-0000827B0000}"/>
    <cellStyle name="Normal 57 3 3 3 2 3 6 2" xfId="20090" xr:uid="{00000000-0005-0000-0000-0000837B0000}"/>
    <cellStyle name="Normal 57 3 3 3 2 3 6 2 2" xfId="44964" xr:uid="{00000000-0005-0000-0000-0000847B0000}"/>
    <cellStyle name="Normal 57 3 3 3 2 3 6 3" xfId="32531" xr:uid="{00000000-0005-0000-0000-0000857B0000}"/>
    <cellStyle name="Normal 57 3 3 3 2 3 7" xfId="3386" xr:uid="{00000000-0005-0000-0000-0000867B0000}"/>
    <cellStyle name="Normal 57 3 3 3 2 3 7 2" xfId="15892" xr:uid="{00000000-0005-0000-0000-0000877B0000}"/>
    <cellStyle name="Normal 57 3 3 3 2 3 7 2 2" xfId="40766" xr:uid="{00000000-0005-0000-0000-0000887B0000}"/>
    <cellStyle name="Normal 57 3 3 3 2 3 7 3" xfId="28325" xr:uid="{00000000-0005-0000-0000-0000897B0000}"/>
    <cellStyle name="Normal 57 3 3 3 2 3 8" xfId="14647" xr:uid="{00000000-0005-0000-0000-00008A7B0000}"/>
    <cellStyle name="Normal 57 3 3 3 2 3 8 2" xfId="39521" xr:uid="{00000000-0005-0000-0000-00008B7B0000}"/>
    <cellStyle name="Normal 57 3 3 3 2 3 9" xfId="27080" xr:uid="{00000000-0005-0000-0000-00008C7B0000}"/>
    <cellStyle name="Normal 57 3 3 3 2 4" xfId="2407" xr:uid="{00000000-0005-0000-0000-00008D7B0000}"/>
    <cellStyle name="Normal 57 3 3 3 2 4 2" xfId="6429" xr:uid="{00000000-0005-0000-0000-00008E7B0000}"/>
    <cellStyle name="Normal 57 3 3 3 2 4 2 2" xfId="11444" xr:uid="{00000000-0005-0000-0000-00008F7B0000}"/>
    <cellStyle name="Normal 57 3 3 3 2 4 2 2 2" xfId="23887" xr:uid="{00000000-0005-0000-0000-0000907B0000}"/>
    <cellStyle name="Normal 57 3 3 3 2 4 2 2 2 2" xfId="48761" xr:uid="{00000000-0005-0000-0000-0000917B0000}"/>
    <cellStyle name="Normal 57 3 3 3 2 4 2 2 3" xfId="36328" xr:uid="{00000000-0005-0000-0000-0000927B0000}"/>
    <cellStyle name="Normal 57 3 3 3 2 4 2 3" xfId="18880" xr:uid="{00000000-0005-0000-0000-0000937B0000}"/>
    <cellStyle name="Normal 57 3 3 3 2 4 2 3 2" xfId="43754" xr:uid="{00000000-0005-0000-0000-0000947B0000}"/>
    <cellStyle name="Normal 57 3 3 3 2 4 2 4" xfId="31321" xr:uid="{00000000-0005-0000-0000-0000957B0000}"/>
    <cellStyle name="Normal 57 3 3 3 2 4 3" xfId="12898" xr:uid="{00000000-0005-0000-0000-0000967B0000}"/>
    <cellStyle name="Normal 57 3 3 3 2 4 3 2" xfId="25332" xr:uid="{00000000-0005-0000-0000-0000977B0000}"/>
    <cellStyle name="Normal 57 3 3 3 2 4 3 2 2" xfId="50206" xr:uid="{00000000-0005-0000-0000-0000987B0000}"/>
    <cellStyle name="Normal 57 3 3 3 2 4 3 3" xfId="37773" xr:uid="{00000000-0005-0000-0000-0000997B0000}"/>
    <cellStyle name="Normal 57 3 3 3 2 4 4" xfId="9339" xr:uid="{00000000-0005-0000-0000-00009A7B0000}"/>
    <cellStyle name="Normal 57 3 3 3 2 4 4 2" xfId="21782" xr:uid="{00000000-0005-0000-0000-00009B7B0000}"/>
    <cellStyle name="Normal 57 3 3 3 2 4 4 2 2" xfId="46656" xr:uid="{00000000-0005-0000-0000-00009C7B0000}"/>
    <cellStyle name="Normal 57 3 3 3 2 4 4 3" xfId="34223" xr:uid="{00000000-0005-0000-0000-00009D7B0000}"/>
    <cellStyle name="Normal 57 3 3 3 2 4 5" xfId="4321" xr:uid="{00000000-0005-0000-0000-00009E7B0000}"/>
    <cellStyle name="Normal 57 3 3 3 2 4 5 2" xfId="16775" xr:uid="{00000000-0005-0000-0000-00009F7B0000}"/>
    <cellStyle name="Normal 57 3 3 3 2 4 5 2 2" xfId="41649" xr:uid="{00000000-0005-0000-0000-0000A07B0000}"/>
    <cellStyle name="Normal 57 3 3 3 2 4 5 3" xfId="29216" xr:uid="{00000000-0005-0000-0000-0000A17B0000}"/>
    <cellStyle name="Normal 57 3 3 3 2 4 6" xfId="15083" xr:uid="{00000000-0005-0000-0000-0000A27B0000}"/>
    <cellStyle name="Normal 57 3 3 3 2 4 6 2" xfId="39957" xr:uid="{00000000-0005-0000-0000-0000A37B0000}"/>
    <cellStyle name="Normal 57 3 3 3 2 4 7" xfId="27516" xr:uid="{00000000-0005-0000-0000-0000A47B0000}"/>
    <cellStyle name="Normal 57 3 3 3 2 5" xfId="1240" xr:uid="{00000000-0005-0000-0000-0000A57B0000}"/>
    <cellStyle name="Normal 57 3 3 3 2 5 2" xfId="10401" xr:uid="{00000000-0005-0000-0000-0000A67B0000}"/>
    <cellStyle name="Normal 57 3 3 3 2 5 2 2" xfId="22844" xr:uid="{00000000-0005-0000-0000-0000A77B0000}"/>
    <cellStyle name="Normal 57 3 3 3 2 5 2 2 2" xfId="47718" xr:uid="{00000000-0005-0000-0000-0000A87B0000}"/>
    <cellStyle name="Normal 57 3 3 3 2 5 2 3" xfId="35285" xr:uid="{00000000-0005-0000-0000-0000A97B0000}"/>
    <cellStyle name="Normal 57 3 3 3 2 5 3" xfId="5385" xr:uid="{00000000-0005-0000-0000-0000AA7B0000}"/>
    <cellStyle name="Normal 57 3 3 3 2 5 3 2" xfId="17837" xr:uid="{00000000-0005-0000-0000-0000AB7B0000}"/>
    <cellStyle name="Normal 57 3 3 3 2 5 3 2 2" xfId="42711" xr:uid="{00000000-0005-0000-0000-0000AC7B0000}"/>
    <cellStyle name="Normal 57 3 3 3 2 5 3 3" xfId="30278" xr:uid="{00000000-0005-0000-0000-0000AD7B0000}"/>
    <cellStyle name="Normal 57 3 3 3 2 5 4" xfId="14040" xr:uid="{00000000-0005-0000-0000-0000AE7B0000}"/>
    <cellStyle name="Normal 57 3 3 3 2 5 4 2" xfId="38914" xr:uid="{00000000-0005-0000-0000-0000AF7B0000}"/>
    <cellStyle name="Normal 57 3 3 3 2 5 5" xfId="26473" xr:uid="{00000000-0005-0000-0000-0000B07B0000}"/>
    <cellStyle name="Normal 57 3 3 3 2 6" xfId="7962" xr:uid="{00000000-0005-0000-0000-0000B17B0000}"/>
    <cellStyle name="Normal 57 3 3 3 2 6 2" xfId="20408" xr:uid="{00000000-0005-0000-0000-0000B27B0000}"/>
    <cellStyle name="Normal 57 3 3 3 2 6 2 2" xfId="45282" xr:uid="{00000000-0005-0000-0000-0000B37B0000}"/>
    <cellStyle name="Normal 57 3 3 3 2 6 3" xfId="32849" xr:uid="{00000000-0005-0000-0000-0000B47B0000}"/>
    <cellStyle name="Normal 57 3 3 3 2 7" xfId="11855" xr:uid="{00000000-0005-0000-0000-0000B57B0000}"/>
    <cellStyle name="Normal 57 3 3 3 2 7 2" xfId="24289" xr:uid="{00000000-0005-0000-0000-0000B67B0000}"/>
    <cellStyle name="Normal 57 3 3 3 2 7 2 2" xfId="49163" xr:uid="{00000000-0005-0000-0000-0000B77B0000}"/>
    <cellStyle name="Normal 57 3 3 3 2 7 3" xfId="36730" xr:uid="{00000000-0005-0000-0000-0000B87B0000}"/>
    <cellStyle name="Normal 57 3 3 3 2 8" xfId="6932" xr:uid="{00000000-0005-0000-0000-0000B97B0000}"/>
    <cellStyle name="Normal 57 3 3 3 2 8 2" xfId="19381" xr:uid="{00000000-0005-0000-0000-0000BA7B0000}"/>
    <cellStyle name="Normal 57 3 3 3 2 8 2 2" xfId="44255" xr:uid="{00000000-0005-0000-0000-0000BB7B0000}"/>
    <cellStyle name="Normal 57 3 3 3 2 8 3" xfId="31822" xr:uid="{00000000-0005-0000-0000-0000BC7B0000}"/>
    <cellStyle name="Normal 57 3 3 3 2 9" xfId="2883" xr:uid="{00000000-0005-0000-0000-0000BD7B0000}"/>
    <cellStyle name="Normal 57 3 3 3 2 9 2" xfId="15401" xr:uid="{00000000-0005-0000-0000-0000BE7B0000}"/>
    <cellStyle name="Normal 57 3 3 3 2 9 2 2" xfId="40275" xr:uid="{00000000-0005-0000-0000-0000BF7B0000}"/>
    <cellStyle name="Normal 57 3 3 3 2 9 3" xfId="27834" xr:uid="{00000000-0005-0000-0000-0000C07B0000}"/>
    <cellStyle name="Normal 57 3 3 3 2_Degree data" xfId="2464" xr:uid="{00000000-0005-0000-0000-0000C17B0000}"/>
    <cellStyle name="Normal 57 3 3 3 3" xfId="640" xr:uid="{00000000-0005-0000-0000-0000C27B0000}"/>
    <cellStyle name="Normal 57 3 3 3 3 2" xfId="1498" xr:uid="{00000000-0005-0000-0000-0000C37B0000}"/>
    <cellStyle name="Normal 57 3 3 3 3 2 2" xfId="9134" xr:uid="{00000000-0005-0000-0000-0000C47B0000}"/>
    <cellStyle name="Normal 57 3 3 3 3 2 2 2" xfId="21577" xr:uid="{00000000-0005-0000-0000-0000C57B0000}"/>
    <cellStyle name="Normal 57 3 3 3 3 2 2 2 2" xfId="46451" xr:uid="{00000000-0005-0000-0000-0000C67B0000}"/>
    <cellStyle name="Normal 57 3 3 3 3 2 2 3" xfId="34018" xr:uid="{00000000-0005-0000-0000-0000C77B0000}"/>
    <cellStyle name="Normal 57 3 3 3 3 2 3" xfId="4116" xr:uid="{00000000-0005-0000-0000-0000C87B0000}"/>
    <cellStyle name="Normal 57 3 3 3 3 2 3 2" xfId="16570" xr:uid="{00000000-0005-0000-0000-0000C97B0000}"/>
    <cellStyle name="Normal 57 3 3 3 3 2 3 2 2" xfId="41444" xr:uid="{00000000-0005-0000-0000-0000CA7B0000}"/>
    <cellStyle name="Normal 57 3 3 3 3 2 3 3" xfId="29011" xr:uid="{00000000-0005-0000-0000-0000CB7B0000}"/>
    <cellStyle name="Normal 57 3 3 3 3 2 4" xfId="14298" xr:uid="{00000000-0005-0000-0000-0000CC7B0000}"/>
    <cellStyle name="Normal 57 3 3 3 3 2 4 2" xfId="39172" xr:uid="{00000000-0005-0000-0000-0000CD7B0000}"/>
    <cellStyle name="Normal 57 3 3 3 3 2 5" xfId="26731" xr:uid="{00000000-0005-0000-0000-0000CE7B0000}"/>
    <cellStyle name="Normal 57 3 3 3 3 3" xfId="5643" xr:uid="{00000000-0005-0000-0000-0000CF7B0000}"/>
    <cellStyle name="Normal 57 3 3 3 3 3 2" xfId="10659" xr:uid="{00000000-0005-0000-0000-0000D07B0000}"/>
    <cellStyle name="Normal 57 3 3 3 3 3 2 2" xfId="23102" xr:uid="{00000000-0005-0000-0000-0000D17B0000}"/>
    <cellStyle name="Normal 57 3 3 3 3 3 2 2 2" xfId="47976" xr:uid="{00000000-0005-0000-0000-0000D27B0000}"/>
    <cellStyle name="Normal 57 3 3 3 3 3 2 3" xfId="35543" xr:uid="{00000000-0005-0000-0000-0000D37B0000}"/>
    <cellStyle name="Normal 57 3 3 3 3 3 3" xfId="18095" xr:uid="{00000000-0005-0000-0000-0000D47B0000}"/>
    <cellStyle name="Normal 57 3 3 3 3 3 3 2" xfId="42969" xr:uid="{00000000-0005-0000-0000-0000D57B0000}"/>
    <cellStyle name="Normal 57 3 3 3 3 3 4" xfId="30536" xr:uid="{00000000-0005-0000-0000-0000D67B0000}"/>
    <cellStyle name="Normal 57 3 3 3 3 4" xfId="8250" xr:uid="{00000000-0005-0000-0000-0000D77B0000}"/>
    <cellStyle name="Normal 57 3 3 3 3 4 2" xfId="20694" xr:uid="{00000000-0005-0000-0000-0000D87B0000}"/>
    <cellStyle name="Normal 57 3 3 3 3 4 2 2" xfId="45568" xr:uid="{00000000-0005-0000-0000-0000D97B0000}"/>
    <cellStyle name="Normal 57 3 3 3 3 4 3" xfId="33135" xr:uid="{00000000-0005-0000-0000-0000DA7B0000}"/>
    <cellStyle name="Normal 57 3 3 3 3 5" xfId="12113" xr:uid="{00000000-0005-0000-0000-0000DB7B0000}"/>
    <cellStyle name="Normal 57 3 3 3 3 5 2" xfId="24547" xr:uid="{00000000-0005-0000-0000-0000DC7B0000}"/>
    <cellStyle name="Normal 57 3 3 3 3 5 2 2" xfId="49421" xr:uid="{00000000-0005-0000-0000-0000DD7B0000}"/>
    <cellStyle name="Normal 57 3 3 3 3 5 3" xfId="36988" xr:uid="{00000000-0005-0000-0000-0000DE7B0000}"/>
    <cellStyle name="Normal 57 3 3 3 3 6" xfId="6727" xr:uid="{00000000-0005-0000-0000-0000DF7B0000}"/>
    <cellStyle name="Normal 57 3 3 3 3 6 2" xfId="19176" xr:uid="{00000000-0005-0000-0000-0000E07B0000}"/>
    <cellStyle name="Normal 57 3 3 3 3 6 2 2" xfId="44050" xr:uid="{00000000-0005-0000-0000-0000E17B0000}"/>
    <cellStyle name="Normal 57 3 3 3 3 6 3" xfId="31617" xr:uid="{00000000-0005-0000-0000-0000E27B0000}"/>
    <cellStyle name="Normal 57 3 3 3 3 7" xfId="3181" xr:uid="{00000000-0005-0000-0000-0000E37B0000}"/>
    <cellStyle name="Normal 57 3 3 3 3 7 2" xfId="15687" xr:uid="{00000000-0005-0000-0000-0000E47B0000}"/>
    <cellStyle name="Normal 57 3 3 3 3 7 2 2" xfId="40561" xr:uid="{00000000-0005-0000-0000-0000E57B0000}"/>
    <cellStyle name="Normal 57 3 3 3 3 7 3" xfId="28120" xr:uid="{00000000-0005-0000-0000-0000E67B0000}"/>
    <cellStyle name="Normal 57 3 3 3 3 8" xfId="13444" xr:uid="{00000000-0005-0000-0000-0000E77B0000}"/>
    <cellStyle name="Normal 57 3 3 3 3 8 2" xfId="38318" xr:uid="{00000000-0005-0000-0000-0000E87B0000}"/>
    <cellStyle name="Normal 57 3 3 3 3 9" xfId="25877" xr:uid="{00000000-0005-0000-0000-0000E97B0000}"/>
    <cellStyle name="Normal 57 3 3 3 4" xfId="1846" xr:uid="{00000000-0005-0000-0000-0000EA7B0000}"/>
    <cellStyle name="Normal 57 3 3 3 4 2" xfId="4584" xr:uid="{00000000-0005-0000-0000-0000EB7B0000}"/>
    <cellStyle name="Normal 57 3 3 3 4 2 2" xfId="9602" xr:uid="{00000000-0005-0000-0000-0000EC7B0000}"/>
    <cellStyle name="Normal 57 3 3 3 4 2 2 2" xfId="22045" xr:uid="{00000000-0005-0000-0000-0000ED7B0000}"/>
    <cellStyle name="Normal 57 3 3 3 4 2 2 2 2" xfId="46919" xr:uid="{00000000-0005-0000-0000-0000EE7B0000}"/>
    <cellStyle name="Normal 57 3 3 3 4 2 2 3" xfId="34486" xr:uid="{00000000-0005-0000-0000-0000EF7B0000}"/>
    <cellStyle name="Normal 57 3 3 3 4 2 3" xfId="17038" xr:uid="{00000000-0005-0000-0000-0000F07B0000}"/>
    <cellStyle name="Normal 57 3 3 3 4 2 3 2" xfId="41912" xr:uid="{00000000-0005-0000-0000-0000F17B0000}"/>
    <cellStyle name="Normal 57 3 3 3 4 2 4" xfId="29479" xr:uid="{00000000-0005-0000-0000-0000F27B0000}"/>
    <cellStyle name="Normal 57 3 3 3 4 3" xfId="5992" xr:uid="{00000000-0005-0000-0000-0000F37B0000}"/>
    <cellStyle name="Normal 57 3 3 3 4 3 2" xfId="11007" xr:uid="{00000000-0005-0000-0000-0000F47B0000}"/>
    <cellStyle name="Normal 57 3 3 3 4 3 2 2" xfId="23450" xr:uid="{00000000-0005-0000-0000-0000F57B0000}"/>
    <cellStyle name="Normal 57 3 3 3 4 3 2 2 2" xfId="48324" xr:uid="{00000000-0005-0000-0000-0000F67B0000}"/>
    <cellStyle name="Normal 57 3 3 3 4 3 2 3" xfId="35891" xr:uid="{00000000-0005-0000-0000-0000F77B0000}"/>
    <cellStyle name="Normal 57 3 3 3 4 3 3" xfId="18443" xr:uid="{00000000-0005-0000-0000-0000F87B0000}"/>
    <cellStyle name="Normal 57 3 3 3 4 3 3 2" xfId="43317" xr:uid="{00000000-0005-0000-0000-0000F97B0000}"/>
    <cellStyle name="Normal 57 3 3 3 4 3 4" xfId="30884" xr:uid="{00000000-0005-0000-0000-0000FA7B0000}"/>
    <cellStyle name="Normal 57 3 3 3 4 4" xfId="8718" xr:uid="{00000000-0005-0000-0000-0000FB7B0000}"/>
    <cellStyle name="Normal 57 3 3 3 4 4 2" xfId="21162" xr:uid="{00000000-0005-0000-0000-0000FC7B0000}"/>
    <cellStyle name="Normal 57 3 3 3 4 4 2 2" xfId="46036" xr:uid="{00000000-0005-0000-0000-0000FD7B0000}"/>
    <cellStyle name="Normal 57 3 3 3 4 4 3" xfId="33603" xr:uid="{00000000-0005-0000-0000-0000FE7B0000}"/>
    <cellStyle name="Normal 57 3 3 3 4 5" xfId="12461" xr:uid="{00000000-0005-0000-0000-0000FF7B0000}"/>
    <cellStyle name="Normal 57 3 3 3 4 5 2" xfId="24895" xr:uid="{00000000-0005-0000-0000-0000007C0000}"/>
    <cellStyle name="Normal 57 3 3 3 4 5 2 2" xfId="49769" xr:uid="{00000000-0005-0000-0000-0000017C0000}"/>
    <cellStyle name="Normal 57 3 3 3 4 5 3" xfId="37336" xr:uid="{00000000-0005-0000-0000-0000027C0000}"/>
    <cellStyle name="Normal 57 3 3 3 4 6" xfId="7195" xr:uid="{00000000-0005-0000-0000-0000037C0000}"/>
    <cellStyle name="Normal 57 3 3 3 4 6 2" xfId="19644" xr:uid="{00000000-0005-0000-0000-0000047C0000}"/>
    <cellStyle name="Normal 57 3 3 3 4 6 2 2" xfId="44518" xr:uid="{00000000-0005-0000-0000-0000057C0000}"/>
    <cellStyle name="Normal 57 3 3 3 4 6 3" xfId="32085" xr:uid="{00000000-0005-0000-0000-0000067C0000}"/>
    <cellStyle name="Normal 57 3 3 3 4 7" xfId="3649" xr:uid="{00000000-0005-0000-0000-0000077C0000}"/>
    <cellStyle name="Normal 57 3 3 3 4 7 2" xfId="16155" xr:uid="{00000000-0005-0000-0000-0000087C0000}"/>
    <cellStyle name="Normal 57 3 3 3 4 7 2 2" xfId="41029" xr:uid="{00000000-0005-0000-0000-0000097C0000}"/>
    <cellStyle name="Normal 57 3 3 3 4 7 3" xfId="28588" xr:uid="{00000000-0005-0000-0000-00000A7C0000}"/>
    <cellStyle name="Normal 57 3 3 3 4 8" xfId="14646" xr:uid="{00000000-0005-0000-0000-00000B7C0000}"/>
    <cellStyle name="Normal 57 3 3 3 4 8 2" xfId="39520" xr:uid="{00000000-0005-0000-0000-00000C7C0000}"/>
    <cellStyle name="Normal 57 3 3 3 4 9" xfId="27079" xr:uid="{00000000-0005-0000-0000-00000D7C0000}"/>
    <cellStyle name="Normal 57 3 3 3 5" xfId="2196" xr:uid="{00000000-0005-0000-0000-00000E7C0000}"/>
    <cellStyle name="Normal 57 3 3 3 5 2" xfId="4826" xr:uid="{00000000-0005-0000-0000-00000F7C0000}"/>
    <cellStyle name="Normal 57 3 3 3 5 2 2" xfId="9843" xr:uid="{00000000-0005-0000-0000-0000107C0000}"/>
    <cellStyle name="Normal 57 3 3 3 5 2 2 2" xfId="22286" xr:uid="{00000000-0005-0000-0000-0000117C0000}"/>
    <cellStyle name="Normal 57 3 3 3 5 2 2 2 2" xfId="47160" xr:uid="{00000000-0005-0000-0000-0000127C0000}"/>
    <cellStyle name="Normal 57 3 3 3 5 2 2 3" xfId="34727" xr:uid="{00000000-0005-0000-0000-0000137C0000}"/>
    <cellStyle name="Normal 57 3 3 3 5 2 3" xfId="17279" xr:uid="{00000000-0005-0000-0000-0000147C0000}"/>
    <cellStyle name="Normal 57 3 3 3 5 2 3 2" xfId="42153" xr:uid="{00000000-0005-0000-0000-0000157C0000}"/>
    <cellStyle name="Normal 57 3 3 3 5 2 4" xfId="29720" xr:uid="{00000000-0005-0000-0000-0000167C0000}"/>
    <cellStyle name="Normal 57 3 3 3 5 3" xfId="6224" xr:uid="{00000000-0005-0000-0000-0000177C0000}"/>
    <cellStyle name="Normal 57 3 3 3 5 3 2" xfId="11239" xr:uid="{00000000-0005-0000-0000-0000187C0000}"/>
    <cellStyle name="Normal 57 3 3 3 5 3 2 2" xfId="23682" xr:uid="{00000000-0005-0000-0000-0000197C0000}"/>
    <cellStyle name="Normal 57 3 3 3 5 3 2 2 2" xfId="48556" xr:uid="{00000000-0005-0000-0000-00001A7C0000}"/>
    <cellStyle name="Normal 57 3 3 3 5 3 2 3" xfId="36123" xr:uid="{00000000-0005-0000-0000-00001B7C0000}"/>
    <cellStyle name="Normal 57 3 3 3 5 3 3" xfId="18675" xr:uid="{00000000-0005-0000-0000-00001C7C0000}"/>
    <cellStyle name="Normal 57 3 3 3 5 3 3 2" xfId="43549" xr:uid="{00000000-0005-0000-0000-00001D7C0000}"/>
    <cellStyle name="Normal 57 3 3 3 5 3 4" xfId="31116" xr:uid="{00000000-0005-0000-0000-00001E7C0000}"/>
    <cellStyle name="Normal 57 3 3 3 5 4" xfId="8136" xr:uid="{00000000-0005-0000-0000-00001F7C0000}"/>
    <cellStyle name="Normal 57 3 3 3 5 4 2" xfId="20582" xr:uid="{00000000-0005-0000-0000-0000207C0000}"/>
    <cellStyle name="Normal 57 3 3 3 5 4 2 2" xfId="45456" xr:uid="{00000000-0005-0000-0000-0000217C0000}"/>
    <cellStyle name="Normal 57 3 3 3 5 4 3" xfId="33023" xr:uid="{00000000-0005-0000-0000-0000227C0000}"/>
    <cellStyle name="Normal 57 3 3 3 5 5" xfId="12693" xr:uid="{00000000-0005-0000-0000-0000237C0000}"/>
    <cellStyle name="Normal 57 3 3 3 5 5 2" xfId="25127" xr:uid="{00000000-0005-0000-0000-0000247C0000}"/>
    <cellStyle name="Normal 57 3 3 3 5 5 2 2" xfId="50001" xr:uid="{00000000-0005-0000-0000-0000257C0000}"/>
    <cellStyle name="Normal 57 3 3 3 5 5 3" xfId="37568" xr:uid="{00000000-0005-0000-0000-0000267C0000}"/>
    <cellStyle name="Normal 57 3 3 3 5 6" xfId="7437" xr:uid="{00000000-0005-0000-0000-0000277C0000}"/>
    <cellStyle name="Normal 57 3 3 3 5 6 2" xfId="19885" xr:uid="{00000000-0005-0000-0000-0000287C0000}"/>
    <cellStyle name="Normal 57 3 3 3 5 6 2 2" xfId="44759" xr:uid="{00000000-0005-0000-0000-0000297C0000}"/>
    <cellStyle name="Normal 57 3 3 3 5 6 3" xfId="32326" xr:uid="{00000000-0005-0000-0000-00002A7C0000}"/>
    <cellStyle name="Normal 57 3 3 3 5 7" xfId="3066" xr:uid="{00000000-0005-0000-0000-00002B7C0000}"/>
    <cellStyle name="Normal 57 3 3 3 5 7 2" xfId="15575" xr:uid="{00000000-0005-0000-0000-00002C7C0000}"/>
    <cellStyle name="Normal 57 3 3 3 5 7 2 2" xfId="40449" xr:uid="{00000000-0005-0000-0000-00002D7C0000}"/>
    <cellStyle name="Normal 57 3 3 3 5 7 3" xfId="28008" xr:uid="{00000000-0005-0000-0000-00002E7C0000}"/>
    <cellStyle name="Normal 57 3 3 3 5 8" xfId="14878" xr:uid="{00000000-0005-0000-0000-00002F7C0000}"/>
    <cellStyle name="Normal 57 3 3 3 5 8 2" xfId="39752" xr:uid="{00000000-0005-0000-0000-0000307C0000}"/>
    <cellStyle name="Normal 57 3 3 3 5 9" xfId="27311" xr:uid="{00000000-0005-0000-0000-0000317C0000}"/>
    <cellStyle name="Normal 57 3 3 3 6" xfId="1035" xr:uid="{00000000-0005-0000-0000-0000327C0000}"/>
    <cellStyle name="Normal 57 3 3 3 6 2" xfId="9022" xr:uid="{00000000-0005-0000-0000-0000337C0000}"/>
    <cellStyle name="Normal 57 3 3 3 6 2 2" xfId="21465" xr:uid="{00000000-0005-0000-0000-0000347C0000}"/>
    <cellStyle name="Normal 57 3 3 3 6 2 2 2" xfId="46339" xr:uid="{00000000-0005-0000-0000-0000357C0000}"/>
    <cellStyle name="Normal 57 3 3 3 6 2 3" xfId="33906" xr:uid="{00000000-0005-0000-0000-0000367C0000}"/>
    <cellStyle name="Normal 57 3 3 3 6 3" xfId="4004" xr:uid="{00000000-0005-0000-0000-0000377C0000}"/>
    <cellStyle name="Normal 57 3 3 3 6 3 2" xfId="16458" xr:uid="{00000000-0005-0000-0000-0000387C0000}"/>
    <cellStyle name="Normal 57 3 3 3 6 3 2 2" xfId="41332" xr:uid="{00000000-0005-0000-0000-0000397C0000}"/>
    <cellStyle name="Normal 57 3 3 3 6 3 3" xfId="28899" xr:uid="{00000000-0005-0000-0000-00003A7C0000}"/>
    <cellStyle name="Normal 57 3 3 3 6 4" xfId="13835" xr:uid="{00000000-0005-0000-0000-00003B7C0000}"/>
    <cellStyle name="Normal 57 3 3 3 6 4 2" xfId="38709" xr:uid="{00000000-0005-0000-0000-00003C7C0000}"/>
    <cellStyle name="Normal 57 3 3 3 6 5" xfId="26268" xr:uid="{00000000-0005-0000-0000-00003D7C0000}"/>
    <cellStyle name="Normal 57 3 3 3 7" xfId="5180" xr:uid="{00000000-0005-0000-0000-00003E7C0000}"/>
    <cellStyle name="Normal 57 3 3 3 7 2" xfId="10196" xr:uid="{00000000-0005-0000-0000-00003F7C0000}"/>
    <cellStyle name="Normal 57 3 3 3 7 2 2" xfId="22639" xr:uid="{00000000-0005-0000-0000-0000407C0000}"/>
    <cellStyle name="Normal 57 3 3 3 7 2 2 2" xfId="47513" xr:uid="{00000000-0005-0000-0000-0000417C0000}"/>
    <cellStyle name="Normal 57 3 3 3 7 2 3" xfId="35080" xr:uid="{00000000-0005-0000-0000-0000427C0000}"/>
    <cellStyle name="Normal 57 3 3 3 7 3" xfId="17632" xr:uid="{00000000-0005-0000-0000-0000437C0000}"/>
    <cellStyle name="Normal 57 3 3 3 7 3 2" xfId="42506" xr:uid="{00000000-0005-0000-0000-0000447C0000}"/>
    <cellStyle name="Normal 57 3 3 3 7 4" xfId="30073" xr:uid="{00000000-0005-0000-0000-0000457C0000}"/>
    <cellStyle name="Normal 57 3 3 3 8" xfId="7757" xr:uid="{00000000-0005-0000-0000-0000467C0000}"/>
    <cellStyle name="Normal 57 3 3 3 8 2" xfId="20203" xr:uid="{00000000-0005-0000-0000-0000477C0000}"/>
    <cellStyle name="Normal 57 3 3 3 8 2 2" xfId="45077" xr:uid="{00000000-0005-0000-0000-0000487C0000}"/>
    <cellStyle name="Normal 57 3 3 3 8 3" xfId="32644" xr:uid="{00000000-0005-0000-0000-0000497C0000}"/>
    <cellStyle name="Normal 57 3 3 3 9" xfId="11650" xr:uid="{00000000-0005-0000-0000-00004A7C0000}"/>
    <cellStyle name="Normal 57 3 3 3 9 2" xfId="24084" xr:uid="{00000000-0005-0000-0000-00004B7C0000}"/>
    <cellStyle name="Normal 57 3 3 3 9 2 2" xfId="48958" xr:uid="{00000000-0005-0000-0000-00004C7C0000}"/>
    <cellStyle name="Normal 57 3 3 3 9 3" xfId="36525" xr:uid="{00000000-0005-0000-0000-00004D7C0000}"/>
    <cellStyle name="Normal 57 3 3 3_Degree data" xfId="2463" xr:uid="{00000000-0005-0000-0000-00004E7C0000}"/>
    <cellStyle name="Normal 57 3 3 4" xfId="381" xr:uid="{00000000-0005-0000-0000-00004F7C0000}"/>
    <cellStyle name="Normal 57 3 3 4 10" xfId="13197" xr:uid="{00000000-0005-0000-0000-0000507C0000}"/>
    <cellStyle name="Normal 57 3 3 4 10 2" xfId="38071" xr:uid="{00000000-0005-0000-0000-0000517C0000}"/>
    <cellStyle name="Normal 57 3 3 4 11" xfId="25630" xr:uid="{00000000-0005-0000-0000-0000527C0000}"/>
    <cellStyle name="Normal 57 3 3 4 2" xfId="741" xr:uid="{00000000-0005-0000-0000-0000537C0000}"/>
    <cellStyle name="Normal 57 3 3 4 2 2" xfId="1500" xr:uid="{00000000-0005-0000-0000-0000547C0000}"/>
    <cellStyle name="Normal 57 3 3 4 2 2 2" xfId="9604" xr:uid="{00000000-0005-0000-0000-0000557C0000}"/>
    <cellStyle name="Normal 57 3 3 4 2 2 2 2" xfId="22047" xr:uid="{00000000-0005-0000-0000-0000567C0000}"/>
    <cellStyle name="Normal 57 3 3 4 2 2 2 2 2" xfId="46921" xr:uid="{00000000-0005-0000-0000-0000577C0000}"/>
    <cellStyle name="Normal 57 3 3 4 2 2 2 3" xfId="34488" xr:uid="{00000000-0005-0000-0000-0000587C0000}"/>
    <cellStyle name="Normal 57 3 3 4 2 2 3" xfId="4586" xr:uid="{00000000-0005-0000-0000-0000597C0000}"/>
    <cellStyle name="Normal 57 3 3 4 2 2 3 2" xfId="17040" xr:uid="{00000000-0005-0000-0000-00005A7C0000}"/>
    <cellStyle name="Normal 57 3 3 4 2 2 3 2 2" xfId="41914" xr:uid="{00000000-0005-0000-0000-00005B7C0000}"/>
    <cellStyle name="Normal 57 3 3 4 2 2 3 3" xfId="29481" xr:uid="{00000000-0005-0000-0000-00005C7C0000}"/>
    <cellStyle name="Normal 57 3 3 4 2 2 4" xfId="14300" xr:uid="{00000000-0005-0000-0000-00005D7C0000}"/>
    <cellStyle name="Normal 57 3 3 4 2 2 4 2" xfId="39174" xr:uid="{00000000-0005-0000-0000-00005E7C0000}"/>
    <cellStyle name="Normal 57 3 3 4 2 2 5" xfId="26733" xr:uid="{00000000-0005-0000-0000-00005F7C0000}"/>
    <cellStyle name="Normal 57 3 3 4 2 3" xfId="5645" xr:uid="{00000000-0005-0000-0000-0000607C0000}"/>
    <cellStyle name="Normal 57 3 3 4 2 3 2" xfId="10661" xr:uid="{00000000-0005-0000-0000-0000617C0000}"/>
    <cellStyle name="Normal 57 3 3 4 2 3 2 2" xfId="23104" xr:uid="{00000000-0005-0000-0000-0000627C0000}"/>
    <cellStyle name="Normal 57 3 3 4 2 3 2 2 2" xfId="47978" xr:uid="{00000000-0005-0000-0000-0000637C0000}"/>
    <cellStyle name="Normal 57 3 3 4 2 3 2 3" xfId="35545" xr:uid="{00000000-0005-0000-0000-0000647C0000}"/>
    <cellStyle name="Normal 57 3 3 4 2 3 3" xfId="18097" xr:uid="{00000000-0005-0000-0000-0000657C0000}"/>
    <cellStyle name="Normal 57 3 3 4 2 3 3 2" xfId="42971" xr:uid="{00000000-0005-0000-0000-0000667C0000}"/>
    <cellStyle name="Normal 57 3 3 4 2 3 4" xfId="30538" xr:uid="{00000000-0005-0000-0000-0000677C0000}"/>
    <cellStyle name="Normal 57 3 3 4 2 4" xfId="8720" xr:uid="{00000000-0005-0000-0000-0000687C0000}"/>
    <cellStyle name="Normal 57 3 3 4 2 4 2" xfId="21164" xr:uid="{00000000-0005-0000-0000-0000697C0000}"/>
    <cellStyle name="Normal 57 3 3 4 2 4 2 2" xfId="46038" xr:uid="{00000000-0005-0000-0000-00006A7C0000}"/>
    <cellStyle name="Normal 57 3 3 4 2 4 3" xfId="33605" xr:uid="{00000000-0005-0000-0000-00006B7C0000}"/>
    <cellStyle name="Normal 57 3 3 4 2 5" xfId="12115" xr:uid="{00000000-0005-0000-0000-00006C7C0000}"/>
    <cellStyle name="Normal 57 3 3 4 2 5 2" xfId="24549" xr:uid="{00000000-0005-0000-0000-00006D7C0000}"/>
    <cellStyle name="Normal 57 3 3 4 2 5 2 2" xfId="49423" xr:uid="{00000000-0005-0000-0000-00006E7C0000}"/>
    <cellStyle name="Normal 57 3 3 4 2 5 3" xfId="36990" xr:uid="{00000000-0005-0000-0000-00006F7C0000}"/>
    <cellStyle name="Normal 57 3 3 4 2 6" xfId="7197" xr:uid="{00000000-0005-0000-0000-0000707C0000}"/>
    <cellStyle name="Normal 57 3 3 4 2 6 2" xfId="19646" xr:uid="{00000000-0005-0000-0000-0000717C0000}"/>
    <cellStyle name="Normal 57 3 3 4 2 6 2 2" xfId="44520" xr:uid="{00000000-0005-0000-0000-0000727C0000}"/>
    <cellStyle name="Normal 57 3 3 4 2 6 3" xfId="32087" xr:uid="{00000000-0005-0000-0000-0000737C0000}"/>
    <cellStyle name="Normal 57 3 3 4 2 7" xfId="3651" xr:uid="{00000000-0005-0000-0000-0000747C0000}"/>
    <cellStyle name="Normal 57 3 3 4 2 7 2" xfId="16157" xr:uid="{00000000-0005-0000-0000-0000757C0000}"/>
    <cellStyle name="Normal 57 3 3 4 2 7 2 2" xfId="41031" xr:uid="{00000000-0005-0000-0000-0000767C0000}"/>
    <cellStyle name="Normal 57 3 3 4 2 7 3" xfId="28590" xr:uid="{00000000-0005-0000-0000-0000777C0000}"/>
    <cellStyle name="Normal 57 3 3 4 2 8" xfId="13544" xr:uid="{00000000-0005-0000-0000-0000787C0000}"/>
    <cellStyle name="Normal 57 3 3 4 2 8 2" xfId="38418" xr:uid="{00000000-0005-0000-0000-0000797C0000}"/>
    <cellStyle name="Normal 57 3 3 4 2 9" xfId="25977" xr:uid="{00000000-0005-0000-0000-00007A7C0000}"/>
    <cellStyle name="Normal 57 3 3 4 3" xfId="1848" xr:uid="{00000000-0005-0000-0000-00007B7C0000}"/>
    <cellStyle name="Normal 57 3 3 4 3 2" xfId="4926" xr:uid="{00000000-0005-0000-0000-00007C7C0000}"/>
    <cellStyle name="Normal 57 3 3 4 3 2 2" xfId="9943" xr:uid="{00000000-0005-0000-0000-00007D7C0000}"/>
    <cellStyle name="Normal 57 3 3 4 3 2 2 2" xfId="22386" xr:uid="{00000000-0005-0000-0000-00007E7C0000}"/>
    <cellStyle name="Normal 57 3 3 4 3 2 2 2 2" xfId="47260" xr:uid="{00000000-0005-0000-0000-00007F7C0000}"/>
    <cellStyle name="Normal 57 3 3 4 3 2 2 3" xfId="34827" xr:uid="{00000000-0005-0000-0000-0000807C0000}"/>
    <cellStyle name="Normal 57 3 3 4 3 2 3" xfId="17379" xr:uid="{00000000-0005-0000-0000-0000817C0000}"/>
    <cellStyle name="Normal 57 3 3 4 3 2 3 2" xfId="42253" xr:uid="{00000000-0005-0000-0000-0000827C0000}"/>
    <cellStyle name="Normal 57 3 3 4 3 2 4" xfId="29820" xr:uid="{00000000-0005-0000-0000-0000837C0000}"/>
    <cellStyle name="Normal 57 3 3 4 3 3" xfId="5994" xr:uid="{00000000-0005-0000-0000-0000847C0000}"/>
    <cellStyle name="Normal 57 3 3 4 3 3 2" xfId="11009" xr:uid="{00000000-0005-0000-0000-0000857C0000}"/>
    <cellStyle name="Normal 57 3 3 4 3 3 2 2" xfId="23452" xr:uid="{00000000-0005-0000-0000-0000867C0000}"/>
    <cellStyle name="Normal 57 3 3 4 3 3 2 2 2" xfId="48326" xr:uid="{00000000-0005-0000-0000-0000877C0000}"/>
    <cellStyle name="Normal 57 3 3 4 3 3 2 3" xfId="35893" xr:uid="{00000000-0005-0000-0000-0000887C0000}"/>
    <cellStyle name="Normal 57 3 3 4 3 3 3" xfId="18445" xr:uid="{00000000-0005-0000-0000-0000897C0000}"/>
    <cellStyle name="Normal 57 3 3 4 3 3 3 2" xfId="43319" xr:uid="{00000000-0005-0000-0000-00008A7C0000}"/>
    <cellStyle name="Normal 57 3 3 4 3 3 4" xfId="30886" xr:uid="{00000000-0005-0000-0000-00008B7C0000}"/>
    <cellStyle name="Normal 57 3 3 4 3 4" xfId="8350" xr:uid="{00000000-0005-0000-0000-00008C7C0000}"/>
    <cellStyle name="Normal 57 3 3 4 3 4 2" xfId="20794" xr:uid="{00000000-0005-0000-0000-00008D7C0000}"/>
    <cellStyle name="Normal 57 3 3 4 3 4 2 2" xfId="45668" xr:uid="{00000000-0005-0000-0000-00008E7C0000}"/>
    <cellStyle name="Normal 57 3 3 4 3 4 3" xfId="33235" xr:uid="{00000000-0005-0000-0000-00008F7C0000}"/>
    <cellStyle name="Normal 57 3 3 4 3 5" xfId="12463" xr:uid="{00000000-0005-0000-0000-0000907C0000}"/>
    <cellStyle name="Normal 57 3 3 4 3 5 2" xfId="24897" xr:uid="{00000000-0005-0000-0000-0000917C0000}"/>
    <cellStyle name="Normal 57 3 3 4 3 5 2 2" xfId="49771" xr:uid="{00000000-0005-0000-0000-0000927C0000}"/>
    <cellStyle name="Normal 57 3 3 4 3 5 3" xfId="37338" xr:uid="{00000000-0005-0000-0000-0000937C0000}"/>
    <cellStyle name="Normal 57 3 3 4 3 6" xfId="7537" xr:uid="{00000000-0005-0000-0000-0000947C0000}"/>
    <cellStyle name="Normal 57 3 3 4 3 6 2" xfId="19985" xr:uid="{00000000-0005-0000-0000-0000957C0000}"/>
    <cellStyle name="Normal 57 3 3 4 3 6 2 2" xfId="44859" xr:uid="{00000000-0005-0000-0000-0000967C0000}"/>
    <cellStyle name="Normal 57 3 3 4 3 6 3" xfId="32426" xr:uid="{00000000-0005-0000-0000-0000977C0000}"/>
    <cellStyle name="Normal 57 3 3 4 3 7" xfId="3281" xr:uid="{00000000-0005-0000-0000-0000987C0000}"/>
    <cellStyle name="Normal 57 3 3 4 3 7 2" xfId="15787" xr:uid="{00000000-0005-0000-0000-0000997C0000}"/>
    <cellStyle name="Normal 57 3 3 4 3 7 2 2" xfId="40661" xr:uid="{00000000-0005-0000-0000-00009A7C0000}"/>
    <cellStyle name="Normal 57 3 3 4 3 7 3" xfId="28220" xr:uid="{00000000-0005-0000-0000-00009B7C0000}"/>
    <cellStyle name="Normal 57 3 3 4 3 8" xfId="14648" xr:uid="{00000000-0005-0000-0000-00009C7C0000}"/>
    <cellStyle name="Normal 57 3 3 4 3 8 2" xfId="39522" xr:uid="{00000000-0005-0000-0000-00009D7C0000}"/>
    <cellStyle name="Normal 57 3 3 4 3 9" xfId="27081" xr:uid="{00000000-0005-0000-0000-00009E7C0000}"/>
    <cellStyle name="Normal 57 3 3 4 4" xfId="2299" xr:uid="{00000000-0005-0000-0000-00009F7C0000}"/>
    <cellStyle name="Normal 57 3 3 4 4 2" xfId="6324" xr:uid="{00000000-0005-0000-0000-0000A07C0000}"/>
    <cellStyle name="Normal 57 3 3 4 4 2 2" xfId="11339" xr:uid="{00000000-0005-0000-0000-0000A17C0000}"/>
    <cellStyle name="Normal 57 3 3 4 4 2 2 2" xfId="23782" xr:uid="{00000000-0005-0000-0000-0000A27C0000}"/>
    <cellStyle name="Normal 57 3 3 4 4 2 2 2 2" xfId="48656" xr:uid="{00000000-0005-0000-0000-0000A37C0000}"/>
    <cellStyle name="Normal 57 3 3 4 4 2 2 3" xfId="36223" xr:uid="{00000000-0005-0000-0000-0000A47C0000}"/>
    <cellStyle name="Normal 57 3 3 4 4 2 3" xfId="18775" xr:uid="{00000000-0005-0000-0000-0000A57C0000}"/>
    <cellStyle name="Normal 57 3 3 4 4 2 3 2" xfId="43649" xr:uid="{00000000-0005-0000-0000-0000A67C0000}"/>
    <cellStyle name="Normal 57 3 3 4 4 2 4" xfId="31216" xr:uid="{00000000-0005-0000-0000-0000A77C0000}"/>
    <cellStyle name="Normal 57 3 3 4 4 3" xfId="12793" xr:uid="{00000000-0005-0000-0000-0000A87C0000}"/>
    <cellStyle name="Normal 57 3 3 4 4 3 2" xfId="25227" xr:uid="{00000000-0005-0000-0000-0000A97C0000}"/>
    <cellStyle name="Normal 57 3 3 4 4 3 2 2" xfId="50101" xr:uid="{00000000-0005-0000-0000-0000AA7C0000}"/>
    <cellStyle name="Normal 57 3 3 4 4 3 3" xfId="37668" xr:uid="{00000000-0005-0000-0000-0000AB7C0000}"/>
    <cellStyle name="Normal 57 3 3 4 4 4" xfId="9234" xr:uid="{00000000-0005-0000-0000-0000AC7C0000}"/>
    <cellStyle name="Normal 57 3 3 4 4 4 2" xfId="21677" xr:uid="{00000000-0005-0000-0000-0000AD7C0000}"/>
    <cellStyle name="Normal 57 3 3 4 4 4 2 2" xfId="46551" xr:uid="{00000000-0005-0000-0000-0000AE7C0000}"/>
    <cellStyle name="Normal 57 3 3 4 4 4 3" xfId="34118" xr:uid="{00000000-0005-0000-0000-0000AF7C0000}"/>
    <cellStyle name="Normal 57 3 3 4 4 5" xfId="4216" xr:uid="{00000000-0005-0000-0000-0000B07C0000}"/>
    <cellStyle name="Normal 57 3 3 4 4 5 2" xfId="16670" xr:uid="{00000000-0005-0000-0000-0000B17C0000}"/>
    <cellStyle name="Normal 57 3 3 4 4 5 2 2" xfId="41544" xr:uid="{00000000-0005-0000-0000-0000B27C0000}"/>
    <cellStyle name="Normal 57 3 3 4 4 5 3" xfId="29111" xr:uid="{00000000-0005-0000-0000-0000B37C0000}"/>
    <cellStyle name="Normal 57 3 3 4 4 6" xfId="14978" xr:uid="{00000000-0005-0000-0000-0000B47C0000}"/>
    <cellStyle name="Normal 57 3 3 4 4 6 2" xfId="39852" xr:uid="{00000000-0005-0000-0000-0000B57C0000}"/>
    <cellStyle name="Normal 57 3 3 4 4 7" xfId="27411" xr:uid="{00000000-0005-0000-0000-0000B67C0000}"/>
    <cellStyle name="Normal 57 3 3 4 5" xfId="1135" xr:uid="{00000000-0005-0000-0000-0000B77C0000}"/>
    <cellStyle name="Normal 57 3 3 4 5 2" xfId="10296" xr:uid="{00000000-0005-0000-0000-0000B87C0000}"/>
    <cellStyle name="Normal 57 3 3 4 5 2 2" xfId="22739" xr:uid="{00000000-0005-0000-0000-0000B97C0000}"/>
    <cellStyle name="Normal 57 3 3 4 5 2 2 2" xfId="47613" xr:uid="{00000000-0005-0000-0000-0000BA7C0000}"/>
    <cellStyle name="Normal 57 3 3 4 5 2 3" xfId="35180" xr:uid="{00000000-0005-0000-0000-0000BB7C0000}"/>
    <cellStyle name="Normal 57 3 3 4 5 3" xfId="5280" xr:uid="{00000000-0005-0000-0000-0000BC7C0000}"/>
    <cellStyle name="Normal 57 3 3 4 5 3 2" xfId="17732" xr:uid="{00000000-0005-0000-0000-0000BD7C0000}"/>
    <cellStyle name="Normal 57 3 3 4 5 3 2 2" xfId="42606" xr:uid="{00000000-0005-0000-0000-0000BE7C0000}"/>
    <cellStyle name="Normal 57 3 3 4 5 3 3" xfId="30173" xr:uid="{00000000-0005-0000-0000-0000BF7C0000}"/>
    <cellStyle name="Normal 57 3 3 4 5 4" xfId="13935" xr:uid="{00000000-0005-0000-0000-0000C07C0000}"/>
    <cellStyle name="Normal 57 3 3 4 5 4 2" xfId="38809" xr:uid="{00000000-0005-0000-0000-0000C17C0000}"/>
    <cellStyle name="Normal 57 3 3 4 5 5" xfId="26368" xr:uid="{00000000-0005-0000-0000-0000C27C0000}"/>
    <cellStyle name="Normal 57 3 3 4 6" xfId="7857" xr:uid="{00000000-0005-0000-0000-0000C37C0000}"/>
    <cellStyle name="Normal 57 3 3 4 6 2" xfId="20303" xr:uid="{00000000-0005-0000-0000-0000C47C0000}"/>
    <cellStyle name="Normal 57 3 3 4 6 2 2" xfId="45177" xr:uid="{00000000-0005-0000-0000-0000C57C0000}"/>
    <cellStyle name="Normal 57 3 3 4 6 3" xfId="32744" xr:uid="{00000000-0005-0000-0000-0000C67C0000}"/>
    <cellStyle name="Normal 57 3 3 4 7" xfId="11750" xr:uid="{00000000-0005-0000-0000-0000C77C0000}"/>
    <cellStyle name="Normal 57 3 3 4 7 2" xfId="24184" xr:uid="{00000000-0005-0000-0000-0000C87C0000}"/>
    <cellStyle name="Normal 57 3 3 4 7 2 2" xfId="49058" xr:uid="{00000000-0005-0000-0000-0000C97C0000}"/>
    <cellStyle name="Normal 57 3 3 4 7 3" xfId="36625" xr:uid="{00000000-0005-0000-0000-0000CA7C0000}"/>
    <cellStyle name="Normal 57 3 3 4 8" xfId="6827" xr:uid="{00000000-0005-0000-0000-0000CB7C0000}"/>
    <cellStyle name="Normal 57 3 3 4 8 2" xfId="19276" xr:uid="{00000000-0005-0000-0000-0000CC7C0000}"/>
    <cellStyle name="Normal 57 3 3 4 8 2 2" xfId="44150" xr:uid="{00000000-0005-0000-0000-0000CD7C0000}"/>
    <cellStyle name="Normal 57 3 3 4 8 3" xfId="31717" xr:uid="{00000000-0005-0000-0000-0000CE7C0000}"/>
    <cellStyle name="Normal 57 3 3 4 9" xfId="2778" xr:uid="{00000000-0005-0000-0000-0000CF7C0000}"/>
    <cellStyle name="Normal 57 3 3 4 9 2" xfId="15296" xr:uid="{00000000-0005-0000-0000-0000D07C0000}"/>
    <cellStyle name="Normal 57 3 3 4 9 2 2" xfId="40170" xr:uid="{00000000-0005-0000-0000-0000D17C0000}"/>
    <cellStyle name="Normal 57 3 3 4 9 3" xfId="27729" xr:uid="{00000000-0005-0000-0000-0000D27C0000}"/>
    <cellStyle name="Normal 57 3 3 4_Degree data" xfId="2465" xr:uid="{00000000-0005-0000-0000-0000D37C0000}"/>
    <cellStyle name="Normal 57 3 3 5" xfId="210" xr:uid="{00000000-0005-0000-0000-0000D47C0000}"/>
    <cellStyle name="Normal 57 3 3 5 2" xfId="1495" xr:uid="{00000000-0005-0000-0000-0000D57C0000}"/>
    <cellStyle name="Normal 57 3 3 5 2 2" xfId="9075" xr:uid="{00000000-0005-0000-0000-0000D67C0000}"/>
    <cellStyle name="Normal 57 3 3 5 2 2 2" xfId="21518" xr:uid="{00000000-0005-0000-0000-0000D77C0000}"/>
    <cellStyle name="Normal 57 3 3 5 2 2 2 2" xfId="46392" xr:uid="{00000000-0005-0000-0000-0000D87C0000}"/>
    <cellStyle name="Normal 57 3 3 5 2 2 3" xfId="33959" xr:uid="{00000000-0005-0000-0000-0000D97C0000}"/>
    <cellStyle name="Normal 57 3 3 5 2 3" xfId="4057" xr:uid="{00000000-0005-0000-0000-0000DA7C0000}"/>
    <cellStyle name="Normal 57 3 3 5 2 3 2" xfId="16511" xr:uid="{00000000-0005-0000-0000-0000DB7C0000}"/>
    <cellStyle name="Normal 57 3 3 5 2 3 2 2" xfId="41385" xr:uid="{00000000-0005-0000-0000-0000DC7C0000}"/>
    <cellStyle name="Normal 57 3 3 5 2 3 3" xfId="28952" xr:uid="{00000000-0005-0000-0000-0000DD7C0000}"/>
    <cellStyle name="Normal 57 3 3 5 2 4" xfId="14295" xr:uid="{00000000-0005-0000-0000-0000DE7C0000}"/>
    <cellStyle name="Normal 57 3 3 5 2 4 2" xfId="39169" xr:uid="{00000000-0005-0000-0000-0000DF7C0000}"/>
    <cellStyle name="Normal 57 3 3 5 2 5" xfId="26728" xr:uid="{00000000-0005-0000-0000-0000E07C0000}"/>
    <cellStyle name="Normal 57 3 3 5 3" xfId="5640" xr:uid="{00000000-0005-0000-0000-0000E17C0000}"/>
    <cellStyle name="Normal 57 3 3 5 3 2" xfId="10656" xr:uid="{00000000-0005-0000-0000-0000E27C0000}"/>
    <cellStyle name="Normal 57 3 3 5 3 2 2" xfId="23099" xr:uid="{00000000-0005-0000-0000-0000E37C0000}"/>
    <cellStyle name="Normal 57 3 3 5 3 2 2 2" xfId="47973" xr:uid="{00000000-0005-0000-0000-0000E47C0000}"/>
    <cellStyle name="Normal 57 3 3 5 3 2 3" xfId="35540" xr:uid="{00000000-0005-0000-0000-0000E57C0000}"/>
    <cellStyle name="Normal 57 3 3 5 3 3" xfId="18092" xr:uid="{00000000-0005-0000-0000-0000E67C0000}"/>
    <cellStyle name="Normal 57 3 3 5 3 3 2" xfId="42966" xr:uid="{00000000-0005-0000-0000-0000E77C0000}"/>
    <cellStyle name="Normal 57 3 3 5 3 4" xfId="30533" xr:uid="{00000000-0005-0000-0000-0000E87C0000}"/>
    <cellStyle name="Normal 57 3 3 5 4" xfId="8191" xr:uid="{00000000-0005-0000-0000-0000E97C0000}"/>
    <cellStyle name="Normal 57 3 3 5 4 2" xfId="20635" xr:uid="{00000000-0005-0000-0000-0000EA7C0000}"/>
    <cellStyle name="Normal 57 3 3 5 4 2 2" xfId="45509" xr:uid="{00000000-0005-0000-0000-0000EB7C0000}"/>
    <cellStyle name="Normal 57 3 3 5 4 3" xfId="33076" xr:uid="{00000000-0005-0000-0000-0000EC7C0000}"/>
    <cellStyle name="Normal 57 3 3 5 5" xfId="12110" xr:uid="{00000000-0005-0000-0000-0000ED7C0000}"/>
    <cellStyle name="Normal 57 3 3 5 5 2" xfId="24544" xr:uid="{00000000-0005-0000-0000-0000EE7C0000}"/>
    <cellStyle name="Normal 57 3 3 5 5 2 2" xfId="49418" xr:uid="{00000000-0005-0000-0000-0000EF7C0000}"/>
    <cellStyle name="Normal 57 3 3 5 5 3" xfId="36985" xr:uid="{00000000-0005-0000-0000-0000F07C0000}"/>
    <cellStyle name="Normal 57 3 3 5 6" xfId="6668" xr:uid="{00000000-0005-0000-0000-0000F17C0000}"/>
    <cellStyle name="Normal 57 3 3 5 6 2" xfId="19117" xr:uid="{00000000-0005-0000-0000-0000F27C0000}"/>
    <cellStyle name="Normal 57 3 3 5 6 2 2" xfId="43991" xr:uid="{00000000-0005-0000-0000-0000F37C0000}"/>
    <cellStyle name="Normal 57 3 3 5 6 3" xfId="31558" xr:uid="{00000000-0005-0000-0000-0000F47C0000}"/>
    <cellStyle name="Normal 57 3 3 5 7" xfId="3122" xr:uid="{00000000-0005-0000-0000-0000F57C0000}"/>
    <cellStyle name="Normal 57 3 3 5 7 2" xfId="15628" xr:uid="{00000000-0005-0000-0000-0000F67C0000}"/>
    <cellStyle name="Normal 57 3 3 5 7 2 2" xfId="40502" xr:uid="{00000000-0005-0000-0000-0000F77C0000}"/>
    <cellStyle name="Normal 57 3 3 5 7 3" xfId="28061" xr:uid="{00000000-0005-0000-0000-0000F87C0000}"/>
    <cellStyle name="Normal 57 3 3 5 8" xfId="13038" xr:uid="{00000000-0005-0000-0000-0000F97C0000}"/>
    <cellStyle name="Normal 57 3 3 5 8 2" xfId="37912" xr:uid="{00000000-0005-0000-0000-0000FA7C0000}"/>
    <cellStyle name="Normal 57 3 3 5 9" xfId="25471" xr:uid="{00000000-0005-0000-0000-0000FB7C0000}"/>
    <cellStyle name="Normal 57 3 3 6" xfId="576" xr:uid="{00000000-0005-0000-0000-0000FC7C0000}"/>
    <cellStyle name="Normal 57 3 3 6 2" xfId="1843" xr:uid="{00000000-0005-0000-0000-0000FD7C0000}"/>
    <cellStyle name="Normal 57 3 3 6 2 2" xfId="9599" xr:uid="{00000000-0005-0000-0000-0000FE7C0000}"/>
    <cellStyle name="Normal 57 3 3 6 2 2 2" xfId="22042" xr:uid="{00000000-0005-0000-0000-0000FF7C0000}"/>
    <cellStyle name="Normal 57 3 3 6 2 2 2 2" xfId="46916" xr:uid="{00000000-0005-0000-0000-0000007D0000}"/>
    <cellStyle name="Normal 57 3 3 6 2 2 3" xfId="34483" xr:uid="{00000000-0005-0000-0000-0000017D0000}"/>
    <cellStyle name="Normal 57 3 3 6 2 3" xfId="4581" xr:uid="{00000000-0005-0000-0000-0000027D0000}"/>
    <cellStyle name="Normal 57 3 3 6 2 3 2" xfId="17035" xr:uid="{00000000-0005-0000-0000-0000037D0000}"/>
    <cellStyle name="Normal 57 3 3 6 2 3 2 2" xfId="41909" xr:uid="{00000000-0005-0000-0000-0000047D0000}"/>
    <cellStyle name="Normal 57 3 3 6 2 3 3" xfId="29476" xr:uid="{00000000-0005-0000-0000-0000057D0000}"/>
    <cellStyle name="Normal 57 3 3 6 2 4" xfId="14643" xr:uid="{00000000-0005-0000-0000-0000067D0000}"/>
    <cellStyle name="Normal 57 3 3 6 2 4 2" xfId="39517" xr:uid="{00000000-0005-0000-0000-0000077D0000}"/>
    <cellStyle name="Normal 57 3 3 6 2 5" xfId="27076" xr:uid="{00000000-0005-0000-0000-0000087D0000}"/>
    <cellStyle name="Normal 57 3 3 6 3" xfId="5989" xr:uid="{00000000-0005-0000-0000-0000097D0000}"/>
    <cellStyle name="Normal 57 3 3 6 3 2" xfId="11004" xr:uid="{00000000-0005-0000-0000-00000A7D0000}"/>
    <cellStyle name="Normal 57 3 3 6 3 2 2" xfId="23447" xr:uid="{00000000-0005-0000-0000-00000B7D0000}"/>
    <cellStyle name="Normal 57 3 3 6 3 2 2 2" xfId="48321" xr:uid="{00000000-0005-0000-0000-00000C7D0000}"/>
    <cellStyle name="Normal 57 3 3 6 3 2 3" xfId="35888" xr:uid="{00000000-0005-0000-0000-00000D7D0000}"/>
    <cellStyle name="Normal 57 3 3 6 3 3" xfId="18440" xr:uid="{00000000-0005-0000-0000-00000E7D0000}"/>
    <cellStyle name="Normal 57 3 3 6 3 3 2" xfId="43314" xr:uid="{00000000-0005-0000-0000-00000F7D0000}"/>
    <cellStyle name="Normal 57 3 3 6 3 4" xfId="30881" xr:uid="{00000000-0005-0000-0000-0000107D0000}"/>
    <cellStyle name="Normal 57 3 3 6 4" xfId="8715" xr:uid="{00000000-0005-0000-0000-0000117D0000}"/>
    <cellStyle name="Normal 57 3 3 6 4 2" xfId="21159" xr:uid="{00000000-0005-0000-0000-0000127D0000}"/>
    <cellStyle name="Normal 57 3 3 6 4 2 2" xfId="46033" xr:uid="{00000000-0005-0000-0000-0000137D0000}"/>
    <cellStyle name="Normal 57 3 3 6 4 3" xfId="33600" xr:uid="{00000000-0005-0000-0000-0000147D0000}"/>
    <cellStyle name="Normal 57 3 3 6 5" xfId="12458" xr:uid="{00000000-0005-0000-0000-0000157D0000}"/>
    <cellStyle name="Normal 57 3 3 6 5 2" xfId="24892" xr:uid="{00000000-0005-0000-0000-0000167D0000}"/>
    <cellStyle name="Normal 57 3 3 6 5 2 2" xfId="49766" xr:uid="{00000000-0005-0000-0000-0000177D0000}"/>
    <cellStyle name="Normal 57 3 3 6 5 3" xfId="37333" xr:uid="{00000000-0005-0000-0000-0000187D0000}"/>
    <cellStyle name="Normal 57 3 3 6 6" xfId="7192" xr:uid="{00000000-0005-0000-0000-0000197D0000}"/>
    <cellStyle name="Normal 57 3 3 6 6 2" xfId="19641" xr:uid="{00000000-0005-0000-0000-00001A7D0000}"/>
    <cellStyle name="Normal 57 3 3 6 6 2 2" xfId="44515" xr:uid="{00000000-0005-0000-0000-00001B7D0000}"/>
    <cellStyle name="Normal 57 3 3 6 6 3" xfId="32082" xr:uid="{00000000-0005-0000-0000-00001C7D0000}"/>
    <cellStyle name="Normal 57 3 3 6 7" xfId="3646" xr:uid="{00000000-0005-0000-0000-00001D7D0000}"/>
    <cellStyle name="Normal 57 3 3 6 7 2" xfId="16152" xr:uid="{00000000-0005-0000-0000-00001E7D0000}"/>
    <cellStyle name="Normal 57 3 3 6 7 2 2" xfId="41026" xr:uid="{00000000-0005-0000-0000-00001F7D0000}"/>
    <cellStyle name="Normal 57 3 3 6 7 3" xfId="28585" xr:uid="{00000000-0005-0000-0000-0000207D0000}"/>
    <cellStyle name="Normal 57 3 3 6 8" xfId="13385" xr:uid="{00000000-0005-0000-0000-0000217D0000}"/>
    <cellStyle name="Normal 57 3 3 6 8 2" xfId="38259" xr:uid="{00000000-0005-0000-0000-0000227D0000}"/>
    <cellStyle name="Normal 57 3 3 6 9" xfId="25818" xr:uid="{00000000-0005-0000-0000-0000237D0000}"/>
    <cellStyle name="Normal 57 3 3 7" xfId="2128" xr:uid="{00000000-0005-0000-0000-0000247D0000}"/>
    <cellStyle name="Normal 57 3 3 7 2" xfId="4767" xr:uid="{00000000-0005-0000-0000-0000257D0000}"/>
    <cellStyle name="Normal 57 3 3 7 2 2" xfId="9784" xr:uid="{00000000-0005-0000-0000-0000267D0000}"/>
    <cellStyle name="Normal 57 3 3 7 2 2 2" xfId="22227" xr:uid="{00000000-0005-0000-0000-0000277D0000}"/>
    <cellStyle name="Normal 57 3 3 7 2 2 2 2" xfId="47101" xr:uid="{00000000-0005-0000-0000-0000287D0000}"/>
    <cellStyle name="Normal 57 3 3 7 2 2 3" xfId="34668" xr:uid="{00000000-0005-0000-0000-0000297D0000}"/>
    <cellStyle name="Normal 57 3 3 7 2 3" xfId="17220" xr:uid="{00000000-0005-0000-0000-00002A7D0000}"/>
    <cellStyle name="Normal 57 3 3 7 2 3 2" xfId="42094" xr:uid="{00000000-0005-0000-0000-00002B7D0000}"/>
    <cellStyle name="Normal 57 3 3 7 2 4" xfId="29661" xr:uid="{00000000-0005-0000-0000-00002C7D0000}"/>
    <cellStyle name="Normal 57 3 3 7 3" xfId="6165" xr:uid="{00000000-0005-0000-0000-00002D7D0000}"/>
    <cellStyle name="Normal 57 3 3 7 3 2" xfId="11180" xr:uid="{00000000-0005-0000-0000-00002E7D0000}"/>
    <cellStyle name="Normal 57 3 3 7 3 2 2" xfId="23623" xr:uid="{00000000-0005-0000-0000-00002F7D0000}"/>
    <cellStyle name="Normal 57 3 3 7 3 2 2 2" xfId="48497" xr:uid="{00000000-0005-0000-0000-0000307D0000}"/>
    <cellStyle name="Normal 57 3 3 7 3 2 3" xfId="36064" xr:uid="{00000000-0005-0000-0000-0000317D0000}"/>
    <cellStyle name="Normal 57 3 3 7 3 3" xfId="18616" xr:uid="{00000000-0005-0000-0000-0000327D0000}"/>
    <cellStyle name="Normal 57 3 3 7 3 3 2" xfId="43490" xr:uid="{00000000-0005-0000-0000-0000337D0000}"/>
    <cellStyle name="Normal 57 3 3 7 3 4" xfId="31057" xr:uid="{00000000-0005-0000-0000-0000347D0000}"/>
    <cellStyle name="Normal 57 3 3 7 4" xfId="8030" xr:uid="{00000000-0005-0000-0000-0000357D0000}"/>
    <cellStyle name="Normal 57 3 3 7 4 2" xfId="20476" xr:uid="{00000000-0005-0000-0000-0000367D0000}"/>
    <cellStyle name="Normal 57 3 3 7 4 2 2" xfId="45350" xr:uid="{00000000-0005-0000-0000-0000377D0000}"/>
    <cellStyle name="Normal 57 3 3 7 4 3" xfId="32917" xr:uid="{00000000-0005-0000-0000-0000387D0000}"/>
    <cellStyle name="Normal 57 3 3 7 5" xfId="12634" xr:uid="{00000000-0005-0000-0000-0000397D0000}"/>
    <cellStyle name="Normal 57 3 3 7 5 2" xfId="25068" xr:uid="{00000000-0005-0000-0000-00003A7D0000}"/>
    <cellStyle name="Normal 57 3 3 7 5 2 2" xfId="49942" xr:uid="{00000000-0005-0000-0000-00003B7D0000}"/>
    <cellStyle name="Normal 57 3 3 7 5 3" xfId="37509" xr:uid="{00000000-0005-0000-0000-00003C7D0000}"/>
    <cellStyle name="Normal 57 3 3 7 6" xfId="7378" xr:uid="{00000000-0005-0000-0000-00003D7D0000}"/>
    <cellStyle name="Normal 57 3 3 7 6 2" xfId="19826" xr:uid="{00000000-0005-0000-0000-00003E7D0000}"/>
    <cellStyle name="Normal 57 3 3 7 6 2 2" xfId="44700" xr:uid="{00000000-0005-0000-0000-00003F7D0000}"/>
    <cellStyle name="Normal 57 3 3 7 6 3" xfId="32267" xr:uid="{00000000-0005-0000-0000-0000407D0000}"/>
    <cellStyle name="Normal 57 3 3 7 7" xfId="2957" xr:uid="{00000000-0005-0000-0000-0000417D0000}"/>
    <cellStyle name="Normal 57 3 3 7 7 2" xfId="15469" xr:uid="{00000000-0005-0000-0000-0000427D0000}"/>
    <cellStyle name="Normal 57 3 3 7 7 2 2" xfId="40343" xr:uid="{00000000-0005-0000-0000-0000437D0000}"/>
    <cellStyle name="Normal 57 3 3 7 7 3" xfId="27902" xr:uid="{00000000-0005-0000-0000-0000447D0000}"/>
    <cellStyle name="Normal 57 3 3 7 8" xfId="14819" xr:uid="{00000000-0005-0000-0000-0000457D0000}"/>
    <cellStyle name="Normal 57 3 3 7 8 2" xfId="39693" xr:uid="{00000000-0005-0000-0000-0000467D0000}"/>
    <cellStyle name="Normal 57 3 3 7 9" xfId="27252" xr:uid="{00000000-0005-0000-0000-0000477D0000}"/>
    <cellStyle name="Normal 57 3 3 8" xfId="976" xr:uid="{00000000-0005-0000-0000-0000487D0000}"/>
    <cellStyle name="Normal 57 3 3 8 2" xfId="11591" xr:uid="{00000000-0005-0000-0000-0000497D0000}"/>
    <cellStyle name="Normal 57 3 3 8 2 2" xfId="24025" xr:uid="{00000000-0005-0000-0000-00004A7D0000}"/>
    <cellStyle name="Normal 57 3 3 8 2 2 2" xfId="48899" xr:uid="{00000000-0005-0000-0000-00004B7D0000}"/>
    <cellStyle name="Normal 57 3 3 8 2 3" xfId="36466" xr:uid="{00000000-0005-0000-0000-00004C7D0000}"/>
    <cellStyle name="Normal 57 3 3 8 3" xfId="8917" xr:uid="{00000000-0005-0000-0000-00004D7D0000}"/>
    <cellStyle name="Normal 57 3 3 8 3 2" xfId="21360" xr:uid="{00000000-0005-0000-0000-00004E7D0000}"/>
    <cellStyle name="Normal 57 3 3 8 3 2 2" xfId="46234" xr:uid="{00000000-0005-0000-0000-00004F7D0000}"/>
    <cellStyle name="Normal 57 3 3 8 3 3" xfId="33801" xr:uid="{00000000-0005-0000-0000-0000507D0000}"/>
    <cellStyle name="Normal 57 3 3 8 4" xfId="3899" xr:uid="{00000000-0005-0000-0000-0000517D0000}"/>
    <cellStyle name="Normal 57 3 3 8 4 2" xfId="16353" xr:uid="{00000000-0005-0000-0000-0000527D0000}"/>
    <cellStyle name="Normal 57 3 3 8 4 2 2" xfId="41227" xr:uid="{00000000-0005-0000-0000-0000537D0000}"/>
    <cellStyle name="Normal 57 3 3 8 4 3" xfId="28794" xr:uid="{00000000-0005-0000-0000-0000547D0000}"/>
    <cellStyle name="Normal 57 3 3 8 5" xfId="13776" xr:uid="{00000000-0005-0000-0000-0000557D0000}"/>
    <cellStyle name="Normal 57 3 3 8 5 2" xfId="38650" xr:uid="{00000000-0005-0000-0000-0000567D0000}"/>
    <cellStyle name="Normal 57 3 3 8 6" xfId="26209" xr:uid="{00000000-0005-0000-0000-0000577D0000}"/>
    <cellStyle name="Normal 57 3 3 9" xfId="903" xr:uid="{00000000-0005-0000-0000-0000587D0000}"/>
    <cellStyle name="Normal 57 3 3 9 2" xfId="10135" xr:uid="{00000000-0005-0000-0000-0000597D0000}"/>
    <cellStyle name="Normal 57 3 3 9 2 2" xfId="22578" xr:uid="{00000000-0005-0000-0000-00005A7D0000}"/>
    <cellStyle name="Normal 57 3 3 9 2 2 2" xfId="47452" xr:uid="{00000000-0005-0000-0000-00005B7D0000}"/>
    <cellStyle name="Normal 57 3 3 9 2 3" xfId="35019" xr:uid="{00000000-0005-0000-0000-00005C7D0000}"/>
    <cellStyle name="Normal 57 3 3 9 3" xfId="5119" xr:uid="{00000000-0005-0000-0000-00005D7D0000}"/>
    <cellStyle name="Normal 57 3 3 9 3 2" xfId="17571" xr:uid="{00000000-0005-0000-0000-00005E7D0000}"/>
    <cellStyle name="Normal 57 3 3 9 3 2 2" xfId="42445" xr:uid="{00000000-0005-0000-0000-00005F7D0000}"/>
    <cellStyle name="Normal 57 3 3 9 3 3" xfId="30012" xr:uid="{00000000-0005-0000-0000-0000607D0000}"/>
    <cellStyle name="Normal 57 3 3 9 4" xfId="13703" xr:uid="{00000000-0005-0000-0000-0000617D0000}"/>
    <cellStyle name="Normal 57 3 3 9 4 2" xfId="38577" xr:uid="{00000000-0005-0000-0000-0000627D0000}"/>
    <cellStyle name="Normal 57 3 3 9 5" xfId="26136" xr:uid="{00000000-0005-0000-0000-0000637D0000}"/>
    <cellStyle name="Normal 57 3 3_Degree data" xfId="2460" xr:uid="{00000000-0005-0000-0000-0000647D0000}"/>
    <cellStyle name="Normal 57 3 4" xfId="165" xr:uid="{00000000-0005-0000-0000-0000657D0000}"/>
    <cellStyle name="Normal 57 3 4 10" xfId="6547" xr:uid="{00000000-0005-0000-0000-0000667D0000}"/>
    <cellStyle name="Normal 57 3 4 10 2" xfId="18996" xr:uid="{00000000-0005-0000-0000-0000677D0000}"/>
    <cellStyle name="Normal 57 3 4 10 2 2" xfId="43870" xr:uid="{00000000-0005-0000-0000-0000687D0000}"/>
    <cellStyle name="Normal 57 3 4 10 3" xfId="31437" xr:uid="{00000000-0005-0000-0000-0000697D0000}"/>
    <cellStyle name="Normal 57 3 4 11" xfId="2715" xr:uid="{00000000-0005-0000-0000-00006A7D0000}"/>
    <cellStyle name="Normal 57 3 4 11 2" xfId="15233" xr:uid="{00000000-0005-0000-0000-00006B7D0000}"/>
    <cellStyle name="Normal 57 3 4 11 2 2" xfId="40107" xr:uid="{00000000-0005-0000-0000-00006C7D0000}"/>
    <cellStyle name="Normal 57 3 4 11 3" xfId="27666" xr:uid="{00000000-0005-0000-0000-00006D7D0000}"/>
    <cellStyle name="Normal 57 3 4 12" xfId="12995" xr:uid="{00000000-0005-0000-0000-00006E7D0000}"/>
    <cellStyle name="Normal 57 3 4 12 2" xfId="37869" xr:uid="{00000000-0005-0000-0000-00006F7D0000}"/>
    <cellStyle name="Normal 57 3 4 13" xfId="25428" xr:uid="{00000000-0005-0000-0000-0000707D0000}"/>
    <cellStyle name="Normal 57 3 4 2" xfId="419" xr:uid="{00000000-0005-0000-0000-0000717D0000}"/>
    <cellStyle name="Normal 57 3 4 2 10" xfId="13234" xr:uid="{00000000-0005-0000-0000-0000727D0000}"/>
    <cellStyle name="Normal 57 3 4 2 10 2" xfId="38108" xr:uid="{00000000-0005-0000-0000-0000737D0000}"/>
    <cellStyle name="Normal 57 3 4 2 11" xfId="25667" xr:uid="{00000000-0005-0000-0000-0000747D0000}"/>
    <cellStyle name="Normal 57 3 4 2 2" xfId="779" xr:uid="{00000000-0005-0000-0000-0000757D0000}"/>
    <cellStyle name="Normal 57 3 4 2 2 2" xfId="1502" xr:uid="{00000000-0005-0000-0000-0000767D0000}"/>
    <cellStyle name="Normal 57 3 4 2 2 2 2" xfId="9606" xr:uid="{00000000-0005-0000-0000-0000777D0000}"/>
    <cellStyle name="Normal 57 3 4 2 2 2 2 2" xfId="22049" xr:uid="{00000000-0005-0000-0000-0000787D0000}"/>
    <cellStyle name="Normal 57 3 4 2 2 2 2 2 2" xfId="46923" xr:uid="{00000000-0005-0000-0000-0000797D0000}"/>
    <cellStyle name="Normal 57 3 4 2 2 2 2 3" xfId="34490" xr:uid="{00000000-0005-0000-0000-00007A7D0000}"/>
    <cellStyle name="Normal 57 3 4 2 2 2 3" xfId="4588" xr:uid="{00000000-0005-0000-0000-00007B7D0000}"/>
    <cellStyle name="Normal 57 3 4 2 2 2 3 2" xfId="17042" xr:uid="{00000000-0005-0000-0000-00007C7D0000}"/>
    <cellStyle name="Normal 57 3 4 2 2 2 3 2 2" xfId="41916" xr:uid="{00000000-0005-0000-0000-00007D7D0000}"/>
    <cellStyle name="Normal 57 3 4 2 2 2 3 3" xfId="29483" xr:uid="{00000000-0005-0000-0000-00007E7D0000}"/>
    <cellStyle name="Normal 57 3 4 2 2 2 4" xfId="14302" xr:uid="{00000000-0005-0000-0000-00007F7D0000}"/>
    <cellStyle name="Normal 57 3 4 2 2 2 4 2" xfId="39176" xr:uid="{00000000-0005-0000-0000-0000807D0000}"/>
    <cellStyle name="Normal 57 3 4 2 2 2 5" xfId="26735" xr:uid="{00000000-0005-0000-0000-0000817D0000}"/>
    <cellStyle name="Normal 57 3 4 2 2 3" xfId="5647" xr:uid="{00000000-0005-0000-0000-0000827D0000}"/>
    <cellStyle name="Normal 57 3 4 2 2 3 2" xfId="10663" xr:uid="{00000000-0005-0000-0000-0000837D0000}"/>
    <cellStyle name="Normal 57 3 4 2 2 3 2 2" xfId="23106" xr:uid="{00000000-0005-0000-0000-0000847D0000}"/>
    <cellStyle name="Normal 57 3 4 2 2 3 2 2 2" xfId="47980" xr:uid="{00000000-0005-0000-0000-0000857D0000}"/>
    <cellStyle name="Normal 57 3 4 2 2 3 2 3" xfId="35547" xr:uid="{00000000-0005-0000-0000-0000867D0000}"/>
    <cellStyle name="Normal 57 3 4 2 2 3 3" xfId="18099" xr:uid="{00000000-0005-0000-0000-0000877D0000}"/>
    <cellStyle name="Normal 57 3 4 2 2 3 3 2" xfId="42973" xr:uid="{00000000-0005-0000-0000-0000887D0000}"/>
    <cellStyle name="Normal 57 3 4 2 2 3 4" xfId="30540" xr:uid="{00000000-0005-0000-0000-0000897D0000}"/>
    <cellStyle name="Normal 57 3 4 2 2 4" xfId="8722" xr:uid="{00000000-0005-0000-0000-00008A7D0000}"/>
    <cellStyle name="Normal 57 3 4 2 2 4 2" xfId="21166" xr:uid="{00000000-0005-0000-0000-00008B7D0000}"/>
    <cellStyle name="Normal 57 3 4 2 2 4 2 2" xfId="46040" xr:uid="{00000000-0005-0000-0000-00008C7D0000}"/>
    <cellStyle name="Normal 57 3 4 2 2 4 3" xfId="33607" xr:uid="{00000000-0005-0000-0000-00008D7D0000}"/>
    <cellStyle name="Normal 57 3 4 2 2 5" xfId="12117" xr:uid="{00000000-0005-0000-0000-00008E7D0000}"/>
    <cellStyle name="Normal 57 3 4 2 2 5 2" xfId="24551" xr:uid="{00000000-0005-0000-0000-00008F7D0000}"/>
    <cellStyle name="Normal 57 3 4 2 2 5 2 2" xfId="49425" xr:uid="{00000000-0005-0000-0000-0000907D0000}"/>
    <cellStyle name="Normal 57 3 4 2 2 5 3" xfId="36992" xr:uid="{00000000-0005-0000-0000-0000917D0000}"/>
    <cellStyle name="Normal 57 3 4 2 2 6" xfId="7199" xr:uid="{00000000-0005-0000-0000-0000927D0000}"/>
    <cellStyle name="Normal 57 3 4 2 2 6 2" xfId="19648" xr:uid="{00000000-0005-0000-0000-0000937D0000}"/>
    <cellStyle name="Normal 57 3 4 2 2 6 2 2" xfId="44522" xr:uid="{00000000-0005-0000-0000-0000947D0000}"/>
    <cellStyle name="Normal 57 3 4 2 2 6 3" xfId="32089" xr:uid="{00000000-0005-0000-0000-0000957D0000}"/>
    <cellStyle name="Normal 57 3 4 2 2 7" xfId="3653" xr:uid="{00000000-0005-0000-0000-0000967D0000}"/>
    <cellStyle name="Normal 57 3 4 2 2 7 2" xfId="16159" xr:uid="{00000000-0005-0000-0000-0000977D0000}"/>
    <cellStyle name="Normal 57 3 4 2 2 7 2 2" xfId="41033" xr:uid="{00000000-0005-0000-0000-0000987D0000}"/>
    <cellStyle name="Normal 57 3 4 2 2 7 3" xfId="28592" xr:uid="{00000000-0005-0000-0000-0000997D0000}"/>
    <cellStyle name="Normal 57 3 4 2 2 8" xfId="13581" xr:uid="{00000000-0005-0000-0000-00009A7D0000}"/>
    <cellStyle name="Normal 57 3 4 2 2 8 2" xfId="38455" xr:uid="{00000000-0005-0000-0000-00009B7D0000}"/>
    <cellStyle name="Normal 57 3 4 2 2 9" xfId="26014" xr:uid="{00000000-0005-0000-0000-00009C7D0000}"/>
    <cellStyle name="Normal 57 3 4 2 3" xfId="1850" xr:uid="{00000000-0005-0000-0000-00009D7D0000}"/>
    <cellStyle name="Normal 57 3 4 2 3 2" xfId="4963" xr:uid="{00000000-0005-0000-0000-00009E7D0000}"/>
    <cellStyle name="Normal 57 3 4 2 3 2 2" xfId="9980" xr:uid="{00000000-0005-0000-0000-00009F7D0000}"/>
    <cellStyle name="Normal 57 3 4 2 3 2 2 2" xfId="22423" xr:uid="{00000000-0005-0000-0000-0000A07D0000}"/>
    <cellStyle name="Normal 57 3 4 2 3 2 2 2 2" xfId="47297" xr:uid="{00000000-0005-0000-0000-0000A17D0000}"/>
    <cellStyle name="Normal 57 3 4 2 3 2 2 3" xfId="34864" xr:uid="{00000000-0005-0000-0000-0000A27D0000}"/>
    <cellStyle name="Normal 57 3 4 2 3 2 3" xfId="17416" xr:uid="{00000000-0005-0000-0000-0000A37D0000}"/>
    <cellStyle name="Normal 57 3 4 2 3 2 3 2" xfId="42290" xr:uid="{00000000-0005-0000-0000-0000A47D0000}"/>
    <cellStyle name="Normal 57 3 4 2 3 2 4" xfId="29857" xr:uid="{00000000-0005-0000-0000-0000A57D0000}"/>
    <cellStyle name="Normal 57 3 4 2 3 3" xfId="5996" xr:uid="{00000000-0005-0000-0000-0000A67D0000}"/>
    <cellStyle name="Normal 57 3 4 2 3 3 2" xfId="11011" xr:uid="{00000000-0005-0000-0000-0000A77D0000}"/>
    <cellStyle name="Normal 57 3 4 2 3 3 2 2" xfId="23454" xr:uid="{00000000-0005-0000-0000-0000A87D0000}"/>
    <cellStyle name="Normal 57 3 4 2 3 3 2 2 2" xfId="48328" xr:uid="{00000000-0005-0000-0000-0000A97D0000}"/>
    <cellStyle name="Normal 57 3 4 2 3 3 2 3" xfId="35895" xr:uid="{00000000-0005-0000-0000-0000AA7D0000}"/>
    <cellStyle name="Normal 57 3 4 2 3 3 3" xfId="18447" xr:uid="{00000000-0005-0000-0000-0000AB7D0000}"/>
    <cellStyle name="Normal 57 3 4 2 3 3 3 2" xfId="43321" xr:uid="{00000000-0005-0000-0000-0000AC7D0000}"/>
    <cellStyle name="Normal 57 3 4 2 3 3 4" xfId="30888" xr:uid="{00000000-0005-0000-0000-0000AD7D0000}"/>
    <cellStyle name="Normal 57 3 4 2 3 4" xfId="8387" xr:uid="{00000000-0005-0000-0000-0000AE7D0000}"/>
    <cellStyle name="Normal 57 3 4 2 3 4 2" xfId="20831" xr:uid="{00000000-0005-0000-0000-0000AF7D0000}"/>
    <cellStyle name="Normal 57 3 4 2 3 4 2 2" xfId="45705" xr:uid="{00000000-0005-0000-0000-0000B07D0000}"/>
    <cellStyle name="Normal 57 3 4 2 3 4 3" xfId="33272" xr:uid="{00000000-0005-0000-0000-0000B17D0000}"/>
    <cellStyle name="Normal 57 3 4 2 3 5" xfId="12465" xr:uid="{00000000-0005-0000-0000-0000B27D0000}"/>
    <cellStyle name="Normal 57 3 4 2 3 5 2" xfId="24899" xr:uid="{00000000-0005-0000-0000-0000B37D0000}"/>
    <cellStyle name="Normal 57 3 4 2 3 5 2 2" xfId="49773" xr:uid="{00000000-0005-0000-0000-0000B47D0000}"/>
    <cellStyle name="Normal 57 3 4 2 3 5 3" xfId="37340" xr:uid="{00000000-0005-0000-0000-0000B57D0000}"/>
    <cellStyle name="Normal 57 3 4 2 3 6" xfId="7574" xr:uid="{00000000-0005-0000-0000-0000B67D0000}"/>
    <cellStyle name="Normal 57 3 4 2 3 6 2" xfId="20022" xr:uid="{00000000-0005-0000-0000-0000B77D0000}"/>
    <cellStyle name="Normal 57 3 4 2 3 6 2 2" xfId="44896" xr:uid="{00000000-0005-0000-0000-0000B87D0000}"/>
    <cellStyle name="Normal 57 3 4 2 3 6 3" xfId="32463" xr:uid="{00000000-0005-0000-0000-0000B97D0000}"/>
    <cellStyle name="Normal 57 3 4 2 3 7" xfId="3318" xr:uid="{00000000-0005-0000-0000-0000BA7D0000}"/>
    <cellStyle name="Normal 57 3 4 2 3 7 2" xfId="15824" xr:uid="{00000000-0005-0000-0000-0000BB7D0000}"/>
    <cellStyle name="Normal 57 3 4 2 3 7 2 2" xfId="40698" xr:uid="{00000000-0005-0000-0000-0000BC7D0000}"/>
    <cellStyle name="Normal 57 3 4 2 3 7 3" xfId="28257" xr:uid="{00000000-0005-0000-0000-0000BD7D0000}"/>
    <cellStyle name="Normal 57 3 4 2 3 8" xfId="14650" xr:uid="{00000000-0005-0000-0000-0000BE7D0000}"/>
    <cellStyle name="Normal 57 3 4 2 3 8 2" xfId="39524" xr:uid="{00000000-0005-0000-0000-0000BF7D0000}"/>
    <cellStyle name="Normal 57 3 4 2 3 9" xfId="27083" xr:uid="{00000000-0005-0000-0000-0000C07D0000}"/>
    <cellStyle name="Normal 57 3 4 2 4" xfId="2337" xr:uid="{00000000-0005-0000-0000-0000C17D0000}"/>
    <cellStyle name="Normal 57 3 4 2 4 2" xfId="6361" xr:uid="{00000000-0005-0000-0000-0000C27D0000}"/>
    <cellStyle name="Normal 57 3 4 2 4 2 2" xfId="11376" xr:uid="{00000000-0005-0000-0000-0000C37D0000}"/>
    <cellStyle name="Normal 57 3 4 2 4 2 2 2" xfId="23819" xr:uid="{00000000-0005-0000-0000-0000C47D0000}"/>
    <cellStyle name="Normal 57 3 4 2 4 2 2 2 2" xfId="48693" xr:uid="{00000000-0005-0000-0000-0000C57D0000}"/>
    <cellStyle name="Normal 57 3 4 2 4 2 2 3" xfId="36260" xr:uid="{00000000-0005-0000-0000-0000C67D0000}"/>
    <cellStyle name="Normal 57 3 4 2 4 2 3" xfId="18812" xr:uid="{00000000-0005-0000-0000-0000C77D0000}"/>
    <cellStyle name="Normal 57 3 4 2 4 2 3 2" xfId="43686" xr:uid="{00000000-0005-0000-0000-0000C87D0000}"/>
    <cellStyle name="Normal 57 3 4 2 4 2 4" xfId="31253" xr:uid="{00000000-0005-0000-0000-0000C97D0000}"/>
    <cellStyle name="Normal 57 3 4 2 4 3" xfId="12830" xr:uid="{00000000-0005-0000-0000-0000CA7D0000}"/>
    <cellStyle name="Normal 57 3 4 2 4 3 2" xfId="25264" xr:uid="{00000000-0005-0000-0000-0000CB7D0000}"/>
    <cellStyle name="Normal 57 3 4 2 4 3 2 2" xfId="50138" xr:uid="{00000000-0005-0000-0000-0000CC7D0000}"/>
    <cellStyle name="Normal 57 3 4 2 4 3 3" xfId="37705" xr:uid="{00000000-0005-0000-0000-0000CD7D0000}"/>
    <cellStyle name="Normal 57 3 4 2 4 4" xfId="9271" xr:uid="{00000000-0005-0000-0000-0000CE7D0000}"/>
    <cellStyle name="Normal 57 3 4 2 4 4 2" xfId="21714" xr:uid="{00000000-0005-0000-0000-0000CF7D0000}"/>
    <cellStyle name="Normal 57 3 4 2 4 4 2 2" xfId="46588" xr:uid="{00000000-0005-0000-0000-0000D07D0000}"/>
    <cellStyle name="Normal 57 3 4 2 4 4 3" xfId="34155" xr:uid="{00000000-0005-0000-0000-0000D17D0000}"/>
    <cellStyle name="Normal 57 3 4 2 4 5" xfId="4253" xr:uid="{00000000-0005-0000-0000-0000D27D0000}"/>
    <cellStyle name="Normal 57 3 4 2 4 5 2" xfId="16707" xr:uid="{00000000-0005-0000-0000-0000D37D0000}"/>
    <cellStyle name="Normal 57 3 4 2 4 5 2 2" xfId="41581" xr:uid="{00000000-0005-0000-0000-0000D47D0000}"/>
    <cellStyle name="Normal 57 3 4 2 4 5 3" xfId="29148" xr:uid="{00000000-0005-0000-0000-0000D57D0000}"/>
    <cellStyle name="Normal 57 3 4 2 4 6" xfId="15015" xr:uid="{00000000-0005-0000-0000-0000D67D0000}"/>
    <cellStyle name="Normal 57 3 4 2 4 6 2" xfId="39889" xr:uid="{00000000-0005-0000-0000-0000D77D0000}"/>
    <cellStyle name="Normal 57 3 4 2 4 7" xfId="27448" xr:uid="{00000000-0005-0000-0000-0000D87D0000}"/>
    <cellStyle name="Normal 57 3 4 2 5" xfId="1172" xr:uid="{00000000-0005-0000-0000-0000D97D0000}"/>
    <cellStyle name="Normal 57 3 4 2 5 2" xfId="10333" xr:uid="{00000000-0005-0000-0000-0000DA7D0000}"/>
    <cellStyle name="Normal 57 3 4 2 5 2 2" xfId="22776" xr:uid="{00000000-0005-0000-0000-0000DB7D0000}"/>
    <cellStyle name="Normal 57 3 4 2 5 2 2 2" xfId="47650" xr:uid="{00000000-0005-0000-0000-0000DC7D0000}"/>
    <cellStyle name="Normal 57 3 4 2 5 2 3" xfId="35217" xr:uid="{00000000-0005-0000-0000-0000DD7D0000}"/>
    <cellStyle name="Normal 57 3 4 2 5 3" xfId="5317" xr:uid="{00000000-0005-0000-0000-0000DE7D0000}"/>
    <cellStyle name="Normal 57 3 4 2 5 3 2" xfId="17769" xr:uid="{00000000-0005-0000-0000-0000DF7D0000}"/>
    <cellStyle name="Normal 57 3 4 2 5 3 2 2" xfId="42643" xr:uid="{00000000-0005-0000-0000-0000E07D0000}"/>
    <cellStyle name="Normal 57 3 4 2 5 3 3" xfId="30210" xr:uid="{00000000-0005-0000-0000-0000E17D0000}"/>
    <cellStyle name="Normal 57 3 4 2 5 4" xfId="13972" xr:uid="{00000000-0005-0000-0000-0000E27D0000}"/>
    <cellStyle name="Normal 57 3 4 2 5 4 2" xfId="38846" xr:uid="{00000000-0005-0000-0000-0000E37D0000}"/>
    <cellStyle name="Normal 57 3 4 2 5 5" xfId="26405" xr:uid="{00000000-0005-0000-0000-0000E47D0000}"/>
    <cellStyle name="Normal 57 3 4 2 6" xfId="7894" xr:uid="{00000000-0005-0000-0000-0000E57D0000}"/>
    <cellStyle name="Normal 57 3 4 2 6 2" xfId="20340" xr:uid="{00000000-0005-0000-0000-0000E67D0000}"/>
    <cellStyle name="Normal 57 3 4 2 6 2 2" xfId="45214" xr:uid="{00000000-0005-0000-0000-0000E77D0000}"/>
    <cellStyle name="Normal 57 3 4 2 6 3" xfId="32781" xr:uid="{00000000-0005-0000-0000-0000E87D0000}"/>
    <cellStyle name="Normal 57 3 4 2 7" xfId="11787" xr:uid="{00000000-0005-0000-0000-0000E97D0000}"/>
    <cellStyle name="Normal 57 3 4 2 7 2" xfId="24221" xr:uid="{00000000-0005-0000-0000-0000EA7D0000}"/>
    <cellStyle name="Normal 57 3 4 2 7 2 2" xfId="49095" xr:uid="{00000000-0005-0000-0000-0000EB7D0000}"/>
    <cellStyle name="Normal 57 3 4 2 7 3" xfId="36662" xr:uid="{00000000-0005-0000-0000-0000EC7D0000}"/>
    <cellStyle name="Normal 57 3 4 2 8" xfId="6864" xr:uid="{00000000-0005-0000-0000-0000ED7D0000}"/>
    <cellStyle name="Normal 57 3 4 2 8 2" xfId="19313" xr:uid="{00000000-0005-0000-0000-0000EE7D0000}"/>
    <cellStyle name="Normal 57 3 4 2 8 2 2" xfId="44187" xr:uid="{00000000-0005-0000-0000-0000EF7D0000}"/>
    <cellStyle name="Normal 57 3 4 2 8 3" xfId="31754" xr:uid="{00000000-0005-0000-0000-0000F07D0000}"/>
    <cellStyle name="Normal 57 3 4 2 9" xfId="2815" xr:uid="{00000000-0005-0000-0000-0000F17D0000}"/>
    <cellStyle name="Normal 57 3 4 2 9 2" xfId="15333" xr:uid="{00000000-0005-0000-0000-0000F27D0000}"/>
    <cellStyle name="Normal 57 3 4 2 9 2 2" xfId="40207" xr:uid="{00000000-0005-0000-0000-0000F37D0000}"/>
    <cellStyle name="Normal 57 3 4 2 9 3" xfId="27766" xr:uid="{00000000-0005-0000-0000-0000F47D0000}"/>
    <cellStyle name="Normal 57 3 4 2_Degree data" xfId="2467" xr:uid="{00000000-0005-0000-0000-0000F57D0000}"/>
    <cellStyle name="Normal 57 3 4 3" xfId="317" xr:uid="{00000000-0005-0000-0000-0000F67D0000}"/>
    <cellStyle name="Normal 57 3 4 3 2" xfId="1501" xr:uid="{00000000-0005-0000-0000-0000F77D0000}"/>
    <cellStyle name="Normal 57 3 4 3 2 2" xfId="9171" xr:uid="{00000000-0005-0000-0000-0000F87D0000}"/>
    <cellStyle name="Normal 57 3 4 3 2 2 2" xfId="21614" xr:uid="{00000000-0005-0000-0000-0000F97D0000}"/>
    <cellStyle name="Normal 57 3 4 3 2 2 2 2" xfId="46488" xr:uid="{00000000-0005-0000-0000-0000FA7D0000}"/>
    <cellStyle name="Normal 57 3 4 3 2 2 3" xfId="34055" xr:uid="{00000000-0005-0000-0000-0000FB7D0000}"/>
    <cellStyle name="Normal 57 3 4 3 2 3" xfId="4153" xr:uid="{00000000-0005-0000-0000-0000FC7D0000}"/>
    <cellStyle name="Normal 57 3 4 3 2 3 2" xfId="16607" xr:uid="{00000000-0005-0000-0000-0000FD7D0000}"/>
    <cellStyle name="Normal 57 3 4 3 2 3 2 2" xfId="41481" xr:uid="{00000000-0005-0000-0000-0000FE7D0000}"/>
    <cellStyle name="Normal 57 3 4 3 2 3 3" xfId="29048" xr:uid="{00000000-0005-0000-0000-0000FF7D0000}"/>
    <cellStyle name="Normal 57 3 4 3 2 4" xfId="14301" xr:uid="{00000000-0005-0000-0000-0000007E0000}"/>
    <cellStyle name="Normal 57 3 4 3 2 4 2" xfId="39175" xr:uid="{00000000-0005-0000-0000-0000017E0000}"/>
    <cellStyle name="Normal 57 3 4 3 2 5" xfId="26734" xr:uid="{00000000-0005-0000-0000-0000027E0000}"/>
    <cellStyle name="Normal 57 3 4 3 3" xfId="5646" xr:uid="{00000000-0005-0000-0000-0000037E0000}"/>
    <cellStyle name="Normal 57 3 4 3 3 2" xfId="10662" xr:uid="{00000000-0005-0000-0000-0000047E0000}"/>
    <cellStyle name="Normal 57 3 4 3 3 2 2" xfId="23105" xr:uid="{00000000-0005-0000-0000-0000057E0000}"/>
    <cellStyle name="Normal 57 3 4 3 3 2 2 2" xfId="47979" xr:uid="{00000000-0005-0000-0000-0000067E0000}"/>
    <cellStyle name="Normal 57 3 4 3 3 2 3" xfId="35546" xr:uid="{00000000-0005-0000-0000-0000077E0000}"/>
    <cellStyle name="Normal 57 3 4 3 3 3" xfId="18098" xr:uid="{00000000-0005-0000-0000-0000087E0000}"/>
    <cellStyle name="Normal 57 3 4 3 3 3 2" xfId="42972" xr:uid="{00000000-0005-0000-0000-0000097E0000}"/>
    <cellStyle name="Normal 57 3 4 3 3 4" xfId="30539" xr:uid="{00000000-0005-0000-0000-00000A7E0000}"/>
    <cellStyle name="Normal 57 3 4 3 4" xfId="8287" xr:uid="{00000000-0005-0000-0000-00000B7E0000}"/>
    <cellStyle name="Normal 57 3 4 3 4 2" xfId="20731" xr:uid="{00000000-0005-0000-0000-00000C7E0000}"/>
    <cellStyle name="Normal 57 3 4 3 4 2 2" xfId="45605" xr:uid="{00000000-0005-0000-0000-00000D7E0000}"/>
    <cellStyle name="Normal 57 3 4 3 4 3" xfId="33172" xr:uid="{00000000-0005-0000-0000-00000E7E0000}"/>
    <cellStyle name="Normal 57 3 4 3 5" xfId="12116" xr:uid="{00000000-0005-0000-0000-00000F7E0000}"/>
    <cellStyle name="Normal 57 3 4 3 5 2" xfId="24550" xr:uid="{00000000-0005-0000-0000-0000107E0000}"/>
    <cellStyle name="Normal 57 3 4 3 5 2 2" xfId="49424" xr:uid="{00000000-0005-0000-0000-0000117E0000}"/>
    <cellStyle name="Normal 57 3 4 3 5 3" xfId="36991" xr:uid="{00000000-0005-0000-0000-0000127E0000}"/>
    <cellStyle name="Normal 57 3 4 3 6" xfId="6764" xr:uid="{00000000-0005-0000-0000-0000137E0000}"/>
    <cellStyle name="Normal 57 3 4 3 6 2" xfId="19213" xr:uid="{00000000-0005-0000-0000-0000147E0000}"/>
    <cellStyle name="Normal 57 3 4 3 6 2 2" xfId="44087" xr:uid="{00000000-0005-0000-0000-0000157E0000}"/>
    <cellStyle name="Normal 57 3 4 3 6 3" xfId="31654" xr:uid="{00000000-0005-0000-0000-0000167E0000}"/>
    <cellStyle name="Normal 57 3 4 3 7" xfId="3218" xr:uid="{00000000-0005-0000-0000-0000177E0000}"/>
    <cellStyle name="Normal 57 3 4 3 7 2" xfId="15724" xr:uid="{00000000-0005-0000-0000-0000187E0000}"/>
    <cellStyle name="Normal 57 3 4 3 7 2 2" xfId="40598" xr:uid="{00000000-0005-0000-0000-0000197E0000}"/>
    <cellStyle name="Normal 57 3 4 3 7 3" xfId="28157" xr:uid="{00000000-0005-0000-0000-00001A7E0000}"/>
    <cellStyle name="Normal 57 3 4 3 8" xfId="13134" xr:uid="{00000000-0005-0000-0000-00001B7E0000}"/>
    <cellStyle name="Normal 57 3 4 3 8 2" xfId="38008" xr:uid="{00000000-0005-0000-0000-00001C7E0000}"/>
    <cellStyle name="Normal 57 3 4 3 9" xfId="25567" xr:uid="{00000000-0005-0000-0000-00001D7E0000}"/>
    <cellStyle name="Normal 57 3 4 4" xfId="678" xr:uid="{00000000-0005-0000-0000-00001E7E0000}"/>
    <cellStyle name="Normal 57 3 4 4 2" xfId="1849" xr:uid="{00000000-0005-0000-0000-00001F7E0000}"/>
    <cellStyle name="Normal 57 3 4 4 2 2" xfId="9605" xr:uid="{00000000-0005-0000-0000-0000207E0000}"/>
    <cellStyle name="Normal 57 3 4 4 2 2 2" xfId="22048" xr:uid="{00000000-0005-0000-0000-0000217E0000}"/>
    <cellStyle name="Normal 57 3 4 4 2 2 2 2" xfId="46922" xr:uid="{00000000-0005-0000-0000-0000227E0000}"/>
    <cellStyle name="Normal 57 3 4 4 2 2 3" xfId="34489" xr:uid="{00000000-0005-0000-0000-0000237E0000}"/>
    <cellStyle name="Normal 57 3 4 4 2 3" xfId="4587" xr:uid="{00000000-0005-0000-0000-0000247E0000}"/>
    <cellStyle name="Normal 57 3 4 4 2 3 2" xfId="17041" xr:uid="{00000000-0005-0000-0000-0000257E0000}"/>
    <cellStyle name="Normal 57 3 4 4 2 3 2 2" xfId="41915" xr:uid="{00000000-0005-0000-0000-0000267E0000}"/>
    <cellStyle name="Normal 57 3 4 4 2 3 3" xfId="29482" xr:uid="{00000000-0005-0000-0000-0000277E0000}"/>
    <cellStyle name="Normal 57 3 4 4 2 4" xfId="14649" xr:uid="{00000000-0005-0000-0000-0000287E0000}"/>
    <cellStyle name="Normal 57 3 4 4 2 4 2" xfId="39523" xr:uid="{00000000-0005-0000-0000-0000297E0000}"/>
    <cellStyle name="Normal 57 3 4 4 2 5" xfId="27082" xr:uid="{00000000-0005-0000-0000-00002A7E0000}"/>
    <cellStyle name="Normal 57 3 4 4 3" xfId="5995" xr:uid="{00000000-0005-0000-0000-00002B7E0000}"/>
    <cellStyle name="Normal 57 3 4 4 3 2" xfId="11010" xr:uid="{00000000-0005-0000-0000-00002C7E0000}"/>
    <cellStyle name="Normal 57 3 4 4 3 2 2" xfId="23453" xr:uid="{00000000-0005-0000-0000-00002D7E0000}"/>
    <cellStyle name="Normal 57 3 4 4 3 2 2 2" xfId="48327" xr:uid="{00000000-0005-0000-0000-00002E7E0000}"/>
    <cellStyle name="Normal 57 3 4 4 3 2 3" xfId="35894" xr:uid="{00000000-0005-0000-0000-00002F7E0000}"/>
    <cellStyle name="Normal 57 3 4 4 3 3" xfId="18446" xr:uid="{00000000-0005-0000-0000-0000307E0000}"/>
    <cellStyle name="Normal 57 3 4 4 3 3 2" xfId="43320" xr:uid="{00000000-0005-0000-0000-0000317E0000}"/>
    <cellStyle name="Normal 57 3 4 4 3 4" xfId="30887" xr:uid="{00000000-0005-0000-0000-0000327E0000}"/>
    <cellStyle name="Normal 57 3 4 4 4" xfId="8721" xr:uid="{00000000-0005-0000-0000-0000337E0000}"/>
    <cellStyle name="Normal 57 3 4 4 4 2" xfId="21165" xr:uid="{00000000-0005-0000-0000-0000347E0000}"/>
    <cellStyle name="Normal 57 3 4 4 4 2 2" xfId="46039" xr:uid="{00000000-0005-0000-0000-0000357E0000}"/>
    <cellStyle name="Normal 57 3 4 4 4 3" xfId="33606" xr:uid="{00000000-0005-0000-0000-0000367E0000}"/>
    <cellStyle name="Normal 57 3 4 4 5" xfId="12464" xr:uid="{00000000-0005-0000-0000-0000377E0000}"/>
    <cellStyle name="Normal 57 3 4 4 5 2" xfId="24898" xr:uid="{00000000-0005-0000-0000-0000387E0000}"/>
    <cellStyle name="Normal 57 3 4 4 5 2 2" xfId="49772" xr:uid="{00000000-0005-0000-0000-0000397E0000}"/>
    <cellStyle name="Normal 57 3 4 4 5 3" xfId="37339" xr:uid="{00000000-0005-0000-0000-00003A7E0000}"/>
    <cellStyle name="Normal 57 3 4 4 6" xfId="7198" xr:uid="{00000000-0005-0000-0000-00003B7E0000}"/>
    <cellStyle name="Normal 57 3 4 4 6 2" xfId="19647" xr:uid="{00000000-0005-0000-0000-00003C7E0000}"/>
    <cellStyle name="Normal 57 3 4 4 6 2 2" xfId="44521" xr:uid="{00000000-0005-0000-0000-00003D7E0000}"/>
    <cellStyle name="Normal 57 3 4 4 6 3" xfId="32088" xr:uid="{00000000-0005-0000-0000-00003E7E0000}"/>
    <cellStyle name="Normal 57 3 4 4 7" xfId="3652" xr:uid="{00000000-0005-0000-0000-00003F7E0000}"/>
    <cellStyle name="Normal 57 3 4 4 7 2" xfId="16158" xr:uid="{00000000-0005-0000-0000-0000407E0000}"/>
    <cellStyle name="Normal 57 3 4 4 7 2 2" xfId="41032" xr:uid="{00000000-0005-0000-0000-0000417E0000}"/>
    <cellStyle name="Normal 57 3 4 4 7 3" xfId="28591" xr:uid="{00000000-0005-0000-0000-0000427E0000}"/>
    <cellStyle name="Normal 57 3 4 4 8" xfId="13481" xr:uid="{00000000-0005-0000-0000-0000437E0000}"/>
    <cellStyle name="Normal 57 3 4 4 8 2" xfId="38355" xr:uid="{00000000-0005-0000-0000-0000447E0000}"/>
    <cellStyle name="Normal 57 3 4 4 9" xfId="25914" xr:uid="{00000000-0005-0000-0000-0000457E0000}"/>
    <cellStyle name="Normal 57 3 4 5" xfId="2235" xr:uid="{00000000-0005-0000-0000-0000467E0000}"/>
    <cellStyle name="Normal 57 3 4 5 2" xfId="4863" xr:uid="{00000000-0005-0000-0000-0000477E0000}"/>
    <cellStyle name="Normal 57 3 4 5 2 2" xfId="9880" xr:uid="{00000000-0005-0000-0000-0000487E0000}"/>
    <cellStyle name="Normal 57 3 4 5 2 2 2" xfId="22323" xr:uid="{00000000-0005-0000-0000-0000497E0000}"/>
    <cellStyle name="Normal 57 3 4 5 2 2 2 2" xfId="47197" xr:uid="{00000000-0005-0000-0000-00004A7E0000}"/>
    <cellStyle name="Normal 57 3 4 5 2 2 3" xfId="34764" xr:uid="{00000000-0005-0000-0000-00004B7E0000}"/>
    <cellStyle name="Normal 57 3 4 5 2 3" xfId="17316" xr:uid="{00000000-0005-0000-0000-00004C7E0000}"/>
    <cellStyle name="Normal 57 3 4 5 2 3 2" xfId="42190" xr:uid="{00000000-0005-0000-0000-00004D7E0000}"/>
    <cellStyle name="Normal 57 3 4 5 2 4" xfId="29757" xr:uid="{00000000-0005-0000-0000-00004E7E0000}"/>
    <cellStyle name="Normal 57 3 4 5 3" xfId="6261" xr:uid="{00000000-0005-0000-0000-00004F7E0000}"/>
    <cellStyle name="Normal 57 3 4 5 3 2" xfId="11276" xr:uid="{00000000-0005-0000-0000-0000507E0000}"/>
    <cellStyle name="Normal 57 3 4 5 3 2 2" xfId="23719" xr:uid="{00000000-0005-0000-0000-0000517E0000}"/>
    <cellStyle name="Normal 57 3 4 5 3 2 2 2" xfId="48593" xr:uid="{00000000-0005-0000-0000-0000527E0000}"/>
    <cellStyle name="Normal 57 3 4 5 3 2 3" xfId="36160" xr:uid="{00000000-0005-0000-0000-0000537E0000}"/>
    <cellStyle name="Normal 57 3 4 5 3 3" xfId="18712" xr:uid="{00000000-0005-0000-0000-0000547E0000}"/>
    <cellStyle name="Normal 57 3 4 5 3 3 2" xfId="43586" xr:uid="{00000000-0005-0000-0000-0000557E0000}"/>
    <cellStyle name="Normal 57 3 4 5 3 4" xfId="31153" xr:uid="{00000000-0005-0000-0000-0000567E0000}"/>
    <cellStyle name="Normal 57 3 4 5 4" xfId="8068" xr:uid="{00000000-0005-0000-0000-0000577E0000}"/>
    <cellStyle name="Normal 57 3 4 5 4 2" xfId="20514" xr:uid="{00000000-0005-0000-0000-0000587E0000}"/>
    <cellStyle name="Normal 57 3 4 5 4 2 2" xfId="45388" xr:uid="{00000000-0005-0000-0000-0000597E0000}"/>
    <cellStyle name="Normal 57 3 4 5 4 3" xfId="32955" xr:uid="{00000000-0005-0000-0000-00005A7E0000}"/>
    <cellStyle name="Normal 57 3 4 5 5" xfId="12730" xr:uid="{00000000-0005-0000-0000-00005B7E0000}"/>
    <cellStyle name="Normal 57 3 4 5 5 2" xfId="25164" xr:uid="{00000000-0005-0000-0000-00005C7E0000}"/>
    <cellStyle name="Normal 57 3 4 5 5 2 2" xfId="50038" xr:uid="{00000000-0005-0000-0000-00005D7E0000}"/>
    <cellStyle name="Normal 57 3 4 5 5 3" xfId="37605" xr:uid="{00000000-0005-0000-0000-00005E7E0000}"/>
    <cellStyle name="Normal 57 3 4 5 6" xfId="7474" xr:uid="{00000000-0005-0000-0000-00005F7E0000}"/>
    <cellStyle name="Normal 57 3 4 5 6 2" xfId="19922" xr:uid="{00000000-0005-0000-0000-0000607E0000}"/>
    <cellStyle name="Normal 57 3 4 5 6 2 2" xfId="44796" xr:uid="{00000000-0005-0000-0000-0000617E0000}"/>
    <cellStyle name="Normal 57 3 4 5 6 3" xfId="32363" xr:uid="{00000000-0005-0000-0000-0000627E0000}"/>
    <cellStyle name="Normal 57 3 4 5 7" xfId="2997" xr:uid="{00000000-0005-0000-0000-0000637E0000}"/>
    <cellStyle name="Normal 57 3 4 5 7 2" xfId="15507" xr:uid="{00000000-0005-0000-0000-0000647E0000}"/>
    <cellStyle name="Normal 57 3 4 5 7 2 2" xfId="40381" xr:uid="{00000000-0005-0000-0000-0000657E0000}"/>
    <cellStyle name="Normal 57 3 4 5 7 3" xfId="27940" xr:uid="{00000000-0005-0000-0000-0000667E0000}"/>
    <cellStyle name="Normal 57 3 4 5 8" xfId="14915" xr:uid="{00000000-0005-0000-0000-0000677E0000}"/>
    <cellStyle name="Normal 57 3 4 5 8 2" xfId="39789" xr:uid="{00000000-0005-0000-0000-0000687E0000}"/>
    <cellStyle name="Normal 57 3 4 5 9" xfId="27348" xr:uid="{00000000-0005-0000-0000-0000697E0000}"/>
    <cellStyle name="Normal 57 3 4 6" xfId="1072" xr:uid="{00000000-0005-0000-0000-00006A7E0000}"/>
    <cellStyle name="Normal 57 3 4 6 2" xfId="8954" xr:uid="{00000000-0005-0000-0000-00006B7E0000}"/>
    <cellStyle name="Normal 57 3 4 6 2 2" xfId="21397" xr:uid="{00000000-0005-0000-0000-00006C7E0000}"/>
    <cellStyle name="Normal 57 3 4 6 2 2 2" xfId="46271" xr:uid="{00000000-0005-0000-0000-00006D7E0000}"/>
    <cellStyle name="Normal 57 3 4 6 2 3" xfId="33838" xr:uid="{00000000-0005-0000-0000-00006E7E0000}"/>
    <cellStyle name="Normal 57 3 4 6 3" xfId="3936" xr:uid="{00000000-0005-0000-0000-00006F7E0000}"/>
    <cellStyle name="Normal 57 3 4 6 3 2" xfId="16390" xr:uid="{00000000-0005-0000-0000-0000707E0000}"/>
    <cellStyle name="Normal 57 3 4 6 3 2 2" xfId="41264" xr:uid="{00000000-0005-0000-0000-0000717E0000}"/>
    <cellStyle name="Normal 57 3 4 6 3 3" xfId="28831" xr:uid="{00000000-0005-0000-0000-0000727E0000}"/>
    <cellStyle name="Normal 57 3 4 6 4" xfId="13872" xr:uid="{00000000-0005-0000-0000-0000737E0000}"/>
    <cellStyle name="Normal 57 3 4 6 4 2" xfId="38746" xr:uid="{00000000-0005-0000-0000-0000747E0000}"/>
    <cellStyle name="Normal 57 3 4 6 5" xfId="26305" xr:uid="{00000000-0005-0000-0000-0000757E0000}"/>
    <cellStyle name="Normal 57 3 4 7" xfId="5217" xr:uid="{00000000-0005-0000-0000-0000767E0000}"/>
    <cellStyle name="Normal 57 3 4 7 2" xfId="10233" xr:uid="{00000000-0005-0000-0000-0000777E0000}"/>
    <cellStyle name="Normal 57 3 4 7 2 2" xfId="22676" xr:uid="{00000000-0005-0000-0000-0000787E0000}"/>
    <cellStyle name="Normal 57 3 4 7 2 2 2" xfId="47550" xr:uid="{00000000-0005-0000-0000-0000797E0000}"/>
    <cellStyle name="Normal 57 3 4 7 2 3" xfId="35117" xr:uid="{00000000-0005-0000-0000-00007A7E0000}"/>
    <cellStyle name="Normal 57 3 4 7 3" xfId="17669" xr:uid="{00000000-0005-0000-0000-00007B7E0000}"/>
    <cellStyle name="Normal 57 3 4 7 3 2" xfId="42543" xr:uid="{00000000-0005-0000-0000-00007C7E0000}"/>
    <cellStyle name="Normal 57 3 4 7 4" xfId="30110" xr:uid="{00000000-0005-0000-0000-00007D7E0000}"/>
    <cellStyle name="Normal 57 3 4 8" xfId="7794" xr:uid="{00000000-0005-0000-0000-00007E7E0000}"/>
    <cellStyle name="Normal 57 3 4 8 2" xfId="20240" xr:uid="{00000000-0005-0000-0000-00007F7E0000}"/>
    <cellStyle name="Normal 57 3 4 8 2 2" xfId="45114" xr:uid="{00000000-0005-0000-0000-0000807E0000}"/>
    <cellStyle name="Normal 57 3 4 8 3" xfId="32681" xr:uid="{00000000-0005-0000-0000-0000817E0000}"/>
    <cellStyle name="Normal 57 3 4 9" xfId="11687" xr:uid="{00000000-0005-0000-0000-0000827E0000}"/>
    <cellStyle name="Normal 57 3 4 9 2" xfId="24121" xr:uid="{00000000-0005-0000-0000-0000837E0000}"/>
    <cellStyle name="Normal 57 3 4 9 2 2" xfId="48995" xr:uid="{00000000-0005-0000-0000-0000847E0000}"/>
    <cellStyle name="Normal 57 3 4 9 3" xfId="36562" xr:uid="{00000000-0005-0000-0000-0000857E0000}"/>
    <cellStyle name="Normal 57 3 4_Degree data" xfId="2466" xr:uid="{00000000-0005-0000-0000-0000867E0000}"/>
    <cellStyle name="Normal 57 3 5" xfId="257" xr:uid="{00000000-0005-0000-0000-0000877E0000}"/>
    <cellStyle name="Normal 57 3 5 10" xfId="6597" xr:uid="{00000000-0005-0000-0000-0000887E0000}"/>
    <cellStyle name="Normal 57 3 5 10 2" xfId="19046" xr:uid="{00000000-0005-0000-0000-0000897E0000}"/>
    <cellStyle name="Normal 57 3 5 10 2 2" xfId="43920" xr:uid="{00000000-0005-0000-0000-00008A7E0000}"/>
    <cellStyle name="Normal 57 3 5 10 3" xfId="31487" xr:uid="{00000000-0005-0000-0000-00008B7E0000}"/>
    <cellStyle name="Normal 57 3 5 11" xfId="2660" xr:uid="{00000000-0005-0000-0000-00008C7E0000}"/>
    <cellStyle name="Normal 57 3 5 11 2" xfId="15178" xr:uid="{00000000-0005-0000-0000-00008D7E0000}"/>
    <cellStyle name="Normal 57 3 5 11 2 2" xfId="40052" xr:uid="{00000000-0005-0000-0000-00008E7E0000}"/>
    <cellStyle name="Normal 57 3 5 11 3" xfId="27611" xr:uid="{00000000-0005-0000-0000-00008F7E0000}"/>
    <cellStyle name="Normal 57 3 5 12" xfId="13079" xr:uid="{00000000-0005-0000-0000-0000907E0000}"/>
    <cellStyle name="Normal 57 3 5 12 2" xfId="37953" xr:uid="{00000000-0005-0000-0000-0000917E0000}"/>
    <cellStyle name="Normal 57 3 5 13" xfId="25512" xr:uid="{00000000-0005-0000-0000-0000927E0000}"/>
    <cellStyle name="Normal 57 3 5 2" xfId="471" xr:uid="{00000000-0005-0000-0000-0000937E0000}"/>
    <cellStyle name="Normal 57 3 5 2 10" xfId="13284" xr:uid="{00000000-0005-0000-0000-0000947E0000}"/>
    <cellStyle name="Normal 57 3 5 2 10 2" xfId="38158" xr:uid="{00000000-0005-0000-0000-0000957E0000}"/>
    <cellStyle name="Normal 57 3 5 2 11" xfId="25717" xr:uid="{00000000-0005-0000-0000-0000967E0000}"/>
    <cellStyle name="Normal 57 3 5 2 2" xfId="830" xr:uid="{00000000-0005-0000-0000-0000977E0000}"/>
    <cellStyle name="Normal 57 3 5 2 2 2" xfId="1504" xr:uid="{00000000-0005-0000-0000-0000987E0000}"/>
    <cellStyle name="Normal 57 3 5 2 2 2 2" xfId="9608" xr:uid="{00000000-0005-0000-0000-0000997E0000}"/>
    <cellStyle name="Normal 57 3 5 2 2 2 2 2" xfId="22051" xr:uid="{00000000-0005-0000-0000-00009A7E0000}"/>
    <cellStyle name="Normal 57 3 5 2 2 2 2 2 2" xfId="46925" xr:uid="{00000000-0005-0000-0000-00009B7E0000}"/>
    <cellStyle name="Normal 57 3 5 2 2 2 2 3" xfId="34492" xr:uid="{00000000-0005-0000-0000-00009C7E0000}"/>
    <cellStyle name="Normal 57 3 5 2 2 2 3" xfId="4590" xr:uid="{00000000-0005-0000-0000-00009D7E0000}"/>
    <cellStyle name="Normal 57 3 5 2 2 2 3 2" xfId="17044" xr:uid="{00000000-0005-0000-0000-00009E7E0000}"/>
    <cellStyle name="Normal 57 3 5 2 2 2 3 2 2" xfId="41918" xr:uid="{00000000-0005-0000-0000-00009F7E0000}"/>
    <cellStyle name="Normal 57 3 5 2 2 2 3 3" xfId="29485" xr:uid="{00000000-0005-0000-0000-0000A07E0000}"/>
    <cellStyle name="Normal 57 3 5 2 2 2 4" xfId="14304" xr:uid="{00000000-0005-0000-0000-0000A17E0000}"/>
    <cellStyle name="Normal 57 3 5 2 2 2 4 2" xfId="39178" xr:uid="{00000000-0005-0000-0000-0000A27E0000}"/>
    <cellStyle name="Normal 57 3 5 2 2 2 5" xfId="26737" xr:uid="{00000000-0005-0000-0000-0000A37E0000}"/>
    <cellStyle name="Normal 57 3 5 2 2 3" xfId="5649" xr:uid="{00000000-0005-0000-0000-0000A47E0000}"/>
    <cellStyle name="Normal 57 3 5 2 2 3 2" xfId="10665" xr:uid="{00000000-0005-0000-0000-0000A57E0000}"/>
    <cellStyle name="Normal 57 3 5 2 2 3 2 2" xfId="23108" xr:uid="{00000000-0005-0000-0000-0000A67E0000}"/>
    <cellStyle name="Normal 57 3 5 2 2 3 2 2 2" xfId="47982" xr:uid="{00000000-0005-0000-0000-0000A77E0000}"/>
    <cellStyle name="Normal 57 3 5 2 2 3 2 3" xfId="35549" xr:uid="{00000000-0005-0000-0000-0000A87E0000}"/>
    <cellStyle name="Normal 57 3 5 2 2 3 3" xfId="18101" xr:uid="{00000000-0005-0000-0000-0000A97E0000}"/>
    <cellStyle name="Normal 57 3 5 2 2 3 3 2" xfId="42975" xr:uid="{00000000-0005-0000-0000-0000AA7E0000}"/>
    <cellStyle name="Normal 57 3 5 2 2 3 4" xfId="30542" xr:uid="{00000000-0005-0000-0000-0000AB7E0000}"/>
    <cellStyle name="Normal 57 3 5 2 2 4" xfId="8724" xr:uid="{00000000-0005-0000-0000-0000AC7E0000}"/>
    <cellStyle name="Normal 57 3 5 2 2 4 2" xfId="21168" xr:uid="{00000000-0005-0000-0000-0000AD7E0000}"/>
    <cellStyle name="Normal 57 3 5 2 2 4 2 2" xfId="46042" xr:uid="{00000000-0005-0000-0000-0000AE7E0000}"/>
    <cellStyle name="Normal 57 3 5 2 2 4 3" xfId="33609" xr:uid="{00000000-0005-0000-0000-0000AF7E0000}"/>
    <cellStyle name="Normal 57 3 5 2 2 5" xfId="12119" xr:uid="{00000000-0005-0000-0000-0000B07E0000}"/>
    <cellStyle name="Normal 57 3 5 2 2 5 2" xfId="24553" xr:uid="{00000000-0005-0000-0000-0000B17E0000}"/>
    <cellStyle name="Normal 57 3 5 2 2 5 2 2" xfId="49427" xr:uid="{00000000-0005-0000-0000-0000B27E0000}"/>
    <cellStyle name="Normal 57 3 5 2 2 5 3" xfId="36994" xr:uid="{00000000-0005-0000-0000-0000B37E0000}"/>
    <cellStyle name="Normal 57 3 5 2 2 6" xfId="7201" xr:uid="{00000000-0005-0000-0000-0000B47E0000}"/>
    <cellStyle name="Normal 57 3 5 2 2 6 2" xfId="19650" xr:uid="{00000000-0005-0000-0000-0000B57E0000}"/>
    <cellStyle name="Normal 57 3 5 2 2 6 2 2" xfId="44524" xr:uid="{00000000-0005-0000-0000-0000B67E0000}"/>
    <cellStyle name="Normal 57 3 5 2 2 6 3" xfId="32091" xr:uid="{00000000-0005-0000-0000-0000B77E0000}"/>
    <cellStyle name="Normal 57 3 5 2 2 7" xfId="3655" xr:uid="{00000000-0005-0000-0000-0000B87E0000}"/>
    <cellStyle name="Normal 57 3 5 2 2 7 2" xfId="16161" xr:uid="{00000000-0005-0000-0000-0000B97E0000}"/>
    <cellStyle name="Normal 57 3 5 2 2 7 2 2" xfId="41035" xr:uid="{00000000-0005-0000-0000-0000BA7E0000}"/>
    <cellStyle name="Normal 57 3 5 2 2 7 3" xfId="28594" xr:uid="{00000000-0005-0000-0000-0000BB7E0000}"/>
    <cellStyle name="Normal 57 3 5 2 2 8" xfId="13631" xr:uid="{00000000-0005-0000-0000-0000BC7E0000}"/>
    <cellStyle name="Normal 57 3 5 2 2 8 2" xfId="38505" xr:uid="{00000000-0005-0000-0000-0000BD7E0000}"/>
    <cellStyle name="Normal 57 3 5 2 2 9" xfId="26064" xr:uid="{00000000-0005-0000-0000-0000BE7E0000}"/>
    <cellStyle name="Normal 57 3 5 2 3" xfId="1852" xr:uid="{00000000-0005-0000-0000-0000BF7E0000}"/>
    <cellStyle name="Normal 57 3 5 2 3 2" xfId="5013" xr:uid="{00000000-0005-0000-0000-0000C07E0000}"/>
    <cellStyle name="Normal 57 3 5 2 3 2 2" xfId="10030" xr:uid="{00000000-0005-0000-0000-0000C17E0000}"/>
    <cellStyle name="Normal 57 3 5 2 3 2 2 2" xfId="22473" xr:uid="{00000000-0005-0000-0000-0000C27E0000}"/>
    <cellStyle name="Normal 57 3 5 2 3 2 2 2 2" xfId="47347" xr:uid="{00000000-0005-0000-0000-0000C37E0000}"/>
    <cellStyle name="Normal 57 3 5 2 3 2 2 3" xfId="34914" xr:uid="{00000000-0005-0000-0000-0000C47E0000}"/>
    <cellStyle name="Normal 57 3 5 2 3 2 3" xfId="17466" xr:uid="{00000000-0005-0000-0000-0000C57E0000}"/>
    <cellStyle name="Normal 57 3 5 2 3 2 3 2" xfId="42340" xr:uid="{00000000-0005-0000-0000-0000C67E0000}"/>
    <cellStyle name="Normal 57 3 5 2 3 2 4" xfId="29907" xr:uid="{00000000-0005-0000-0000-0000C77E0000}"/>
    <cellStyle name="Normal 57 3 5 2 3 3" xfId="5998" xr:uid="{00000000-0005-0000-0000-0000C87E0000}"/>
    <cellStyle name="Normal 57 3 5 2 3 3 2" xfId="11013" xr:uid="{00000000-0005-0000-0000-0000C97E0000}"/>
    <cellStyle name="Normal 57 3 5 2 3 3 2 2" xfId="23456" xr:uid="{00000000-0005-0000-0000-0000CA7E0000}"/>
    <cellStyle name="Normal 57 3 5 2 3 3 2 2 2" xfId="48330" xr:uid="{00000000-0005-0000-0000-0000CB7E0000}"/>
    <cellStyle name="Normal 57 3 5 2 3 3 2 3" xfId="35897" xr:uid="{00000000-0005-0000-0000-0000CC7E0000}"/>
    <cellStyle name="Normal 57 3 5 2 3 3 3" xfId="18449" xr:uid="{00000000-0005-0000-0000-0000CD7E0000}"/>
    <cellStyle name="Normal 57 3 5 2 3 3 3 2" xfId="43323" xr:uid="{00000000-0005-0000-0000-0000CE7E0000}"/>
    <cellStyle name="Normal 57 3 5 2 3 3 4" xfId="30890" xr:uid="{00000000-0005-0000-0000-0000CF7E0000}"/>
    <cellStyle name="Normal 57 3 5 2 3 4" xfId="8437" xr:uid="{00000000-0005-0000-0000-0000D07E0000}"/>
    <cellStyle name="Normal 57 3 5 2 3 4 2" xfId="20881" xr:uid="{00000000-0005-0000-0000-0000D17E0000}"/>
    <cellStyle name="Normal 57 3 5 2 3 4 2 2" xfId="45755" xr:uid="{00000000-0005-0000-0000-0000D27E0000}"/>
    <cellStyle name="Normal 57 3 5 2 3 4 3" xfId="33322" xr:uid="{00000000-0005-0000-0000-0000D37E0000}"/>
    <cellStyle name="Normal 57 3 5 2 3 5" xfId="12467" xr:uid="{00000000-0005-0000-0000-0000D47E0000}"/>
    <cellStyle name="Normal 57 3 5 2 3 5 2" xfId="24901" xr:uid="{00000000-0005-0000-0000-0000D57E0000}"/>
    <cellStyle name="Normal 57 3 5 2 3 5 2 2" xfId="49775" xr:uid="{00000000-0005-0000-0000-0000D67E0000}"/>
    <cellStyle name="Normal 57 3 5 2 3 5 3" xfId="37342" xr:uid="{00000000-0005-0000-0000-0000D77E0000}"/>
    <cellStyle name="Normal 57 3 5 2 3 6" xfId="7624" xr:uid="{00000000-0005-0000-0000-0000D87E0000}"/>
    <cellStyle name="Normal 57 3 5 2 3 6 2" xfId="20072" xr:uid="{00000000-0005-0000-0000-0000D97E0000}"/>
    <cellStyle name="Normal 57 3 5 2 3 6 2 2" xfId="44946" xr:uid="{00000000-0005-0000-0000-0000DA7E0000}"/>
    <cellStyle name="Normal 57 3 5 2 3 6 3" xfId="32513" xr:uid="{00000000-0005-0000-0000-0000DB7E0000}"/>
    <cellStyle name="Normal 57 3 5 2 3 7" xfId="3368" xr:uid="{00000000-0005-0000-0000-0000DC7E0000}"/>
    <cellStyle name="Normal 57 3 5 2 3 7 2" xfId="15874" xr:uid="{00000000-0005-0000-0000-0000DD7E0000}"/>
    <cellStyle name="Normal 57 3 5 2 3 7 2 2" xfId="40748" xr:uid="{00000000-0005-0000-0000-0000DE7E0000}"/>
    <cellStyle name="Normal 57 3 5 2 3 7 3" xfId="28307" xr:uid="{00000000-0005-0000-0000-0000DF7E0000}"/>
    <cellStyle name="Normal 57 3 5 2 3 8" xfId="14652" xr:uid="{00000000-0005-0000-0000-0000E07E0000}"/>
    <cellStyle name="Normal 57 3 5 2 3 8 2" xfId="39526" xr:uid="{00000000-0005-0000-0000-0000E17E0000}"/>
    <cellStyle name="Normal 57 3 5 2 3 9" xfId="27085" xr:uid="{00000000-0005-0000-0000-0000E27E0000}"/>
    <cellStyle name="Normal 57 3 5 2 4" xfId="2389" xr:uid="{00000000-0005-0000-0000-0000E37E0000}"/>
    <cellStyle name="Normal 57 3 5 2 4 2" xfId="6411" xr:uid="{00000000-0005-0000-0000-0000E47E0000}"/>
    <cellStyle name="Normal 57 3 5 2 4 2 2" xfId="11426" xr:uid="{00000000-0005-0000-0000-0000E57E0000}"/>
    <cellStyle name="Normal 57 3 5 2 4 2 2 2" xfId="23869" xr:uid="{00000000-0005-0000-0000-0000E67E0000}"/>
    <cellStyle name="Normal 57 3 5 2 4 2 2 2 2" xfId="48743" xr:uid="{00000000-0005-0000-0000-0000E77E0000}"/>
    <cellStyle name="Normal 57 3 5 2 4 2 2 3" xfId="36310" xr:uid="{00000000-0005-0000-0000-0000E87E0000}"/>
    <cellStyle name="Normal 57 3 5 2 4 2 3" xfId="18862" xr:uid="{00000000-0005-0000-0000-0000E97E0000}"/>
    <cellStyle name="Normal 57 3 5 2 4 2 3 2" xfId="43736" xr:uid="{00000000-0005-0000-0000-0000EA7E0000}"/>
    <cellStyle name="Normal 57 3 5 2 4 2 4" xfId="31303" xr:uid="{00000000-0005-0000-0000-0000EB7E0000}"/>
    <cellStyle name="Normal 57 3 5 2 4 3" xfId="12880" xr:uid="{00000000-0005-0000-0000-0000EC7E0000}"/>
    <cellStyle name="Normal 57 3 5 2 4 3 2" xfId="25314" xr:uid="{00000000-0005-0000-0000-0000ED7E0000}"/>
    <cellStyle name="Normal 57 3 5 2 4 3 2 2" xfId="50188" xr:uid="{00000000-0005-0000-0000-0000EE7E0000}"/>
    <cellStyle name="Normal 57 3 5 2 4 3 3" xfId="37755" xr:uid="{00000000-0005-0000-0000-0000EF7E0000}"/>
    <cellStyle name="Normal 57 3 5 2 4 4" xfId="9321" xr:uid="{00000000-0005-0000-0000-0000F07E0000}"/>
    <cellStyle name="Normal 57 3 5 2 4 4 2" xfId="21764" xr:uid="{00000000-0005-0000-0000-0000F17E0000}"/>
    <cellStyle name="Normal 57 3 5 2 4 4 2 2" xfId="46638" xr:uid="{00000000-0005-0000-0000-0000F27E0000}"/>
    <cellStyle name="Normal 57 3 5 2 4 4 3" xfId="34205" xr:uid="{00000000-0005-0000-0000-0000F37E0000}"/>
    <cellStyle name="Normal 57 3 5 2 4 5" xfId="4303" xr:uid="{00000000-0005-0000-0000-0000F47E0000}"/>
    <cellStyle name="Normal 57 3 5 2 4 5 2" xfId="16757" xr:uid="{00000000-0005-0000-0000-0000F57E0000}"/>
    <cellStyle name="Normal 57 3 5 2 4 5 2 2" xfId="41631" xr:uid="{00000000-0005-0000-0000-0000F67E0000}"/>
    <cellStyle name="Normal 57 3 5 2 4 5 3" xfId="29198" xr:uid="{00000000-0005-0000-0000-0000F77E0000}"/>
    <cellStyle name="Normal 57 3 5 2 4 6" xfId="15065" xr:uid="{00000000-0005-0000-0000-0000F87E0000}"/>
    <cellStyle name="Normal 57 3 5 2 4 6 2" xfId="39939" xr:uid="{00000000-0005-0000-0000-0000F97E0000}"/>
    <cellStyle name="Normal 57 3 5 2 4 7" xfId="27498" xr:uid="{00000000-0005-0000-0000-0000FA7E0000}"/>
    <cellStyle name="Normal 57 3 5 2 5" xfId="1222" xr:uid="{00000000-0005-0000-0000-0000FB7E0000}"/>
    <cellStyle name="Normal 57 3 5 2 5 2" xfId="10383" xr:uid="{00000000-0005-0000-0000-0000FC7E0000}"/>
    <cellStyle name="Normal 57 3 5 2 5 2 2" xfId="22826" xr:uid="{00000000-0005-0000-0000-0000FD7E0000}"/>
    <cellStyle name="Normal 57 3 5 2 5 2 2 2" xfId="47700" xr:uid="{00000000-0005-0000-0000-0000FE7E0000}"/>
    <cellStyle name="Normal 57 3 5 2 5 2 3" xfId="35267" xr:uid="{00000000-0005-0000-0000-0000FF7E0000}"/>
    <cellStyle name="Normal 57 3 5 2 5 3" xfId="5367" xr:uid="{00000000-0005-0000-0000-0000007F0000}"/>
    <cellStyle name="Normal 57 3 5 2 5 3 2" xfId="17819" xr:uid="{00000000-0005-0000-0000-0000017F0000}"/>
    <cellStyle name="Normal 57 3 5 2 5 3 2 2" xfId="42693" xr:uid="{00000000-0005-0000-0000-0000027F0000}"/>
    <cellStyle name="Normal 57 3 5 2 5 3 3" xfId="30260" xr:uid="{00000000-0005-0000-0000-0000037F0000}"/>
    <cellStyle name="Normal 57 3 5 2 5 4" xfId="14022" xr:uid="{00000000-0005-0000-0000-0000047F0000}"/>
    <cellStyle name="Normal 57 3 5 2 5 4 2" xfId="38896" xr:uid="{00000000-0005-0000-0000-0000057F0000}"/>
    <cellStyle name="Normal 57 3 5 2 5 5" xfId="26455" xr:uid="{00000000-0005-0000-0000-0000067F0000}"/>
    <cellStyle name="Normal 57 3 5 2 6" xfId="7944" xr:uid="{00000000-0005-0000-0000-0000077F0000}"/>
    <cellStyle name="Normal 57 3 5 2 6 2" xfId="20390" xr:uid="{00000000-0005-0000-0000-0000087F0000}"/>
    <cellStyle name="Normal 57 3 5 2 6 2 2" xfId="45264" xr:uid="{00000000-0005-0000-0000-0000097F0000}"/>
    <cellStyle name="Normal 57 3 5 2 6 3" xfId="32831" xr:uid="{00000000-0005-0000-0000-00000A7F0000}"/>
    <cellStyle name="Normal 57 3 5 2 7" xfId="11837" xr:uid="{00000000-0005-0000-0000-00000B7F0000}"/>
    <cellStyle name="Normal 57 3 5 2 7 2" xfId="24271" xr:uid="{00000000-0005-0000-0000-00000C7F0000}"/>
    <cellStyle name="Normal 57 3 5 2 7 2 2" xfId="49145" xr:uid="{00000000-0005-0000-0000-00000D7F0000}"/>
    <cellStyle name="Normal 57 3 5 2 7 3" xfId="36712" xr:uid="{00000000-0005-0000-0000-00000E7F0000}"/>
    <cellStyle name="Normal 57 3 5 2 8" xfId="6914" xr:uid="{00000000-0005-0000-0000-00000F7F0000}"/>
    <cellStyle name="Normal 57 3 5 2 8 2" xfId="19363" xr:uid="{00000000-0005-0000-0000-0000107F0000}"/>
    <cellStyle name="Normal 57 3 5 2 8 2 2" xfId="44237" xr:uid="{00000000-0005-0000-0000-0000117F0000}"/>
    <cellStyle name="Normal 57 3 5 2 8 3" xfId="31804" xr:uid="{00000000-0005-0000-0000-0000127F0000}"/>
    <cellStyle name="Normal 57 3 5 2 9" xfId="2865" xr:uid="{00000000-0005-0000-0000-0000137F0000}"/>
    <cellStyle name="Normal 57 3 5 2 9 2" xfId="15383" xr:uid="{00000000-0005-0000-0000-0000147F0000}"/>
    <cellStyle name="Normal 57 3 5 2 9 2 2" xfId="40257" xr:uid="{00000000-0005-0000-0000-0000157F0000}"/>
    <cellStyle name="Normal 57 3 5 2 9 3" xfId="27816" xr:uid="{00000000-0005-0000-0000-0000167F0000}"/>
    <cellStyle name="Normal 57 3 5 2_Degree data" xfId="2469" xr:uid="{00000000-0005-0000-0000-0000177F0000}"/>
    <cellStyle name="Normal 57 3 5 3" xfId="619" xr:uid="{00000000-0005-0000-0000-0000187F0000}"/>
    <cellStyle name="Normal 57 3 5 3 2" xfId="1503" xr:uid="{00000000-0005-0000-0000-0000197F0000}"/>
    <cellStyle name="Normal 57 3 5 3 2 2" xfId="9116" xr:uid="{00000000-0005-0000-0000-00001A7F0000}"/>
    <cellStyle name="Normal 57 3 5 3 2 2 2" xfId="21559" xr:uid="{00000000-0005-0000-0000-00001B7F0000}"/>
    <cellStyle name="Normal 57 3 5 3 2 2 2 2" xfId="46433" xr:uid="{00000000-0005-0000-0000-00001C7F0000}"/>
    <cellStyle name="Normal 57 3 5 3 2 2 3" xfId="34000" xr:uid="{00000000-0005-0000-0000-00001D7F0000}"/>
    <cellStyle name="Normal 57 3 5 3 2 3" xfId="4098" xr:uid="{00000000-0005-0000-0000-00001E7F0000}"/>
    <cellStyle name="Normal 57 3 5 3 2 3 2" xfId="16552" xr:uid="{00000000-0005-0000-0000-00001F7F0000}"/>
    <cellStyle name="Normal 57 3 5 3 2 3 2 2" xfId="41426" xr:uid="{00000000-0005-0000-0000-0000207F0000}"/>
    <cellStyle name="Normal 57 3 5 3 2 3 3" xfId="28993" xr:uid="{00000000-0005-0000-0000-0000217F0000}"/>
    <cellStyle name="Normal 57 3 5 3 2 4" xfId="14303" xr:uid="{00000000-0005-0000-0000-0000227F0000}"/>
    <cellStyle name="Normal 57 3 5 3 2 4 2" xfId="39177" xr:uid="{00000000-0005-0000-0000-0000237F0000}"/>
    <cellStyle name="Normal 57 3 5 3 2 5" xfId="26736" xr:uid="{00000000-0005-0000-0000-0000247F0000}"/>
    <cellStyle name="Normal 57 3 5 3 3" xfId="5648" xr:uid="{00000000-0005-0000-0000-0000257F0000}"/>
    <cellStyle name="Normal 57 3 5 3 3 2" xfId="10664" xr:uid="{00000000-0005-0000-0000-0000267F0000}"/>
    <cellStyle name="Normal 57 3 5 3 3 2 2" xfId="23107" xr:uid="{00000000-0005-0000-0000-0000277F0000}"/>
    <cellStyle name="Normal 57 3 5 3 3 2 2 2" xfId="47981" xr:uid="{00000000-0005-0000-0000-0000287F0000}"/>
    <cellStyle name="Normal 57 3 5 3 3 2 3" xfId="35548" xr:uid="{00000000-0005-0000-0000-0000297F0000}"/>
    <cellStyle name="Normal 57 3 5 3 3 3" xfId="18100" xr:uid="{00000000-0005-0000-0000-00002A7F0000}"/>
    <cellStyle name="Normal 57 3 5 3 3 3 2" xfId="42974" xr:uid="{00000000-0005-0000-0000-00002B7F0000}"/>
    <cellStyle name="Normal 57 3 5 3 3 4" xfId="30541" xr:uid="{00000000-0005-0000-0000-00002C7F0000}"/>
    <cellStyle name="Normal 57 3 5 3 4" xfId="8232" xr:uid="{00000000-0005-0000-0000-00002D7F0000}"/>
    <cellStyle name="Normal 57 3 5 3 4 2" xfId="20676" xr:uid="{00000000-0005-0000-0000-00002E7F0000}"/>
    <cellStyle name="Normal 57 3 5 3 4 2 2" xfId="45550" xr:uid="{00000000-0005-0000-0000-00002F7F0000}"/>
    <cellStyle name="Normal 57 3 5 3 4 3" xfId="33117" xr:uid="{00000000-0005-0000-0000-0000307F0000}"/>
    <cellStyle name="Normal 57 3 5 3 5" xfId="12118" xr:uid="{00000000-0005-0000-0000-0000317F0000}"/>
    <cellStyle name="Normal 57 3 5 3 5 2" xfId="24552" xr:uid="{00000000-0005-0000-0000-0000327F0000}"/>
    <cellStyle name="Normal 57 3 5 3 5 2 2" xfId="49426" xr:uid="{00000000-0005-0000-0000-0000337F0000}"/>
    <cellStyle name="Normal 57 3 5 3 5 3" xfId="36993" xr:uid="{00000000-0005-0000-0000-0000347F0000}"/>
    <cellStyle name="Normal 57 3 5 3 6" xfId="6709" xr:uid="{00000000-0005-0000-0000-0000357F0000}"/>
    <cellStyle name="Normal 57 3 5 3 6 2" xfId="19158" xr:uid="{00000000-0005-0000-0000-0000367F0000}"/>
    <cellStyle name="Normal 57 3 5 3 6 2 2" xfId="44032" xr:uid="{00000000-0005-0000-0000-0000377F0000}"/>
    <cellStyle name="Normal 57 3 5 3 6 3" xfId="31599" xr:uid="{00000000-0005-0000-0000-0000387F0000}"/>
    <cellStyle name="Normal 57 3 5 3 7" xfId="3163" xr:uid="{00000000-0005-0000-0000-0000397F0000}"/>
    <cellStyle name="Normal 57 3 5 3 7 2" xfId="15669" xr:uid="{00000000-0005-0000-0000-00003A7F0000}"/>
    <cellStyle name="Normal 57 3 5 3 7 2 2" xfId="40543" xr:uid="{00000000-0005-0000-0000-00003B7F0000}"/>
    <cellStyle name="Normal 57 3 5 3 7 3" xfId="28102" xr:uid="{00000000-0005-0000-0000-00003C7F0000}"/>
    <cellStyle name="Normal 57 3 5 3 8" xfId="13426" xr:uid="{00000000-0005-0000-0000-00003D7F0000}"/>
    <cellStyle name="Normal 57 3 5 3 8 2" xfId="38300" xr:uid="{00000000-0005-0000-0000-00003E7F0000}"/>
    <cellStyle name="Normal 57 3 5 3 9" xfId="25859" xr:uid="{00000000-0005-0000-0000-00003F7F0000}"/>
    <cellStyle name="Normal 57 3 5 4" xfId="1851" xr:uid="{00000000-0005-0000-0000-0000407F0000}"/>
    <cellStyle name="Normal 57 3 5 4 2" xfId="4589" xr:uid="{00000000-0005-0000-0000-0000417F0000}"/>
    <cellStyle name="Normal 57 3 5 4 2 2" xfId="9607" xr:uid="{00000000-0005-0000-0000-0000427F0000}"/>
    <cellStyle name="Normal 57 3 5 4 2 2 2" xfId="22050" xr:uid="{00000000-0005-0000-0000-0000437F0000}"/>
    <cellStyle name="Normal 57 3 5 4 2 2 2 2" xfId="46924" xr:uid="{00000000-0005-0000-0000-0000447F0000}"/>
    <cellStyle name="Normal 57 3 5 4 2 2 3" xfId="34491" xr:uid="{00000000-0005-0000-0000-0000457F0000}"/>
    <cellStyle name="Normal 57 3 5 4 2 3" xfId="17043" xr:uid="{00000000-0005-0000-0000-0000467F0000}"/>
    <cellStyle name="Normal 57 3 5 4 2 3 2" xfId="41917" xr:uid="{00000000-0005-0000-0000-0000477F0000}"/>
    <cellStyle name="Normal 57 3 5 4 2 4" xfId="29484" xr:uid="{00000000-0005-0000-0000-0000487F0000}"/>
    <cellStyle name="Normal 57 3 5 4 3" xfId="5997" xr:uid="{00000000-0005-0000-0000-0000497F0000}"/>
    <cellStyle name="Normal 57 3 5 4 3 2" xfId="11012" xr:uid="{00000000-0005-0000-0000-00004A7F0000}"/>
    <cellStyle name="Normal 57 3 5 4 3 2 2" xfId="23455" xr:uid="{00000000-0005-0000-0000-00004B7F0000}"/>
    <cellStyle name="Normal 57 3 5 4 3 2 2 2" xfId="48329" xr:uid="{00000000-0005-0000-0000-00004C7F0000}"/>
    <cellStyle name="Normal 57 3 5 4 3 2 3" xfId="35896" xr:uid="{00000000-0005-0000-0000-00004D7F0000}"/>
    <cellStyle name="Normal 57 3 5 4 3 3" xfId="18448" xr:uid="{00000000-0005-0000-0000-00004E7F0000}"/>
    <cellStyle name="Normal 57 3 5 4 3 3 2" xfId="43322" xr:uid="{00000000-0005-0000-0000-00004F7F0000}"/>
    <cellStyle name="Normal 57 3 5 4 3 4" xfId="30889" xr:uid="{00000000-0005-0000-0000-0000507F0000}"/>
    <cellStyle name="Normal 57 3 5 4 4" xfId="8723" xr:uid="{00000000-0005-0000-0000-0000517F0000}"/>
    <cellStyle name="Normal 57 3 5 4 4 2" xfId="21167" xr:uid="{00000000-0005-0000-0000-0000527F0000}"/>
    <cellStyle name="Normal 57 3 5 4 4 2 2" xfId="46041" xr:uid="{00000000-0005-0000-0000-0000537F0000}"/>
    <cellStyle name="Normal 57 3 5 4 4 3" xfId="33608" xr:uid="{00000000-0005-0000-0000-0000547F0000}"/>
    <cellStyle name="Normal 57 3 5 4 5" xfId="12466" xr:uid="{00000000-0005-0000-0000-0000557F0000}"/>
    <cellStyle name="Normal 57 3 5 4 5 2" xfId="24900" xr:uid="{00000000-0005-0000-0000-0000567F0000}"/>
    <cellStyle name="Normal 57 3 5 4 5 2 2" xfId="49774" xr:uid="{00000000-0005-0000-0000-0000577F0000}"/>
    <cellStyle name="Normal 57 3 5 4 5 3" xfId="37341" xr:uid="{00000000-0005-0000-0000-0000587F0000}"/>
    <cellStyle name="Normal 57 3 5 4 6" xfId="7200" xr:uid="{00000000-0005-0000-0000-0000597F0000}"/>
    <cellStyle name="Normal 57 3 5 4 6 2" xfId="19649" xr:uid="{00000000-0005-0000-0000-00005A7F0000}"/>
    <cellStyle name="Normal 57 3 5 4 6 2 2" xfId="44523" xr:uid="{00000000-0005-0000-0000-00005B7F0000}"/>
    <cellStyle name="Normal 57 3 5 4 6 3" xfId="32090" xr:uid="{00000000-0005-0000-0000-00005C7F0000}"/>
    <cellStyle name="Normal 57 3 5 4 7" xfId="3654" xr:uid="{00000000-0005-0000-0000-00005D7F0000}"/>
    <cellStyle name="Normal 57 3 5 4 7 2" xfId="16160" xr:uid="{00000000-0005-0000-0000-00005E7F0000}"/>
    <cellStyle name="Normal 57 3 5 4 7 2 2" xfId="41034" xr:uid="{00000000-0005-0000-0000-00005F7F0000}"/>
    <cellStyle name="Normal 57 3 5 4 7 3" xfId="28593" xr:uid="{00000000-0005-0000-0000-0000607F0000}"/>
    <cellStyle name="Normal 57 3 5 4 8" xfId="14651" xr:uid="{00000000-0005-0000-0000-0000617F0000}"/>
    <cellStyle name="Normal 57 3 5 4 8 2" xfId="39525" xr:uid="{00000000-0005-0000-0000-0000627F0000}"/>
    <cellStyle name="Normal 57 3 5 4 9" xfId="27084" xr:uid="{00000000-0005-0000-0000-0000637F0000}"/>
    <cellStyle name="Normal 57 3 5 5" xfId="2175" xr:uid="{00000000-0005-0000-0000-0000647F0000}"/>
    <cellStyle name="Normal 57 3 5 5 2" xfId="4808" xr:uid="{00000000-0005-0000-0000-0000657F0000}"/>
    <cellStyle name="Normal 57 3 5 5 2 2" xfId="9825" xr:uid="{00000000-0005-0000-0000-0000667F0000}"/>
    <cellStyle name="Normal 57 3 5 5 2 2 2" xfId="22268" xr:uid="{00000000-0005-0000-0000-0000677F0000}"/>
    <cellStyle name="Normal 57 3 5 5 2 2 2 2" xfId="47142" xr:uid="{00000000-0005-0000-0000-0000687F0000}"/>
    <cellStyle name="Normal 57 3 5 5 2 2 3" xfId="34709" xr:uid="{00000000-0005-0000-0000-0000697F0000}"/>
    <cellStyle name="Normal 57 3 5 5 2 3" xfId="17261" xr:uid="{00000000-0005-0000-0000-00006A7F0000}"/>
    <cellStyle name="Normal 57 3 5 5 2 3 2" xfId="42135" xr:uid="{00000000-0005-0000-0000-00006B7F0000}"/>
    <cellStyle name="Normal 57 3 5 5 2 4" xfId="29702" xr:uid="{00000000-0005-0000-0000-00006C7F0000}"/>
    <cellStyle name="Normal 57 3 5 5 3" xfId="6206" xr:uid="{00000000-0005-0000-0000-00006D7F0000}"/>
    <cellStyle name="Normal 57 3 5 5 3 2" xfId="11221" xr:uid="{00000000-0005-0000-0000-00006E7F0000}"/>
    <cellStyle name="Normal 57 3 5 5 3 2 2" xfId="23664" xr:uid="{00000000-0005-0000-0000-00006F7F0000}"/>
    <cellStyle name="Normal 57 3 5 5 3 2 2 2" xfId="48538" xr:uid="{00000000-0005-0000-0000-0000707F0000}"/>
    <cellStyle name="Normal 57 3 5 5 3 2 3" xfId="36105" xr:uid="{00000000-0005-0000-0000-0000717F0000}"/>
    <cellStyle name="Normal 57 3 5 5 3 3" xfId="18657" xr:uid="{00000000-0005-0000-0000-0000727F0000}"/>
    <cellStyle name="Normal 57 3 5 5 3 3 2" xfId="43531" xr:uid="{00000000-0005-0000-0000-0000737F0000}"/>
    <cellStyle name="Normal 57 3 5 5 3 4" xfId="31098" xr:uid="{00000000-0005-0000-0000-0000747F0000}"/>
    <cellStyle name="Normal 57 3 5 5 4" xfId="8118" xr:uid="{00000000-0005-0000-0000-0000757F0000}"/>
    <cellStyle name="Normal 57 3 5 5 4 2" xfId="20564" xr:uid="{00000000-0005-0000-0000-0000767F0000}"/>
    <cellStyle name="Normal 57 3 5 5 4 2 2" xfId="45438" xr:uid="{00000000-0005-0000-0000-0000777F0000}"/>
    <cellStyle name="Normal 57 3 5 5 4 3" xfId="33005" xr:uid="{00000000-0005-0000-0000-0000787F0000}"/>
    <cellStyle name="Normal 57 3 5 5 5" xfId="12675" xr:uid="{00000000-0005-0000-0000-0000797F0000}"/>
    <cellStyle name="Normal 57 3 5 5 5 2" xfId="25109" xr:uid="{00000000-0005-0000-0000-00007A7F0000}"/>
    <cellStyle name="Normal 57 3 5 5 5 2 2" xfId="49983" xr:uid="{00000000-0005-0000-0000-00007B7F0000}"/>
    <cellStyle name="Normal 57 3 5 5 5 3" xfId="37550" xr:uid="{00000000-0005-0000-0000-00007C7F0000}"/>
    <cellStyle name="Normal 57 3 5 5 6" xfId="7419" xr:uid="{00000000-0005-0000-0000-00007D7F0000}"/>
    <cellStyle name="Normal 57 3 5 5 6 2" xfId="19867" xr:uid="{00000000-0005-0000-0000-00007E7F0000}"/>
    <cellStyle name="Normal 57 3 5 5 6 2 2" xfId="44741" xr:uid="{00000000-0005-0000-0000-00007F7F0000}"/>
    <cellStyle name="Normal 57 3 5 5 6 3" xfId="32308" xr:uid="{00000000-0005-0000-0000-0000807F0000}"/>
    <cellStyle name="Normal 57 3 5 5 7" xfId="3048" xr:uid="{00000000-0005-0000-0000-0000817F0000}"/>
    <cellStyle name="Normal 57 3 5 5 7 2" xfId="15557" xr:uid="{00000000-0005-0000-0000-0000827F0000}"/>
    <cellStyle name="Normal 57 3 5 5 7 2 2" xfId="40431" xr:uid="{00000000-0005-0000-0000-0000837F0000}"/>
    <cellStyle name="Normal 57 3 5 5 7 3" xfId="27990" xr:uid="{00000000-0005-0000-0000-0000847F0000}"/>
    <cellStyle name="Normal 57 3 5 5 8" xfId="14860" xr:uid="{00000000-0005-0000-0000-0000857F0000}"/>
    <cellStyle name="Normal 57 3 5 5 8 2" xfId="39734" xr:uid="{00000000-0005-0000-0000-0000867F0000}"/>
    <cellStyle name="Normal 57 3 5 5 9" xfId="27293" xr:uid="{00000000-0005-0000-0000-0000877F0000}"/>
    <cellStyle name="Normal 57 3 5 6" xfId="1017" xr:uid="{00000000-0005-0000-0000-0000887F0000}"/>
    <cellStyle name="Normal 57 3 5 6 2" xfId="9004" xr:uid="{00000000-0005-0000-0000-0000897F0000}"/>
    <cellStyle name="Normal 57 3 5 6 2 2" xfId="21447" xr:uid="{00000000-0005-0000-0000-00008A7F0000}"/>
    <cellStyle name="Normal 57 3 5 6 2 2 2" xfId="46321" xr:uid="{00000000-0005-0000-0000-00008B7F0000}"/>
    <cellStyle name="Normal 57 3 5 6 2 3" xfId="33888" xr:uid="{00000000-0005-0000-0000-00008C7F0000}"/>
    <cellStyle name="Normal 57 3 5 6 3" xfId="3986" xr:uid="{00000000-0005-0000-0000-00008D7F0000}"/>
    <cellStyle name="Normal 57 3 5 6 3 2" xfId="16440" xr:uid="{00000000-0005-0000-0000-00008E7F0000}"/>
    <cellStyle name="Normal 57 3 5 6 3 2 2" xfId="41314" xr:uid="{00000000-0005-0000-0000-00008F7F0000}"/>
    <cellStyle name="Normal 57 3 5 6 3 3" xfId="28881" xr:uid="{00000000-0005-0000-0000-0000907F0000}"/>
    <cellStyle name="Normal 57 3 5 6 4" xfId="13817" xr:uid="{00000000-0005-0000-0000-0000917F0000}"/>
    <cellStyle name="Normal 57 3 5 6 4 2" xfId="38691" xr:uid="{00000000-0005-0000-0000-0000927F0000}"/>
    <cellStyle name="Normal 57 3 5 6 5" xfId="26250" xr:uid="{00000000-0005-0000-0000-0000937F0000}"/>
    <cellStyle name="Normal 57 3 5 7" xfId="5162" xr:uid="{00000000-0005-0000-0000-0000947F0000}"/>
    <cellStyle name="Normal 57 3 5 7 2" xfId="10178" xr:uid="{00000000-0005-0000-0000-0000957F0000}"/>
    <cellStyle name="Normal 57 3 5 7 2 2" xfId="22621" xr:uid="{00000000-0005-0000-0000-0000967F0000}"/>
    <cellStyle name="Normal 57 3 5 7 2 2 2" xfId="47495" xr:uid="{00000000-0005-0000-0000-0000977F0000}"/>
    <cellStyle name="Normal 57 3 5 7 2 3" xfId="35062" xr:uid="{00000000-0005-0000-0000-0000987F0000}"/>
    <cellStyle name="Normal 57 3 5 7 3" xfId="17614" xr:uid="{00000000-0005-0000-0000-0000997F0000}"/>
    <cellStyle name="Normal 57 3 5 7 3 2" xfId="42488" xr:uid="{00000000-0005-0000-0000-00009A7F0000}"/>
    <cellStyle name="Normal 57 3 5 7 4" xfId="30055" xr:uid="{00000000-0005-0000-0000-00009B7F0000}"/>
    <cellStyle name="Normal 57 3 5 8" xfId="7739" xr:uid="{00000000-0005-0000-0000-00009C7F0000}"/>
    <cellStyle name="Normal 57 3 5 8 2" xfId="20185" xr:uid="{00000000-0005-0000-0000-00009D7F0000}"/>
    <cellStyle name="Normal 57 3 5 8 2 2" xfId="45059" xr:uid="{00000000-0005-0000-0000-00009E7F0000}"/>
    <cellStyle name="Normal 57 3 5 8 3" xfId="32626" xr:uid="{00000000-0005-0000-0000-00009F7F0000}"/>
    <cellStyle name="Normal 57 3 5 9" xfId="11632" xr:uid="{00000000-0005-0000-0000-0000A07F0000}"/>
    <cellStyle name="Normal 57 3 5 9 2" xfId="24066" xr:uid="{00000000-0005-0000-0000-0000A17F0000}"/>
    <cellStyle name="Normal 57 3 5 9 2 2" xfId="48940" xr:uid="{00000000-0005-0000-0000-0000A27F0000}"/>
    <cellStyle name="Normal 57 3 5 9 3" xfId="36507" xr:uid="{00000000-0005-0000-0000-0000A37F0000}"/>
    <cellStyle name="Normal 57 3 5_Degree data" xfId="2468" xr:uid="{00000000-0005-0000-0000-0000A47F0000}"/>
    <cellStyle name="Normal 57 3 6" xfId="363" xr:uid="{00000000-0005-0000-0000-0000A57F0000}"/>
    <cellStyle name="Normal 57 3 6 10" xfId="13179" xr:uid="{00000000-0005-0000-0000-0000A67F0000}"/>
    <cellStyle name="Normal 57 3 6 10 2" xfId="38053" xr:uid="{00000000-0005-0000-0000-0000A77F0000}"/>
    <cellStyle name="Normal 57 3 6 11" xfId="25612" xr:uid="{00000000-0005-0000-0000-0000A87F0000}"/>
    <cellStyle name="Normal 57 3 6 2" xfId="723" xr:uid="{00000000-0005-0000-0000-0000A97F0000}"/>
    <cellStyle name="Normal 57 3 6 2 2" xfId="1505" xr:uid="{00000000-0005-0000-0000-0000AA7F0000}"/>
    <cellStyle name="Normal 57 3 6 2 2 2" xfId="9609" xr:uid="{00000000-0005-0000-0000-0000AB7F0000}"/>
    <cellStyle name="Normal 57 3 6 2 2 2 2" xfId="22052" xr:uid="{00000000-0005-0000-0000-0000AC7F0000}"/>
    <cellStyle name="Normal 57 3 6 2 2 2 2 2" xfId="46926" xr:uid="{00000000-0005-0000-0000-0000AD7F0000}"/>
    <cellStyle name="Normal 57 3 6 2 2 2 3" xfId="34493" xr:uid="{00000000-0005-0000-0000-0000AE7F0000}"/>
    <cellStyle name="Normal 57 3 6 2 2 3" xfId="4591" xr:uid="{00000000-0005-0000-0000-0000AF7F0000}"/>
    <cellStyle name="Normal 57 3 6 2 2 3 2" xfId="17045" xr:uid="{00000000-0005-0000-0000-0000B07F0000}"/>
    <cellStyle name="Normal 57 3 6 2 2 3 2 2" xfId="41919" xr:uid="{00000000-0005-0000-0000-0000B17F0000}"/>
    <cellStyle name="Normal 57 3 6 2 2 3 3" xfId="29486" xr:uid="{00000000-0005-0000-0000-0000B27F0000}"/>
    <cellStyle name="Normal 57 3 6 2 2 4" xfId="14305" xr:uid="{00000000-0005-0000-0000-0000B37F0000}"/>
    <cellStyle name="Normal 57 3 6 2 2 4 2" xfId="39179" xr:uid="{00000000-0005-0000-0000-0000B47F0000}"/>
    <cellStyle name="Normal 57 3 6 2 2 5" xfId="26738" xr:uid="{00000000-0005-0000-0000-0000B57F0000}"/>
    <cellStyle name="Normal 57 3 6 2 3" xfId="5650" xr:uid="{00000000-0005-0000-0000-0000B67F0000}"/>
    <cellStyle name="Normal 57 3 6 2 3 2" xfId="10666" xr:uid="{00000000-0005-0000-0000-0000B77F0000}"/>
    <cellStyle name="Normal 57 3 6 2 3 2 2" xfId="23109" xr:uid="{00000000-0005-0000-0000-0000B87F0000}"/>
    <cellStyle name="Normal 57 3 6 2 3 2 2 2" xfId="47983" xr:uid="{00000000-0005-0000-0000-0000B97F0000}"/>
    <cellStyle name="Normal 57 3 6 2 3 2 3" xfId="35550" xr:uid="{00000000-0005-0000-0000-0000BA7F0000}"/>
    <cellStyle name="Normal 57 3 6 2 3 3" xfId="18102" xr:uid="{00000000-0005-0000-0000-0000BB7F0000}"/>
    <cellStyle name="Normal 57 3 6 2 3 3 2" xfId="42976" xr:uid="{00000000-0005-0000-0000-0000BC7F0000}"/>
    <cellStyle name="Normal 57 3 6 2 3 4" xfId="30543" xr:uid="{00000000-0005-0000-0000-0000BD7F0000}"/>
    <cellStyle name="Normal 57 3 6 2 4" xfId="8725" xr:uid="{00000000-0005-0000-0000-0000BE7F0000}"/>
    <cellStyle name="Normal 57 3 6 2 4 2" xfId="21169" xr:uid="{00000000-0005-0000-0000-0000BF7F0000}"/>
    <cellStyle name="Normal 57 3 6 2 4 2 2" xfId="46043" xr:uid="{00000000-0005-0000-0000-0000C07F0000}"/>
    <cellStyle name="Normal 57 3 6 2 4 3" xfId="33610" xr:uid="{00000000-0005-0000-0000-0000C17F0000}"/>
    <cellStyle name="Normal 57 3 6 2 5" xfId="12120" xr:uid="{00000000-0005-0000-0000-0000C27F0000}"/>
    <cellStyle name="Normal 57 3 6 2 5 2" xfId="24554" xr:uid="{00000000-0005-0000-0000-0000C37F0000}"/>
    <cellStyle name="Normal 57 3 6 2 5 2 2" xfId="49428" xr:uid="{00000000-0005-0000-0000-0000C47F0000}"/>
    <cellStyle name="Normal 57 3 6 2 5 3" xfId="36995" xr:uid="{00000000-0005-0000-0000-0000C57F0000}"/>
    <cellStyle name="Normal 57 3 6 2 6" xfId="7202" xr:uid="{00000000-0005-0000-0000-0000C67F0000}"/>
    <cellStyle name="Normal 57 3 6 2 6 2" xfId="19651" xr:uid="{00000000-0005-0000-0000-0000C77F0000}"/>
    <cellStyle name="Normal 57 3 6 2 6 2 2" xfId="44525" xr:uid="{00000000-0005-0000-0000-0000C87F0000}"/>
    <cellStyle name="Normal 57 3 6 2 6 3" xfId="32092" xr:uid="{00000000-0005-0000-0000-0000C97F0000}"/>
    <cellStyle name="Normal 57 3 6 2 7" xfId="3656" xr:uid="{00000000-0005-0000-0000-0000CA7F0000}"/>
    <cellStyle name="Normal 57 3 6 2 7 2" xfId="16162" xr:uid="{00000000-0005-0000-0000-0000CB7F0000}"/>
    <cellStyle name="Normal 57 3 6 2 7 2 2" xfId="41036" xr:uid="{00000000-0005-0000-0000-0000CC7F0000}"/>
    <cellStyle name="Normal 57 3 6 2 7 3" xfId="28595" xr:uid="{00000000-0005-0000-0000-0000CD7F0000}"/>
    <cellStyle name="Normal 57 3 6 2 8" xfId="13526" xr:uid="{00000000-0005-0000-0000-0000CE7F0000}"/>
    <cellStyle name="Normal 57 3 6 2 8 2" xfId="38400" xr:uid="{00000000-0005-0000-0000-0000CF7F0000}"/>
    <cellStyle name="Normal 57 3 6 2 9" xfId="25959" xr:uid="{00000000-0005-0000-0000-0000D07F0000}"/>
    <cellStyle name="Normal 57 3 6 3" xfId="1853" xr:uid="{00000000-0005-0000-0000-0000D17F0000}"/>
    <cellStyle name="Normal 57 3 6 3 2" xfId="4908" xr:uid="{00000000-0005-0000-0000-0000D27F0000}"/>
    <cellStyle name="Normal 57 3 6 3 2 2" xfId="9925" xr:uid="{00000000-0005-0000-0000-0000D37F0000}"/>
    <cellStyle name="Normal 57 3 6 3 2 2 2" xfId="22368" xr:uid="{00000000-0005-0000-0000-0000D47F0000}"/>
    <cellStyle name="Normal 57 3 6 3 2 2 2 2" xfId="47242" xr:uid="{00000000-0005-0000-0000-0000D57F0000}"/>
    <cellStyle name="Normal 57 3 6 3 2 2 3" xfId="34809" xr:uid="{00000000-0005-0000-0000-0000D67F0000}"/>
    <cellStyle name="Normal 57 3 6 3 2 3" xfId="17361" xr:uid="{00000000-0005-0000-0000-0000D77F0000}"/>
    <cellStyle name="Normal 57 3 6 3 2 3 2" xfId="42235" xr:uid="{00000000-0005-0000-0000-0000D87F0000}"/>
    <cellStyle name="Normal 57 3 6 3 2 4" xfId="29802" xr:uid="{00000000-0005-0000-0000-0000D97F0000}"/>
    <cellStyle name="Normal 57 3 6 3 3" xfId="5999" xr:uid="{00000000-0005-0000-0000-0000DA7F0000}"/>
    <cellStyle name="Normal 57 3 6 3 3 2" xfId="11014" xr:uid="{00000000-0005-0000-0000-0000DB7F0000}"/>
    <cellStyle name="Normal 57 3 6 3 3 2 2" xfId="23457" xr:uid="{00000000-0005-0000-0000-0000DC7F0000}"/>
    <cellStyle name="Normal 57 3 6 3 3 2 2 2" xfId="48331" xr:uid="{00000000-0005-0000-0000-0000DD7F0000}"/>
    <cellStyle name="Normal 57 3 6 3 3 2 3" xfId="35898" xr:uid="{00000000-0005-0000-0000-0000DE7F0000}"/>
    <cellStyle name="Normal 57 3 6 3 3 3" xfId="18450" xr:uid="{00000000-0005-0000-0000-0000DF7F0000}"/>
    <cellStyle name="Normal 57 3 6 3 3 3 2" xfId="43324" xr:uid="{00000000-0005-0000-0000-0000E07F0000}"/>
    <cellStyle name="Normal 57 3 6 3 3 4" xfId="30891" xr:uid="{00000000-0005-0000-0000-0000E17F0000}"/>
    <cellStyle name="Normal 57 3 6 3 4" xfId="8332" xr:uid="{00000000-0005-0000-0000-0000E27F0000}"/>
    <cellStyle name="Normal 57 3 6 3 4 2" xfId="20776" xr:uid="{00000000-0005-0000-0000-0000E37F0000}"/>
    <cellStyle name="Normal 57 3 6 3 4 2 2" xfId="45650" xr:uid="{00000000-0005-0000-0000-0000E47F0000}"/>
    <cellStyle name="Normal 57 3 6 3 4 3" xfId="33217" xr:uid="{00000000-0005-0000-0000-0000E57F0000}"/>
    <cellStyle name="Normal 57 3 6 3 5" xfId="12468" xr:uid="{00000000-0005-0000-0000-0000E67F0000}"/>
    <cellStyle name="Normal 57 3 6 3 5 2" xfId="24902" xr:uid="{00000000-0005-0000-0000-0000E77F0000}"/>
    <cellStyle name="Normal 57 3 6 3 5 2 2" xfId="49776" xr:uid="{00000000-0005-0000-0000-0000E87F0000}"/>
    <cellStyle name="Normal 57 3 6 3 5 3" xfId="37343" xr:uid="{00000000-0005-0000-0000-0000E97F0000}"/>
    <cellStyle name="Normal 57 3 6 3 6" xfId="7519" xr:uid="{00000000-0005-0000-0000-0000EA7F0000}"/>
    <cellStyle name="Normal 57 3 6 3 6 2" xfId="19967" xr:uid="{00000000-0005-0000-0000-0000EB7F0000}"/>
    <cellStyle name="Normal 57 3 6 3 6 2 2" xfId="44841" xr:uid="{00000000-0005-0000-0000-0000EC7F0000}"/>
    <cellStyle name="Normal 57 3 6 3 6 3" xfId="32408" xr:uid="{00000000-0005-0000-0000-0000ED7F0000}"/>
    <cellStyle name="Normal 57 3 6 3 7" xfId="3263" xr:uid="{00000000-0005-0000-0000-0000EE7F0000}"/>
    <cellStyle name="Normal 57 3 6 3 7 2" xfId="15769" xr:uid="{00000000-0005-0000-0000-0000EF7F0000}"/>
    <cellStyle name="Normal 57 3 6 3 7 2 2" xfId="40643" xr:uid="{00000000-0005-0000-0000-0000F07F0000}"/>
    <cellStyle name="Normal 57 3 6 3 7 3" xfId="28202" xr:uid="{00000000-0005-0000-0000-0000F17F0000}"/>
    <cellStyle name="Normal 57 3 6 3 8" xfId="14653" xr:uid="{00000000-0005-0000-0000-0000F27F0000}"/>
    <cellStyle name="Normal 57 3 6 3 8 2" xfId="39527" xr:uid="{00000000-0005-0000-0000-0000F37F0000}"/>
    <cellStyle name="Normal 57 3 6 3 9" xfId="27086" xr:uid="{00000000-0005-0000-0000-0000F47F0000}"/>
    <cellStyle name="Normal 57 3 6 4" xfId="2281" xr:uid="{00000000-0005-0000-0000-0000F57F0000}"/>
    <cellStyle name="Normal 57 3 6 4 2" xfId="6306" xr:uid="{00000000-0005-0000-0000-0000F67F0000}"/>
    <cellStyle name="Normal 57 3 6 4 2 2" xfId="11321" xr:uid="{00000000-0005-0000-0000-0000F77F0000}"/>
    <cellStyle name="Normal 57 3 6 4 2 2 2" xfId="23764" xr:uid="{00000000-0005-0000-0000-0000F87F0000}"/>
    <cellStyle name="Normal 57 3 6 4 2 2 2 2" xfId="48638" xr:uid="{00000000-0005-0000-0000-0000F97F0000}"/>
    <cellStyle name="Normal 57 3 6 4 2 2 3" xfId="36205" xr:uid="{00000000-0005-0000-0000-0000FA7F0000}"/>
    <cellStyle name="Normal 57 3 6 4 2 3" xfId="18757" xr:uid="{00000000-0005-0000-0000-0000FB7F0000}"/>
    <cellStyle name="Normal 57 3 6 4 2 3 2" xfId="43631" xr:uid="{00000000-0005-0000-0000-0000FC7F0000}"/>
    <cellStyle name="Normal 57 3 6 4 2 4" xfId="31198" xr:uid="{00000000-0005-0000-0000-0000FD7F0000}"/>
    <cellStyle name="Normal 57 3 6 4 3" xfId="12775" xr:uid="{00000000-0005-0000-0000-0000FE7F0000}"/>
    <cellStyle name="Normal 57 3 6 4 3 2" xfId="25209" xr:uid="{00000000-0005-0000-0000-0000FF7F0000}"/>
    <cellStyle name="Normal 57 3 6 4 3 2 2" xfId="50083" xr:uid="{00000000-0005-0000-0000-000000800000}"/>
    <cellStyle name="Normal 57 3 6 4 3 3" xfId="37650" xr:uid="{00000000-0005-0000-0000-000001800000}"/>
    <cellStyle name="Normal 57 3 6 4 4" xfId="9216" xr:uid="{00000000-0005-0000-0000-000002800000}"/>
    <cellStyle name="Normal 57 3 6 4 4 2" xfId="21659" xr:uid="{00000000-0005-0000-0000-000003800000}"/>
    <cellStyle name="Normal 57 3 6 4 4 2 2" xfId="46533" xr:uid="{00000000-0005-0000-0000-000004800000}"/>
    <cellStyle name="Normal 57 3 6 4 4 3" xfId="34100" xr:uid="{00000000-0005-0000-0000-000005800000}"/>
    <cellStyle name="Normal 57 3 6 4 5" xfId="4198" xr:uid="{00000000-0005-0000-0000-000006800000}"/>
    <cellStyle name="Normal 57 3 6 4 5 2" xfId="16652" xr:uid="{00000000-0005-0000-0000-000007800000}"/>
    <cellStyle name="Normal 57 3 6 4 5 2 2" xfId="41526" xr:uid="{00000000-0005-0000-0000-000008800000}"/>
    <cellStyle name="Normal 57 3 6 4 5 3" xfId="29093" xr:uid="{00000000-0005-0000-0000-000009800000}"/>
    <cellStyle name="Normal 57 3 6 4 6" xfId="14960" xr:uid="{00000000-0005-0000-0000-00000A800000}"/>
    <cellStyle name="Normal 57 3 6 4 6 2" xfId="39834" xr:uid="{00000000-0005-0000-0000-00000B800000}"/>
    <cellStyle name="Normal 57 3 6 4 7" xfId="27393" xr:uid="{00000000-0005-0000-0000-00000C800000}"/>
    <cellStyle name="Normal 57 3 6 5" xfId="1117" xr:uid="{00000000-0005-0000-0000-00000D800000}"/>
    <cellStyle name="Normal 57 3 6 5 2" xfId="10278" xr:uid="{00000000-0005-0000-0000-00000E800000}"/>
    <cellStyle name="Normal 57 3 6 5 2 2" xfId="22721" xr:uid="{00000000-0005-0000-0000-00000F800000}"/>
    <cellStyle name="Normal 57 3 6 5 2 2 2" xfId="47595" xr:uid="{00000000-0005-0000-0000-000010800000}"/>
    <cellStyle name="Normal 57 3 6 5 2 3" xfId="35162" xr:uid="{00000000-0005-0000-0000-000011800000}"/>
    <cellStyle name="Normal 57 3 6 5 3" xfId="5262" xr:uid="{00000000-0005-0000-0000-000012800000}"/>
    <cellStyle name="Normal 57 3 6 5 3 2" xfId="17714" xr:uid="{00000000-0005-0000-0000-000013800000}"/>
    <cellStyle name="Normal 57 3 6 5 3 2 2" xfId="42588" xr:uid="{00000000-0005-0000-0000-000014800000}"/>
    <cellStyle name="Normal 57 3 6 5 3 3" xfId="30155" xr:uid="{00000000-0005-0000-0000-000015800000}"/>
    <cellStyle name="Normal 57 3 6 5 4" xfId="13917" xr:uid="{00000000-0005-0000-0000-000016800000}"/>
    <cellStyle name="Normal 57 3 6 5 4 2" xfId="38791" xr:uid="{00000000-0005-0000-0000-000017800000}"/>
    <cellStyle name="Normal 57 3 6 5 5" xfId="26350" xr:uid="{00000000-0005-0000-0000-000018800000}"/>
    <cellStyle name="Normal 57 3 6 6" xfId="7839" xr:uid="{00000000-0005-0000-0000-000019800000}"/>
    <cellStyle name="Normal 57 3 6 6 2" xfId="20285" xr:uid="{00000000-0005-0000-0000-00001A800000}"/>
    <cellStyle name="Normal 57 3 6 6 2 2" xfId="45159" xr:uid="{00000000-0005-0000-0000-00001B800000}"/>
    <cellStyle name="Normal 57 3 6 6 3" xfId="32726" xr:uid="{00000000-0005-0000-0000-00001C800000}"/>
    <cellStyle name="Normal 57 3 6 7" xfId="11732" xr:uid="{00000000-0005-0000-0000-00001D800000}"/>
    <cellStyle name="Normal 57 3 6 7 2" xfId="24166" xr:uid="{00000000-0005-0000-0000-00001E800000}"/>
    <cellStyle name="Normal 57 3 6 7 2 2" xfId="49040" xr:uid="{00000000-0005-0000-0000-00001F800000}"/>
    <cellStyle name="Normal 57 3 6 7 3" xfId="36607" xr:uid="{00000000-0005-0000-0000-000020800000}"/>
    <cellStyle name="Normal 57 3 6 8" xfId="6809" xr:uid="{00000000-0005-0000-0000-000021800000}"/>
    <cellStyle name="Normal 57 3 6 8 2" xfId="19258" xr:uid="{00000000-0005-0000-0000-000022800000}"/>
    <cellStyle name="Normal 57 3 6 8 2 2" xfId="44132" xr:uid="{00000000-0005-0000-0000-000023800000}"/>
    <cellStyle name="Normal 57 3 6 8 3" xfId="31699" xr:uid="{00000000-0005-0000-0000-000024800000}"/>
    <cellStyle name="Normal 57 3 6 9" xfId="2760" xr:uid="{00000000-0005-0000-0000-000025800000}"/>
    <cellStyle name="Normal 57 3 6 9 2" xfId="15278" xr:uid="{00000000-0005-0000-0000-000026800000}"/>
    <cellStyle name="Normal 57 3 6 9 2 2" xfId="40152" xr:uid="{00000000-0005-0000-0000-000027800000}"/>
    <cellStyle name="Normal 57 3 6 9 3" xfId="27711" xr:uid="{00000000-0005-0000-0000-000028800000}"/>
    <cellStyle name="Normal 57 3 6_Degree data" xfId="2470" xr:uid="{00000000-0005-0000-0000-000029800000}"/>
    <cellStyle name="Normal 57 3 7" xfId="197" xr:uid="{00000000-0005-0000-0000-00002A800000}"/>
    <cellStyle name="Normal 57 3 7 10" xfId="13027" xr:uid="{00000000-0005-0000-0000-00002B800000}"/>
    <cellStyle name="Normal 57 3 7 10 2" xfId="37901" xr:uid="{00000000-0005-0000-0000-00002C800000}"/>
    <cellStyle name="Normal 57 3 7 11" xfId="25460" xr:uid="{00000000-0005-0000-0000-00002D800000}"/>
    <cellStyle name="Normal 57 3 7 2" xfId="564" xr:uid="{00000000-0005-0000-0000-00002E800000}"/>
    <cellStyle name="Normal 57 3 7 2 2" xfId="1506" xr:uid="{00000000-0005-0000-0000-00002F800000}"/>
    <cellStyle name="Normal 57 3 7 2 2 2" xfId="9610" xr:uid="{00000000-0005-0000-0000-000030800000}"/>
    <cellStyle name="Normal 57 3 7 2 2 2 2" xfId="22053" xr:uid="{00000000-0005-0000-0000-000031800000}"/>
    <cellStyle name="Normal 57 3 7 2 2 2 2 2" xfId="46927" xr:uid="{00000000-0005-0000-0000-000032800000}"/>
    <cellStyle name="Normal 57 3 7 2 2 2 3" xfId="34494" xr:uid="{00000000-0005-0000-0000-000033800000}"/>
    <cellStyle name="Normal 57 3 7 2 2 3" xfId="4592" xr:uid="{00000000-0005-0000-0000-000034800000}"/>
    <cellStyle name="Normal 57 3 7 2 2 3 2" xfId="17046" xr:uid="{00000000-0005-0000-0000-000035800000}"/>
    <cellStyle name="Normal 57 3 7 2 2 3 2 2" xfId="41920" xr:uid="{00000000-0005-0000-0000-000036800000}"/>
    <cellStyle name="Normal 57 3 7 2 2 3 3" xfId="29487" xr:uid="{00000000-0005-0000-0000-000037800000}"/>
    <cellStyle name="Normal 57 3 7 2 2 4" xfId="14306" xr:uid="{00000000-0005-0000-0000-000038800000}"/>
    <cellStyle name="Normal 57 3 7 2 2 4 2" xfId="39180" xr:uid="{00000000-0005-0000-0000-000039800000}"/>
    <cellStyle name="Normal 57 3 7 2 2 5" xfId="26739" xr:uid="{00000000-0005-0000-0000-00003A800000}"/>
    <cellStyle name="Normal 57 3 7 2 3" xfId="5651" xr:uid="{00000000-0005-0000-0000-00003B800000}"/>
    <cellStyle name="Normal 57 3 7 2 3 2" xfId="10667" xr:uid="{00000000-0005-0000-0000-00003C800000}"/>
    <cellStyle name="Normal 57 3 7 2 3 2 2" xfId="23110" xr:uid="{00000000-0005-0000-0000-00003D800000}"/>
    <cellStyle name="Normal 57 3 7 2 3 2 2 2" xfId="47984" xr:uid="{00000000-0005-0000-0000-00003E800000}"/>
    <cellStyle name="Normal 57 3 7 2 3 2 3" xfId="35551" xr:uid="{00000000-0005-0000-0000-00003F800000}"/>
    <cellStyle name="Normal 57 3 7 2 3 3" xfId="18103" xr:uid="{00000000-0005-0000-0000-000040800000}"/>
    <cellStyle name="Normal 57 3 7 2 3 3 2" xfId="42977" xr:uid="{00000000-0005-0000-0000-000041800000}"/>
    <cellStyle name="Normal 57 3 7 2 3 4" xfId="30544" xr:uid="{00000000-0005-0000-0000-000042800000}"/>
    <cellStyle name="Normal 57 3 7 2 4" xfId="8726" xr:uid="{00000000-0005-0000-0000-000043800000}"/>
    <cellStyle name="Normal 57 3 7 2 4 2" xfId="21170" xr:uid="{00000000-0005-0000-0000-000044800000}"/>
    <cellStyle name="Normal 57 3 7 2 4 2 2" xfId="46044" xr:uid="{00000000-0005-0000-0000-000045800000}"/>
    <cellStyle name="Normal 57 3 7 2 4 3" xfId="33611" xr:uid="{00000000-0005-0000-0000-000046800000}"/>
    <cellStyle name="Normal 57 3 7 2 5" xfId="12121" xr:uid="{00000000-0005-0000-0000-000047800000}"/>
    <cellStyle name="Normal 57 3 7 2 5 2" xfId="24555" xr:uid="{00000000-0005-0000-0000-000048800000}"/>
    <cellStyle name="Normal 57 3 7 2 5 2 2" xfId="49429" xr:uid="{00000000-0005-0000-0000-000049800000}"/>
    <cellStyle name="Normal 57 3 7 2 5 3" xfId="36996" xr:uid="{00000000-0005-0000-0000-00004A800000}"/>
    <cellStyle name="Normal 57 3 7 2 6" xfId="7203" xr:uid="{00000000-0005-0000-0000-00004B800000}"/>
    <cellStyle name="Normal 57 3 7 2 6 2" xfId="19652" xr:uid="{00000000-0005-0000-0000-00004C800000}"/>
    <cellStyle name="Normal 57 3 7 2 6 2 2" xfId="44526" xr:uid="{00000000-0005-0000-0000-00004D800000}"/>
    <cellStyle name="Normal 57 3 7 2 6 3" xfId="32093" xr:uid="{00000000-0005-0000-0000-00004E800000}"/>
    <cellStyle name="Normal 57 3 7 2 7" xfId="3657" xr:uid="{00000000-0005-0000-0000-00004F800000}"/>
    <cellStyle name="Normal 57 3 7 2 7 2" xfId="16163" xr:uid="{00000000-0005-0000-0000-000050800000}"/>
    <cellStyle name="Normal 57 3 7 2 7 2 2" xfId="41037" xr:uid="{00000000-0005-0000-0000-000051800000}"/>
    <cellStyle name="Normal 57 3 7 2 7 3" xfId="28596" xr:uid="{00000000-0005-0000-0000-000052800000}"/>
    <cellStyle name="Normal 57 3 7 2 8" xfId="13374" xr:uid="{00000000-0005-0000-0000-000053800000}"/>
    <cellStyle name="Normal 57 3 7 2 8 2" xfId="38248" xr:uid="{00000000-0005-0000-0000-000054800000}"/>
    <cellStyle name="Normal 57 3 7 2 9" xfId="25807" xr:uid="{00000000-0005-0000-0000-000055800000}"/>
    <cellStyle name="Normal 57 3 7 3" xfId="1854" xr:uid="{00000000-0005-0000-0000-000056800000}"/>
    <cellStyle name="Normal 57 3 7 3 2" xfId="4756" xr:uid="{00000000-0005-0000-0000-000057800000}"/>
    <cellStyle name="Normal 57 3 7 3 2 2" xfId="9773" xr:uid="{00000000-0005-0000-0000-000058800000}"/>
    <cellStyle name="Normal 57 3 7 3 2 2 2" xfId="22216" xr:uid="{00000000-0005-0000-0000-000059800000}"/>
    <cellStyle name="Normal 57 3 7 3 2 2 2 2" xfId="47090" xr:uid="{00000000-0005-0000-0000-00005A800000}"/>
    <cellStyle name="Normal 57 3 7 3 2 2 3" xfId="34657" xr:uid="{00000000-0005-0000-0000-00005B800000}"/>
    <cellStyle name="Normal 57 3 7 3 2 3" xfId="17209" xr:uid="{00000000-0005-0000-0000-00005C800000}"/>
    <cellStyle name="Normal 57 3 7 3 2 3 2" xfId="42083" xr:uid="{00000000-0005-0000-0000-00005D800000}"/>
    <cellStyle name="Normal 57 3 7 3 2 4" xfId="29650" xr:uid="{00000000-0005-0000-0000-00005E800000}"/>
    <cellStyle name="Normal 57 3 7 3 3" xfId="6000" xr:uid="{00000000-0005-0000-0000-00005F800000}"/>
    <cellStyle name="Normal 57 3 7 3 3 2" xfId="11015" xr:uid="{00000000-0005-0000-0000-000060800000}"/>
    <cellStyle name="Normal 57 3 7 3 3 2 2" xfId="23458" xr:uid="{00000000-0005-0000-0000-000061800000}"/>
    <cellStyle name="Normal 57 3 7 3 3 2 2 2" xfId="48332" xr:uid="{00000000-0005-0000-0000-000062800000}"/>
    <cellStyle name="Normal 57 3 7 3 3 2 3" xfId="35899" xr:uid="{00000000-0005-0000-0000-000063800000}"/>
    <cellStyle name="Normal 57 3 7 3 3 3" xfId="18451" xr:uid="{00000000-0005-0000-0000-000064800000}"/>
    <cellStyle name="Normal 57 3 7 3 3 3 2" xfId="43325" xr:uid="{00000000-0005-0000-0000-000065800000}"/>
    <cellStyle name="Normal 57 3 7 3 3 4" xfId="30892" xr:uid="{00000000-0005-0000-0000-000066800000}"/>
    <cellStyle name="Normal 57 3 7 3 4" xfId="8875" xr:uid="{00000000-0005-0000-0000-000067800000}"/>
    <cellStyle name="Normal 57 3 7 3 4 2" xfId="21318" xr:uid="{00000000-0005-0000-0000-000068800000}"/>
    <cellStyle name="Normal 57 3 7 3 4 2 2" xfId="46192" xr:uid="{00000000-0005-0000-0000-000069800000}"/>
    <cellStyle name="Normal 57 3 7 3 4 3" xfId="33759" xr:uid="{00000000-0005-0000-0000-00006A800000}"/>
    <cellStyle name="Normal 57 3 7 3 5" xfId="12469" xr:uid="{00000000-0005-0000-0000-00006B800000}"/>
    <cellStyle name="Normal 57 3 7 3 5 2" xfId="24903" xr:uid="{00000000-0005-0000-0000-00006C800000}"/>
    <cellStyle name="Normal 57 3 7 3 5 2 2" xfId="49777" xr:uid="{00000000-0005-0000-0000-00006D800000}"/>
    <cellStyle name="Normal 57 3 7 3 5 3" xfId="37344" xr:uid="{00000000-0005-0000-0000-00006E800000}"/>
    <cellStyle name="Normal 57 3 7 3 6" xfId="7367" xr:uid="{00000000-0005-0000-0000-00006F800000}"/>
    <cellStyle name="Normal 57 3 7 3 6 2" xfId="19815" xr:uid="{00000000-0005-0000-0000-000070800000}"/>
    <cellStyle name="Normal 57 3 7 3 6 2 2" xfId="44689" xr:uid="{00000000-0005-0000-0000-000071800000}"/>
    <cellStyle name="Normal 57 3 7 3 6 3" xfId="32256" xr:uid="{00000000-0005-0000-0000-000072800000}"/>
    <cellStyle name="Normal 57 3 7 3 7" xfId="3857" xr:uid="{00000000-0005-0000-0000-000073800000}"/>
    <cellStyle name="Normal 57 3 7 3 7 2" xfId="16311" xr:uid="{00000000-0005-0000-0000-000074800000}"/>
    <cellStyle name="Normal 57 3 7 3 7 2 2" xfId="41185" xr:uid="{00000000-0005-0000-0000-000075800000}"/>
    <cellStyle name="Normal 57 3 7 3 7 3" xfId="28752" xr:uid="{00000000-0005-0000-0000-000076800000}"/>
    <cellStyle name="Normal 57 3 7 3 8" xfId="14654" xr:uid="{00000000-0005-0000-0000-000077800000}"/>
    <cellStyle name="Normal 57 3 7 3 8 2" xfId="39528" xr:uid="{00000000-0005-0000-0000-000078800000}"/>
    <cellStyle name="Normal 57 3 7 3 9" xfId="27087" xr:uid="{00000000-0005-0000-0000-000079800000}"/>
    <cellStyle name="Normal 57 3 7 4" xfId="2115" xr:uid="{00000000-0005-0000-0000-00007A800000}"/>
    <cellStyle name="Normal 57 3 7 4 2" xfId="6154" xr:uid="{00000000-0005-0000-0000-00007B800000}"/>
    <cellStyle name="Normal 57 3 7 4 2 2" xfId="11169" xr:uid="{00000000-0005-0000-0000-00007C800000}"/>
    <cellStyle name="Normal 57 3 7 4 2 2 2" xfId="23612" xr:uid="{00000000-0005-0000-0000-00007D800000}"/>
    <cellStyle name="Normal 57 3 7 4 2 2 2 2" xfId="48486" xr:uid="{00000000-0005-0000-0000-00007E800000}"/>
    <cellStyle name="Normal 57 3 7 4 2 2 3" xfId="36053" xr:uid="{00000000-0005-0000-0000-00007F800000}"/>
    <cellStyle name="Normal 57 3 7 4 2 3" xfId="18605" xr:uid="{00000000-0005-0000-0000-000080800000}"/>
    <cellStyle name="Normal 57 3 7 4 2 3 2" xfId="43479" xr:uid="{00000000-0005-0000-0000-000081800000}"/>
    <cellStyle name="Normal 57 3 7 4 2 4" xfId="31046" xr:uid="{00000000-0005-0000-0000-000082800000}"/>
    <cellStyle name="Normal 57 3 7 4 3" xfId="12623" xr:uid="{00000000-0005-0000-0000-000083800000}"/>
    <cellStyle name="Normal 57 3 7 4 3 2" xfId="25057" xr:uid="{00000000-0005-0000-0000-000084800000}"/>
    <cellStyle name="Normal 57 3 7 4 3 2 2" xfId="49931" xr:uid="{00000000-0005-0000-0000-000085800000}"/>
    <cellStyle name="Normal 57 3 7 4 3 3" xfId="37498" xr:uid="{00000000-0005-0000-0000-000086800000}"/>
    <cellStyle name="Normal 57 3 7 4 4" xfId="9064" xr:uid="{00000000-0005-0000-0000-000087800000}"/>
    <cellStyle name="Normal 57 3 7 4 4 2" xfId="21507" xr:uid="{00000000-0005-0000-0000-000088800000}"/>
    <cellStyle name="Normal 57 3 7 4 4 2 2" xfId="46381" xr:uid="{00000000-0005-0000-0000-000089800000}"/>
    <cellStyle name="Normal 57 3 7 4 4 3" xfId="33948" xr:uid="{00000000-0005-0000-0000-00008A800000}"/>
    <cellStyle name="Normal 57 3 7 4 5" xfId="4046" xr:uid="{00000000-0005-0000-0000-00008B800000}"/>
    <cellStyle name="Normal 57 3 7 4 5 2" xfId="16500" xr:uid="{00000000-0005-0000-0000-00008C800000}"/>
    <cellStyle name="Normal 57 3 7 4 5 2 2" xfId="41374" xr:uid="{00000000-0005-0000-0000-00008D800000}"/>
    <cellStyle name="Normal 57 3 7 4 5 3" xfId="28941" xr:uid="{00000000-0005-0000-0000-00008E800000}"/>
    <cellStyle name="Normal 57 3 7 4 6" xfId="14808" xr:uid="{00000000-0005-0000-0000-00008F800000}"/>
    <cellStyle name="Normal 57 3 7 4 6 2" xfId="39682" xr:uid="{00000000-0005-0000-0000-000090800000}"/>
    <cellStyle name="Normal 57 3 7 4 7" xfId="27241" xr:uid="{00000000-0005-0000-0000-000091800000}"/>
    <cellStyle name="Normal 57 3 7 5" xfId="965" xr:uid="{00000000-0005-0000-0000-000092800000}"/>
    <cellStyle name="Normal 57 3 7 5 2" xfId="10124" xr:uid="{00000000-0005-0000-0000-000093800000}"/>
    <cellStyle name="Normal 57 3 7 5 2 2" xfId="22567" xr:uid="{00000000-0005-0000-0000-000094800000}"/>
    <cellStyle name="Normal 57 3 7 5 2 2 2" xfId="47441" xr:uid="{00000000-0005-0000-0000-000095800000}"/>
    <cellStyle name="Normal 57 3 7 5 2 3" xfId="35008" xr:uid="{00000000-0005-0000-0000-000096800000}"/>
    <cellStyle name="Normal 57 3 7 5 3" xfId="5108" xr:uid="{00000000-0005-0000-0000-000097800000}"/>
    <cellStyle name="Normal 57 3 7 5 3 2" xfId="17560" xr:uid="{00000000-0005-0000-0000-000098800000}"/>
    <cellStyle name="Normal 57 3 7 5 3 2 2" xfId="42434" xr:uid="{00000000-0005-0000-0000-000099800000}"/>
    <cellStyle name="Normal 57 3 7 5 3 3" xfId="30001" xr:uid="{00000000-0005-0000-0000-00009A800000}"/>
    <cellStyle name="Normal 57 3 7 5 4" xfId="13765" xr:uid="{00000000-0005-0000-0000-00009B800000}"/>
    <cellStyle name="Normal 57 3 7 5 4 2" xfId="38639" xr:uid="{00000000-0005-0000-0000-00009C800000}"/>
    <cellStyle name="Normal 57 3 7 5 5" xfId="26198" xr:uid="{00000000-0005-0000-0000-00009D800000}"/>
    <cellStyle name="Normal 57 3 7 6" xfId="8180" xr:uid="{00000000-0005-0000-0000-00009E800000}"/>
    <cellStyle name="Normal 57 3 7 6 2" xfId="20624" xr:uid="{00000000-0005-0000-0000-00009F800000}"/>
    <cellStyle name="Normal 57 3 7 6 2 2" xfId="45498" xr:uid="{00000000-0005-0000-0000-0000A0800000}"/>
    <cellStyle name="Normal 57 3 7 6 3" xfId="33065" xr:uid="{00000000-0005-0000-0000-0000A1800000}"/>
    <cellStyle name="Normal 57 3 7 7" xfId="11580" xr:uid="{00000000-0005-0000-0000-0000A2800000}"/>
    <cellStyle name="Normal 57 3 7 7 2" xfId="24014" xr:uid="{00000000-0005-0000-0000-0000A3800000}"/>
    <cellStyle name="Normal 57 3 7 7 2 2" xfId="48888" xr:uid="{00000000-0005-0000-0000-0000A4800000}"/>
    <cellStyle name="Normal 57 3 7 7 3" xfId="36455" xr:uid="{00000000-0005-0000-0000-0000A5800000}"/>
    <cellStyle name="Normal 57 3 7 8" xfId="6657" xr:uid="{00000000-0005-0000-0000-0000A6800000}"/>
    <cellStyle name="Normal 57 3 7 8 2" xfId="19106" xr:uid="{00000000-0005-0000-0000-0000A7800000}"/>
    <cellStyle name="Normal 57 3 7 8 2 2" xfId="43980" xr:uid="{00000000-0005-0000-0000-0000A8800000}"/>
    <cellStyle name="Normal 57 3 7 8 3" xfId="31547" xr:uid="{00000000-0005-0000-0000-0000A9800000}"/>
    <cellStyle name="Normal 57 3 7 9" xfId="3111" xr:uid="{00000000-0005-0000-0000-0000AA800000}"/>
    <cellStyle name="Normal 57 3 7 9 2" xfId="15617" xr:uid="{00000000-0005-0000-0000-0000AB800000}"/>
    <cellStyle name="Normal 57 3 7 9 2 2" xfId="40491" xr:uid="{00000000-0005-0000-0000-0000AC800000}"/>
    <cellStyle name="Normal 57 3 7 9 3" xfId="28050" xr:uid="{00000000-0005-0000-0000-0000AD800000}"/>
    <cellStyle name="Normal 57 3 7_Degree data" xfId="2471" xr:uid="{00000000-0005-0000-0000-0000AE800000}"/>
    <cellStyle name="Normal 57 3 8" xfId="532" xr:uid="{00000000-0005-0000-0000-0000AF800000}"/>
    <cellStyle name="Normal 57 3 8 2" xfId="1487" xr:uid="{00000000-0005-0000-0000-0000B0800000}"/>
    <cellStyle name="Normal 57 3 8 2 2" xfId="9591" xr:uid="{00000000-0005-0000-0000-0000B1800000}"/>
    <cellStyle name="Normal 57 3 8 2 2 2" xfId="22034" xr:uid="{00000000-0005-0000-0000-0000B2800000}"/>
    <cellStyle name="Normal 57 3 8 2 2 2 2" xfId="46908" xr:uid="{00000000-0005-0000-0000-0000B3800000}"/>
    <cellStyle name="Normal 57 3 8 2 2 3" xfId="34475" xr:uid="{00000000-0005-0000-0000-0000B4800000}"/>
    <cellStyle name="Normal 57 3 8 2 3" xfId="4573" xr:uid="{00000000-0005-0000-0000-0000B5800000}"/>
    <cellStyle name="Normal 57 3 8 2 3 2" xfId="17027" xr:uid="{00000000-0005-0000-0000-0000B6800000}"/>
    <cellStyle name="Normal 57 3 8 2 3 2 2" xfId="41901" xr:uid="{00000000-0005-0000-0000-0000B7800000}"/>
    <cellStyle name="Normal 57 3 8 2 3 3" xfId="29468" xr:uid="{00000000-0005-0000-0000-0000B8800000}"/>
    <cellStyle name="Normal 57 3 8 2 4" xfId="14287" xr:uid="{00000000-0005-0000-0000-0000B9800000}"/>
    <cellStyle name="Normal 57 3 8 2 4 2" xfId="39161" xr:uid="{00000000-0005-0000-0000-0000BA800000}"/>
    <cellStyle name="Normal 57 3 8 2 5" xfId="26720" xr:uid="{00000000-0005-0000-0000-0000BB800000}"/>
    <cellStyle name="Normal 57 3 8 3" xfId="5632" xr:uid="{00000000-0005-0000-0000-0000BC800000}"/>
    <cellStyle name="Normal 57 3 8 3 2" xfId="10648" xr:uid="{00000000-0005-0000-0000-0000BD800000}"/>
    <cellStyle name="Normal 57 3 8 3 2 2" xfId="23091" xr:uid="{00000000-0005-0000-0000-0000BE800000}"/>
    <cellStyle name="Normal 57 3 8 3 2 2 2" xfId="47965" xr:uid="{00000000-0005-0000-0000-0000BF800000}"/>
    <cellStyle name="Normal 57 3 8 3 2 3" xfId="35532" xr:uid="{00000000-0005-0000-0000-0000C0800000}"/>
    <cellStyle name="Normal 57 3 8 3 3" xfId="18084" xr:uid="{00000000-0005-0000-0000-0000C1800000}"/>
    <cellStyle name="Normal 57 3 8 3 3 2" xfId="42958" xr:uid="{00000000-0005-0000-0000-0000C2800000}"/>
    <cellStyle name="Normal 57 3 8 3 4" xfId="30525" xr:uid="{00000000-0005-0000-0000-0000C3800000}"/>
    <cellStyle name="Normal 57 3 8 4" xfId="8707" xr:uid="{00000000-0005-0000-0000-0000C4800000}"/>
    <cellStyle name="Normal 57 3 8 4 2" xfId="21151" xr:uid="{00000000-0005-0000-0000-0000C5800000}"/>
    <cellStyle name="Normal 57 3 8 4 2 2" xfId="46025" xr:uid="{00000000-0005-0000-0000-0000C6800000}"/>
    <cellStyle name="Normal 57 3 8 4 3" xfId="33592" xr:uid="{00000000-0005-0000-0000-0000C7800000}"/>
    <cellStyle name="Normal 57 3 8 5" xfId="12102" xr:uid="{00000000-0005-0000-0000-0000C8800000}"/>
    <cellStyle name="Normal 57 3 8 5 2" xfId="24536" xr:uid="{00000000-0005-0000-0000-0000C9800000}"/>
    <cellStyle name="Normal 57 3 8 5 2 2" xfId="49410" xr:uid="{00000000-0005-0000-0000-0000CA800000}"/>
    <cellStyle name="Normal 57 3 8 5 3" xfId="36977" xr:uid="{00000000-0005-0000-0000-0000CB800000}"/>
    <cellStyle name="Normal 57 3 8 6" xfId="7184" xr:uid="{00000000-0005-0000-0000-0000CC800000}"/>
    <cellStyle name="Normal 57 3 8 6 2" xfId="19633" xr:uid="{00000000-0005-0000-0000-0000CD800000}"/>
    <cellStyle name="Normal 57 3 8 6 2 2" xfId="44507" xr:uid="{00000000-0005-0000-0000-0000CE800000}"/>
    <cellStyle name="Normal 57 3 8 6 3" xfId="32074" xr:uid="{00000000-0005-0000-0000-0000CF800000}"/>
    <cellStyle name="Normal 57 3 8 7" xfId="3638" xr:uid="{00000000-0005-0000-0000-0000D0800000}"/>
    <cellStyle name="Normal 57 3 8 7 2" xfId="16144" xr:uid="{00000000-0005-0000-0000-0000D1800000}"/>
    <cellStyle name="Normal 57 3 8 7 2 2" xfId="41018" xr:uid="{00000000-0005-0000-0000-0000D2800000}"/>
    <cellStyle name="Normal 57 3 8 7 3" xfId="28577" xr:uid="{00000000-0005-0000-0000-0000D3800000}"/>
    <cellStyle name="Normal 57 3 8 8" xfId="13342" xr:uid="{00000000-0005-0000-0000-0000D4800000}"/>
    <cellStyle name="Normal 57 3 8 8 2" xfId="38216" xr:uid="{00000000-0005-0000-0000-0000D5800000}"/>
    <cellStyle name="Normal 57 3 8 9" xfId="25775" xr:uid="{00000000-0005-0000-0000-0000D6800000}"/>
    <cellStyle name="Normal 57 3 9" xfId="1835" xr:uid="{00000000-0005-0000-0000-0000D7800000}"/>
    <cellStyle name="Normal 57 3 9 2" xfId="4724" xr:uid="{00000000-0005-0000-0000-0000D8800000}"/>
    <cellStyle name="Normal 57 3 9 2 2" xfId="9741" xr:uid="{00000000-0005-0000-0000-0000D9800000}"/>
    <cellStyle name="Normal 57 3 9 2 2 2" xfId="22184" xr:uid="{00000000-0005-0000-0000-0000DA800000}"/>
    <cellStyle name="Normal 57 3 9 2 2 2 2" xfId="47058" xr:uid="{00000000-0005-0000-0000-0000DB800000}"/>
    <cellStyle name="Normal 57 3 9 2 2 3" xfId="34625" xr:uid="{00000000-0005-0000-0000-0000DC800000}"/>
    <cellStyle name="Normal 57 3 9 2 3" xfId="17177" xr:uid="{00000000-0005-0000-0000-0000DD800000}"/>
    <cellStyle name="Normal 57 3 9 2 3 2" xfId="42051" xr:uid="{00000000-0005-0000-0000-0000DE800000}"/>
    <cellStyle name="Normal 57 3 9 2 4" xfId="29618" xr:uid="{00000000-0005-0000-0000-0000DF800000}"/>
    <cellStyle name="Normal 57 3 9 3" xfId="5981" xr:uid="{00000000-0005-0000-0000-0000E0800000}"/>
    <cellStyle name="Normal 57 3 9 3 2" xfId="10996" xr:uid="{00000000-0005-0000-0000-0000E1800000}"/>
    <cellStyle name="Normal 57 3 9 3 2 2" xfId="23439" xr:uid="{00000000-0005-0000-0000-0000E2800000}"/>
    <cellStyle name="Normal 57 3 9 3 2 2 2" xfId="48313" xr:uid="{00000000-0005-0000-0000-0000E3800000}"/>
    <cellStyle name="Normal 57 3 9 3 2 3" xfId="35880" xr:uid="{00000000-0005-0000-0000-0000E4800000}"/>
    <cellStyle name="Normal 57 3 9 3 3" xfId="18432" xr:uid="{00000000-0005-0000-0000-0000E5800000}"/>
    <cellStyle name="Normal 57 3 9 3 3 2" xfId="43306" xr:uid="{00000000-0005-0000-0000-0000E6800000}"/>
    <cellStyle name="Normal 57 3 9 3 4" xfId="30873" xr:uid="{00000000-0005-0000-0000-0000E7800000}"/>
    <cellStyle name="Normal 57 3 9 4" xfId="8012" xr:uid="{00000000-0005-0000-0000-0000E8800000}"/>
    <cellStyle name="Normal 57 3 9 4 2" xfId="20458" xr:uid="{00000000-0005-0000-0000-0000E9800000}"/>
    <cellStyle name="Normal 57 3 9 4 2 2" xfId="45332" xr:uid="{00000000-0005-0000-0000-0000EA800000}"/>
    <cellStyle name="Normal 57 3 9 4 3" xfId="32899" xr:uid="{00000000-0005-0000-0000-0000EB800000}"/>
    <cellStyle name="Normal 57 3 9 5" xfId="12450" xr:uid="{00000000-0005-0000-0000-0000EC800000}"/>
    <cellStyle name="Normal 57 3 9 5 2" xfId="24884" xr:uid="{00000000-0005-0000-0000-0000ED800000}"/>
    <cellStyle name="Normal 57 3 9 5 2 2" xfId="49758" xr:uid="{00000000-0005-0000-0000-0000EE800000}"/>
    <cellStyle name="Normal 57 3 9 5 3" xfId="37325" xr:uid="{00000000-0005-0000-0000-0000EF800000}"/>
    <cellStyle name="Normal 57 3 9 6" xfId="7335" xr:uid="{00000000-0005-0000-0000-0000F0800000}"/>
    <cellStyle name="Normal 57 3 9 6 2" xfId="19783" xr:uid="{00000000-0005-0000-0000-0000F1800000}"/>
    <cellStyle name="Normal 57 3 9 6 2 2" xfId="44657" xr:uid="{00000000-0005-0000-0000-0000F2800000}"/>
    <cellStyle name="Normal 57 3 9 6 3" xfId="32224" xr:uid="{00000000-0005-0000-0000-0000F3800000}"/>
    <cellStyle name="Normal 57 3 9 7" xfId="2936" xr:uid="{00000000-0005-0000-0000-0000F4800000}"/>
    <cellStyle name="Normal 57 3 9 7 2" xfId="15451" xr:uid="{00000000-0005-0000-0000-0000F5800000}"/>
    <cellStyle name="Normal 57 3 9 7 2 2" xfId="40325" xr:uid="{00000000-0005-0000-0000-0000F6800000}"/>
    <cellStyle name="Normal 57 3 9 7 3" xfId="27884" xr:uid="{00000000-0005-0000-0000-0000F7800000}"/>
    <cellStyle name="Normal 57 3 9 8" xfId="14635" xr:uid="{00000000-0005-0000-0000-0000F8800000}"/>
    <cellStyle name="Normal 57 3 9 8 2" xfId="39509" xr:uid="{00000000-0005-0000-0000-0000F9800000}"/>
    <cellStyle name="Normal 57 3 9 9" xfId="27068" xr:uid="{00000000-0005-0000-0000-0000FA800000}"/>
    <cellStyle name="Normal 57 3_Degree data" xfId="2452" xr:uid="{00000000-0005-0000-0000-0000FB800000}"/>
    <cellStyle name="Normal 57 4" xfId="91" xr:uid="{00000000-0005-0000-0000-0000FC800000}"/>
    <cellStyle name="Normal 57 4 10" xfId="939" xr:uid="{00000000-0005-0000-0000-0000FD800000}"/>
    <cellStyle name="Normal 57 4 10 2" xfId="11554" xr:uid="{00000000-0005-0000-0000-0000FE800000}"/>
    <cellStyle name="Normal 57 4 10 2 2" xfId="23988" xr:uid="{00000000-0005-0000-0000-0000FF800000}"/>
    <cellStyle name="Normal 57 4 10 2 2 2" xfId="48862" xr:uid="{00000000-0005-0000-0000-000000810000}"/>
    <cellStyle name="Normal 57 4 10 2 3" xfId="36429" xr:uid="{00000000-0005-0000-0000-000001810000}"/>
    <cellStyle name="Normal 57 4 10 3" xfId="10098" xr:uid="{00000000-0005-0000-0000-000002810000}"/>
    <cellStyle name="Normal 57 4 10 3 2" xfId="22541" xr:uid="{00000000-0005-0000-0000-000003810000}"/>
    <cellStyle name="Normal 57 4 10 3 2 2" xfId="47415" xr:uid="{00000000-0005-0000-0000-000004810000}"/>
    <cellStyle name="Normal 57 4 10 3 3" xfId="34982" xr:uid="{00000000-0005-0000-0000-000005810000}"/>
    <cellStyle name="Normal 57 4 10 4" xfId="5082" xr:uid="{00000000-0005-0000-0000-000006810000}"/>
    <cellStyle name="Normal 57 4 10 4 2" xfId="17534" xr:uid="{00000000-0005-0000-0000-000007810000}"/>
    <cellStyle name="Normal 57 4 10 4 2 2" xfId="42408" xr:uid="{00000000-0005-0000-0000-000008810000}"/>
    <cellStyle name="Normal 57 4 10 4 3" xfId="29975" xr:uid="{00000000-0005-0000-0000-000009810000}"/>
    <cellStyle name="Normal 57 4 10 5" xfId="13739" xr:uid="{00000000-0005-0000-0000-00000A810000}"/>
    <cellStyle name="Normal 57 4 10 5 2" xfId="38613" xr:uid="{00000000-0005-0000-0000-00000B810000}"/>
    <cellStyle name="Normal 57 4 10 6" xfId="26172" xr:uid="{00000000-0005-0000-0000-00000C810000}"/>
    <cellStyle name="Normal 57 4 11" xfId="889" xr:uid="{00000000-0005-0000-0000-00000D810000}"/>
    <cellStyle name="Normal 57 4 11 2" xfId="7704" xr:uid="{00000000-0005-0000-0000-00000E810000}"/>
    <cellStyle name="Normal 57 4 11 2 2" xfId="20150" xr:uid="{00000000-0005-0000-0000-00000F810000}"/>
    <cellStyle name="Normal 57 4 11 2 2 2" xfId="45024" xr:uid="{00000000-0005-0000-0000-000010810000}"/>
    <cellStyle name="Normal 57 4 11 2 3" xfId="32591" xr:uid="{00000000-0005-0000-0000-000011810000}"/>
    <cellStyle name="Normal 57 4 11 3" xfId="13689" xr:uid="{00000000-0005-0000-0000-000012810000}"/>
    <cellStyle name="Normal 57 4 11 3 2" xfId="38563" xr:uid="{00000000-0005-0000-0000-000013810000}"/>
    <cellStyle name="Normal 57 4 11 4" xfId="26122" xr:uid="{00000000-0005-0000-0000-000014810000}"/>
    <cellStyle name="Normal 57 4 12" xfId="11504" xr:uid="{00000000-0005-0000-0000-000015810000}"/>
    <cellStyle name="Normal 57 4 12 2" xfId="23938" xr:uid="{00000000-0005-0000-0000-000016810000}"/>
    <cellStyle name="Normal 57 4 12 2 2" xfId="48812" xr:uid="{00000000-0005-0000-0000-000017810000}"/>
    <cellStyle name="Normal 57 4 12 3" xfId="36379" xr:uid="{00000000-0005-0000-0000-000018810000}"/>
    <cellStyle name="Normal 57 4 13" xfId="6488" xr:uid="{00000000-0005-0000-0000-000019810000}"/>
    <cellStyle name="Normal 57 4 13 2" xfId="18937" xr:uid="{00000000-0005-0000-0000-00001A810000}"/>
    <cellStyle name="Normal 57 4 13 2 2" xfId="43811" xr:uid="{00000000-0005-0000-0000-00001B810000}"/>
    <cellStyle name="Normal 57 4 13 3" xfId="31378" xr:uid="{00000000-0005-0000-0000-00001C810000}"/>
    <cellStyle name="Normal 57 4 14" xfId="2624" xr:uid="{00000000-0005-0000-0000-00001D810000}"/>
    <cellStyle name="Normal 57 4 14 2" xfId="15143" xr:uid="{00000000-0005-0000-0000-00001E810000}"/>
    <cellStyle name="Normal 57 4 14 2 2" xfId="40017" xr:uid="{00000000-0005-0000-0000-00001F810000}"/>
    <cellStyle name="Normal 57 4 14 3" xfId="27576" xr:uid="{00000000-0005-0000-0000-000020810000}"/>
    <cellStyle name="Normal 57 4 15" xfId="12947" xr:uid="{00000000-0005-0000-0000-000021810000}"/>
    <cellStyle name="Normal 57 4 15 2" xfId="37821" xr:uid="{00000000-0005-0000-0000-000022810000}"/>
    <cellStyle name="Normal 57 4 16" xfId="25380" xr:uid="{00000000-0005-0000-0000-000023810000}"/>
    <cellStyle name="Normal 57 4 2" xfId="141" xr:uid="{00000000-0005-0000-0000-000024810000}"/>
    <cellStyle name="Normal 57 4 2 10" xfId="11524" xr:uid="{00000000-0005-0000-0000-000025810000}"/>
    <cellStyle name="Normal 57 4 2 10 2" xfId="23958" xr:uid="{00000000-0005-0000-0000-000026810000}"/>
    <cellStyle name="Normal 57 4 2 10 2 2" xfId="48832" xr:uid="{00000000-0005-0000-0000-000027810000}"/>
    <cellStyle name="Normal 57 4 2 10 3" xfId="36399" xr:uid="{00000000-0005-0000-0000-000028810000}"/>
    <cellStyle name="Normal 57 4 2 11" xfId="6516" xr:uid="{00000000-0005-0000-0000-000029810000}"/>
    <cellStyle name="Normal 57 4 2 11 2" xfId="18965" xr:uid="{00000000-0005-0000-0000-00002A810000}"/>
    <cellStyle name="Normal 57 4 2 11 2 2" xfId="43839" xr:uid="{00000000-0005-0000-0000-00002B810000}"/>
    <cellStyle name="Normal 57 4 2 11 3" xfId="31406" xr:uid="{00000000-0005-0000-0000-00002C810000}"/>
    <cellStyle name="Normal 57 4 2 12" xfId="2684" xr:uid="{00000000-0005-0000-0000-00002D810000}"/>
    <cellStyle name="Normal 57 4 2 12 2" xfId="15202" xr:uid="{00000000-0005-0000-0000-00002E810000}"/>
    <cellStyle name="Normal 57 4 2 12 2 2" xfId="40076" xr:uid="{00000000-0005-0000-0000-00002F810000}"/>
    <cellStyle name="Normal 57 4 2 12 3" xfId="27635" xr:uid="{00000000-0005-0000-0000-000030810000}"/>
    <cellStyle name="Normal 57 4 2 13" xfId="12971" xr:uid="{00000000-0005-0000-0000-000031810000}"/>
    <cellStyle name="Normal 57 4 2 13 2" xfId="37845" xr:uid="{00000000-0005-0000-0000-000032810000}"/>
    <cellStyle name="Normal 57 4 2 14" xfId="25404" xr:uid="{00000000-0005-0000-0000-000033810000}"/>
    <cellStyle name="Normal 57 4 2 2" xfId="329" xr:uid="{00000000-0005-0000-0000-000034810000}"/>
    <cellStyle name="Normal 57 4 2 2 10" xfId="6559" xr:uid="{00000000-0005-0000-0000-000035810000}"/>
    <cellStyle name="Normal 57 4 2 2 10 2" xfId="19008" xr:uid="{00000000-0005-0000-0000-000036810000}"/>
    <cellStyle name="Normal 57 4 2 2 10 2 2" xfId="43882" xr:uid="{00000000-0005-0000-0000-000037810000}"/>
    <cellStyle name="Normal 57 4 2 2 10 3" xfId="31449" xr:uid="{00000000-0005-0000-0000-000038810000}"/>
    <cellStyle name="Normal 57 4 2 2 11" xfId="2727" xr:uid="{00000000-0005-0000-0000-000039810000}"/>
    <cellStyle name="Normal 57 4 2 2 11 2" xfId="15245" xr:uid="{00000000-0005-0000-0000-00003A810000}"/>
    <cellStyle name="Normal 57 4 2 2 11 2 2" xfId="40119" xr:uid="{00000000-0005-0000-0000-00003B810000}"/>
    <cellStyle name="Normal 57 4 2 2 11 3" xfId="27678" xr:uid="{00000000-0005-0000-0000-00003C810000}"/>
    <cellStyle name="Normal 57 4 2 2 12" xfId="13146" xr:uid="{00000000-0005-0000-0000-00003D810000}"/>
    <cellStyle name="Normal 57 4 2 2 12 2" xfId="38020" xr:uid="{00000000-0005-0000-0000-00003E810000}"/>
    <cellStyle name="Normal 57 4 2 2 13" xfId="25579" xr:uid="{00000000-0005-0000-0000-00003F810000}"/>
    <cellStyle name="Normal 57 4 2 2 2" xfId="431" xr:uid="{00000000-0005-0000-0000-000040810000}"/>
    <cellStyle name="Normal 57 4 2 2 2 10" xfId="13246" xr:uid="{00000000-0005-0000-0000-000041810000}"/>
    <cellStyle name="Normal 57 4 2 2 2 10 2" xfId="38120" xr:uid="{00000000-0005-0000-0000-000042810000}"/>
    <cellStyle name="Normal 57 4 2 2 2 11" xfId="25679" xr:uid="{00000000-0005-0000-0000-000043810000}"/>
    <cellStyle name="Normal 57 4 2 2 2 2" xfId="791" xr:uid="{00000000-0005-0000-0000-000044810000}"/>
    <cellStyle name="Normal 57 4 2 2 2 2 2" xfId="1510" xr:uid="{00000000-0005-0000-0000-000045810000}"/>
    <cellStyle name="Normal 57 4 2 2 2 2 2 2" xfId="9614" xr:uid="{00000000-0005-0000-0000-000046810000}"/>
    <cellStyle name="Normal 57 4 2 2 2 2 2 2 2" xfId="22057" xr:uid="{00000000-0005-0000-0000-000047810000}"/>
    <cellStyle name="Normal 57 4 2 2 2 2 2 2 2 2" xfId="46931" xr:uid="{00000000-0005-0000-0000-000048810000}"/>
    <cellStyle name="Normal 57 4 2 2 2 2 2 2 3" xfId="34498" xr:uid="{00000000-0005-0000-0000-000049810000}"/>
    <cellStyle name="Normal 57 4 2 2 2 2 2 3" xfId="4596" xr:uid="{00000000-0005-0000-0000-00004A810000}"/>
    <cellStyle name="Normal 57 4 2 2 2 2 2 3 2" xfId="17050" xr:uid="{00000000-0005-0000-0000-00004B810000}"/>
    <cellStyle name="Normal 57 4 2 2 2 2 2 3 2 2" xfId="41924" xr:uid="{00000000-0005-0000-0000-00004C810000}"/>
    <cellStyle name="Normal 57 4 2 2 2 2 2 3 3" xfId="29491" xr:uid="{00000000-0005-0000-0000-00004D810000}"/>
    <cellStyle name="Normal 57 4 2 2 2 2 2 4" xfId="14310" xr:uid="{00000000-0005-0000-0000-00004E810000}"/>
    <cellStyle name="Normal 57 4 2 2 2 2 2 4 2" xfId="39184" xr:uid="{00000000-0005-0000-0000-00004F810000}"/>
    <cellStyle name="Normal 57 4 2 2 2 2 2 5" xfId="26743" xr:uid="{00000000-0005-0000-0000-000050810000}"/>
    <cellStyle name="Normal 57 4 2 2 2 2 3" xfId="5655" xr:uid="{00000000-0005-0000-0000-000051810000}"/>
    <cellStyle name="Normal 57 4 2 2 2 2 3 2" xfId="10671" xr:uid="{00000000-0005-0000-0000-000052810000}"/>
    <cellStyle name="Normal 57 4 2 2 2 2 3 2 2" xfId="23114" xr:uid="{00000000-0005-0000-0000-000053810000}"/>
    <cellStyle name="Normal 57 4 2 2 2 2 3 2 2 2" xfId="47988" xr:uid="{00000000-0005-0000-0000-000054810000}"/>
    <cellStyle name="Normal 57 4 2 2 2 2 3 2 3" xfId="35555" xr:uid="{00000000-0005-0000-0000-000055810000}"/>
    <cellStyle name="Normal 57 4 2 2 2 2 3 3" xfId="18107" xr:uid="{00000000-0005-0000-0000-000056810000}"/>
    <cellStyle name="Normal 57 4 2 2 2 2 3 3 2" xfId="42981" xr:uid="{00000000-0005-0000-0000-000057810000}"/>
    <cellStyle name="Normal 57 4 2 2 2 2 3 4" xfId="30548" xr:uid="{00000000-0005-0000-0000-000058810000}"/>
    <cellStyle name="Normal 57 4 2 2 2 2 4" xfId="8730" xr:uid="{00000000-0005-0000-0000-000059810000}"/>
    <cellStyle name="Normal 57 4 2 2 2 2 4 2" xfId="21174" xr:uid="{00000000-0005-0000-0000-00005A810000}"/>
    <cellStyle name="Normal 57 4 2 2 2 2 4 2 2" xfId="46048" xr:uid="{00000000-0005-0000-0000-00005B810000}"/>
    <cellStyle name="Normal 57 4 2 2 2 2 4 3" xfId="33615" xr:uid="{00000000-0005-0000-0000-00005C810000}"/>
    <cellStyle name="Normal 57 4 2 2 2 2 5" xfId="12125" xr:uid="{00000000-0005-0000-0000-00005D810000}"/>
    <cellStyle name="Normal 57 4 2 2 2 2 5 2" xfId="24559" xr:uid="{00000000-0005-0000-0000-00005E810000}"/>
    <cellStyle name="Normal 57 4 2 2 2 2 5 2 2" xfId="49433" xr:uid="{00000000-0005-0000-0000-00005F810000}"/>
    <cellStyle name="Normal 57 4 2 2 2 2 5 3" xfId="37000" xr:uid="{00000000-0005-0000-0000-000060810000}"/>
    <cellStyle name="Normal 57 4 2 2 2 2 6" xfId="7207" xr:uid="{00000000-0005-0000-0000-000061810000}"/>
    <cellStyle name="Normal 57 4 2 2 2 2 6 2" xfId="19656" xr:uid="{00000000-0005-0000-0000-000062810000}"/>
    <cellStyle name="Normal 57 4 2 2 2 2 6 2 2" xfId="44530" xr:uid="{00000000-0005-0000-0000-000063810000}"/>
    <cellStyle name="Normal 57 4 2 2 2 2 6 3" xfId="32097" xr:uid="{00000000-0005-0000-0000-000064810000}"/>
    <cellStyle name="Normal 57 4 2 2 2 2 7" xfId="3661" xr:uid="{00000000-0005-0000-0000-000065810000}"/>
    <cellStyle name="Normal 57 4 2 2 2 2 7 2" xfId="16167" xr:uid="{00000000-0005-0000-0000-000066810000}"/>
    <cellStyle name="Normal 57 4 2 2 2 2 7 2 2" xfId="41041" xr:uid="{00000000-0005-0000-0000-000067810000}"/>
    <cellStyle name="Normal 57 4 2 2 2 2 7 3" xfId="28600" xr:uid="{00000000-0005-0000-0000-000068810000}"/>
    <cellStyle name="Normal 57 4 2 2 2 2 8" xfId="13593" xr:uid="{00000000-0005-0000-0000-000069810000}"/>
    <cellStyle name="Normal 57 4 2 2 2 2 8 2" xfId="38467" xr:uid="{00000000-0005-0000-0000-00006A810000}"/>
    <cellStyle name="Normal 57 4 2 2 2 2 9" xfId="26026" xr:uid="{00000000-0005-0000-0000-00006B810000}"/>
    <cellStyle name="Normal 57 4 2 2 2 3" xfId="1858" xr:uid="{00000000-0005-0000-0000-00006C810000}"/>
    <cellStyle name="Normal 57 4 2 2 2 3 2" xfId="4975" xr:uid="{00000000-0005-0000-0000-00006D810000}"/>
    <cellStyle name="Normal 57 4 2 2 2 3 2 2" xfId="9992" xr:uid="{00000000-0005-0000-0000-00006E810000}"/>
    <cellStyle name="Normal 57 4 2 2 2 3 2 2 2" xfId="22435" xr:uid="{00000000-0005-0000-0000-00006F810000}"/>
    <cellStyle name="Normal 57 4 2 2 2 3 2 2 2 2" xfId="47309" xr:uid="{00000000-0005-0000-0000-000070810000}"/>
    <cellStyle name="Normal 57 4 2 2 2 3 2 2 3" xfId="34876" xr:uid="{00000000-0005-0000-0000-000071810000}"/>
    <cellStyle name="Normal 57 4 2 2 2 3 2 3" xfId="17428" xr:uid="{00000000-0005-0000-0000-000072810000}"/>
    <cellStyle name="Normal 57 4 2 2 2 3 2 3 2" xfId="42302" xr:uid="{00000000-0005-0000-0000-000073810000}"/>
    <cellStyle name="Normal 57 4 2 2 2 3 2 4" xfId="29869" xr:uid="{00000000-0005-0000-0000-000074810000}"/>
    <cellStyle name="Normal 57 4 2 2 2 3 3" xfId="6004" xr:uid="{00000000-0005-0000-0000-000075810000}"/>
    <cellStyle name="Normal 57 4 2 2 2 3 3 2" xfId="11019" xr:uid="{00000000-0005-0000-0000-000076810000}"/>
    <cellStyle name="Normal 57 4 2 2 2 3 3 2 2" xfId="23462" xr:uid="{00000000-0005-0000-0000-000077810000}"/>
    <cellStyle name="Normal 57 4 2 2 2 3 3 2 2 2" xfId="48336" xr:uid="{00000000-0005-0000-0000-000078810000}"/>
    <cellStyle name="Normal 57 4 2 2 2 3 3 2 3" xfId="35903" xr:uid="{00000000-0005-0000-0000-000079810000}"/>
    <cellStyle name="Normal 57 4 2 2 2 3 3 3" xfId="18455" xr:uid="{00000000-0005-0000-0000-00007A810000}"/>
    <cellStyle name="Normal 57 4 2 2 2 3 3 3 2" xfId="43329" xr:uid="{00000000-0005-0000-0000-00007B810000}"/>
    <cellStyle name="Normal 57 4 2 2 2 3 3 4" xfId="30896" xr:uid="{00000000-0005-0000-0000-00007C810000}"/>
    <cellStyle name="Normal 57 4 2 2 2 3 4" xfId="8399" xr:uid="{00000000-0005-0000-0000-00007D810000}"/>
    <cellStyle name="Normal 57 4 2 2 2 3 4 2" xfId="20843" xr:uid="{00000000-0005-0000-0000-00007E810000}"/>
    <cellStyle name="Normal 57 4 2 2 2 3 4 2 2" xfId="45717" xr:uid="{00000000-0005-0000-0000-00007F810000}"/>
    <cellStyle name="Normal 57 4 2 2 2 3 4 3" xfId="33284" xr:uid="{00000000-0005-0000-0000-000080810000}"/>
    <cellStyle name="Normal 57 4 2 2 2 3 5" xfId="12473" xr:uid="{00000000-0005-0000-0000-000081810000}"/>
    <cellStyle name="Normal 57 4 2 2 2 3 5 2" xfId="24907" xr:uid="{00000000-0005-0000-0000-000082810000}"/>
    <cellStyle name="Normal 57 4 2 2 2 3 5 2 2" xfId="49781" xr:uid="{00000000-0005-0000-0000-000083810000}"/>
    <cellStyle name="Normal 57 4 2 2 2 3 5 3" xfId="37348" xr:uid="{00000000-0005-0000-0000-000084810000}"/>
    <cellStyle name="Normal 57 4 2 2 2 3 6" xfId="7586" xr:uid="{00000000-0005-0000-0000-000085810000}"/>
    <cellStyle name="Normal 57 4 2 2 2 3 6 2" xfId="20034" xr:uid="{00000000-0005-0000-0000-000086810000}"/>
    <cellStyle name="Normal 57 4 2 2 2 3 6 2 2" xfId="44908" xr:uid="{00000000-0005-0000-0000-000087810000}"/>
    <cellStyle name="Normal 57 4 2 2 2 3 6 3" xfId="32475" xr:uid="{00000000-0005-0000-0000-000088810000}"/>
    <cellStyle name="Normal 57 4 2 2 2 3 7" xfId="3330" xr:uid="{00000000-0005-0000-0000-000089810000}"/>
    <cellStyle name="Normal 57 4 2 2 2 3 7 2" xfId="15836" xr:uid="{00000000-0005-0000-0000-00008A810000}"/>
    <cellStyle name="Normal 57 4 2 2 2 3 7 2 2" xfId="40710" xr:uid="{00000000-0005-0000-0000-00008B810000}"/>
    <cellStyle name="Normal 57 4 2 2 2 3 7 3" xfId="28269" xr:uid="{00000000-0005-0000-0000-00008C810000}"/>
    <cellStyle name="Normal 57 4 2 2 2 3 8" xfId="14658" xr:uid="{00000000-0005-0000-0000-00008D810000}"/>
    <cellStyle name="Normal 57 4 2 2 2 3 8 2" xfId="39532" xr:uid="{00000000-0005-0000-0000-00008E810000}"/>
    <cellStyle name="Normal 57 4 2 2 2 3 9" xfId="27091" xr:uid="{00000000-0005-0000-0000-00008F810000}"/>
    <cellStyle name="Normal 57 4 2 2 2 4" xfId="2349" xr:uid="{00000000-0005-0000-0000-000090810000}"/>
    <cellStyle name="Normal 57 4 2 2 2 4 2" xfId="6373" xr:uid="{00000000-0005-0000-0000-000091810000}"/>
    <cellStyle name="Normal 57 4 2 2 2 4 2 2" xfId="11388" xr:uid="{00000000-0005-0000-0000-000092810000}"/>
    <cellStyle name="Normal 57 4 2 2 2 4 2 2 2" xfId="23831" xr:uid="{00000000-0005-0000-0000-000093810000}"/>
    <cellStyle name="Normal 57 4 2 2 2 4 2 2 2 2" xfId="48705" xr:uid="{00000000-0005-0000-0000-000094810000}"/>
    <cellStyle name="Normal 57 4 2 2 2 4 2 2 3" xfId="36272" xr:uid="{00000000-0005-0000-0000-000095810000}"/>
    <cellStyle name="Normal 57 4 2 2 2 4 2 3" xfId="18824" xr:uid="{00000000-0005-0000-0000-000096810000}"/>
    <cellStyle name="Normal 57 4 2 2 2 4 2 3 2" xfId="43698" xr:uid="{00000000-0005-0000-0000-000097810000}"/>
    <cellStyle name="Normal 57 4 2 2 2 4 2 4" xfId="31265" xr:uid="{00000000-0005-0000-0000-000098810000}"/>
    <cellStyle name="Normal 57 4 2 2 2 4 3" xfId="12842" xr:uid="{00000000-0005-0000-0000-000099810000}"/>
    <cellStyle name="Normal 57 4 2 2 2 4 3 2" xfId="25276" xr:uid="{00000000-0005-0000-0000-00009A810000}"/>
    <cellStyle name="Normal 57 4 2 2 2 4 3 2 2" xfId="50150" xr:uid="{00000000-0005-0000-0000-00009B810000}"/>
    <cellStyle name="Normal 57 4 2 2 2 4 3 3" xfId="37717" xr:uid="{00000000-0005-0000-0000-00009C810000}"/>
    <cellStyle name="Normal 57 4 2 2 2 4 4" xfId="9283" xr:uid="{00000000-0005-0000-0000-00009D810000}"/>
    <cellStyle name="Normal 57 4 2 2 2 4 4 2" xfId="21726" xr:uid="{00000000-0005-0000-0000-00009E810000}"/>
    <cellStyle name="Normal 57 4 2 2 2 4 4 2 2" xfId="46600" xr:uid="{00000000-0005-0000-0000-00009F810000}"/>
    <cellStyle name="Normal 57 4 2 2 2 4 4 3" xfId="34167" xr:uid="{00000000-0005-0000-0000-0000A0810000}"/>
    <cellStyle name="Normal 57 4 2 2 2 4 5" xfId="4265" xr:uid="{00000000-0005-0000-0000-0000A1810000}"/>
    <cellStyle name="Normal 57 4 2 2 2 4 5 2" xfId="16719" xr:uid="{00000000-0005-0000-0000-0000A2810000}"/>
    <cellStyle name="Normal 57 4 2 2 2 4 5 2 2" xfId="41593" xr:uid="{00000000-0005-0000-0000-0000A3810000}"/>
    <cellStyle name="Normal 57 4 2 2 2 4 5 3" xfId="29160" xr:uid="{00000000-0005-0000-0000-0000A4810000}"/>
    <cellStyle name="Normal 57 4 2 2 2 4 6" xfId="15027" xr:uid="{00000000-0005-0000-0000-0000A5810000}"/>
    <cellStyle name="Normal 57 4 2 2 2 4 6 2" xfId="39901" xr:uid="{00000000-0005-0000-0000-0000A6810000}"/>
    <cellStyle name="Normal 57 4 2 2 2 4 7" xfId="27460" xr:uid="{00000000-0005-0000-0000-0000A7810000}"/>
    <cellStyle name="Normal 57 4 2 2 2 5" xfId="1184" xr:uid="{00000000-0005-0000-0000-0000A8810000}"/>
    <cellStyle name="Normal 57 4 2 2 2 5 2" xfId="10345" xr:uid="{00000000-0005-0000-0000-0000A9810000}"/>
    <cellStyle name="Normal 57 4 2 2 2 5 2 2" xfId="22788" xr:uid="{00000000-0005-0000-0000-0000AA810000}"/>
    <cellStyle name="Normal 57 4 2 2 2 5 2 2 2" xfId="47662" xr:uid="{00000000-0005-0000-0000-0000AB810000}"/>
    <cellStyle name="Normal 57 4 2 2 2 5 2 3" xfId="35229" xr:uid="{00000000-0005-0000-0000-0000AC810000}"/>
    <cellStyle name="Normal 57 4 2 2 2 5 3" xfId="5329" xr:uid="{00000000-0005-0000-0000-0000AD810000}"/>
    <cellStyle name="Normal 57 4 2 2 2 5 3 2" xfId="17781" xr:uid="{00000000-0005-0000-0000-0000AE810000}"/>
    <cellStyle name="Normal 57 4 2 2 2 5 3 2 2" xfId="42655" xr:uid="{00000000-0005-0000-0000-0000AF810000}"/>
    <cellStyle name="Normal 57 4 2 2 2 5 3 3" xfId="30222" xr:uid="{00000000-0005-0000-0000-0000B0810000}"/>
    <cellStyle name="Normal 57 4 2 2 2 5 4" xfId="13984" xr:uid="{00000000-0005-0000-0000-0000B1810000}"/>
    <cellStyle name="Normal 57 4 2 2 2 5 4 2" xfId="38858" xr:uid="{00000000-0005-0000-0000-0000B2810000}"/>
    <cellStyle name="Normal 57 4 2 2 2 5 5" xfId="26417" xr:uid="{00000000-0005-0000-0000-0000B3810000}"/>
    <cellStyle name="Normal 57 4 2 2 2 6" xfId="7906" xr:uid="{00000000-0005-0000-0000-0000B4810000}"/>
    <cellStyle name="Normal 57 4 2 2 2 6 2" xfId="20352" xr:uid="{00000000-0005-0000-0000-0000B5810000}"/>
    <cellStyle name="Normal 57 4 2 2 2 6 2 2" xfId="45226" xr:uid="{00000000-0005-0000-0000-0000B6810000}"/>
    <cellStyle name="Normal 57 4 2 2 2 6 3" xfId="32793" xr:uid="{00000000-0005-0000-0000-0000B7810000}"/>
    <cellStyle name="Normal 57 4 2 2 2 7" xfId="11799" xr:uid="{00000000-0005-0000-0000-0000B8810000}"/>
    <cellStyle name="Normal 57 4 2 2 2 7 2" xfId="24233" xr:uid="{00000000-0005-0000-0000-0000B9810000}"/>
    <cellStyle name="Normal 57 4 2 2 2 7 2 2" xfId="49107" xr:uid="{00000000-0005-0000-0000-0000BA810000}"/>
    <cellStyle name="Normal 57 4 2 2 2 7 3" xfId="36674" xr:uid="{00000000-0005-0000-0000-0000BB810000}"/>
    <cellStyle name="Normal 57 4 2 2 2 8" xfId="6876" xr:uid="{00000000-0005-0000-0000-0000BC810000}"/>
    <cellStyle name="Normal 57 4 2 2 2 8 2" xfId="19325" xr:uid="{00000000-0005-0000-0000-0000BD810000}"/>
    <cellStyle name="Normal 57 4 2 2 2 8 2 2" xfId="44199" xr:uid="{00000000-0005-0000-0000-0000BE810000}"/>
    <cellStyle name="Normal 57 4 2 2 2 8 3" xfId="31766" xr:uid="{00000000-0005-0000-0000-0000BF810000}"/>
    <cellStyle name="Normal 57 4 2 2 2 9" xfId="2827" xr:uid="{00000000-0005-0000-0000-0000C0810000}"/>
    <cellStyle name="Normal 57 4 2 2 2 9 2" xfId="15345" xr:uid="{00000000-0005-0000-0000-0000C1810000}"/>
    <cellStyle name="Normal 57 4 2 2 2 9 2 2" xfId="40219" xr:uid="{00000000-0005-0000-0000-0000C2810000}"/>
    <cellStyle name="Normal 57 4 2 2 2 9 3" xfId="27778" xr:uid="{00000000-0005-0000-0000-0000C3810000}"/>
    <cellStyle name="Normal 57 4 2 2 2_Degree data" xfId="2475" xr:uid="{00000000-0005-0000-0000-0000C4810000}"/>
    <cellStyle name="Normal 57 4 2 2 3" xfId="690" xr:uid="{00000000-0005-0000-0000-0000C5810000}"/>
    <cellStyle name="Normal 57 4 2 2 3 2" xfId="1509" xr:uid="{00000000-0005-0000-0000-0000C6810000}"/>
    <cellStyle name="Normal 57 4 2 2 3 2 2" xfId="9183" xr:uid="{00000000-0005-0000-0000-0000C7810000}"/>
    <cellStyle name="Normal 57 4 2 2 3 2 2 2" xfId="21626" xr:uid="{00000000-0005-0000-0000-0000C8810000}"/>
    <cellStyle name="Normal 57 4 2 2 3 2 2 2 2" xfId="46500" xr:uid="{00000000-0005-0000-0000-0000C9810000}"/>
    <cellStyle name="Normal 57 4 2 2 3 2 2 3" xfId="34067" xr:uid="{00000000-0005-0000-0000-0000CA810000}"/>
    <cellStyle name="Normal 57 4 2 2 3 2 3" xfId="4165" xr:uid="{00000000-0005-0000-0000-0000CB810000}"/>
    <cellStyle name="Normal 57 4 2 2 3 2 3 2" xfId="16619" xr:uid="{00000000-0005-0000-0000-0000CC810000}"/>
    <cellStyle name="Normal 57 4 2 2 3 2 3 2 2" xfId="41493" xr:uid="{00000000-0005-0000-0000-0000CD810000}"/>
    <cellStyle name="Normal 57 4 2 2 3 2 3 3" xfId="29060" xr:uid="{00000000-0005-0000-0000-0000CE810000}"/>
    <cellStyle name="Normal 57 4 2 2 3 2 4" xfId="14309" xr:uid="{00000000-0005-0000-0000-0000CF810000}"/>
    <cellStyle name="Normal 57 4 2 2 3 2 4 2" xfId="39183" xr:uid="{00000000-0005-0000-0000-0000D0810000}"/>
    <cellStyle name="Normal 57 4 2 2 3 2 5" xfId="26742" xr:uid="{00000000-0005-0000-0000-0000D1810000}"/>
    <cellStyle name="Normal 57 4 2 2 3 3" xfId="5654" xr:uid="{00000000-0005-0000-0000-0000D2810000}"/>
    <cellStyle name="Normal 57 4 2 2 3 3 2" xfId="10670" xr:uid="{00000000-0005-0000-0000-0000D3810000}"/>
    <cellStyle name="Normal 57 4 2 2 3 3 2 2" xfId="23113" xr:uid="{00000000-0005-0000-0000-0000D4810000}"/>
    <cellStyle name="Normal 57 4 2 2 3 3 2 2 2" xfId="47987" xr:uid="{00000000-0005-0000-0000-0000D5810000}"/>
    <cellStyle name="Normal 57 4 2 2 3 3 2 3" xfId="35554" xr:uid="{00000000-0005-0000-0000-0000D6810000}"/>
    <cellStyle name="Normal 57 4 2 2 3 3 3" xfId="18106" xr:uid="{00000000-0005-0000-0000-0000D7810000}"/>
    <cellStyle name="Normal 57 4 2 2 3 3 3 2" xfId="42980" xr:uid="{00000000-0005-0000-0000-0000D8810000}"/>
    <cellStyle name="Normal 57 4 2 2 3 3 4" xfId="30547" xr:uid="{00000000-0005-0000-0000-0000D9810000}"/>
    <cellStyle name="Normal 57 4 2 2 3 4" xfId="8299" xr:uid="{00000000-0005-0000-0000-0000DA810000}"/>
    <cellStyle name="Normal 57 4 2 2 3 4 2" xfId="20743" xr:uid="{00000000-0005-0000-0000-0000DB810000}"/>
    <cellStyle name="Normal 57 4 2 2 3 4 2 2" xfId="45617" xr:uid="{00000000-0005-0000-0000-0000DC810000}"/>
    <cellStyle name="Normal 57 4 2 2 3 4 3" xfId="33184" xr:uid="{00000000-0005-0000-0000-0000DD810000}"/>
    <cellStyle name="Normal 57 4 2 2 3 5" xfId="12124" xr:uid="{00000000-0005-0000-0000-0000DE810000}"/>
    <cellStyle name="Normal 57 4 2 2 3 5 2" xfId="24558" xr:uid="{00000000-0005-0000-0000-0000DF810000}"/>
    <cellStyle name="Normal 57 4 2 2 3 5 2 2" xfId="49432" xr:uid="{00000000-0005-0000-0000-0000E0810000}"/>
    <cellStyle name="Normal 57 4 2 2 3 5 3" xfId="36999" xr:uid="{00000000-0005-0000-0000-0000E1810000}"/>
    <cellStyle name="Normal 57 4 2 2 3 6" xfId="6776" xr:uid="{00000000-0005-0000-0000-0000E2810000}"/>
    <cellStyle name="Normal 57 4 2 2 3 6 2" xfId="19225" xr:uid="{00000000-0005-0000-0000-0000E3810000}"/>
    <cellStyle name="Normal 57 4 2 2 3 6 2 2" xfId="44099" xr:uid="{00000000-0005-0000-0000-0000E4810000}"/>
    <cellStyle name="Normal 57 4 2 2 3 6 3" xfId="31666" xr:uid="{00000000-0005-0000-0000-0000E5810000}"/>
    <cellStyle name="Normal 57 4 2 2 3 7" xfId="3230" xr:uid="{00000000-0005-0000-0000-0000E6810000}"/>
    <cellStyle name="Normal 57 4 2 2 3 7 2" xfId="15736" xr:uid="{00000000-0005-0000-0000-0000E7810000}"/>
    <cellStyle name="Normal 57 4 2 2 3 7 2 2" xfId="40610" xr:uid="{00000000-0005-0000-0000-0000E8810000}"/>
    <cellStyle name="Normal 57 4 2 2 3 7 3" xfId="28169" xr:uid="{00000000-0005-0000-0000-0000E9810000}"/>
    <cellStyle name="Normal 57 4 2 2 3 8" xfId="13493" xr:uid="{00000000-0005-0000-0000-0000EA810000}"/>
    <cellStyle name="Normal 57 4 2 2 3 8 2" xfId="38367" xr:uid="{00000000-0005-0000-0000-0000EB810000}"/>
    <cellStyle name="Normal 57 4 2 2 3 9" xfId="25926" xr:uid="{00000000-0005-0000-0000-0000EC810000}"/>
    <cellStyle name="Normal 57 4 2 2 4" xfId="1857" xr:uid="{00000000-0005-0000-0000-0000ED810000}"/>
    <cellStyle name="Normal 57 4 2 2 4 2" xfId="4595" xr:uid="{00000000-0005-0000-0000-0000EE810000}"/>
    <cellStyle name="Normal 57 4 2 2 4 2 2" xfId="9613" xr:uid="{00000000-0005-0000-0000-0000EF810000}"/>
    <cellStyle name="Normal 57 4 2 2 4 2 2 2" xfId="22056" xr:uid="{00000000-0005-0000-0000-0000F0810000}"/>
    <cellStyle name="Normal 57 4 2 2 4 2 2 2 2" xfId="46930" xr:uid="{00000000-0005-0000-0000-0000F1810000}"/>
    <cellStyle name="Normal 57 4 2 2 4 2 2 3" xfId="34497" xr:uid="{00000000-0005-0000-0000-0000F2810000}"/>
    <cellStyle name="Normal 57 4 2 2 4 2 3" xfId="17049" xr:uid="{00000000-0005-0000-0000-0000F3810000}"/>
    <cellStyle name="Normal 57 4 2 2 4 2 3 2" xfId="41923" xr:uid="{00000000-0005-0000-0000-0000F4810000}"/>
    <cellStyle name="Normal 57 4 2 2 4 2 4" xfId="29490" xr:uid="{00000000-0005-0000-0000-0000F5810000}"/>
    <cellStyle name="Normal 57 4 2 2 4 3" xfId="6003" xr:uid="{00000000-0005-0000-0000-0000F6810000}"/>
    <cellStyle name="Normal 57 4 2 2 4 3 2" xfId="11018" xr:uid="{00000000-0005-0000-0000-0000F7810000}"/>
    <cellStyle name="Normal 57 4 2 2 4 3 2 2" xfId="23461" xr:uid="{00000000-0005-0000-0000-0000F8810000}"/>
    <cellStyle name="Normal 57 4 2 2 4 3 2 2 2" xfId="48335" xr:uid="{00000000-0005-0000-0000-0000F9810000}"/>
    <cellStyle name="Normal 57 4 2 2 4 3 2 3" xfId="35902" xr:uid="{00000000-0005-0000-0000-0000FA810000}"/>
    <cellStyle name="Normal 57 4 2 2 4 3 3" xfId="18454" xr:uid="{00000000-0005-0000-0000-0000FB810000}"/>
    <cellStyle name="Normal 57 4 2 2 4 3 3 2" xfId="43328" xr:uid="{00000000-0005-0000-0000-0000FC810000}"/>
    <cellStyle name="Normal 57 4 2 2 4 3 4" xfId="30895" xr:uid="{00000000-0005-0000-0000-0000FD810000}"/>
    <cellStyle name="Normal 57 4 2 2 4 4" xfId="8729" xr:uid="{00000000-0005-0000-0000-0000FE810000}"/>
    <cellStyle name="Normal 57 4 2 2 4 4 2" xfId="21173" xr:uid="{00000000-0005-0000-0000-0000FF810000}"/>
    <cellStyle name="Normal 57 4 2 2 4 4 2 2" xfId="46047" xr:uid="{00000000-0005-0000-0000-000000820000}"/>
    <cellStyle name="Normal 57 4 2 2 4 4 3" xfId="33614" xr:uid="{00000000-0005-0000-0000-000001820000}"/>
    <cellStyle name="Normal 57 4 2 2 4 5" xfId="12472" xr:uid="{00000000-0005-0000-0000-000002820000}"/>
    <cellStyle name="Normal 57 4 2 2 4 5 2" xfId="24906" xr:uid="{00000000-0005-0000-0000-000003820000}"/>
    <cellStyle name="Normal 57 4 2 2 4 5 2 2" xfId="49780" xr:uid="{00000000-0005-0000-0000-000004820000}"/>
    <cellStyle name="Normal 57 4 2 2 4 5 3" xfId="37347" xr:uid="{00000000-0005-0000-0000-000005820000}"/>
    <cellStyle name="Normal 57 4 2 2 4 6" xfId="7206" xr:uid="{00000000-0005-0000-0000-000006820000}"/>
    <cellStyle name="Normal 57 4 2 2 4 6 2" xfId="19655" xr:uid="{00000000-0005-0000-0000-000007820000}"/>
    <cellStyle name="Normal 57 4 2 2 4 6 2 2" xfId="44529" xr:uid="{00000000-0005-0000-0000-000008820000}"/>
    <cellStyle name="Normal 57 4 2 2 4 6 3" xfId="32096" xr:uid="{00000000-0005-0000-0000-000009820000}"/>
    <cellStyle name="Normal 57 4 2 2 4 7" xfId="3660" xr:uid="{00000000-0005-0000-0000-00000A820000}"/>
    <cellStyle name="Normal 57 4 2 2 4 7 2" xfId="16166" xr:uid="{00000000-0005-0000-0000-00000B820000}"/>
    <cellStyle name="Normal 57 4 2 2 4 7 2 2" xfId="41040" xr:uid="{00000000-0005-0000-0000-00000C820000}"/>
    <cellStyle name="Normal 57 4 2 2 4 7 3" xfId="28599" xr:uid="{00000000-0005-0000-0000-00000D820000}"/>
    <cellStyle name="Normal 57 4 2 2 4 8" xfId="14657" xr:uid="{00000000-0005-0000-0000-00000E820000}"/>
    <cellStyle name="Normal 57 4 2 2 4 8 2" xfId="39531" xr:uid="{00000000-0005-0000-0000-00000F820000}"/>
    <cellStyle name="Normal 57 4 2 2 4 9" xfId="27090" xr:uid="{00000000-0005-0000-0000-000010820000}"/>
    <cellStyle name="Normal 57 4 2 2 5" xfId="2247" xr:uid="{00000000-0005-0000-0000-000011820000}"/>
    <cellStyle name="Normal 57 4 2 2 5 2" xfId="4875" xr:uid="{00000000-0005-0000-0000-000012820000}"/>
    <cellStyle name="Normal 57 4 2 2 5 2 2" xfId="9892" xr:uid="{00000000-0005-0000-0000-000013820000}"/>
    <cellStyle name="Normal 57 4 2 2 5 2 2 2" xfId="22335" xr:uid="{00000000-0005-0000-0000-000014820000}"/>
    <cellStyle name="Normal 57 4 2 2 5 2 2 2 2" xfId="47209" xr:uid="{00000000-0005-0000-0000-000015820000}"/>
    <cellStyle name="Normal 57 4 2 2 5 2 2 3" xfId="34776" xr:uid="{00000000-0005-0000-0000-000016820000}"/>
    <cellStyle name="Normal 57 4 2 2 5 2 3" xfId="17328" xr:uid="{00000000-0005-0000-0000-000017820000}"/>
    <cellStyle name="Normal 57 4 2 2 5 2 3 2" xfId="42202" xr:uid="{00000000-0005-0000-0000-000018820000}"/>
    <cellStyle name="Normal 57 4 2 2 5 2 4" xfId="29769" xr:uid="{00000000-0005-0000-0000-000019820000}"/>
    <cellStyle name="Normal 57 4 2 2 5 3" xfId="6273" xr:uid="{00000000-0005-0000-0000-00001A820000}"/>
    <cellStyle name="Normal 57 4 2 2 5 3 2" xfId="11288" xr:uid="{00000000-0005-0000-0000-00001B820000}"/>
    <cellStyle name="Normal 57 4 2 2 5 3 2 2" xfId="23731" xr:uid="{00000000-0005-0000-0000-00001C820000}"/>
    <cellStyle name="Normal 57 4 2 2 5 3 2 2 2" xfId="48605" xr:uid="{00000000-0005-0000-0000-00001D820000}"/>
    <cellStyle name="Normal 57 4 2 2 5 3 2 3" xfId="36172" xr:uid="{00000000-0005-0000-0000-00001E820000}"/>
    <cellStyle name="Normal 57 4 2 2 5 3 3" xfId="18724" xr:uid="{00000000-0005-0000-0000-00001F820000}"/>
    <cellStyle name="Normal 57 4 2 2 5 3 3 2" xfId="43598" xr:uid="{00000000-0005-0000-0000-000020820000}"/>
    <cellStyle name="Normal 57 4 2 2 5 3 4" xfId="31165" xr:uid="{00000000-0005-0000-0000-000021820000}"/>
    <cellStyle name="Normal 57 4 2 2 5 4" xfId="8080" xr:uid="{00000000-0005-0000-0000-000022820000}"/>
    <cellStyle name="Normal 57 4 2 2 5 4 2" xfId="20526" xr:uid="{00000000-0005-0000-0000-000023820000}"/>
    <cellStyle name="Normal 57 4 2 2 5 4 2 2" xfId="45400" xr:uid="{00000000-0005-0000-0000-000024820000}"/>
    <cellStyle name="Normal 57 4 2 2 5 4 3" xfId="32967" xr:uid="{00000000-0005-0000-0000-000025820000}"/>
    <cellStyle name="Normal 57 4 2 2 5 5" xfId="12742" xr:uid="{00000000-0005-0000-0000-000026820000}"/>
    <cellStyle name="Normal 57 4 2 2 5 5 2" xfId="25176" xr:uid="{00000000-0005-0000-0000-000027820000}"/>
    <cellStyle name="Normal 57 4 2 2 5 5 2 2" xfId="50050" xr:uid="{00000000-0005-0000-0000-000028820000}"/>
    <cellStyle name="Normal 57 4 2 2 5 5 3" xfId="37617" xr:uid="{00000000-0005-0000-0000-000029820000}"/>
    <cellStyle name="Normal 57 4 2 2 5 6" xfId="7486" xr:uid="{00000000-0005-0000-0000-00002A820000}"/>
    <cellStyle name="Normal 57 4 2 2 5 6 2" xfId="19934" xr:uid="{00000000-0005-0000-0000-00002B820000}"/>
    <cellStyle name="Normal 57 4 2 2 5 6 2 2" xfId="44808" xr:uid="{00000000-0005-0000-0000-00002C820000}"/>
    <cellStyle name="Normal 57 4 2 2 5 6 3" xfId="32375" xr:uid="{00000000-0005-0000-0000-00002D820000}"/>
    <cellStyle name="Normal 57 4 2 2 5 7" xfId="3009" xr:uid="{00000000-0005-0000-0000-00002E820000}"/>
    <cellStyle name="Normal 57 4 2 2 5 7 2" xfId="15519" xr:uid="{00000000-0005-0000-0000-00002F820000}"/>
    <cellStyle name="Normal 57 4 2 2 5 7 2 2" xfId="40393" xr:uid="{00000000-0005-0000-0000-000030820000}"/>
    <cellStyle name="Normal 57 4 2 2 5 7 3" xfId="27952" xr:uid="{00000000-0005-0000-0000-000031820000}"/>
    <cellStyle name="Normal 57 4 2 2 5 8" xfId="14927" xr:uid="{00000000-0005-0000-0000-000032820000}"/>
    <cellStyle name="Normal 57 4 2 2 5 8 2" xfId="39801" xr:uid="{00000000-0005-0000-0000-000033820000}"/>
    <cellStyle name="Normal 57 4 2 2 5 9" xfId="27360" xr:uid="{00000000-0005-0000-0000-000034820000}"/>
    <cellStyle name="Normal 57 4 2 2 6" xfId="1084" xr:uid="{00000000-0005-0000-0000-000035820000}"/>
    <cellStyle name="Normal 57 4 2 2 6 2" xfId="8966" xr:uid="{00000000-0005-0000-0000-000036820000}"/>
    <cellStyle name="Normal 57 4 2 2 6 2 2" xfId="21409" xr:uid="{00000000-0005-0000-0000-000037820000}"/>
    <cellStyle name="Normal 57 4 2 2 6 2 2 2" xfId="46283" xr:uid="{00000000-0005-0000-0000-000038820000}"/>
    <cellStyle name="Normal 57 4 2 2 6 2 3" xfId="33850" xr:uid="{00000000-0005-0000-0000-000039820000}"/>
    <cellStyle name="Normal 57 4 2 2 6 3" xfId="3948" xr:uid="{00000000-0005-0000-0000-00003A820000}"/>
    <cellStyle name="Normal 57 4 2 2 6 3 2" xfId="16402" xr:uid="{00000000-0005-0000-0000-00003B820000}"/>
    <cellStyle name="Normal 57 4 2 2 6 3 2 2" xfId="41276" xr:uid="{00000000-0005-0000-0000-00003C820000}"/>
    <cellStyle name="Normal 57 4 2 2 6 3 3" xfId="28843" xr:uid="{00000000-0005-0000-0000-00003D820000}"/>
    <cellStyle name="Normal 57 4 2 2 6 4" xfId="13884" xr:uid="{00000000-0005-0000-0000-00003E820000}"/>
    <cellStyle name="Normal 57 4 2 2 6 4 2" xfId="38758" xr:uid="{00000000-0005-0000-0000-00003F820000}"/>
    <cellStyle name="Normal 57 4 2 2 6 5" xfId="26317" xr:uid="{00000000-0005-0000-0000-000040820000}"/>
    <cellStyle name="Normal 57 4 2 2 7" xfId="5229" xr:uid="{00000000-0005-0000-0000-000041820000}"/>
    <cellStyle name="Normal 57 4 2 2 7 2" xfId="10245" xr:uid="{00000000-0005-0000-0000-000042820000}"/>
    <cellStyle name="Normal 57 4 2 2 7 2 2" xfId="22688" xr:uid="{00000000-0005-0000-0000-000043820000}"/>
    <cellStyle name="Normal 57 4 2 2 7 2 2 2" xfId="47562" xr:uid="{00000000-0005-0000-0000-000044820000}"/>
    <cellStyle name="Normal 57 4 2 2 7 2 3" xfId="35129" xr:uid="{00000000-0005-0000-0000-000045820000}"/>
    <cellStyle name="Normal 57 4 2 2 7 3" xfId="17681" xr:uid="{00000000-0005-0000-0000-000046820000}"/>
    <cellStyle name="Normal 57 4 2 2 7 3 2" xfId="42555" xr:uid="{00000000-0005-0000-0000-000047820000}"/>
    <cellStyle name="Normal 57 4 2 2 7 4" xfId="30122" xr:uid="{00000000-0005-0000-0000-000048820000}"/>
    <cellStyle name="Normal 57 4 2 2 8" xfId="7806" xr:uid="{00000000-0005-0000-0000-000049820000}"/>
    <cellStyle name="Normal 57 4 2 2 8 2" xfId="20252" xr:uid="{00000000-0005-0000-0000-00004A820000}"/>
    <cellStyle name="Normal 57 4 2 2 8 2 2" xfId="45126" xr:uid="{00000000-0005-0000-0000-00004B820000}"/>
    <cellStyle name="Normal 57 4 2 2 8 3" xfId="32693" xr:uid="{00000000-0005-0000-0000-00004C820000}"/>
    <cellStyle name="Normal 57 4 2 2 9" xfId="11699" xr:uid="{00000000-0005-0000-0000-00004D820000}"/>
    <cellStyle name="Normal 57 4 2 2 9 2" xfId="24133" xr:uid="{00000000-0005-0000-0000-00004E820000}"/>
    <cellStyle name="Normal 57 4 2 2 9 2 2" xfId="49007" xr:uid="{00000000-0005-0000-0000-00004F820000}"/>
    <cellStyle name="Normal 57 4 2 2 9 3" xfId="36574" xr:uid="{00000000-0005-0000-0000-000050820000}"/>
    <cellStyle name="Normal 57 4 2 2_Degree data" xfId="2474" xr:uid="{00000000-0005-0000-0000-000051820000}"/>
    <cellStyle name="Normal 57 4 2 3" xfId="387" xr:uid="{00000000-0005-0000-0000-000052820000}"/>
    <cellStyle name="Normal 57 4 2 3 10" xfId="13203" xr:uid="{00000000-0005-0000-0000-000053820000}"/>
    <cellStyle name="Normal 57 4 2 3 10 2" xfId="38077" xr:uid="{00000000-0005-0000-0000-000054820000}"/>
    <cellStyle name="Normal 57 4 2 3 11" xfId="25636" xr:uid="{00000000-0005-0000-0000-000055820000}"/>
    <cellStyle name="Normal 57 4 2 3 2" xfId="747" xr:uid="{00000000-0005-0000-0000-000056820000}"/>
    <cellStyle name="Normal 57 4 2 3 2 2" xfId="1511" xr:uid="{00000000-0005-0000-0000-000057820000}"/>
    <cellStyle name="Normal 57 4 2 3 2 2 2" xfId="9615" xr:uid="{00000000-0005-0000-0000-000058820000}"/>
    <cellStyle name="Normal 57 4 2 3 2 2 2 2" xfId="22058" xr:uid="{00000000-0005-0000-0000-000059820000}"/>
    <cellStyle name="Normal 57 4 2 3 2 2 2 2 2" xfId="46932" xr:uid="{00000000-0005-0000-0000-00005A820000}"/>
    <cellStyle name="Normal 57 4 2 3 2 2 2 3" xfId="34499" xr:uid="{00000000-0005-0000-0000-00005B820000}"/>
    <cellStyle name="Normal 57 4 2 3 2 2 3" xfId="4597" xr:uid="{00000000-0005-0000-0000-00005C820000}"/>
    <cellStyle name="Normal 57 4 2 3 2 2 3 2" xfId="17051" xr:uid="{00000000-0005-0000-0000-00005D820000}"/>
    <cellStyle name="Normal 57 4 2 3 2 2 3 2 2" xfId="41925" xr:uid="{00000000-0005-0000-0000-00005E820000}"/>
    <cellStyle name="Normal 57 4 2 3 2 2 3 3" xfId="29492" xr:uid="{00000000-0005-0000-0000-00005F820000}"/>
    <cellStyle name="Normal 57 4 2 3 2 2 4" xfId="14311" xr:uid="{00000000-0005-0000-0000-000060820000}"/>
    <cellStyle name="Normal 57 4 2 3 2 2 4 2" xfId="39185" xr:uid="{00000000-0005-0000-0000-000061820000}"/>
    <cellStyle name="Normal 57 4 2 3 2 2 5" xfId="26744" xr:uid="{00000000-0005-0000-0000-000062820000}"/>
    <cellStyle name="Normal 57 4 2 3 2 3" xfId="5656" xr:uid="{00000000-0005-0000-0000-000063820000}"/>
    <cellStyle name="Normal 57 4 2 3 2 3 2" xfId="10672" xr:uid="{00000000-0005-0000-0000-000064820000}"/>
    <cellStyle name="Normal 57 4 2 3 2 3 2 2" xfId="23115" xr:uid="{00000000-0005-0000-0000-000065820000}"/>
    <cellStyle name="Normal 57 4 2 3 2 3 2 2 2" xfId="47989" xr:uid="{00000000-0005-0000-0000-000066820000}"/>
    <cellStyle name="Normal 57 4 2 3 2 3 2 3" xfId="35556" xr:uid="{00000000-0005-0000-0000-000067820000}"/>
    <cellStyle name="Normal 57 4 2 3 2 3 3" xfId="18108" xr:uid="{00000000-0005-0000-0000-000068820000}"/>
    <cellStyle name="Normal 57 4 2 3 2 3 3 2" xfId="42982" xr:uid="{00000000-0005-0000-0000-000069820000}"/>
    <cellStyle name="Normal 57 4 2 3 2 3 4" xfId="30549" xr:uid="{00000000-0005-0000-0000-00006A820000}"/>
    <cellStyle name="Normal 57 4 2 3 2 4" xfId="8731" xr:uid="{00000000-0005-0000-0000-00006B820000}"/>
    <cellStyle name="Normal 57 4 2 3 2 4 2" xfId="21175" xr:uid="{00000000-0005-0000-0000-00006C820000}"/>
    <cellStyle name="Normal 57 4 2 3 2 4 2 2" xfId="46049" xr:uid="{00000000-0005-0000-0000-00006D820000}"/>
    <cellStyle name="Normal 57 4 2 3 2 4 3" xfId="33616" xr:uid="{00000000-0005-0000-0000-00006E820000}"/>
    <cellStyle name="Normal 57 4 2 3 2 5" xfId="12126" xr:uid="{00000000-0005-0000-0000-00006F820000}"/>
    <cellStyle name="Normal 57 4 2 3 2 5 2" xfId="24560" xr:uid="{00000000-0005-0000-0000-000070820000}"/>
    <cellStyle name="Normal 57 4 2 3 2 5 2 2" xfId="49434" xr:uid="{00000000-0005-0000-0000-000071820000}"/>
    <cellStyle name="Normal 57 4 2 3 2 5 3" xfId="37001" xr:uid="{00000000-0005-0000-0000-000072820000}"/>
    <cellStyle name="Normal 57 4 2 3 2 6" xfId="7208" xr:uid="{00000000-0005-0000-0000-000073820000}"/>
    <cellStyle name="Normal 57 4 2 3 2 6 2" xfId="19657" xr:uid="{00000000-0005-0000-0000-000074820000}"/>
    <cellStyle name="Normal 57 4 2 3 2 6 2 2" xfId="44531" xr:uid="{00000000-0005-0000-0000-000075820000}"/>
    <cellStyle name="Normal 57 4 2 3 2 6 3" xfId="32098" xr:uid="{00000000-0005-0000-0000-000076820000}"/>
    <cellStyle name="Normal 57 4 2 3 2 7" xfId="3662" xr:uid="{00000000-0005-0000-0000-000077820000}"/>
    <cellStyle name="Normal 57 4 2 3 2 7 2" xfId="16168" xr:uid="{00000000-0005-0000-0000-000078820000}"/>
    <cellStyle name="Normal 57 4 2 3 2 7 2 2" xfId="41042" xr:uid="{00000000-0005-0000-0000-000079820000}"/>
    <cellStyle name="Normal 57 4 2 3 2 7 3" xfId="28601" xr:uid="{00000000-0005-0000-0000-00007A820000}"/>
    <cellStyle name="Normal 57 4 2 3 2 8" xfId="13550" xr:uid="{00000000-0005-0000-0000-00007B820000}"/>
    <cellStyle name="Normal 57 4 2 3 2 8 2" xfId="38424" xr:uid="{00000000-0005-0000-0000-00007C820000}"/>
    <cellStyle name="Normal 57 4 2 3 2 9" xfId="25983" xr:uid="{00000000-0005-0000-0000-00007D820000}"/>
    <cellStyle name="Normal 57 4 2 3 3" xfId="1859" xr:uid="{00000000-0005-0000-0000-00007E820000}"/>
    <cellStyle name="Normal 57 4 2 3 3 2" xfId="4932" xr:uid="{00000000-0005-0000-0000-00007F820000}"/>
    <cellStyle name="Normal 57 4 2 3 3 2 2" xfId="9949" xr:uid="{00000000-0005-0000-0000-000080820000}"/>
    <cellStyle name="Normal 57 4 2 3 3 2 2 2" xfId="22392" xr:uid="{00000000-0005-0000-0000-000081820000}"/>
    <cellStyle name="Normal 57 4 2 3 3 2 2 2 2" xfId="47266" xr:uid="{00000000-0005-0000-0000-000082820000}"/>
    <cellStyle name="Normal 57 4 2 3 3 2 2 3" xfId="34833" xr:uid="{00000000-0005-0000-0000-000083820000}"/>
    <cellStyle name="Normal 57 4 2 3 3 2 3" xfId="17385" xr:uid="{00000000-0005-0000-0000-000084820000}"/>
    <cellStyle name="Normal 57 4 2 3 3 2 3 2" xfId="42259" xr:uid="{00000000-0005-0000-0000-000085820000}"/>
    <cellStyle name="Normal 57 4 2 3 3 2 4" xfId="29826" xr:uid="{00000000-0005-0000-0000-000086820000}"/>
    <cellStyle name="Normal 57 4 2 3 3 3" xfId="6005" xr:uid="{00000000-0005-0000-0000-000087820000}"/>
    <cellStyle name="Normal 57 4 2 3 3 3 2" xfId="11020" xr:uid="{00000000-0005-0000-0000-000088820000}"/>
    <cellStyle name="Normal 57 4 2 3 3 3 2 2" xfId="23463" xr:uid="{00000000-0005-0000-0000-000089820000}"/>
    <cellStyle name="Normal 57 4 2 3 3 3 2 2 2" xfId="48337" xr:uid="{00000000-0005-0000-0000-00008A820000}"/>
    <cellStyle name="Normal 57 4 2 3 3 3 2 3" xfId="35904" xr:uid="{00000000-0005-0000-0000-00008B820000}"/>
    <cellStyle name="Normal 57 4 2 3 3 3 3" xfId="18456" xr:uid="{00000000-0005-0000-0000-00008C820000}"/>
    <cellStyle name="Normal 57 4 2 3 3 3 3 2" xfId="43330" xr:uid="{00000000-0005-0000-0000-00008D820000}"/>
    <cellStyle name="Normal 57 4 2 3 3 3 4" xfId="30897" xr:uid="{00000000-0005-0000-0000-00008E820000}"/>
    <cellStyle name="Normal 57 4 2 3 3 4" xfId="8356" xr:uid="{00000000-0005-0000-0000-00008F820000}"/>
    <cellStyle name="Normal 57 4 2 3 3 4 2" xfId="20800" xr:uid="{00000000-0005-0000-0000-000090820000}"/>
    <cellStyle name="Normal 57 4 2 3 3 4 2 2" xfId="45674" xr:uid="{00000000-0005-0000-0000-000091820000}"/>
    <cellStyle name="Normal 57 4 2 3 3 4 3" xfId="33241" xr:uid="{00000000-0005-0000-0000-000092820000}"/>
    <cellStyle name="Normal 57 4 2 3 3 5" xfId="12474" xr:uid="{00000000-0005-0000-0000-000093820000}"/>
    <cellStyle name="Normal 57 4 2 3 3 5 2" xfId="24908" xr:uid="{00000000-0005-0000-0000-000094820000}"/>
    <cellStyle name="Normal 57 4 2 3 3 5 2 2" xfId="49782" xr:uid="{00000000-0005-0000-0000-000095820000}"/>
    <cellStyle name="Normal 57 4 2 3 3 5 3" xfId="37349" xr:uid="{00000000-0005-0000-0000-000096820000}"/>
    <cellStyle name="Normal 57 4 2 3 3 6" xfId="7543" xr:uid="{00000000-0005-0000-0000-000097820000}"/>
    <cellStyle name="Normal 57 4 2 3 3 6 2" xfId="19991" xr:uid="{00000000-0005-0000-0000-000098820000}"/>
    <cellStyle name="Normal 57 4 2 3 3 6 2 2" xfId="44865" xr:uid="{00000000-0005-0000-0000-000099820000}"/>
    <cellStyle name="Normal 57 4 2 3 3 6 3" xfId="32432" xr:uid="{00000000-0005-0000-0000-00009A820000}"/>
    <cellStyle name="Normal 57 4 2 3 3 7" xfId="3287" xr:uid="{00000000-0005-0000-0000-00009B820000}"/>
    <cellStyle name="Normal 57 4 2 3 3 7 2" xfId="15793" xr:uid="{00000000-0005-0000-0000-00009C820000}"/>
    <cellStyle name="Normal 57 4 2 3 3 7 2 2" xfId="40667" xr:uid="{00000000-0005-0000-0000-00009D820000}"/>
    <cellStyle name="Normal 57 4 2 3 3 7 3" xfId="28226" xr:uid="{00000000-0005-0000-0000-00009E820000}"/>
    <cellStyle name="Normal 57 4 2 3 3 8" xfId="14659" xr:uid="{00000000-0005-0000-0000-00009F820000}"/>
    <cellStyle name="Normal 57 4 2 3 3 8 2" xfId="39533" xr:uid="{00000000-0005-0000-0000-0000A0820000}"/>
    <cellStyle name="Normal 57 4 2 3 3 9" xfId="27092" xr:uid="{00000000-0005-0000-0000-0000A1820000}"/>
    <cellStyle name="Normal 57 4 2 3 4" xfId="2305" xr:uid="{00000000-0005-0000-0000-0000A2820000}"/>
    <cellStyle name="Normal 57 4 2 3 4 2" xfId="6330" xr:uid="{00000000-0005-0000-0000-0000A3820000}"/>
    <cellStyle name="Normal 57 4 2 3 4 2 2" xfId="11345" xr:uid="{00000000-0005-0000-0000-0000A4820000}"/>
    <cellStyle name="Normal 57 4 2 3 4 2 2 2" xfId="23788" xr:uid="{00000000-0005-0000-0000-0000A5820000}"/>
    <cellStyle name="Normal 57 4 2 3 4 2 2 2 2" xfId="48662" xr:uid="{00000000-0005-0000-0000-0000A6820000}"/>
    <cellStyle name="Normal 57 4 2 3 4 2 2 3" xfId="36229" xr:uid="{00000000-0005-0000-0000-0000A7820000}"/>
    <cellStyle name="Normal 57 4 2 3 4 2 3" xfId="18781" xr:uid="{00000000-0005-0000-0000-0000A8820000}"/>
    <cellStyle name="Normal 57 4 2 3 4 2 3 2" xfId="43655" xr:uid="{00000000-0005-0000-0000-0000A9820000}"/>
    <cellStyle name="Normal 57 4 2 3 4 2 4" xfId="31222" xr:uid="{00000000-0005-0000-0000-0000AA820000}"/>
    <cellStyle name="Normal 57 4 2 3 4 3" xfId="12799" xr:uid="{00000000-0005-0000-0000-0000AB820000}"/>
    <cellStyle name="Normal 57 4 2 3 4 3 2" xfId="25233" xr:uid="{00000000-0005-0000-0000-0000AC820000}"/>
    <cellStyle name="Normal 57 4 2 3 4 3 2 2" xfId="50107" xr:uid="{00000000-0005-0000-0000-0000AD820000}"/>
    <cellStyle name="Normal 57 4 2 3 4 3 3" xfId="37674" xr:uid="{00000000-0005-0000-0000-0000AE820000}"/>
    <cellStyle name="Normal 57 4 2 3 4 4" xfId="9240" xr:uid="{00000000-0005-0000-0000-0000AF820000}"/>
    <cellStyle name="Normal 57 4 2 3 4 4 2" xfId="21683" xr:uid="{00000000-0005-0000-0000-0000B0820000}"/>
    <cellStyle name="Normal 57 4 2 3 4 4 2 2" xfId="46557" xr:uid="{00000000-0005-0000-0000-0000B1820000}"/>
    <cellStyle name="Normal 57 4 2 3 4 4 3" xfId="34124" xr:uid="{00000000-0005-0000-0000-0000B2820000}"/>
    <cellStyle name="Normal 57 4 2 3 4 5" xfId="4222" xr:uid="{00000000-0005-0000-0000-0000B3820000}"/>
    <cellStyle name="Normal 57 4 2 3 4 5 2" xfId="16676" xr:uid="{00000000-0005-0000-0000-0000B4820000}"/>
    <cellStyle name="Normal 57 4 2 3 4 5 2 2" xfId="41550" xr:uid="{00000000-0005-0000-0000-0000B5820000}"/>
    <cellStyle name="Normal 57 4 2 3 4 5 3" xfId="29117" xr:uid="{00000000-0005-0000-0000-0000B6820000}"/>
    <cellStyle name="Normal 57 4 2 3 4 6" xfId="14984" xr:uid="{00000000-0005-0000-0000-0000B7820000}"/>
    <cellStyle name="Normal 57 4 2 3 4 6 2" xfId="39858" xr:uid="{00000000-0005-0000-0000-0000B8820000}"/>
    <cellStyle name="Normal 57 4 2 3 4 7" xfId="27417" xr:uid="{00000000-0005-0000-0000-0000B9820000}"/>
    <cellStyle name="Normal 57 4 2 3 5" xfId="1141" xr:uid="{00000000-0005-0000-0000-0000BA820000}"/>
    <cellStyle name="Normal 57 4 2 3 5 2" xfId="10302" xr:uid="{00000000-0005-0000-0000-0000BB820000}"/>
    <cellStyle name="Normal 57 4 2 3 5 2 2" xfId="22745" xr:uid="{00000000-0005-0000-0000-0000BC820000}"/>
    <cellStyle name="Normal 57 4 2 3 5 2 2 2" xfId="47619" xr:uid="{00000000-0005-0000-0000-0000BD820000}"/>
    <cellStyle name="Normal 57 4 2 3 5 2 3" xfId="35186" xr:uid="{00000000-0005-0000-0000-0000BE820000}"/>
    <cellStyle name="Normal 57 4 2 3 5 3" xfId="5286" xr:uid="{00000000-0005-0000-0000-0000BF820000}"/>
    <cellStyle name="Normal 57 4 2 3 5 3 2" xfId="17738" xr:uid="{00000000-0005-0000-0000-0000C0820000}"/>
    <cellStyle name="Normal 57 4 2 3 5 3 2 2" xfId="42612" xr:uid="{00000000-0005-0000-0000-0000C1820000}"/>
    <cellStyle name="Normal 57 4 2 3 5 3 3" xfId="30179" xr:uid="{00000000-0005-0000-0000-0000C2820000}"/>
    <cellStyle name="Normal 57 4 2 3 5 4" xfId="13941" xr:uid="{00000000-0005-0000-0000-0000C3820000}"/>
    <cellStyle name="Normal 57 4 2 3 5 4 2" xfId="38815" xr:uid="{00000000-0005-0000-0000-0000C4820000}"/>
    <cellStyle name="Normal 57 4 2 3 5 5" xfId="26374" xr:uid="{00000000-0005-0000-0000-0000C5820000}"/>
    <cellStyle name="Normal 57 4 2 3 6" xfId="7863" xr:uid="{00000000-0005-0000-0000-0000C6820000}"/>
    <cellStyle name="Normal 57 4 2 3 6 2" xfId="20309" xr:uid="{00000000-0005-0000-0000-0000C7820000}"/>
    <cellStyle name="Normal 57 4 2 3 6 2 2" xfId="45183" xr:uid="{00000000-0005-0000-0000-0000C8820000}"/>
    <cellStyle name="Normal 57 4 2 3 6 3" xfId="32750" xr:uid="{00000000-0005-0000-0000-0000C9820000}"/>
    <cellStyle name="Normal 57 4 2 3 7" xfId="11756" xr:uid="{00000000-0005-0000-0000-0000CA820000}"/>
    <cellStyle name="Normal 57 4 2 3 7 2" xfId="24190" xr:uid="{00000000-0005-0000-0000-0000CB820000}"/>
    <cellStyle name="Normal 57 4 2 3 7 2 2" xfId="49064" xr:uid="{00000000-0005-0000-0000-0000CC820000}"/>
    <cellStyle name="Normal 57 4 2 3 7 3" xfId="36631" xr:uid="{00000000-0005-0000-0000-0000CD820000}"/>
    <cellStyle name="Normal 57 4 2 3 8" xfId="6833" xr:uid="{00000000-0005-0000-0000-0000CE820000}"/>
    <cellStyle name="Normal 57 4 2 3 8 2" xfId="19282" xr:uid="{00000000-0005-0000-0000-0000CF820000}"/>
    <cellStyle name="Normal 57 4 2 3 8 2 2" xfId="44156" xr:uid="{00000000-0005-0000-0000-0000D0820000}"/>
    <cellStyle name="Normal 57 4 2 3 8 3" xfId="31723" xr:uid="{00000000-0005-0000-0000-0000D1820000}"/>
    <cellStyle name="Normal 57 4 2 3 9" xfId="2784" xr:uid="{00000000-0005-0000-0000-0000D2820000}"/>
    <cellStyle name="Normal 57 4 2 3 9 2" xfId="15302" xr:uid="{00000000-0005-0000-0000-0000D3820000}"/>
    <cellStyle name="Normal 57 4 2 3 9 2 2" xfId="40176" xr:uid="{00000000-0005-0000-0000-0000D4820000}"/>
    <cellStyle name="Normal 57 4 2 3 9 3" xfId="27735" xr:uid="{00000000-0005-0000-0000-0000D5820000}"/>
    <cellStyle name="Normal 57 4 2 3_Degree data" xfId="2476" xr:uid="{00000000-0005-0000-0000-0000D6820000}"/>
    <cellStyle name="Normal 57 4 2 4" xfId="284" xr:uid="{00000000-0005-0000-0000-0000D7820000}"/>
    <cellStyle name="Normal 57 4 2 4 2" xfId="1508" xr:uid="{00000000-0005-0000-0000-0000D8820000}"/>
    <cellStyle name="Normal 57 4 2 4 2 2" xfId="9140" xr:uid="{00000000-0005-0000-0000-0000D9820000}"/>
    <cellStyle name="Normal 57 4 2 4 2 2 2" xfId="21583" xr:uid="{00000000-0005-0000-0000-0000DA820000}"/>
    <cellStyle name="Normal 57 4 2 4 2 2 2 2" xfId="46457" xr:uid="{00000000-0005-0000-0000-0000DB820000}"/>
    <cellStyle name="Normal 57 4 2 4 2 2 3" xfId="34024" xr:uid="{00000000-0005-0000-0000-0000DC820000}"/>
    <cellStyle name="Normal 57 4 2 4 2 3" xfId="4122" xr:uid="{00000000-0005-0000-0000-0000DD820000}"/>
    <cellStyle name="Normal 57 4 2 4 2 3 2" xfId="16576" xr:uid="{00000000-0005-0000-0000-0000DE820000}"/>
    <cellStyle name="Normal 57 4 2 4 2 3 2 2" xfId="41450" xr:uid="{00000000-0005-0000-0000-0000DF820000}"/>
    <cellStyle name="Normal 57 4 2 4 2 3 3" xfId="29017" xr:uid="{00000000-0005-0000-0000-0000E0820000}"/>
    <cellStyle name="Normal 57 4 2 4 2 4" xfId="14308" xr:uid="{00000000-0005-0000-0000-0000E1820000}"/>
    <cellStyle name="Normal 57 4 2 4 2 4 2" xfId="39182" xr:uid="{00000000-0005-0000-0000-0000E2820000}"/>
    <cellStyle name="Normal 57 4 2 4 2 5" xfId="26741" xr:uid="{00000000-0005-0000-0000-0000E3820000}"/>
    <cellStyle name="Normal 57 4 2 4 3" xfId="5653" xr:uid="{00000000-0005-0000-0000-0000E4820000}"/>
    <cellStyle name="Normal 57 4 2 4 3 2" xfId="10669" xr:uid="{00000000-0005-0000-0000-0000E5820000}"/>
    <cellStyle name="Normal 57 4 2 4 3 2 2" xfId="23112" xr:uid="{00000000-0005-0000-0000-0000E6820000}"/>
    <cellStyle name="Normal 57 4 2 4 3 2 2 2" xfId="47986" xr:uid="{00000000-0005-0000-0000-0000E7820000}"/>
    <cellStyle name="Normal 57 4 2 4 3 2 3" xfId="35553" xr:uid="{00000000-0005-0000-0000-0000E8820000}"/>
    <cellStyle name="Normal 57 4 2 4 3 3" xfId="18105" xr:uid="{00000000-0005-0000-0000-0000E9820000}"/>
    <cellStyle name="Normal 57 4 2 4 3 3 2" xfId="42979" xr:uid="{00000000-0005-0000-0000-0000EA820000}"/>
    <cellStyle name="Normal 57 4 2 4 3 4" xfId="30546" xr:uid="{00000000-0005-0000-0000-0000EB820000}"/>
    <cellStyle name="Normal 57 4 2 4 4" xfId="8256" xr:uid="{00000000-0005-0000-0000-0000EC820000}"/>
    <cellStyle name="Normal 57 4 2 4 4 2" xfId="20700" xr:uid="{00000000-0005-0000-0000-0000ED820000}"/>
    <cellStyle name="Normal 57 4 2 4 4 2 2" xfId="45574" xr:uid="{00000000-0005-0000-0000-0000EE820000}"/>
    <cellStyle name="Normal 57 4 2 4 4 3" xfId="33141" xr:uid="{00000000-0005-0000-0000-0000EF820000}"/>
    <cellStyle name="Normal 57 4 2 4 5" xfId="12123" xr:uid="{00000000-0005-0000-0000-0000F0820000}"/>
    <cellStyle name="Normal 57 4 2 4 5 2" xfId="24557" xr:uid="{00000000-0005-0000-0000-0000F1820000}"/>
    <cellStyle name="Normal 57 4 2 4 5 2 2" xfId="49431" xr:uid="{00000000-0005-0000-0000-0000F2820000}"/>
    <cellStyle name="Normal 57 4 2 4 5 3" xfId="36998" xr:uid="{00000000-0005-0000-0000-0000F3820000}"/>
    <cellStyle name="Normal 57 4 2 4 6" xfId="6733" xr:uid="{00000000-0005-0000-0000-0000F4820000}"/>
    <cellStyle name="Normal 57 4 2 4 6 2" xfId="19182" xr:uid="{00000000-0005-0000-0000-0000F5820000}"/>
    <cellStyle name="Normal 57 4 2 4 6 2 2" xfId="44056" xr:uid="{00000000-0005-0000-0000-0000F6820000}"/>
    <cellStyle name="Normal 57 4 2 4 6 3" xfId="31623" xr:uid="{00000000-0005-0000-0000-0000F7820000}"/>
    <cellStyle name="Normal 57 4 2 4 7" xfId="3187" xr:uid="{00000000-0005-0000-0000-0000F8820000}"/>
    <cellStyle name="Normal 57 4 2 4 7 2" xfId="15693" xr:uid="{00000000-0005-0000-0000-0000F9820000}"/>
    <cellStyle name="Normal 57 4 2 4 7 2 2" xfId="40567" xr:uid="{00000000-0005-0000-0000-0000FA820000}"/>
    <cellStyle name="Normal 57 4 2 4 7 3" xfId="28126" xr:uid="{00000000-0005-0000-0000-0000FB820000}"/>
    <cellStyle name="Normal 57 4 2 4 8" xfId="13103" xr:uid="{00000000-0005-0000-0000-0000FC820000}"/>
    <cellStyle name="Normal 57 4 2 4 8 2" xfId="37977" xr:uid="{00000000-0005-0000-0000-0000FD820000}"/>
    <cellStyle name="Normal 57 4 2 4 9" xfId="25536" xr:uid="{00000000-0005-0000-0000-0000FE820000}"/>
    <cellStyle name="Normal 57 4 2 5" xfId="646" xr:uid="{00000000-0005-0000-0000-0000FF820000}"/>
    <cellStyle name="Normal 57 4 2 5 2" xfId="1856" xr:uid="{00000000-0005-0000-0000-000000830000}"/>
    <cellStyle name="Normal 57 4 2 5 2 2" xfId="9612" xr:uid="{00000000-0005-0000-0000-000001830000}"/>
    <cellStyle name="Normal 57 4 2 5 2 2 2" xfId="22055" xr:uid="{00000000-0005-0000-0000-000002830000}"/>
    <cellStyle name="Normal 57 4 2 5 2 2 2 2" xfId="46929" xr:uid="{00000000-0005-0000-0000-000003830000}"/>
    <cellStyle name="Normal 57 4 2 5 2 2 3" xfId="34496" xr:uid="{00000000-0005-0000-0000-000004830000}"/>
    <cellStyle name="Normal 57 4 2 5 2 3" xfId="4594" xr:uid="{00000000-0005-0000-0000-000005830000}"/>
    <cellStyle name="Normal 57 4 2 5 2 3 2" xfId="17048" xr:uid="{00000000-0005-0000-0000-000006830000}"/>
    <cellStyle name="Normal 57 4 2 5 2 3 2 2" xfId="41922" xr:uid="{00000000-0005-0000-0000-000007830000}"/>
    <cellStyle name="Normal 57 4 2 5 2 3 3" xfId="29489" xr:uid="{00000000-0005-0000-0000-000008830000}"/>
    <cellStyle name="Normal 57 4 2 5 2 4" xfId="14656" xr:uid="{00000000-0005-0000-0000-000009830000}"/>
    <cellStyle name="Normal 57 4 2 5 2 4 2" xfId="39530" xr:uid="{00000000-0005-0000-0000-00000A830000}"/>
    <cellStyle name="Normal 57 4 2 5 2 5" xfId="27089" xr:uid="{00000000-0005-0000-0000-00000B830000}"/>
    <cellStyle name="Normal 57 4 2 5 3" xfId="6002" xr:uid="{00000000-0005-0000-0000-00000C830000}"/>
    <cellStyle name="Normal 57 4 2 5 3 2" xfId="11017" xr:uid="{00000000-0005-0000-0000-00000D830000}"/>
    <cellStyle name="Normal 57 4 2 5 3 2 2" xfId="23460" xr:uid="{00000000-0005-0000-0000-00000E830000}"/>
    <cellStyle name="Normal 57 4 2 5 3 2 2 2" xfId="48334" xr:uid="{00000000-0005-0000-0000-00000F830000}"/>
    <cellStyle name="Normal 57 4 2 5 3 2 3" xfId="35901" xr:uid="{00000000-0005-0000-0000-000010830000}"/>
    <cellStyle name="Normal 57 4 2 5 3 3" xfId="18453" xr:uid="{00000000-0005-0000-0000-000011830000}"/>
    <cellStyle name="Normal 57 4 2 5 3 3 2" xfId="43327" xr:uid="{00000000-0005-0000-0000-000012830000}"/>
    <cellStyle name="Normal 57 4 2 5 3 4" xfId="30894" xr:uid="{00000000-0005-0000-0000-000013830000}"/>
    <cellStyle name="Normal 57 4 2 5 4" xfId="8728" xr:uid="{00000000-0005-0000-0000-000014830000}"/>
    <cellStyle name="Normal 57 4 2 5 4 2" xfId="21172" xr:uid="{00000000-0005-0000-0000-000015830000}"/>
    <cellStyle name="Normal 57 4 2 5 4 2 2" xfId="46046" xr:uid="{00000000-0005-0000-0000-000016830000}"/>
    <cellStyle name="Normal 57 4 2 5 4 3" xfId="33613" xr:uid="{00000000-0005-0000-0000-000017830000}"/>
    <cellStyle name="Normal 57 4 2 5 5" xfId="12471" xr:uid="{00000000-0005-0000-0000-000018830000}"/>
    <cellStyle name="Normal 57 4 2 5 5 2" xfId="24905" xr:uid="{00000000-0005-0000-0000-000019830000}"/>
    <cellStyle name="Normal 57 4 2 5 5 2 2" xfId="49779" xr:uid="{00000000-0005-0000-0000-00001A830000}"/>
    <cellStyle name="Normal 57 4 2 5 5 3" xfId="37346" xr:uid="{00000000-0005-0000-0000-00001B830000}"/>
    <cellStyle name="Normal 57 4 2 5 6" xfId="7205" xr:uid="{00000000-0005-0000-0000-00001C830000}"/>
    <cellStyle name="Normal 57 4 2 5 6 2" xfId="19654" xr:uid="{00000000-0005-0000-0000-00001D830000}"/>
    <cellStyle name="Normal 57 4 2 5 6 2 2" xfId="44528" xr:uid="{00000000-0005-0000-0000-00001E830000}"/>
    <cellStyle name="Normal 57 4 2 5 6 3" xfId="32095" xr:uid="{00000000-0005-0000-0000-00001F830000}"/>
    <cellStyle name="Normal 57 4 2 5 7" xfId="3659" xr:uid="{00000000-0005-0000-0000-000020830000}"/>
    <cellStyle name="Normal 57 4 2 5 7 2" xfId="16165" xr:uid="{00000000-0005-0000-0000-000021830000}"/>
    <cellStyle name="Normal 57 4 2 5 7 2 2" xfId="41039" xr:uid="{00000000-0005-0000-0000-000022830000}"/>
    <cellStyle name="Normal 57 4 2 5 7 3" xfId="28598" xr:uid="{00000000-0005-0000-0000-000023830000}"/>
    <cellStyle name="Normal 57 4 2 5 8" xfId="13450" xr:uid="{00000000-0005-0000-0000-000024830000}"/>
    <cellStyle name="Normal 57 4 2 5 8 2" xfId="38324" xr:uid="{00000000-0005-0000-0000-000025830000}"/>
    <cellStyle name="Normal 57 4 2 5 9" xfId="25883" xr:uid="{00000000-0005-0000-0000-000026830000}"/>
    <cellStyle name="Normal 57 4 2 6" xfId="2202" xr:uid="{00000000-0005-0000-0000-000027830000}"/>
    <cellStyle name="Normal 57 4 2 6 2" xfId="4832" xr:uid="{00000000-0005-0000-0000-000028830000}"/>
    <cellStyle name="Normal 57 4 2 6 2 2" xfId="9849" xr:uid="{00000000-0005-0000-0000-000029830000}"/>
    <cellStyle name="Normal 57 4 2 6 2 2 2" xfId="22292" xr:uid="{00000000-0005-0000-0000-00002A830000}"/>
    <cellStyle name="Normal 57 4 2 6 2 2 2 2" xfId="47166" xr:uid="{00000000-0005-0000-0000-00002B830000}"/>
    <cellStyle name="Normal 57 4 2 6 2 2 3" xfId="34733" xr:uid="{00000000-0005-0000-0000-00002C830000}"/>
    <cellStyle name="Normal 57 4 2 6 2 3" xfId="17285" xr:uid="{00000000-0005-0000-0000-00002D830000}"/>
    <cellStyle name="Normal 57 4 2 6 2 3 2" xfId="42159" xr:uid="{00000000-0005-0000-0000-00002E830000}"/>
    <cellStyle name="Normal 57 4 2 6 2 4" xfId="29726" xr:uid="{00000000-0005-0000-0000-00002F830000}"/>
    <cellStyle name="Normal 57 4 2 6 3" xfId="6230" xr:uid="{00000000-0005-0000-0000-000030830000}"/>
    <cellStyle name="Normal 57 4 2 6 3 2" xfId="11245" xr:uid="{00000000-0005-0000-0000-000031830000}"/>
    <cellStyle name="Normal 57 4 2 6 3 2 2" xfId="23688" xr:uid="{00000000-0005-0000-0000-000032830000}"/>
    <cellStyle name="Normal 57 4 2 6 3 2 2 2" xfId="48562" xr:uid="{00000000-0005-0000-0000-000033830000}"/>
    <cellStyle name="Normal 57 4 2 6 3 2 3" xfId="36129" xr:uid="{00000000-0005-0000-0000-000034830000}"/>
    <cellStyle name="Normal 57 4 2 6 3 3" xfId="18681" xr:uid="{00000000-0005-0000-0000-000035830000}"/>
    <cellStyle name="Normal 57 4 2 6 3 3 2" xfId="43555" xr:uid="{00000000-0005-0000-0000-000036830000}"/>
    <cellStyle name="Normal 57 4 2 6 3 4" xfId="31122" xr:uid="{00000000-0005-0000-0000-000037830000}"/>
    <cellStyle name="Normal 57 4 2 6 4" xfId="8036" xr:uid="{00000000-0005-0000-0000-000038830000}"/>
    <cellStyle name="Normal 57 4 2 6 4 2" xfId="20482" xr:uid="{00000000-0005-0000-0000-000039830000}"/>
    <cellStyle name="Normal 57 4 2 6 4 2 2" xfId="45356" xr:uid="{00000000-0005-0000-0000-00003A830000}"/>
    <cellStyle name="Normal 57 4 2 6 4 3" xfId="32923" xr:uid="{00000000-0005-0000-0000-00003B830000}"/>
    <cellStyle name="Normal 57 4 2 6 5" xfId="12699" xr:uid="{00000000-0005-0000-0000-00003C830000}"/>
    <cellStyle name="Normal 57 4 2 6 5 2" xfId="25133" xr:uid="{00000000-0005-0000-0000-00003D830000}"/>
    <cellStyle name="Normal 57 4 2 6 5 2 2" xfId="50007" xr:uid="{00000000-0005-0000-0000-00003E830000}"/>
    <cellStyle name="Normal 57 4 2 6 5 3" xfId="37574" xr:uid="{00000000-0005-0000-0000-00003F830000}"/>
    <cellStyle name="Normal 57 4 2 6 6" xfId="7443" xr:uid="{00000000-0005-0000-0000-000040830000}"/>
    <cellStyle name="Normal 57 4 2 6 6 2" xfId="19891" xr:uid="{00000000-0005-0000-0000-000041830000}"/>
    <cellStyle name="Normal 57 4 2 6 6 2 2" xfId="44765" xr:uid="{00000000-0005-0000-0000-000042830000}"/>
    <cellStyle name="Normal 57 4 2 6 6 3" xfId="32332" xr:uid="{00000000-0005-0000-0000-000043830000}"/>
    <cellStyle name="Normal 57 4 2 6 7" xfId="2963" xr:uid="{00000000-0005-0000-0000-000044830000}"/>
    <cellStyle name="Normal 57 4 2 6 7 2" xfId="15475" xr:uid="{00000000-0005-0000-0000-000045830000}"/>
    <cellStyle name="Normal 57 4 2 6 7 2 2" xfId="40349" xr:uid="{00000000-0005-0000-0000-000046830000}"/>
    <cellStyle name="Normal 57 4 2 6 7 3" xfId="27908" xr:uid="{00000000-0005-0000-0000-000047830000}"/>
    <cellStyle name="Normal 57 4 2 6 8" xfId="14884" xr:uid="{00000000-0005-0000-0000-000048830000}"/>
    <cellStyle name="Normal 57 4 2 6 8 2" xfId="39758" xr:uid="{00000000-0005-0000-0000-000049830000}"/>
    <cellStyle name="Normal 57 4 2 6 9" xfId="27317" xr:uid="{00000000-0005-0000-0000-00004A830000}"/>
    <cellStyle name="Normal 57 4 2 7" xfId="1041" xr:uid="{00000000-0005-0000-0000-00004B830000}"/>
    <cellStyle name="Normal 57 4 2 7 2" xfId="11656" xr:uid="{00000000-0005-0000-0000-00004C830000}"/>
    <cellStyle name="Normal 57 4 2 7 2 2" xfId="24090" xr:uid="{00000000-0005-0000-0000-00004D830000}"/>
    <cellStyle name="Normal 57 4 2 7 2 2 2" xfId="48964" xr:uid="{00000000-0005-0000-0000-00004E830000}"/>
    <cellStyle name="Normal 57 4 2 7 2 3" xfId="36531" xr:uid="{00000000-0005-0000-0000-00004F830000}"/>
    <cellStyle name="Normal 57 4 2 7 3" xfId="8923" xr:uid="{00000000-0005-0000-0000-000050830000}"/>
    <cellStyle name="Normal 57 4 2 7 3 2" xfId="21366" xr:uid="{00000000-0005-0000-0000-000051830000}"/>
    <cellStyle name="Normal 57 4 2 7 3 2 2" xfId="46240" xr:uid="{00000000-0005-0000-0000-000052830000}"/>
    <cellStyle name="Normal 57 4 2 7 3 3" xfId="33807" xr:uid="{00000000-0005-0000-0000-000053830000}"/>
    <cellStyle name="Normal 57 4 2 7 4" xfId="3905" xr:uid="{00000000-0005-0000-0000-000054830000}"/>
    <cellStyle name="Normal 57 4 2 7 4 2" xfId="16359" xr:uid="{00000000-0005-0000-0000-000055830000}"/>
    <cellStyle name="Normal 57 4 2 7 4 2 2" xfId="41233" xr:uid="{00000000-0005-0000-0000-000056830000}"/>
    <cellStyle name="Normal 57 4 2 7 4 3" xfId="28800" xr:uid="{00000000-0005-0000-0000-000057830000}"/>
    <cellStyle name="Normal 57 4 2 7 5" xfId="13841" xr:uid="{00000000-0005-0000-0000-000058830000}"/>
    <cellStyle name="Normal 57 4 2 7 5 2" xfId="38715" xr:uid="{00000000-0005-0000-0000-000059830000}"/>
    <cellStyle name="Normal 57 4 2 7 6" xfId="26274" xr:uid="{00000000-0005-0000-0000-00005A830000}"/>
    <cellStyle name="Normal 57 4 2 8" xfId="909" xr:uid="{00000000-0005-0000-0000-00005B830000}"/>
    <cellStyle name="Normal 57 4 2 8 2" xfId="10202" xr:uid="{00000000-0005-0000-0000-00005C830000}"/>
    <cellStyle name="Normal 57 4 2 8 2 2" xfId="22645" xr:uid="{00000000-0005-0000-0000-00005D830000}"/>
    <cellStyle name="Normal 57 4 2 8 2 2 2" xfId="47519" xr:uid="{00000000-0005-0000-0000-00005E830000}"/>
    <cellStyle name="Normal 57 4 2 8 2 3" xfId="35086" xr:uid="{00000000-0005-0000-0000-00005F830000}"/>
    <cellStyle name="Normal 57 4 2 8 3" xfId="5186" xr:uid="{00000000-0005-0000-0000-000060830000}"/>
    <cellStyle name="Normal 57 4 2 8 3 2" xfId="17638" xr:uid="{00000000-0005-0000-0000-000061830000}"/>
    <cellStyle name="Normal 57 4 2 8 3 2 2" xfId="42512" xr:uid="{00000000-0005-0000-0000-000062830000}"/>
    <cellStyle name="Normal 57 4 2 8 3 3" xfId="30079" xr:uid="{00000000-0005-0000-0000-000063830000}"/>
    <cellStyle name="Normal 57 4 2 8 4" xfId="13709" xr:uid="{00000000-0005-0000-0000-000064830000}"/>
    <cellStyle name="Normal 57 4 2 8 4 2" xfId="38583" xr:uid="{00000000-0005-0000-0000-000065830000}"/>
    <cellStyle name="Normal 57 4 2 8 5" xfId="26142" xr:uid="{00000000-0005-0000-0000-000066830000}"/>
    <cellStyle name="Normal 57 4 2 9" xfId="7763" xr:uid="{00000000-0005-0000-0000-000067830000}"/>
    <cellStyle name="Normal 57 4 2 9 2" xfId="20209" xr:uid="{00000000-0005-0000-0000-000068830000}"/>
    <cellStyle name="Normal 57 4 2 9 2 2" xfId="45083" xr:uid="{00000000-0005-0000-0000-000069830000}"/>
    <cellStyle name="Normal 57 4 2 9 3" xfId="32650" xr:uid="{00000000-0005-0000-0000-00006A830000}"/>
    <cellStyle name="Normal 57 4 2_Degree data" xfId="2473" xr:uid="{00000000-0005-0000-0000-00006B830000}"/>
    <cellStyle name="Normal 57 4 3" xfId="171" xr:uid="{00000000-0005-0000-0000-00006C830000}"/>
    <cellStyle name="Normal 57 4 3 10" xfId="6544" xr:uid="{00000000-0005-0000-0000-00006D830000}"/>
    <cellStyle name="Normal 57 4 3 10 2" xfId="18993" xr:uid="{00000000-0005-0000-0000-00006E830000}"/>
    <cellStyle name="Normal 57 4 3 10 2 2" xfId="43867" xr:uid="{00000000-0005-0000-0000-00006F830000}"/>
    <cellStyle name="Normal 57 4 3 10 3" xfId="31434" xr:uid="{00000000-0005-0000-0000-000070830000}"/>
    <cellStyle name="Normal 57 4 3 11" xfId="2712" xr:uid="{00000000-0005-0000-0000-000071830000}"/>
    <cellStyle name="Normal 57 4 3 11 2" xfId="15230" xr:uid="{00000000-0005-0000-0000-000072830000}"/>
    <cellStyle name="Normal 57 4 3 11 2 2" xfId="40104" xr:uid="{00000000-0005-0000-0000-000073830000}"/>
    <cellStyle name="Normal 57 4 3 11 3" xfId="27663" xr:uid="{00000000-0005-0000-0000-000074830000}"/>
    <cellStyle name="Normal 57 4 3 12" xfId="13001" xr:uid="{00000000-0005-0000-0000-000075830000}"/>
    <cellStyle name="Normal 57 4 3 12 2" xfId="37875" xr:uid="{00000000-0005-0000-0000-000076830000}"/>
    <cellStyle name="Normal 57 4 3 13" xfId="25434" xr:uid="{00000000-0005-0000-0000-000077830000}"/>
    <cellStyle name="Normal 57 4 3 2" xfId="416" xr:uid="{00000000-0005-0000-0000-000078830000}"/>
    <cellStyle name="Normal 57 4 3 2 10" xfId="13231" xr:uid="{00000000-0005-0000-0000-000079830000}"/>
    <cellStyle name="Normal 57 4 3 2 10 2" xfId="38105" xr:uid="{00000000-0005-0000-0000-00007A830000}"/>
    <cellStyle name="Normal 57 4 3 2 11" xfId="25664" xr:uid="{00000000-0005-0000-0000-00007B830000}"/>
    <cellStyle name="Normal 57 4 3 2 2" xfId="776" xr:uid="{00000000-0005-0000-0000-00007C830000}"/>
    <cellStyle name="Normal 57 4 3 2 2 2" xfId="1513" xr:uid="{00000000-0005-0000-0000-00007D830000}"/>
    <cellStyle name="Normal 57 4 3 2 2 2 2" xfId="9617" xr:uid="{00000000-0005-0000-0000-00007E830000}"/>
    <cellStyle name="Normal 57 4 3 2 2 2 2 2" xfId="22060" xr:uid="{00000000-0005-0000-0000-00007F830000}"/>
    <cellStyle name="Normal 57 4 3 2 2 2 2 2 2" xfId="46934" xr:uid="{00000000-0005-0000-0000-000080830000}"/>
    <cellStyle name="Normal 57 4 3 2 2 2 2 3" xfId="34501" xr:uid="{00000000-0005-0000-0000-000081830000}"/>
    <cellStyle name="Normal 57 4 3 2 2 2 3" xfId="4599" xr:uid="{00000000-0005-0000-0000-000082830000}"/>
    <cellStyle name="Normal 57 4 3 2 2 2 3 2" xfId="17053" xr:uid="{00000000-0005-0000-0000-000083830000}"/>
    <cellStyle name="Normal 57 4 3 2 2 2 3 2 2" xfId="41927" xr:uid="{00000000-0005-0000-0000-000084830000}"/>
    <cellStyle name="Normal 57 4 3 2 2 2 3 3" xfId="29494" xr:uid="{00000000-0005-0000-0000-000085830000}"/>
    <cellStyle name="Normal 57 4 3 2 2 2 4" xfId="14313" xr:uid="{00000000-0005-0000-0000-000086830000}"/>
    <cellStyle name="Normal 57 4 3 2 2 2 4 2" xfId="39187" xr:uid="{00000000-0005-0000-0000-000087830000}"/>
    <cellStyle name="Normal 57 4 3 2 2 2 5" xfId="26746" xr:uid="{00000000-0005-0000-0000-000088830000}"/>
    <cellStyle name="Normal 57 4 3 2 2 3" xfId="5658" xr:uid="{00000000-0005-0000-0000-000089830000}"/>
    <cellStyle name="Normal 57 4 3 2 2 3 2" xfId="10674" xr:uid="{00000000-0005-0000-0000-00008A830000}"/>
    <cellStyle name="Normal 57 4 3 2 2 3 2 2" xfId="23117" xr:uid="{00000000-0005-0000-0000-00008B830000}"/>
    <cellStyle name="Normal 57 4 3 2 2 3 2 2 2" xfId="47991" xr:uid="{00000000-0005-0000-0000-00008C830000}"/>
    <cellStyle name="Normal 57 4 3 2 2 3 2 3" xfId="35558" xr:uid="{00000000-0005-0000-0000-00008D830000}"/>
    <cellStyle name="Normal 57 4 3 2 2 3 3" xfId="18110" xr:uid="{00000000-0005-0000-0000-00008E830000}"/>
    <cellStyle name="Normal 57 4 3 2 2 3 3 2" xfId="42984" xr:uid="{00000000-0005-0000-0000-00008F830000}"/>
    <cellStyle name="Normal 57 4 3 2 2 3 4" xfId="30551" xr:uid="{00000000-0005-0000-0000-000090830000}"/>
    <cellStyle name="Normal 57 4 3 2 2 4" xfId="8733" xr:uid="{00000000-0005-0000-0000-000091830000}"/>
    <cellStyle name="Normal 57 4 3 2 2 4 2" xfId="21177" xr:uid="{00000000-0005-0000-0000-000092830000}"/>
    <cellStyle name="Normal 57 4 3 2 2 4 2 2" xfId="46051" xr:uid="{00000000-0005-0000-0000-000093830000}"/>
    <cellStyle name="Normal 57 4 3 2 2 4 3" xfId="33618" xr:uid="{00000000-0005-0000-0000-000094830000}"/>
    <cellStyle name="Normal 57 4 3 2 2 5" xfId="12128" xr:uid="{00000000-0005-0000-0000-000095830000}"/>
    <cellStyle name="Normal 57 4 3 2 2 5 2" xfId="24562" xr:uid="{00000000-0005-0000-0000-000096830000}"/>
    <cellStyle name="Normal 57 4 3 2 2 5 2 2" xfId="49436" xr:uid="{00000000-0005-0000-0000-000097830000}"/>
    <cellStyle name="Normal 57 4 3 2 2 5 3" xfId="37003" xr:uid="{00000000-0005-0000-0000-000098830000}"/>
    <cellStyle name="Normal 57 4 3 2 2 6" xfId="7210" xr:uid="{00000000-0005-0000-0000-000099830000}"/>
    <cellStyle name="Normal 57 4 3 2 2 6 2" xfId="19659" xr:uid="{00000000-0005-0000-0000-00009A830000}"/>
    <cellStyle name="Normal 57 4 3 2 2 6 2 2" xfId="44533" xr:uid="{00000000-0005-0000-0000-00009B830000}"/>
    <cellStyle name="Normal 57 4 3 2 2 6 3" xfId="32100" xr:uid="{00000000-0005-0000-0000-00009C830000}"/>
    <cellStyle name="Normal 57 4 3 2 2 7" xfId="3664" xr:uid="{00000000-0005-0000-0000-00009D830000}"/>
    <cellStyle name="Normal 57 4 3 2 2 7 2" xfId="16170" xr:uid="{00000000-0005-0000-0000-00009E830000}"/>
    <cellStyle name="Normal 57 4 3 2 2 7 2 2" xfId="41044" xr:uid="{00000000-0005-0000-0000-00009F830000}"/>
    <cellStyle name="Normal 57 4 3 2 2 7 3" xfId="28603" xr:uid="{00000000-0005-0000-0000-0000A0830000}"/>
    <cellStyle name="Normal 57 4 3 2 2 8" xfId="13578" xr:uid="{00000000-0005-0000-0000-0000A1830000}"/>
    <cellStyle name="Normal 57 4 3 2 2 8 2" xfId="38452" xr:uid="{00000000-0005-0000-0000-0000A2830000}"/>
    <cellStyle name="Normal 57 4 3 2 2 9" xfId="26011" xr:uid="{00000000-0005-0000-0000-0000A3830000}"/>
    <cellStyle name="Normal 57 4 3 2 3" xfId="1861" xr:uid="{00000000-0005-0000-0000-0000A4830000}"/>
    <cellStyle name="Normal 57 4 3 2 3 2" xfId="4960" xr:uid="{00000000-0005-0000-0000-0000A5830000}"/>
    <cellStyle name="Normal 57 4 3 2 3 2 2" xfId="9977" xr:uid="{00000000-0005-0000-0000-0000A6830000}"/>
    <cellStyle name="Normal 57 4 3 2 3 2 2 2" xfId="22420" xr:uid="{00000000-0005-0000-0000-0000A7830000}"/>
    <cellStyle name="Normal 57 4 3 2 3 2 2 2 2" xfId="47294" xr:uid="{00000000-0005-0000-0000-0000A8830000}"/>
    <cellStyle name="Normal 57 4 3 2 3 2 2 3" xfId="34861" xr:uid="{00000000-0005-0000-0000-0000A9830000}"/>
    <cellStyle name="Normal 57 4 3 2 3 2 3" xfId="17413" xr:uid="{00000000-0005-0000-0000-0000AA830000}"/>
    <cellStyle name="Normal 57 4 3 2 3 2 3 2" xfId="42287" xr:uid="{00000000-0005-0000-0000-0000AB830000}"/>
    <cellStyle name="Normal 57 4 3 2 3 2 4" xfId="29854" xr:uid="{00000000-0005-0000-0000-0000AC830000}"/>
    <cellStyle name="Normal 57 4 3 2 3 3" xfId="6007" xr:uid="{00000000-0005-0000-0000-0000AD830000}"/>
    <cellStyle name="Normal 57 4 3 2 3 3 2" xfId="11022" xr:uid="{00000000-0005-0000-0000-0000AE830000}"/>
    <cellStyle name="Normal 57 4 3 2 3 3 2 2" xfId="23465" xr:uid="{00000000-0005-0000-0000-0000AF830000}"/>
    <cellStyle name="Normal 57 4 3 2 3 3 2 2 2" xfId="48339" xr:uid="{00000000-0005-0000-0000-0000B0830000}"/>
    <cellStyle name="Normal 57 4 3 2 3 3 2 3" xfId="35906" xr:uid="{00000000-0005-0000-0000-0000B1830000}"/>
    <cellStyle name="Normal 57 4 3 2 3 3 3" xfId="18458" xr:uid="{00000000-0005-0000-0000-0000B2830000}"/>
    <cellStyle name="Normal 57 4 3 2 3 3 3 2" xfId="43332" xr:uid="{00000000-0005-0000-0000-0000B3830000}"/>
    <cellStyle name="Normal 57 4 3 2 3 3 4" xfId="30899" xr:uid="{00000000-0005-0000-0000-0000B4830000}"/>
    <cellStyle name="Normal 57 4 3 2 3 4" xfId="8384" xr:uid="{00000000-0005-0000-0000-0000B5830000}"/>
    <cellStyle name="Normal 57 4 3 2 3 4 2" xfId="20828" xr:uid="{00000000-0005-0000-0000-0000B6830000}"/>
    <cellStyle name="Normal 57 4 3 2 3 4 2 2" xfId="45702" xr:uid="{00000000-0005-0000-0000-0000B7830000}"/>
    <cellStyle name="Normal 57 4 3 2 3 4 3" xfId="33269" xr:uid="{00000000-0005-0000-0000-0000B8830000}"/>
    <cellStyle name="Normal 57 4 3 2 3 5" xfId="12476" xr:uid="{00000000-0005-0000-0000-0000B9830000}"/>
    <cellStyle name="Normal 57 4 3 2 3 5 2" xfId="24910" xr:uid="{00000000-0005-0000-0000-0000BA830000}"/>
    <cellStyle name="Normal 57 4 3 2 3 5 2 2" xfId="49784" xr:uid="{00000000-0005-0000-0000-0000BB830000}"/>
    <cellStyle name="Normal 57 4 3 2 3 5 3" xfId="37351" xr:uid="{00000000-0005-0000-0000-0000BC830000}"/>
    <cellStyle name="Normal 57 4 3 2 3 6" xfId="7571" xr:uid="{00000000-0005-0000-0000-0000BD830000}"/>
    <cellStyle name="Normal 57 4 3 2 3 6 2" xfId="20019" xr:uid="{00000000-0005-0000-0000-0000BE830000}"/>
    <cellStyle name="Normal 57 4 3 2 3 6 2 2" xfId="44893" xr:uid="{00000000-0005-0000-0000-0000BF830000}"/>
    <cellStyle name="Normal 57 4 3 2 3 6 3" xfId="32460" xr:uid="{00000000-0005-0000-0000-0000C0830000}"/>
    <cellStyle name="Normal 57 4 3 2 3 7" xfId="3315" xr:uid="{00000000-0005-0000-0000-0000C1830000}"/>
    <cellStyle name="Normal 57 4 3 2 3 7 2" xfId="15821" xr:uid="{00000000-0005-0000-0000-0000C2830000}"/>
    <cellStyle name="Normal 57 4 3 2 3 7 2 2" xfId="40695" xr:uid="{00000000-0005-0000-0000-0000C3830000}"/>
    <cellStyle name="Normal 57 4 3 2 3 7 3" xfId="28254" xr:uid="{00000000-0005-0000-0000-0000C4830000}"/>
    <cellStyle name="Normal 57 4 3 2 3 8" xfId="14661" xr:uid="{00000000-0005-0000-0000-0000C5830000}"/>
    <cellStyle name="Normal 57 4 3 2 3 8 2" xfId="39535" xr:uid="{00000000-0005-0000-0000-0000C6830000}"/>
    <cellStyle name="Normal 57 4 3 2 3 9" xfId="27094" xr:uid="{00000000-0005-0000-0000-0000C7830000}"/>
    <cellStyle name="Normal 57 4 3 2 4" xfId="2334" xr:uid="{00000000-0005-0000-0000-0000C8830000}"/>
    <cellStyle name="Normal 57 4 3 2 4 2" xfId="6358" xr:uid="{00000000-0005-0000-0000-0000C9830000}"/>
    <cellStyle name="Normal 57 4 3 2 4 2 2" xfId="11373" xr:uid="{00000000-0005-0000-0000-0000CA830000}"/>
    <cellStyle name="Normal 57 4 3 2 4 2 2 2" xfId="23816" xr:uid="{00000000-0005-0000-0000-0000CB830000}"/>
    <cellStyle name="Normal 57 4 3 2 4 2 2 2 2" xfId="48690" xr:uid="{00000000-0005-0000-0000-0000CC830000}"/>
    <cellStyle name="Normal 57 4 3 2 4 2 2 3" xfId="36257" xr:uid="{00000000-0005-0000-0000-0000CD830000}"/>
    <cellStyle name="Normal 57 4 3 2 4 2 3" xfId="18809" xr:uid="{00000000-0005-0000-0000-0000CE830000}"/>
    <cellStyle name="Normal 57 4 3 2 4 2 3 2" xfId="43683" xr:uid="{00000000-0005-0000-0000-0000CF830000}"/>
    <cellStyle name="Normal 57 4 3 2 4 2 4" xfId="31250" xr:uid="{00000000-0005-0000-0000-0000D0830000}"/>
    <cellStyle name="Normal 57 4 3 2 4 3" xfId="12827" xr:uid="{00000000-0005-0000-0000-0000D1830000}"/>
    <cellStyle name="Normal 57 4 3 2 4 3 2" xfId="25261" xr:uid="{00000000-0005-0000-0000-0000D2830000}"/>
    <cellStyle name="Normal 57 4 3 2 4 3 2 2" xfId="50135" xr:uid="{00000000-0005-0000-0000-0000D3830000}"/>
    <cellStyle name="Normal 57 4 3 2 4 3 3" xfId="37702" xr:uid="{00000000-0005-0000-0000-0000D4830000}"/>
    <cellStyle name="Normal 57 4 3 2 4 4" xfId="9268" xr:uid="{00000000-0005-0000-0000-0000D5830000}"/>
    <cellStyle name="Normal 57 4 3 2 4 4 2" xfId="21711" xr:uid="{00000000-0005-0000-0000-0000D6830000}"/>
    <cellStyle name="Normal 57 4 3 2 4 4 2 2" xfId="46585" xr:uid="{00000000-0005-0000-0000-0000D7830000}"/>
    <cellStyle name="Normal 57 4 3 2 4 4 3" xfId="34152" xr:uid="{00000000-0005-0000-0000-0000D8830000}"/>
    <cellStyle name="Normal 57 4 3 2 4 5" xfId="4250" xr:uid="{00000000-0005-0000-0000-0000D9830000}"/>
    <cellStyle name="Normal 57 4 3 2 4 5 2" xfId="16704" xr:uid="{00000000-0005-0000-0000-0000DA830000}"/>
    <cellStyle name="Normal 57 4 3 2 4 5 2 2" xfId="41578" xr:uid="{00000000-0005-0000-0000-0000DB830000}"/>
    <cellStyle name="Normal 57 4 3 2 4 5 3" xfId="29145" xr:uid="{00000000-0005-0000-0000-0000DC830000}"/>
    <cellStyle name="Normal 57 4 3 2 4 6" xfId="15012" xr:uid="{00000000-0005-0000-0000-0000DD830000}"/>
    <cellStyle name="Normal 57 4 3 2 4 6 2" xfId="39886" xr:uid="{00000000-0005-0000-0000-0000DE830000}"/>
    <cellStyle name="Normal 57 4 3 2 4 7" xfId="27445" xr:uid="{00000000-0005-0000-0000-0000DF830000}"/>
    <cellStyle name="Normal 57 4 3 2 5" xfId="1169" xr:uid="{00000000-0005-0000-0000-0000E0830000}"/>
    <cellStyle name="Normal 57 4 3 2 5 2" xfId="10330" xr:uid="{00000000-0005-0000-0000-0000E1830000}"/>
    <cellStyle name="Normal 57 4 3 2 5 2 2" xfId="22773" xr:uid="{00000000-0005-0000-0000-0000E2830000}"/>
    <cellStyle name="Normal 57 4 3 2 5 2 2 2" xfId="47647" xr:uid="{00000000-0005-0000-0000-0000E3830000}"/>
    <cellStyle name="Normal 57 4 3 2 5 2 3" xfId="35214" xr:uid="{00000000-0005-0000-0000-0000E4830000}"/>
    <cellStyle name="Normal 57 4 3 2 5 3" xfId="5314" xr:uid="{00000000-0005-0000-0000-0000E5830000}"/>
    <cellStyle name="Normal 57 4 3 2 5 3 2" xfId="17766" xr:uid="{00000000-0005-0000-0000-0000E6830000}"/>
    <cellStyle name="Normal 57 4 3 2 5 3 2 2" xfId="42640" xr:uid="{00000000-0005-0000-0000-0000E7830000}"/>
    <cellStyle name="Normal 57 4 3 2 5 3 3" xfId="30207" xr:uid="{00000000-0005-0000-0000-0000E8830000}"/>
    <cellStyle name="Normal 57 4 3 2 5 4" xfId="13969" xr:uid="{00000000-0005-0000-0000-0000E9830000}"/>
    <cellStyle name="Normal 57 4 3 2 5 4 2" xfId="38843" xr:uid="{00000000-0005-0000-0000-0000EA830000}"/>
    <cellStyle name="Normal 57 4 3 2 5 5" xfId="26402" xr:uid="{00000000-0005-0000-0000-0000EB830000}"/>
    <cellStyle name="Normal 57 4 3 2 6" xfId="7891" xr:uid="{00000000-0005-0000-0000-0000EC830000}"/>
    <cellStyle name="Normal 57 4 3 2 6 2" xfId="20337" xr:uid="{00000000-0005-0000-0000-0000ED830000}"/>
    <cellStyle name="Normal 57 4 3 2 6 2 2" xfId="45211" xr:uid="{00000000-0005-0000-0000-0000EE830000}"/>
    <cellStyle name="Normal 57 4 3 2 6 3" xfId="32778" xr:uid="{00000000-0005-0000-0000-0000EF830000}"/>
    <cellStyle name="Normal 57 4 3 2 7" xfId="11784" xr:uid="{00000000-0005-0000-0000-0000F0830000}"/>
    <cellStyle name="Normal 57 4 3 2 7 2" xfId="24218" xr:uid="{00000000-0005-0000-0000-0000F1830000}"/>
    <cellStyle name="Normal 57 4 3 2 7 2 2" xfId="49092" xr:uid="{00000000-0005-0000-0000-0000F2830000}"/>
    <cellStyle name="Normal 57 4 3 2 7 3" xfId="36659" xr:uid="{00000000-0005-0000-0000-0000F3830000}"/>
    <cellStyle name="Normal 57 4 3 2 8" xfId="6861" xr:uid="{00000000-0005-0000-0000-0000F4830000}"/>
    <cellStyle name="Normal 57 4 3 2 8 2" xfId="19310" xr:uid="{00000000-0005-0000-0000-0000F5830000}"/>
    <cellStyle name="Normal 57 4 3 2 8 2 2" xfId="44184" xr:uid="{00000000-0005-0000-0000-0000F6830000}"/>
    <cellStyle name="Normal 57 4 3 2 8 3" xfId="31751" xr:uid="{00000000-0005-0000-0000-0000F7830000}"/>
    <cellStyle name="Normal 57 4 3 2 9" xfId="2812" xr:uid="{00000000-0005-0000-0000-0000F8830000}"/>
    <cellStyle name="Normal 57 4 3 2 9 2" xfId="15330" xr:uid="{00000000-0005-0000-0000-0000F9830000}"/>
    <cellStyle name="Normal 57 4 3 2 9 2 2" xfId="40204" xr:uid="{00000000-0005-0000-0000-0000FA830000}"/>
    <cellStyle name="Normal 57 4 3 2 9 3" xfId="27763" xr:uid="{00000000-0005-0000-0000-0000FB830000}"/>
    <cellStyle name="Normal 57 4 3 2_Degree data" xfId="2478" xr:uid="{00000000-0005-0000-0000-0000FC830000}"/>
    <cellStyle name="Normal 57 4 3 3" xfId="314" xr:uid="{00000000-0005-0000-0000-0000FD830000}"/>
    <cellStyle name="Normal 57 4 3 3 2" xfId="1512" xr:uid="{00000000-0005-0000-0000-0000FE830000}"/>
    <cellStyle name="Normal 57 4 3 3 2 2" xfId="9168" xr:uid="{00000000-0005-0000-0000-0000FF830000}"/>
    <cellStyle name="Normal 57 4 3 3 2 2 2" xfId="21611" xr:uid="{00000000-0005-0000-0000-000000840000}"/>
    <cellStyle name="Normal 57 4 3 3 2 2 2 2" xfId="46485" xr:uid="{00000000-0005-0000-0000-000001840000}"/>
    <cellStyle name="Normal 57 4 3 3 2 2 3" xfId="34052" xr:uid="{00000000-0005-0000-0000-000002840000}"/>
    <cellStyle name="Normal 57 4 3 3 2 3" xfId="4150" xr:uid="{00000000-0005-0000-0000-000003840000}"/>
    <cellStyle name="Normal 57 4 3 3 2 3 2" xfId="16604" xr:uid="{00000000-0005-0000-0000-000004840000}"/>
    <cellStyle name="Normal 57 4 3 3 2 3 2 2" xfId="41478" xr:uid="{00000000-0005-0000-0000-000005840000}"/>
    <cellStyle name="Normal 57 4 3 3 2 3 3" xfId="29045" xr:uid="{00000000-0005-0000-0000-000006840000}"/>
    <cellStyle name="Normal 57 4 3 3 2 4" xfId="14312" xr:uid="{00000000-0005-0000-0000-000007840000}"/>
    <cellStyle name="Normal 57 4 3 3 2 4 2" xfId="39186" xr:uid="{00000000-0005-0000-0000-000008840000}"/>
    <cellStyle name="Normal 57 4 3 3 2 5" xfId="26745" xr:uid="{00000000-0005-0000-0000-000009840000}"/>
    <cellStyle name="Normal 57 4 3 3 3" xfId="5657" xr:uid="{00000000-0005-0000-0000-00000A840000}"/>
    <cellStyle name="Normal 57 4 3 3 3 2" xfId="10673" xr:uid="{00000000-0005-0000-0000-00000B840000}"/>
    <cellStyle name="Normal 57 4 3 3 3 2 2" xfId="23116" xr:uid="{00000000-0005-0000-0000-00000C840000}"/>
    <cellStyle name="Normal 57 4 3 3 3 2 2 2" xfId="47990" xr:uid="{00000000-0005-0000-0000-00000D840000}"/>
    <cellStyle name="Normal 57 4 3 3 3 2 3" xfId="35557" xr:uid="{00000000-0005-0000-0000-00000E840000}"/>
    <cellStyle name="Normal 57 4 3 3 3 3" xfId="18109" xr:uid="{00000000-0005-0000-0000-00000F840000}"/>
    <cellStyle name="Normal 57 4 3 3 3 3 2" xfId="42983" xr:uid="{00000000-0005-0000-0000-000010840000}"/>
    <cellStyle name="Normal 57 4 3 3 3 4" xfId="30550" xr:uid="{00000000-0005-0000-0000-000011840000}"/>
    <cellStyle name="Normal 57 4 3 3 4" xfId="8284" xr:uid="{00000000-0005-0000-0000-000012840000}"/>
    <cellStyle name="Normal 57 4 3 3 4 2" xfId="20728" xr:uid="{00000000-0005-0000-0000-000013840000}"/>
    <cellStyle name="Normal 57 4 3 3 4 2 2" xfId="45602" xr:uid="{00000000-0005-0000-0000-000014840000}"/>
    <cellStyle name="Normal 57 4 3 3 4 3" xfId="33169" xr:uid="{00000000-0005-0000-0000-000015840000}"/>
    <cellStyle name="Normal 57 4 3 3 5" xfId="12127" xr:uid="{00000000-0005-0000-0000-000016840000}"/>
    <cellStyle name="Normal 57 4 3 3 5 2" xfId="24561" xr:uid="{00000000-0005-0000-0000-000017840000}"/>
    <cellStyle name="Normal 57 4 3 3 5 2 2" xfId="49435" xr:uid="{00000000-0005-0000-0000-000018840000}"/>
    <cellStyle name="Normal 57 4 3 3 5 3" xfId="37002" xr:uid="{00000000-0005-0000-0000-000019840000}"/>
    <cellStyle name="Normal 57 4 3 3 6" xfId="6761" xr:uid="{00000000-0005-0000-0000-00001A840000}"/>
    <cellStyle name="Normal 57 4 3 3 6 2" xfId="19210" xr:uid="{00000000-0005-0000-0000-00001B840000}"/>
    <cellStyle name="Normal 57 4 3 3 6 2 2" xfId="44084" xr:uid="{00000000-0005-0000-0000-00001C840000}"/>
    <cellStyle name="Normal 57 4 3 3 6 3" xfId="31651" xr:uid="{00000000-0005-0000-0000-00001D840000}"/>
    <cellStyle name="Normal 57 4 3 3 7" xfId="3215" xr:uid="{00000000-0005-0000-0000-00001E840000}"/>
    <cellStyle name="Normal 57 4 3 3 7 2" xfId="15721" xr:uid="{00000000-0005-0000-0000-00001F840000}"/>
    <cellStyle name="Normal 57 4 3 3 7 2 2" xfId="40595" xr:uid="{00000000-0005-0000-0000-000020840000}"/>
    <cellStyle name="Normal 57 4 3 3 7 3" xfId="28154" xr:uid="{00000000-0005-0000-0000-000021840000}"/>
    <cellStyle name="Normal 57 4 3 3 8" xfId="13131" xr:uid="{00000000-0005-0000-0000-000022840000}"/>
    <cellStyle name="Normal 57 4 3 3 8 2" xfId="38005" xr:uid="{00000000-0005-0000-0000-000023840000}"/>
    <cellStyle name="Normal 57 4 3 3 9" xfId="25564" xr:uid="{00000000-0005-0000-0000-000024840000}"/>
    <cellStyle name="Normal 57 4 3 4" xfId="675" xr:uid="{00000000-0005-0000-0000-000025840000}"/>
    <cellStyle name="Normal 57 4 3 4 2" xfId="1860" xr:uid="{00000000-0005-0000-0000-000026840000}"/>
    <cellStyle name="Normal 57 4 3 4 2 2" xfId="9616" xr:uid="{00000000-0005-0000-0000-000027840000}"/>
    <cellStyle name="Normal 57 4 3 4 2 2 2" xfId="22059" xr:uid="{00000000-0005-0000-0000-000028840000}"/>
    <cellStyle name="Normal 57 4 3 4 2 2 2 2" xfId="46933" xr:uid="{00000000-0005-0000-0000-000029840000}"/>
    <cellStyle name="Normal 57 4 3 4 2 2 3" xfId="34500" xr:uid="{00000000-0005-0000-0000-00002A840000}"/>
    <cellStyle name="Normal 57 4 3 4 2 3" xfId="4598" xr:uid="{00000000-0005-0000-0000-00002B840000}"/>
    <cellStyle name="Normal 57 4 3 4 2 3 2" xfId="17052" xr:uid="{00000000-0005-0000-0000-00002C840000}"/>
    <cellStyle name="Normal 57 4 3 4 2 3 2 2" xfId="41926" xr:uid="{00000000-0005-0000-0000-00002D840000}"/>
    <cellStyle name="Normal 57 4 3 4 2 3 3" xfId="29493" xr:uid="{00000000-0005-0000-0000-00002E840000}"/>
    <cellStyle name="Normal 57 4 3 4 2 4" xfId="14660" xr:uid="{00000000-0005-0000-0000-00002F840000}"/>
    <cellStyle name="Normal 57 4 3 4 2 4 2" xfId="39534" xr:uid="{00000000-0005-0000-0000-000030840000}"/>
    <cellStyle name="Normal 57 4 3 4 2 5" xfId="27093" xr:uid="{00000000-0005-0000-0000-000031840000}"/>
    <cellStyle name="Normal 57 4 3 4 3" xfId="6006" xr:uid="{00000000-0005-0000-0000-000032840000}"/>
    <cellStyle name="Normal 57 4 3 4 3 2" xfId="11021" xr:uid="{00000000-0005-0000-0000-000033840000}"/>
    <cellStyle name="Normal 57 4 3 4 3 2 2" xfId="23464" xr:uid="{00000000-0005-0000-0000-000034840000}"/>
    <cellStyle name="Normal 57 4 3 4 3 2 2 2" xfId="48338" xr:uid="{00000000-0005-0000-0000-000035840000}"/>
    <cellStyle name="Normal 57 4 3 4 3 2 3" xfId="35905" xr:uid="{00000000-0005-0000-0000-000036840000}"/>
    <cellStyle name="Normal 57 4 3 4 3 3" xfId="18457" xr:uid="{00000000-0005-0000-0000-000037840000}"/>
    <cellStyle name="Normal 57 4 3 4 3 3 2" xfId="43331" xr:uid="{00000000-0005-0000-0000-000038840000}"/>
    <cellStyle name="Normal 57 4 3 4 3 4" xfId="30898" xr:uid="{00000000-0005-0000-0000-000039840000}"/>
    <cellStyle name="Normal 57 4 3 4 4" xfId="8732" xr:uid="{00000000-0005-0000-0000-00003A840000}"/>
    <cellStyle name="Normal 57 4 3 4 4 2" xfId="21176" xr:uid="{00000000-0005-0000-0000-00003B840000}"/>
    <cellStyle name="Normal 57 4 3 4 4 2 2" xfId="46050" xr:uid="{00000000-0005-0000-0000-00003C840000}"/>
    <cellStyle name="Normal 57 4 3 4 4 3" xfId="33617" xr:uid="{00000000-0005-0000-0000-00003D840000}"/>
    <cellStyle name="Normal 57 4 3 4 5" xfId="12475" xr:uid="{00000000-0005-0000-0000-00003E840000}"/>
    <cellStyle name="Normal 57 4 3 4 5 2" xfId="24909" xr:uid="{00000000-0005-0000-0000-00003F840000}"/>
    <cellStyle name="Normal 57 4 3 4 5 2 2" xfId="49783" xr:uid="{00000000-0005-0000-0000-000040840000}"/>
    <cellStyle name="Normal 57 4 3 4 5 3" xfId="37350" xr:uid="{00000000-0005-0000-0000-000041840000}"/>
    <cellStyle name="Normal 57 4 3 4 6" xfId="7209" xr:uid="{00000000-0005-0000-0000-000042840000}"/>
    <cellStyle name="Normal 57 4 3 4 6 2" xfId="19658" xr:uid="{00000000-0005-0000-0000-000043840000}"/>
    <cellStyle name="Normal 57 4 3 4 6 2 2" xfId="44532" xr:uid="{00000000-0005-0000-0000-000044840000}"/>
    <cellStyle name="Normal 57 4 3 4 6 3" xfId="32099" xr:uid="{00000000-0005-0000-0000-000045840000}"/>
    <cellStyle name="Normal 57 4 3 4 7" xfId="3663" xr:uid="{00000000-0005-0000-0000-000046840000}"/>
    <cellStyle name="Normal 57 4 3 4 7 2" xfId="16169" xr:uid="{00000000-0005-0000-0000-000047840000}"/>
    <cellStyle name="Normal 57 4 3 4 7 2 2" xfId="41043" xr:uid="{00000000-0005-0000-0000-000048840000}"/>
    <cellStyle name="Normal 57 4 3 4 7 3" xfId="28602" xr:uid="{00000000-0005-0000-0000-000049840000}"/>
    <cellStyle name="Normal 57 4 3 4 8" xfId="13478" xr:uid="{00000000-0005-0000-0000-00004A840000}"/>
    <cellStyle name="Normal 57 4 3 4 8 2" xfId="38352" xr:uid="{00000000-0005-0000-0000-00004B840000}"/>
    <cellStyle name="Normal 57 4 3 4 9" xfId="25911" xr:uid="{00000000-0005-0000-0000-00004C840000}"/>
    <cellStyle name="Normal 57 4 3 5" xfId="2232" xr:uid="{00000000-0005-0000-0000-00004D840000}"/>
    <cellStyle name="Normal 57 4 3 5 2" xfId="4860" xr:uid="{00000000-0005-0000-0000-00004E840000}"/>
    <cellStyle name="Normal 57 4 3 5 2 2" xfId="9877" xr:uid="{00000000-0005-0000-0000-00004F840000}"/>
    <cellStyle name="Normal 57 4 3 5 2 2 2" xfId="22320" xr:uid="{00000000-0005-0000-0000-000050840000}"/>
    <cellStyle name="Normal 57 4 3 5 2 2 2 2" xfId="47194" xr:uid="{00000000-0005-0000-0000-000051840000}"/>
    <cellStyle name="Normal 57 4 3 5 2 2 3" xfId="34761" xr:uid="{00000000-0005-0000-0000-000052840000}"/>
    <cellStyle name="Normal 57 4 3 5 2 3" xfId="17313" xr:uid="{00000000-0005-0000-0000-000053840000}"/>
    <cellStyle name="Normal 57 4 3 5 2 3 2" xfId="42187" xr:uid="{00000000-0005-0000-0000-000054840000}"/>
    <cellStyle name="Normal 57 4 3 5 2 4" xfId="29754" xr:uid="{00000000-0005-0000-0000-000055840000}"/>
    <cellStyle name="Normal 57 4 3 5 3" xfId="6258" xr:uid="{00000000-0005-0000-0000-000056840000}"/>
    <cellStyle name="Normal 57 4 3 5 3 2" xfId="11273" xr:uid="{00000000-0005-0000-0000-000057840000}"/>
    <cellStyle name="Normal 57 4 3 5 3 2 2" xfId="23716" xr:uid="{00000000-0005-0000-0000-000058840000}"/>
    <cellStyle name="Normal 57 4 3 5 3 2 2 2" xfId="48590" xr:uid="{00000000-0005-0000-0000-000059840000}"/>
    <cellStyle name="Normal 57 4 3 5 3 2 3" xfId="36157" xr:uid="{00000000-0005-0000-0000-00005A840000}"/>
    <cellStyle name="Normal 57 4 3 5 3 3" xfId="18709" xr:uid="{00000000-0005-0000-0000-00005B840000}"/>
    <cellStyle name="Normal 57 4 3 5 3 3 2" xfId="43583" xr:uid="{00000000-0005-0000-0000-00005C840000}"/>
    <cellStyle name="Normal 57 4 3 5 3 4" xfId="31150" xr:uid="{00000000-0005-0000-0000-00005D840000}"/>
    <cellStyle name="Normal 57 4 3 5 4" xfId="8065" xr:uid="{00000000-0005-0000-0000-00005E840000}"/>
    <cellStyle name="Normal 57 4 3 5 4 2" xfId="20511" xr:uid="{00000000-0005-0000-0000-00005F840000}"/>
    <cellStyle name="Normal 57 4 3 5 4 2 2" xfId="45385" xr:uid="{00000000-0005-0000-0000-000060840000}"/>
    <cellStyle name="Normal 57 4 3 5 4 3" xfId="32952" xr:uid="{00000000-0005-0000-0000-000061840000}"/>
    <cellStyle name="Normal 57 4 3 5 5" xfId="12727" xr:uid="{00000000-0005-0000-0000-000062840000}"/>
    <cellStyle name="Normal 57 4 3 5 5 2" xfId="25161" xr:uid="{00000000-0005-0000-0000-000063840000}"/>
    <cellStyle name="Normal 57 4 3 5 5 2 2" xfId="50035" xr:uid="{00000000-0005-0000-0000-000064840000}"/>
    <cellStyle name="Normal 57 4 3 5 5 3" xfId="37602" xr:uid="{00000000-0005-0000-0000-000065840000}"/>
    <cellStyle name="Normal 57 4 3 5 6" xfId="7471" xr:uid="{00000000-0005-0000-0000-000066840000}"/>
    <cellStyle name="Normal 57 4 3 5 6 2" xfId="19919" xr:uid="{00000000-0005-0000-0000-000067840000}"/>
    <cellStyle name="Normal 57 4 3 5 6 2 2" xfId="44793" xr:uid="{00000000-0005-0000-0000-000068840000}"/>
    <cellStyle name="Normal 57 4 3 5 6 3" xfId="32360" xr:uid="{00000000-0005-0000-0000-000069840000}"/>
    <cellStyle name="Normal 57 4 3 5 7" xfId="2994" xr:uid="{00000000-0005-0000-0000-00006A840000}"/>
    <cellStyle name="Normal 57 4 3 5 7 2" xfId="15504" xr:uid="{00000000-0005-0000-0000-00006B840000}"/>
    <cellStyle name="Normal 57 4 3 5 7 2 2" xfId="40378" xr:uid="{00000000-0005-0000-0000-00006C840000}"/>
    <cellStyle name="Normal 57 4 3 5 7 3" xfId="27937" xr:uid="{00000000-0005-0000-0000-00006D840000}"/>
    <cellStyle name="Normal 57 4 3 5 8" xfId="14912" xr:uid="{00000000-0005-0000-0000-00006E840000}"/>
    <cellStyle name="Normal 57 4 3 5 8 2" xfId="39786" xr:uid="{00000000-0005-0000-0000-00006F840000}"/>
    <cellStyle name="Normal 57 4 3 5 9" xfId="27345" xr:uid="{00000000-0005-0000-0000-000070840000}"/>
    <cellStyle name="Normal 57 4 3 6" xfId="1069" xr:uid="{00000000-0005-0000-0000-000071840000}"/>
    <cellStyle name="Normal 57 4 3 6 2" xfId="8951" xr:uid="{00000000-0005-0000-0000-000072840000}"/>
    <cellStyle name="Normal 57 4 3 6 2 2" xfId="21394" xr:uid="{00000000-0005-0000-0000-000073840000}"/>
    <cellStyle name="Normal 57 4 3 6 2 2 2" xfId="46268" xr:uid="{00000000-0005-0000-0000-000074840000}"/>
    <cellStyle name="Normal 57 4 3 6 2 3" xfId="33835" xr:uid="{00000000-0005-0000-0000-000075840000}"/>
    <cellStyle name="Normal 57 4 3 6 3" xfId="3933" xr:uid="{00000000-0005-0000-0000-000076840000}"/>
    <cellStyle name="Normal 57 4 3 6 3 2" xfId="16387" xr:uid="{00000000-0005-0000-0000-000077840000}"/>
    <cellStyle name="Normal 57 4 3 6 3 2 2" xfId="41261" xr:uid="{00000000-0005-0000-0000-000078840000}"/>
    <cellStyle name="Normal 57 4 3 6 3 3" xfId="28828" xr:uid="{00000000-0005-0000-0000-000079840000}"/>
    <cellStyle name="Normal 57 4 3 6 4" xfId="13869" xr:uid="{00000000-0005-0000-0000-00007A840000}"/>
    <cellStyle name="Normal 57 4 3 6 4 2" xfId="38743" xr:uid="{00000000-0005-0000-0000-00007B840000}"/>
    <cellStyle name="Normal 57 4 3 6 5" xfId="26302" xr:uid="{00000000-0005-0000-0000-00007C840000}"/>
    <cellStyle name="Normal 57 4 3 7" xfId="5214" xr:uid="{00000000-0005-0000-0000-00007D840000}"/>
    <cellStyle name="Normal 57 4 3 7 2" xfId="10230" xr:uid="{00000000-0005-0000-0000-00007E840000}"/>
    <cellStyle name="Normal 57 4 3 7 2 2" xfId="22673" xr:uid="{00000000-0005-0000-0000-00007F840000}"/>
    <cellStyle name="Normal 57 4 3 7 2 2 2" xfId="47547" xr:uid="{00000000-0005-0000-0000-000080840000}"/>
    <cellStyle name="Normal 57 4 3 7 2 3" xfId="35114" xr:uid="{00000000-0005-0000-0000-000081840000}"/>
    <cellStyle name="Normal 57 4 3 7 3" xfId="17666" xr:uid="{00000000-0005-0000-0000-000082840000}"/>
    <cellStyle name="Normal 57 4 3 7 3 2" xfId="42540" xr:uid="{00000000-0005-0000-0000-000083840000}"/>
    <cellStyle name="Normal 57 4 3 7 4" xfId="30107" xr:uid="{00000000-0005-0000-0000-000084840000}"/>
    <cellStyle name="Normal 57 4 3 8" xfId="7791" xr:uid="{00000000-0005-0000-0000-000085840000}"/>
    <cellStyle name="Normal 57 4 3 8 2" xfId="20237" xr:uid="{00000000-0005-0000-0000-000086840000}"/>
    <cellStyle name="Normal 57 4 3 8 2 2" xfId="45111" xr:uid="{00000000-0005-0000-0000-000087840000}"/>
    <cellStyle name="Normal 57 4 3 8 3" xfId="32678" xr:uid="{00000000-0005-0000-0000-000088840000}"/>
    <cellStyle name="Normal 57 4 3 9" xfId="11684" xr:uid="{00000000-0005-0000-0000-000089840000}"/>
    <cellStyle name="Normal 57 4 3 9 2" xfId="24118" xr:uid="{00000000-0005-0000-0000-00008A840000}"/>
    <cellStyle name="Normal 57 4 3 9 2 2" xfId="48992" xr:uid="{00000000-0005-0000-0000-00008B840000}"/>
    <cellStyle name="Normal 57 4 3 9 3" xfId="36559" xr:uid="{00000000-0005-0000-0000-00008C840000}"/>
    <cellStyle name="Normal 57 4 3_Degree data" xfId="2477" xr:uid="{00000000-0005-0000-0000-00008D840000}"/>
    <cellStyle name="Normal 57 4 4" xfId="253" xr:uid="{00000000-0005-0000-0000-00008E840000}"/>
    <cellStyle name="Normal 57 4 4 10" xfId="6593" xr:uid="{00000000-0005-0000-0000-00008F840000}"/>
    <cellStyle name="Normal 57 4 4 10 2" xfId="19042" xr:uid="{00000000-0005-0000-0000-000090840000}"/>
    <cellStyle name="Normal 57 4 4 10 2 2" xfId="43916" xr:uid="{00000000-0005-0000-0000-000091840000}"/>
    <cellStyle name="Normal 57 4 4 10 3" xfId="31483" xr:uid="{00000000-0005-0000-0000-000092840000}"/>
    <cellStyle name="Normal 57 4 4 11" xfId="2656" xr:uid="{00000000-0005-0000-0000-000093840000}"/>
    <cellStyle name="Normal 57 4 4 11 2" xfId="15174" xr:uid="{00000000-0005-0000-0000-000094840000}"/>
    <cellStyle name="Normal 57 4 4 11 2 2" xfId="40048" xr:uid="{00000000-0005-0000-0000-000095840000}"/>
    <cellStyle name="Normal 57 4 4 11 3" xfId="27607" xr:uid="{00000000-0005-0000-0000-000096840000}"/>
    <cellStyle name="Normal 57 4 4 12" xfId="13075" xr:uid="{00000000-0005-0000-0000-000097840000}"/>
    <cellStyle name="Normal 57 4 4 12 2" xfId="37949" xr:uid="{00000000-0005-0000-0000-000098840000}"/>
    <cellStyle name="Normal 57 4 4 13" xfId="25508" xr:uid="{00000000-0005-0000-0000-000099840000}"/>
    <cellStyle name="Normal 57 4 4 2" xfId="467" xr:uid="{00000000-0005-0000-0000-00009A840000}"/>
    <cellStyle name="Normal 57 4 4 2 10" xfId="13280" xr:uid="{00000000-0005-0000-0000-00009B840000}"/>
    <cellStyle name="Normal 57 4 4 2 10 2" xfId="38154" xr:uid="{00000000-0005-0000-0000-00009C840000}"/>
    <cellStyle name="Normal 57 4 4 2 11" xfId="25713" xr:uid="{00000000-0005-0000-0000-00009D840000}"/>
    <cellStyle name="Normal 57 4 4 2 2" xfId="826" xr:uid="{00000000-0005-0000-0000-00009E840000}"/>
    <cellStyle name="Normal 57 4 4 2 2 2" xfId="1515" xr:uid="{00000000-0005-0000-0000-00009F840000}"/>
    <cellStyle name="Normal 57 4 4 2 2 2 2" xfId="9619" xr:uid="{00000000-0005-0000-0000-0000A0840000}"/>
    <cellStyle name="Normal 57 4 4 2 2 2 2 2" xfId="22062" xr:uid="{00000000-0005-0000-0000-0000A1840000}"/>
    <cellStyle name="Normal 57 4 4 2 2 2 2 2 2" xfId="46936" xr:uid="{00000000-0005-0000-0000-0000A2840000}"/>
    <cellStyle name="Normal 57 4 4 2 2 2 2 3" xfId="34503" xr:uid="{00000000-0005-0000-0000-0000A3840000}"/>
    <cellStyle name="Normal 57 4 4 2 2 2 3" xfId="4601" xr:uid="{00000000-0005-0000-0000-0000A4840000}"/>
    <cellStyle name="Normal 57 4 4 2 2 2 3 2" xfId="17055" xr:uid="{00000000-0005-0000-0000-0000A5840000}"/>
    <cellStyle name="Normal 57 4 4 2 2 2 3 2 2" xfId="41929" xr:uid="{00000000-0005-0000-0000-0000A6840000}"/>
    <cellStyle name="Normal 57 4 4 2 2 2 3 3" xfId="29496" xr:uid="{00000000-0005-0000-0000-0000A7840000}"/>
    <cellStyle name="Normal 57 4 4 2 2 2 4" xfId="14315" xr:uid="{00000000-0005-0000-0000-0000A8840000}"/>
    <cellStyle name="Normal 57 4 4 2 2 2 4 2" xfId="39189" xr:uid="{00000000-0005-0000-0000-0000A9840000}"/>
    <cellStyle name="Normal 57 4 4 2 2 2 5" xfId="26748" xr:uid="{00000000-0005-0000-0000-0000AA840000}"/>
    <cellStyle name="Normal 57 4 4 2 2 3" xfId="5660" xr:uid="{00000000-0005-0000-0000-0000AB840000}"/>
    <cellStyle name="Normal 57 4 4 2 2 3 2" xfId="10676" xr:uid="{00000000-0005-0000-0000-0000AC840000}"/>
    <cellStyle name="Normal 57 4 4 2 2 3 2 2" xfId="23119" xr:uid="{00000000-0005-0000-0000-0000AD840000}"/>
    <cellStyle name="Normal 57 4 4 2 2 3 2 2 2" xfId="47993" xr:uid="{00000000-0005-0000-0000-0000AE840000}"/>
    <cellStyle name="Normal 57 4 4 2 2 3 2 3" xfId="35560" xr:uid="{00000000-0005-0000-0000-0000AF840000}"/>
    <cellStyle name="Normal 57 4 4 2 2 3 3" xfId="18112" xr:uid="{00000000-0005-0000-0000-0000B0840000}"/>
    <cellStyle name="Normal 57 4 4 2 2 3 3 2" xfId="42986" xr:uid="{00000000-0005-0000-0000-0000B1840000}"/>
    <cellStyle name="Normal 57 4 4 2 2 3 4" xfId="30553" xr:uid="{00000000-0005-0000-0000-0000B2840000}"/>
    <cellStyle name="Normal 57 4 4 2 2 4" xfId="8735" xr:uid="{00000000-0005-0000-0000-0000B3840000}"/>
    <cellStyle name="Normal 57 4 4 2 2 4 2" xfId="21179" xr:uid="{00000000-0005-0000-0000-0000B4840000}"/>
    <cellStyle name="Normal 57 4 4 2 2 4 2 2" xfId="46053" xr:uid="{00000000-0005-0000-0000-0000B5840000}"/>
    <cellStyle name="Normal 57 4 4 2 2 4 3" xfId="33620" xr:uid="{00000000-0005-0000-0000-0000B6840000}"/>
    <cellStyle name="Normal 57 4 4 2 2 5" xfId="12130" xr:uid="{00000000-0005-0000-0000-0000B7840000}"/>
    <cellStyle name="Normal 57 4 4 2 2 5 2" xfId="24564" xr:uid="{00000000-0005-0000-0000-0000B8840000}"/>
    <cellStyle name="Normal 57 4 4 2 2 5 2 2" xfId="49438" xr:uid="{00000000-0005-0000-0000-0000B9840000}"/>
    <cellStyle name="Normal 57 4 4 2 2 5 3" xfId="37005" xr:uid="{00000000-0005-0000-0000-0000BA840000}"/>
    <cellStyle name="Normal 57 4 4 2 2 6" xfId="7212" xr:uid="{00000000-0005-0000-0000-0000BB840000}"/>
    <cellStyle name="Normal 57 4 4 2 2 6 2" xfId="19661" xr:uid="{00000000-0005-0000-0000-0000BC840000}"/>
    <cellStyle name="Normal 57 4 4 2 2 6 2 2" xfId="44535" xr:uid="{00000000-0005-0000-0000-0000BD840000}"/>
    <cellStyle name="Normal 57 4 4 2 2 6 3" xfId="32102" xr:uid="{00000000-0005-0000-0000-0000BE840000}"/>
    <cellStyle name="Normal 57 4 4 2 2 7" xfId="3666" xr:uid="{00000000-0005-0000-0000-0000BF840000}"/>
    <cellStyle name="Normal 57 4 4 2 2 7 2" xfId="16172" xr:uid="{00000000-0005-0000-0000-0000C0840000}"/>
    <cellStyle name="Normal 57 4 4 2 2 7 2 2" xfId="41046" xr:uid="{00000000-0005-0000-0000-0000C1840000}"/>
    <cellStyle name="Normal 57 4 4 2 2 7 3" xfId="28605" xr:uid="{00000000-0005-0000-0000-0000C2840000}"/>
    <cellStyle name="Normal 57 4 4 2 2 8" xfId="13627" xr:uid="{00000000-0005-0000-0000-0000C3840000}"/>
    <cellStyle name="Normal 57 4 4 2 2 8 2" xfId="38501" xr:uid="{00000000-0005-0000-0000-0000C4840000}"/>
    <cellStyle name="Normal 57 4 4 2 2 9" xfId="26060" xr:uid="{00000000-0005-0000-0000-0000C5840000}"/>
    <cellStyle name="Normal 57 4 4 2 3" xfId="1863" xr:uid="{00000000-0005-0000-0000-0000C6840000}"/>
    <cellStyle name="Normal 57 4 4 2 3 2" xfId="5009" xr:uid="{00000000-0005-0000-0000-0000C7840000}"/>
    <cellStyle name="Normal 57 4 4 2 3 2 2" xfId="10026" xr:uid="{00000000-0005-0000-0000-0000C8840000}"/>
    <cellStyle name="Normal 57 4 4 2 3 2 2 2" xfId="22469" xr:uid="{00000000-0005-0000-0000-0000C9840000}"/>
    <cellStyle name="Normal 57 4 4 2 3 2 2 2 2" xfId="47343" xr:uid="{00000000-0005-0000-0000-0000CA840000}"/>
    <cellStyle name="Normal 57 4 4 2 3 2 2 3" xfId="34910" xr:uid="{00000000-0005-0000-0000-0000CB840000}"/>
    <cellStyle name="Normal 57 4 4 2 3 2 3" xfId="17462" xr:uid="{00000000-0005-0000-0000-0000CC840000}"/>
    <cellStyle name="Normal 57 4 4 2 3 2 3 2" xfId="42336" xr:uid="{00000000-0005-0000-0000-0000CD840000}"/>
    <cellStyle name="Normal 57 4 4 2 3 2 4" xfId="29903" xr:uid="{00000000-0005-0000-0000-0000CE840000}"/>
    <cellStyle name="Normal 57 4 4 2 3 3" xfId="6009" xr:uid="{00000000-0005-0000-0000-0000CF840000}"/>
    <cellStyle name="Normal 57 4 4 2 3 3 2" xfId="11024" xr:uid="{00000000-0005-0000-0000-0000D0840000}"/>
    <cellStyle name="Normal 57 4 4 2 3 3 2 2" xfId="23467" xr:uid="{00000000-0005-0000-0000-0000D1840000}"/>
    <cellStyle name="Normal 57 4 4 2 3 3 2 2 2" xfId="48341" xr:uid="{00000000-0005-0000-0000-0000D2840000}"/>
    <cellStyle name="Normal 57 4 4 2 3 3 2 3" xfId="35908" xr:uid="{00000000-0005-0000-0000-0000D3840000}"/>
    <cellStyle name="Normal 57 4 4 2 3 3 3" xfId="18460" xr:uid="{00000000-0005-0000-0000-0000D4840000}"/>
    <cellStyle name="Normal 57 4 4 2 3 3 3 2" xfId="43334" xr:uid="{00000000-0005-0000-0000-0000D5840000}"/>
    <cellStyle name="Normal 57 4 4 2 3 3 4" xfId="30901" xr:uid="{00000000-0005-0000-0000-0000D6840000}"/>
    <cellStyle name="Normal 57 4 4 2 3 4" xfId="8433" xr:uid="{00000000-0005-0000-0000-0000D7840000}"/>
    <cellStyle name="Normal 57 4 4 2 3 4 2" xfId="20877" xr:uid="{00000000-0005-0000-0000-0000D8840000}"/>
    <cellStyle name="Normal 57 4 4 2 3 4 2 2" xfId="45751" xr:uid="{00000000-0005-0000-0000-0000D9840000}"/>
    <cellStyle name="Normal 57 4 4 2 3 4 3" xfId="33318" xr:uid="{00000000-0005-0000-0000-0000DA840000}"/>
    <cellStyle name="Normal 57 4 4 2 3 5" xfId="12478" xr:uid="{00000000-0005-0000-0000-0000DB840000}"/>
    <cellStyle name="Normal 57 4 4 2 3 5 2" xfId="24912" xr:uid="{00000000-0005-0000-0000-0000DC840000}"/>
    <cellStyle name="Normal 57 4 4 2 3 5 2 2" xfId="49786" xr:uid="{00000000-0005-0000-0000-0000DD840000}"/>
    <cellStyle name="Normal 57 4 4 2 3 5 3" xfId="37353" xr:uid="{00000000-0005-0000-0000-0000DE840000}"/>
    <cellStyle name="Normal 57 4 4 2 3 6" xfId="7620" xr:uid="{00000000-0005-0000-0000-0000DF840000}"/>
    <cellStyle name="Normal 57 4 4 2 3 6 2" xfId="20068" xr:uid="{00000000-0005-0000-0000-0000E0840000}"/>
    <cellStyle name="Normal 57 4 4 2 3 6 2 2" xfId="44942" xr:uid="{00000000-0005-0000-0000-0000E1840000}"/>
    <cellStyle name="Normal 57 4 4 2 3 6 3" xfId="32509" xr:uid="{00000000-0005-0000-0000-0000E2840000}"/>
    <cellStyle name="Normal 57 4 4 2 3 7" xfId="3364" xr:uid="{00000000-0005-0000-0000-0000E3840000}"/>
    <cellStyle name="Normal 57 4 4 2 3 7 2" xfId="15870" xr:uid="{00000000-0005-0000-0000-0000E4840000}"/>
    <cellStyle name="Normal 57 4 4 2 3 7 2 2" xfId="40744" xr:uid="{00000000-0005-0000-0000-0000E5840000}"/>
    <cellStyle name="Normal 57 4 4 2 3 7 3" xfId="28303" xr:uid="{00000000-0005-0000-0000-0000E6840000}"/>
    <cellStyle name="Normal 57 4 4 2 3 8" xfId="14663" xr:uid="{00000000-0005-0000-0000-0000E7840000}"/>
    <cellStyle name="Normal 57 4 4 2 3 8 2" xfId="39537" xr:uid="{00000000-0005-0000-0000-0000E8840000}"/>
    <cellStyle name="Normal 57 4 4 2 3 9" xfId="27096" xr:uid="{00000000-0005-0000-0000-0000E9840000}"/>
    <cellStyle name="Normal 57 4 4 2 4" xfId="2385" xr:uid="{00000000-0005-0000-0000-0000EA840000}"/>
    <cellStyle name="Normal 57 4 4 2 4 2" xfId="6407" xr:uid="{00000000-0005-0000-0000-0000EB840000}"/>
    <cellStyle name="Normal 57 4 4 2 4 2 2" xfId="11422" xr:uid="{00000000-0005-0000-0000-0000EC840000}"/>
    <cellStyle name="Normal 57 4 4 2 4 2 2 2" xfId="23865" xr:uid="{00000000-0005-0000-0000-0000ED840000}"/>
    <cellStyle name="Normal 57 4 4 2 4 2 2 2 2" xfId="48739" xr:uid="{00000000-0005-0000-0000-0000EE840000}"/>
    <cellStyle name="Normal 57 4 4 2 4 2 2 3" xfId="36306" xr:uid="{00000000-0005-0000-0000-0000EF840000}"/>
    <cellStyle name="Normal 57 4 4 2 4 2 3" xfId="18858" xr:uid="{00000000-0005-0000-0000-0000F0840000}"/>
    <cellStyle name="Normal 57 4 4 2 4 2 3 2" xfId="43732" xr:uid="{00000000-0005-0000-0000-0000F1840000}"/>
    <cellStyle name="Normal 57 4 4 2 4 2 4" xfId="31299" xr:uid="{00000000-0005-0000-0000-0000F2840000}"/>
    <cellStyle name="Normal 57 4 4 2 4 3" xfId="12876" xr:uid="{00000000-0005-0000-0000-0000F3840000}"/>
    <cellStyle name="Normal 57 4 4 2 4 3 2" xfId="25310" xr:uid="{00000000-0005-0000-0000-0000F4840000}"/>
    <cellStyle name="Normal 57 4 4 2 4 3 2 2" xfId="50184" xr:uid="{00000000-0005-0000-0000-0000F5840000}"/>
    <cellStyle name="Normal 57 4 4 2 4 3 3" xfId="37751" xr:uid="{00000000-0005-0000-0000-0000F6840000}"/>
    <cellStyle name="Normal 57 4 4 2 4 4" xfId="9317" xr:uid="{00000000-0005-0000-0000-0000F7840000}"/>
    <cellStyle name="Normal 57 4 4 2 4 4 2" xfId="21760" xr:uid="{00000000-0005-0000-0000-0000F8840000}"/>
    <cellStyle name="Normal 57 4 4 2 4 4 2 2" xfId="46634" xr:uid="{00000000-0005-0000-0000-0000F9840000}"/>
    <cellStyle name="Normal 57 4 4 2 4 4 3" xfId="34201" xr:uid="{00000000-0005-0000-0000-0000FA840000}"/>
    <cellStyle name="Normal 57 4 4 2 4 5" xfId="4299" xr:uid="{00000000-0005-0000-0000-0000FB840000}"/>
    <cellStyle name="Normal 57 4 4 2 4 5 2" xfId="16753" xr:uid="{00000000-0005-0000-0000-0000FC840000}"/>
    <cellStyle name="Normal 57 4 4 2 4 5 2 2" xfId="41627" xr:uid="{00000000-0005-0000-0000-0000FD840000}"/>
    <cellStyle name="Normal 57 4 4 2 4 5 3" xfId="29194" xr:uid="{00000000-0005-0000-0000-0000FE840000}"/>
    <cellStyle name="Normal 57 4 4 2 4 6" xfId="15061" xr:uid="{00000000-0005-0000-0000-0000FF840000}"/>
    <cellStyle name="Normal 57 4 4 2 4 6 2" xfId="39935" xr:uid="{00000000-0005-0000-0000-000000850000}"/>
    <cellStyle name="Normal 57 4 4 2 4 7" xfId="27494" xr:uid="{00000000-0005-0000-0000-000001850000}"/>
    <cellStyle name="Normal 57 4 4 2 5" xfId="1218" xr:uid="{00000000-0005-0000-0000-000002850000}"/>
    <cellStyle name="Normal 57 4 4 2 5 2" xfId="10379" xr:uid="{00000000-0005-0000-0000-000003850000}"/>
    <cellStyle name="Normal 57 4 4 2 5 2 2" xfId="22822" xr:uid="{00000000-0005-0000-0000-000004850000}"/>
    <cellStyle name="Normal 57 4 4 2 5 2 2 2" xfId="47696" xr:uid="{00000000-0005-0000-0000-000005850000}"/>
    <cellStyle name="Normal 57 4 4 2 5 2 3" xfId="35263" xr:uid="{00000000-0005-0000-0000-000006850000}"/>
    <cellStyle name="Normal 57 4 4 2 5 3" xfId="5363" xr:uid="{00000000-0005-0000-0000-000007850000}"/>
    <cellStyle name="Normal 57 4 4 2 5 3 2" xfId="17815" xr:uid="{00000000-0005-0000-0000-000008850000}"/>
    <cellStyle name="Normal 57 4 4 2 5 3 2 2" xfId="42689" xr:uid="{00000000-0005-0000-0000-000009850000}"/>
    <cellStyle name="Normal 57 4 4 2 5 3 3" xfId="30256" xr:uid="{00000000-0005-0000-0000-00000A850000}"/>
    <cellStyle name="Normal 57 4 4 2 5 4" xfId="14018" xr:uid="{00000000-0005-0000-0000-00000B850000}"/>
    <cellStyle name="Normal 57 4 4 2 5 4 2" xfId="38892" xr:uid="{00000000-0005-0000-0000-00000C850000}"/>
    <cellStyle name="Normal 57 4 4 2 5 5" xfId="26451" xr:uid="{00000000-0005-0000-0000-00000D850000}"/>
    <cellStyle name="Normal 57 4 4 2 6" xfId="7940" xr:uid="{00000000-0005-0000-0000-00000E850000}"/>
    <cellStyle name="Normal 57 4 4 2 6 2" xfId="20386" xr:uid="{00000000-0005-0000-0000-00000F850000}"/>
    <cellStyle name="Normal 57 4 4 2 6 2 2" xfId="45260" xr:uid="{00000000-0005-0000-0000-000010850000}"/>
    <cellStyle name="Normal 57 4 4 2 6 3" xfId="32827" xr:uid="{00000000-0005-0000-0000-000011850000}"/>
    <cellStyle name="Normal 57 4 4 2 7" xfId="11833" xr:uid="{00000000-0005-0000-0000-000012850000}"/>
    <cellStyle name="Normal 57 4 4 2 7 2" xfId="24267" xr:uid="{00000000-0005-0000-0000-000013850000}"/>
    <cellStyle name="Normal 57 4 4 2 7 2 2" xfId="49141" xr:uid="{00000000-0005-0000-0000-000014850000}"/>
    <cellStyle name="Normal 57 4 4 2 7 3" xfId="36708" xr:uid="{00000000-0005-0000-0000-000015850000}"/>
    <cellStyle name="Normal 57 4 4 2 8" xfId="6910" xr:uid="{00000000-0005-0000-0000-000016850000}"/>
    <cellStyle name="Normal 57 4 4 2 8 2" xfId="19359" xr:uid="{00000000-0005-0000-0000-000017850000}"/>
    <cellStyle name="Normal 57 4 4 2 8 2 2" xfId="44233" xr:uid="{00000000-0005-0000-0000-000018850000}"/>
    <cellStyle name="Normal 57 4 4 2 8 3" xfId="31800" xr:uid="{00000000-0005-0000-0000-000019850000}"/>
    <cellStyle name="Normal 57 4 4 2 9" xfId="2861" xr:uid="{00000000-0005-0000-0000-00001A850000}"/>
    <cellStyle name="Normal 57 4 4 2 9 2" xfId="15379" xr:uid="{00000000-0005-0000-0000-00001B850000}"/>
    <cellStyle name="Normal 57 4 4 2 9 2 2" xfId="40253" xr:uid="{00000000-0005-0000-0000-00001C850000}"/>
    <cellStyle name="Normal 57 4 4 2 9 3" xfId="27812" xr:uid="{00000000-0005-0000-0000-00001D850000}"/>
    <cellStyle name="Normal 57 4 4 2_Degree data" xfId="2480" xr:uid="{00000000-0005-0000-0000-00001E850000}"/>
    <cellStyle name="Normal 57 4 4 3" xfId="615" xr:uid="{00000000-0005-0000-0000-00001F850000}"/>
    <cellStyle name="Normal 57 4 4 3 2" xfId="1514" xr:uid="{00000000-0005-0000-0000-000020850000}"/>
    <cellStyle name="Normal 57 4 4 3 2 2" xfId="9112" xr:uid="{00000000-0005-0000-0000-000021850000}"/>
    <cellStyle name="Normal 57 4 4 3 2 2 2" xfId="21555" xr:uid="{00000000-0005-0000-0000-000022850000}"/>
    <cellStyle name="Normal 57 4 4 3 2 2 2 2" xfId="46429" xr:uid="{00000000-0005-0000-0000-000023850000}"/>
    <cellStyle name="Normal 57 4 4 3 2 2 3" xfId="33996" xr:uid="{00000000-0005-0000-0000-000024850000}"/>
    <cellStyle name="Normal 57 4 4 3 2 3" xfId="4094" xr:uid="{00000000-0005-0000-0000-000025850000}"/>
    <cellStyle name="Normal 57 4 4 3 2 3 2" xfId="16548" xr:uid="{00000000-0005-0000-0000-000026850000}"/>
    <cellStyle name="Normal 57 4 4 3 2 3 2 2" xfId="41422" xr:uid="{00000000-0005-0000-0000-000027850000}"/>
    <cellStyle name="Normal 57 4 4 3 2 3 3" xfId="28989" xr:uid="{00000000-0005-0000-0000-000028850000}"/>
    <cellStyle name="Normal 57 4 4 3 2 4" xfId="14314" xr:uid="{00000000-0005-0000-0000-000029850000}"/>
    <cellStyle name="Normal 57 4 4 3 2 4 2" xfId="39188" xr:uid="{00000000-0005-0000-0000-00002A850000}"/>
    <cellStyle name="Normal 57 4 4 3 2 5" xfId="26747" xr:uid="{00000000-0005-0000-0000-00002B850000}"/>
    <cellStyle name="Normal 57 4 4 3 3" xfId="5659" xr:uid="{00000000-0005-0000-0000-00002C850000}"/>
    <cellStyle name="Normal 57 4 4 3 3 2" xfId="10675" xr:uid="{00000000-0005-0000-0000-00002D850000}"/>
    <cellStyle name="Normal 57 4 4 3 3 2 2" xfId="23118" xr:uid="{00000000-0005-0000-0000-00002E850000}"/>
    <cellStyle name="Normal 57 4 4 3 3 2 2 2" xfId="47992" xr:uid="{00000000-0005-0000-0000-00002F850000}"/>
    <cellStyle name="Normal 57 4 4 3 3 2 3" xfId="35559" xr:uid="{00000000-0005-0000-0000-000030850000}"/>
    <cellStyle name="Normal 57 4 4 3 3 3" xfId="18111" xr:uid="{00000000-0005-0000-0000-000031850000}"/>
    <cellStyle name="Normal 57 4 4 3 3 3 2" xfId="42985" xr:uid="{00000000-0005-0000-0000-000032850000}"/>
    <cellStyle name="Normal 57 4 4 3 3 4" xfId="30552" xr:uid="{00000000-0005-0000-0000-000033850000}"/>
    <cellStyle name="Normal 57 4 4 3 4" xfId="8228" xr:uid="{00000000-0005-0000-0000-000034850000}"/>
    <cellStyle name="Normal 57 4 4 3 4 2" xfId="20672" xr:uid="{00000000-0005-0000-0000-000035850000}"/>
    <cellStyle name="Normal 57 4 4 3 4 2 2" xfId="45546" xr:uid="{00000000-0005-0000-0000-000036850000}"/>
    <cellStyle name="Normal 57 4 4 3 4 3" xfId="33113" xr:uid="{00000000-0005-0000-0000-000037850000}"/>
    <cellStyle name="Normal 57 4 4 3 5" xfId="12129" xr:uid="{00000000-0005-0000-0000-000038850000}"/>
    <cellStyle name="Normal 57 4 4 3 5 2" xfId="24563" xr:uid="{00000000-0005-0000-0000-000039850000}"/>
    <cellStyle name="Normal 57 4 4 3 5 2 2" xfId="49437" xr:uid="{00000000-0005-0000-0000-00003A850000}"/>
    <cellStyle name="Normal 57 4 4 3 5 3" xfId="37004" xr:uid="{00000000-0005-0000-0000-00003B850000}"/>
    <cellStyle name="Normal 57 4 4 3 6" xfId="6705" xr:uid="{00000000-0005-0000-0000-00003C850000}"/>
    <cellStyle name="Normal 57 4 4 3 6 2" xfId="19154" xr:uid="{00000000-0005-0000-0000-00003D850000}"/>
    <cellStyle name="Normal 57 4 4 3 6 2 2" xfId="44028" xr:uid="{00000000-0005-0000-0000-00003E850000}"/>
    <cellStyle name="Normal 57 4 4 3 6 3" xfId="31595" xr:uid="{00000000-0005-0000-0000-00003F850000}"/>
    <cellStyle name="Normal 57 4 4 3 7" xfId="3159" xr:uid="{00000000-0005-0000-0000-000040850000}"/>
    <cellStyle name="Normal 57 4 4 3 7 2" xfId="15665" xr:uid="{00000000-0005-0000-0000-000041850000}"/>
    <cellStyle name="Normal 57 4 4 3 7 2 2" xfId="40539" xr:uid="{00000000-0005-0000-0000-000042850000}"/>
    <cellStyle name="Normal 57 4 4 3 7 3" xfId="28098" xr:uid="{00000000-0005-0000-0000-000043850000}"/>
    <cellStyle name="Normal 57 4 4 3 8" xfId="13422" xr:uid="{00000000-0005-0000-0000-000044850000}"/>
    <cellStyle name="Normal 57 4 4 3 8 2" xfId="38296" xr:uid="{00000000-0005-0000-0000-000045850000}"/>
    <cellStyle name="Normal 57 4 4 3 9" xfId="25855" xr:uid="{00000000-0005-0000-0000-000046850000}"/>
    <cellStyle name="Normal 57 4 4 4" xfId="1862" xr:uid="{00000000-0005-0000-0000-000047850000}"/>
    <cellStyle name="Normal 57 4 4 4 2" xfId="4600" xr:uid="{00000000-0005-0000-0000-000048850000}"/>
    <cellStyle name="Normal 57 4 4 4 2 2" xfId="9618" xr:uid="{00000000-0005-0000-0000-000049850000}"/>
    <cellStyle name="Normal 57 4 4 4 2 2 2" xfId="22061" xr:uid="{00000000-0005-0000-0000-00004A850000}"/>
    <cellStyle name="Normal 57 4 4 4 2 2 2 2" xfId="46935" xr:uid="{00000000-0005-0000-0000-00004B850000}"/>
    <cellStyle name="Normal 57 4 4 4 2 2 3" xfId="34502" xr:uid="{00000000-0005-0000-0000-00004C850000}"/>
    <cellStyle name="Normal 57 4 4 4 2 3" xfId="17054" xr:uid="{00000000-0005-0000-0000-00004D850000}"/>
    <cellStyle name="Normal 57 4 4 4 2 3 2" xfId="41928" xr:uid="{00000000-0005-0000-0000-00004E850000}"/>
    <cellStyle name="Normal 57 4 4 4 2 4" xfId="29495" xr:uid="{00000000-0005-0000-0000-00004F850000}"/>
    <cellStyle name="Normal 57 4 4 4 3" xfId="6008" xr:uid="{00000000-0005-0000-0000-000050850000}"/>
    <cellStyle name="Normal 57 4 4 4 3 2" xfId="11023" xr:uid="{00000000-0005-0000-0000-000051850000}"/>
    <cellStyle name="Normal 57 4 4 4 3 2 2" xfId="23466" xr:uid="{00000000-0005-0000-0000-000052850000}"/>
    <cellStyle name="Normal 57 4 4 4 3 2 2 2" xfId="48340" xr:uid="{00000000-0005-0000-0000-000053850000}"/>
    <cellStyle name="Normal 57 4 4 4 3 2 3" xfId="35907" xr:uid="{00000000-0005-0000-0000-000054850000}"/>
    <cellStyle name="Normal 57 4 4 4 3 3" xfId="18459" xr:uid="{00000000-0005-0000-0000-000055850000}"/>
    <cellStyle name="Normal 57 4 4 4 3 3 2" xfId="43333" xr:uid="{00000000-0005-0000-0000-000056850000}"/>
    <cellStyle name="Normal 57 4 4 4 3 4" xfId="30900" xr:uid="{00000000-0005-0000-0000-000057850000}"/>
    <cellStyle name="Normal 57 4 4 4 4" xfId="8734" xr:uid="{00000000-0005-0000-0000-000058850000}"/>
    <cellStyle name="Normal 57 4 4 4 4 2" xfId="21178" xr:uid="{00000000-0005-0000-0000-000059850000}"/>
    <cellStyle name="Normal 57 4 4 4 4 2 2" xfId="46052" xr:uid="{00000000-0005-0000-0000-00005A850000}"/>
    <cellStyle name="Normal 57 4 4 4 4 3" xfId="33619" xr:uid="{00000000-0005-0000-0000-00005B850000}"/>
    <cellStyle name="Normal 57 4 4 4 5" xfId="12477" xr:uid="{00000000-0005-0000-0000-00005C850000}"/>
    <cellStyle name="Normal 57 4 4 4 5 2" xfId="24911" xr:uid="{00000000-0005-0000-0000-00005D850000}"/>
    <cellStyle name="Normal 57 4 4 4 5 2 2" xfId="49785" xr:uid="{00000000-0005-0000-0000-00005E850000}"/>
    <cellStyle name="Normal 57 4 4 4 5 3" xfId="37352" xr:uid="{00000000-0005-0000-0000-00005F850000}"/>
    <cellStyle name="Normal 57 4 4 4 6" xfId="7211" xr:uid="{00000000-0005-0000-0000-000060850000}"/>
    <cellStyle name="Normal 57 4 4 4 6 2" xfId="19660" xr:uid="{00000000-0005-0000-0000-000061850000}"/>
    <cellStyle name="Normal 57 4 4 4 6 2 2" xfId="44534" xr:uid="{00000000-0005-0000-0000-000062850000}"/>
    <cellStyle name="Normal 57 4 4 4 6 3" xfId="32101" xr:uid="{00000000-0005-0000-0000-000063850000}"/>
    <cellStyle name="Normal 57 4 4 4 7" xfId="3665" xr:uid="{00000000-0005-0000-0000-000064850000}"/>
    <cellStyle name="Normal 57 4 4 4 7 2" xfId="16171" xr:uid="{00000000-0005-0000-0000-000065850000}"/>
    <cellStyle name="Normal 57 4 4 4 7 2 2" xfId="41045" xr:uid="{00000000-0005-0000-0000-000066850000}"/>
    <cellStyle name="Normal 57 4 4 4 7 3" xfId="28604" xr:uid="{00000000-0005-0000-0000-000067850000}"/>
    <cellStyle name="Normal 57 4 4 4 8" xfId="14662" xr:uid="{00000000-0005-0000-0000-000068850000}"/>
    <cellStyle name="Normal 57 4 4 4 8 2" xfId="39536" xr:uid="{00000000-0005-0000-0000-000069850000}"/>
    <cellStyle name="Normal 57 4 4 4 9" xfId="27095" xr:uid="{00000000-0005-0000-0000-00006A850000}"/>
    <cellStyle name="Normal 57 4 4 5" xfId="2171" xr:uid="{00000000-0005-0000-0000-00006B850000}"/>
    <cellStyle name="Normal 57 4 4 5 2" xfId="4804" xr:uid="{00000000-0005-0000-0000-00006C850000}"/>
    <cellStyle name="Normal 57 4 4 5 2 2" xfId="9821" xr:uid="{00000000-0005-0000-0000-00006D850000}"/>
    <cellStyle name="Normal 57 4 4 5 2 2 2" xfId="22264" xr:uid="{00000000-0005-0000-0000-00006E850000}"/>
    <cellStyle name="Normal 57 4 4 5 2 2 2 2" xfId="47138" xr:uid="{00000000-0005-0000-0000-00006F850000}"/>
    <cellStyle name="Normal 57 4 4 5 2 2 3" xfId="34705" xr:uid="{00000000-0005-0000-0000-000070850000}"/>
    <cellStyle name="Normal 57 4 4 5 2 3" xfId="17257" xr:uid="{00000000-0005-0000-0000-000071850000}"/>
    <cellStyle name="Normal 57 4 4 5 2 3 2" xfId="42131" xr:uid="{00000000-0005-0000-0000-000072850000}"/>
    <cellStyle name="Normal 57 4 4 5 2 4" xfId="29698" xr:uid="{00000000-0005-0000-0000-000073850000}"/>
    <cellStyle name="Normal 57 4 4 5 3" xfId="6202" xr:uid="{00000000-0005-0000-0000-000074850000}"/>
    <cellStyle name="Normal 57 4 4 5 3 2" xfId="11217" xr:uid="{00000000-0005-0000-0000-000075850000}"/>
    <cellStyle name="Normal 57 4 4 5 3 2 2" xfId="23660" xr:uid="{00000000-0005-0000-0000-000076850000}"/>
    <cellStyle name="Normal 57 4 4 5 3 2 2 2" xfId="48534" xr:uid="{00000000-0005-0000-0000-000077850000}"/>
    <cellStyle name="Normal 57 4 4 5 3 2 3" xfId="36101" xr:uid="{00000000-0005-0000-0000-000078850000}"/>
    <cellStyle name="Normal 57 4 4 5 3 3" xfId="18653" xr:uid="{00000000-0005-0000-0000-000079850000}"/>
    <cellStyle name="Normal 57 4 4 5 3 3 2" xfId="43527" xr:uid="{00000000-0005-0000-0000-00007A850000}"/>
    <cellStyle name="Normal 57 4 4 5 3 4" xfId="31094" xr:uid="{00000000-0005-0000-0000-00007B850000}"/>
    <cellStyle name="Normal 57 4 4 5 4" xfId="8114" xr:uid="{00000000-0005-0000-0000-00007C850000}"/>
    <cellStyle name="Normal 57 4 4 5 4 2" xfId="20560" xr:uid="{00000000-0005-0000-0000-00007D850000}"/>
    <cellStyle name="Normal 57 4 4 5 4 2 2" xfId="45434" xr:uid="{00000000-0005-0000-0000-00007E850000}"/>
    <cellStyle name="Normal 57 4 4 5 4 3" xfId="33001" xr:uid="{00000000-0005-0000-0000-00007F850000}"/>
    <cellStyle name="Normal 57 4 4 5 5" xfId="12671" xr:uid="{00000000-0005-0000-0000-000080850000}"/>
    <cellStyle name="Normal 57 4 4 5 5 2" xfId="25105" xr:uid="{00000000-0005-0000-0000-000081850000}"/>
    <cellStyle name="Normal 57 4 4 5 5 2 2" xfId="49979" xr:uid="{00000000-0005-0000-0000-000082850000}"/>
    <cellStyle name="Normal 57 4 4 5 5 3" xfId="37546" xr:uid="{00000000-0005-0000-0000-000083850000}"/>
    <cellStyle name="Normal 57 4 4 5 6" xfId="7415" xr:uid="{00000000-0005-0000-0000-000084850000}"/>
    <cellStyle name="Normal 57 4 4 5 6 2" xfId="19863" xr:uid="{00000000-0005-0000-0000-000085850000}"/>
    <cellStyle name="Normal 57 4 4 5 6 2 2" xfId="44737" xr:uid="{00000000-0005-0000-0000-000086850000}"/>
    <cellStyle name="Normal 57 4 4 5 6 3" xfId="32304" xr:uid="{00000000-0005-0000-0000-000087850000}"/>
    <cellStyle name="Normal 57 4 4 5 7" xfId="3044" xr:uid="{00000000-0005-0000-0000-000088850000}"/>
    <cellStyle name="Normal 57 4 4 5 7 2" xfId="15553" xr:uid="{00000000-0005-0000-0000-000089850000}"/>
    <cellStyle name="Normal 57 4 4 5 7 2 2" xfId="40427" xr:uid="{00000000-0005-0000-0000-00008A850000}"/>
    <cellStyle name="Normal 57 4 4 5 7 3" xfId="27986" xr:uid="{00000000-0005-0000-0000-00008B850000}"/>
    <cellStyle name="Normal 57 4 4 5 8" xfId="14856" xr:uid="{00000000-0005-0000-0000-00008C850000}"/>
    <cellStyle name="Normal 57 4 4 5 8 2" xfId="39730" xr:uid="{00000000-0005-0000-0000-00008D850000}"/>
    <cellStyle name="Normal 57 4 4 5 9" xfId="27289" xr:uid="{00000000-0005-0000-0000-00008E850000}"/>
    <cellStyle name="Normal 57 4 4 6" xfId="1013" xr:uid="{00000000-0005-0000-0000-00008F850000}"/>
    <cellStyle name="Normal 57 4 4 6 2" xfId="9000" xr:uid="{00000000-0005-0000-0000-000090850000}"/>
    <cellStyle name="Normal 57 4 4 6 2 2" xfId="21443" xr:uid="{00000000-0005-0000-0000-000091850000}"/>
    <cellStyle name="Normal 57 4 4 6 2 2 2" xfId="46317" xr:uid="{00000000-0005-0000-0000-000092850000}"/>
    <cellStyle name="Normal 57 4 4 6 2 3" xfId="33884" xr:uid="{00000000-0005-0000-0000-000093850000}"/>
    <cellStyle name="Normal 57 4 4 6 3" xfId="3982" xr:uid="{00000000-0005-0000-0000-000094850000}"/>
    <cellStyle name="Normal 57 4 4 6 3 2" xfId="16436" xr:uid="{00000000-0005-0000-0000-000095850000}"/>
    <cellStyle name="Normal 57 4 4 6 3 2 2" xfId="41310" xr:uid="{00000000-0005-0000-0000-000096850000}"/>
    <cellStyle name="Normal 57 4 4 6 3 3" xfId="28877" xr:uid="{00000000-0005-0000-0000-000097850000}"/>
    <cellStyle name="Normal 57 4 4 6 4" xfId="13813" xr:uid="{00000000-0005-0000-0000-000098850000}"/>
    <cellStyle name="Normal 57 4 4 6 4 2" xfId="38687" xr:uid="{00000000-0005-0000-0000-000099850000}"/>
    <cellStyle name="Normal 57 4 4 6 5" xfId="26246" xr:uid="{00000000-0005-0000-0000-00009A850000}"/>
    <cellStyle name="Normal 57 4 4 7" xfId="5158" xr:uid="{00000000-0005-0000-0000-00009B850000}"/>
    <cellStyle name="Normal 57 4 4 7 2" xfId="10174" xr:uid="{00000000-0005-0000-0000-00009C850000}"/>
    <cellStyle name="Normal 57 4 4 7 2 2" xfId="22617" xr:uid="{00000000-0005-0000-0000-00009D850000}"/>
    <cellStyle name="Normal 57 4 4 7 2 2 2" xfId="47491" xr:uid="{00000000-0005-0000-0000-00009E850000}"/>
    <cellStyle name="Normal 57 4 4 7 2 3" xfId="35058" xr:uid="{00000000-0005-0000-0000-00009F850000}"/>
    <cellStyle name="Normal 57 4 4 7 3" xfId="17610" xr:uid="{00000000-0005-0000-0000-0000A0850000}"/>
    <cellStyle name="Normal 57 4 4 7 3 2" xfId="42484" xr:uid="{00000000-0005-0000-0000-0000A1850000}"/>
    <cellStyle name="Normal 57 4 4 7 4" xfId="30051" xr:uid="{00000000-0005-0000-0000-0000A2850000}"/>
    <cellStyle name="Normal 57 4 4 8" xfId="7735" xr:uid="{00000000-0005-0000-0000-0000A3850000}"/>
    <cellStyle name="Normal 57 4 4 8 2" xfId="20181" xr:uid="{00000000-0005-0000-0000-0000A4850000}"/>
    <cellStyle name="Normal 57 4 4 8 2 2" xfId="45055" xr:uid="{00000000-0005-0000-0000-0000A5850000}"/>
    <cellStyle name="Normal 57 4 4 8 3" xfId="32622" xr:uid="{00000000-0005-0000-0000-0000A6850000}"/>
    <cellStyle name="Normal 57 4 4 9" xfId="11628" xr:uid="{00000000-0005-0000-0000-0000A7850000}"/>
    <cellStyle name="Normal 57 4 4 9 2" xfId="24062" xr:uid="{00000000-0005-0000-0000-0000A8850000}"/>
    <cellStyle name="Normal 57 4 4 9 2 2" xfId="48936" xr:uid="{00000000-0005-0000-0000-0000A9850000}"/>
    <cellStyle name="Normal 57 4 4 9 3" xfId="36503" xr:uid="{00000000-0005-0000-0000-0000AA850000}"/>
    <cellStyle name="Normal 57 4 4_Degree data" xfId="2479" xr:uid="{00000000-0005-0000-0000-0000AB850000}"/>
    <cellStyle name="Normal 57 4 5" xfId="359" xr:uid="{00000000-0005-0000-0000-0000AC850000}"/>
    <cellStyle name="Normal 57 4 5 10" xfId="13175" xr:uid="{00000000-0005-0000-0000-0000AD850000}"/>
    <cellStyle name="Normal 57 4 5 10 2" xfId="38049" xr:uid="{00000000-0005-0000-0000-0000AE850000}"/>
    <cellStyle name="Normal 57 4 5 11" xfId="25608" xr:uid="{00000000-0005-0000-0000-0000AF850000}"/>
    <cellStyle name="Normal 57 4 5 2" xfId="719" xr:uid="{00000000-0005-0000-0000-0000B0850000}"/>
    <cellStyle name="Normal 57 4 5 2 2" xfId="1516" xr:uid="{00000000-0005-0000-0000-0000B1850000}"/>
    <cellStyle name="Normal 57 4 5 2 2 2" xfId="9620" xr:uid="{00000000-0005-0000-0000-0000B2850000}"/>
    <cellStyle name="Normal 57 4 5 2 2 2 2" xfId="22063" xr:uid="{00000000-0005-0000-0000-0000B3850000}"/>
    <cellStyle name="Normal 57 4 5 2 2 2 2 2" xfId="46937" xr:uid="{00000000-0005-0000-0000-0000B4850000}"/>
    <cellStyle name="Normal 57 4 5 2 2 2 3" xfId="34504" xr:uid="{00000000-0005-0000-0000-0000B5850000}"/>
    <cellStyle name="Normal 57 4 5 2 2 3" xfId="4602" xr:uid="{00000000-0005-0000-0000-0000B6850000}"/>
    <cellStyle name="Normal 57 4 5 2 2 3 2" xfId="17056" xr:uid="{00000000-0005-0000-0000-0000B7850000}"/>
    <cellStyle name="Normal 57 4 5 2 2 3 2 2" xfId="41930" xr:uid="{00000000-0005-0000-0000-0000B8850000}"/>
    <cellStyle name="Normal 57 4 5 2 2 3 3" xfId="29497" xr:uid="{00000000-0005-0000-0000-0000B9850000}"/>
    <cellStyle name="Normal 57 4 5 2 2 4" xfId="14316" xr:uid="{00000000-0005-0000-0000-0000BA850000}"/>
    <cellStyle name="Normal 57 4 5 2 2 4 2" xfId="39190" xr:uid="{00000000-0005-0000-0000-0000BB850000}"/>
    <cellStyle name="Normal 57 4 5 2 2 5" xfId="26749" xr:uid="{00000000-0005-0000-0000-0000BC850000}"/>
    <cellStyle name="Normal 57 4 5 2 3" xfId="5661" xr:uid="{00000000-0005-0000-0000-0000BD850000}"/>
    <cellStyle name="Normal 57 4 5 2 3 2" xfId="10677" xr:uid="{00000000-0005-0000-0000-0000BE850000}"/>
    <cellStyle name="Normal 57 4 5 2 3 2 2" xfId="23120" xr:uid="{00000000-0005-0000-0000-0000BF850000}"/>
    <cellStyle name="Normal 57 4 5 2 3 2 2 2" xfId="47994" xr:uid="{00000000-0005-0000-0000-0000C0850000}"/>
    <cellStyle name="Normal 57 4 5 2 3 2 3" xfId="35561" xr:uid="{00000000-0005-0000-0000-0000C1850000}"/>
    <cellStyle name="Normal 57 4 5 2 3 3" xfId="18113" xr:uid="{00000000-0005-0000-0000-0000C2850000}"/>
    <cellStyle name="Normal 57 4 5 2 3 3 2" xfId="42987" xr:uid="{00000000-0005-0000-0000-0000C3850000}"/>
    <cellStyle name="Normal 57 4 5 2 3 4" xfId="30554" xr:uid="{00000000-0005-0000-0000-0000C4850000}"/>
    <cellStyle name="Normal 57 4 5 2 4" xfId="8736" xr:uid="{00000000-0005-0000-0000-0000C5850000}"/>
    <cellStyle name="Normal 57 4 5 2 4 2" xfId="21180" xr:uid="{00000000-0005-0000-0000-0000C6850000}"/>
    <cellStyle name="Normal 57 4 5 2 4 2 2" xfId="46054" xr:uid="{00000000-0005-0000-0000-0000C7850000}"/>
    <cellStyle name="Normal 57 4 5 2 4 3" xfId="33621" xr:uid="{00000000-0005-0000-0000-0000C8850000}"/>
    <cellStyle name="Normal 57 4 5 2 5" xfId="12131" xr:uid="{00000000-0005-0000-0000-0000C9850000}"/>
    <cellStyle name="Normal 57 4 5 2 5 2" xfId="24565" xr:uid="{00000000-0005-0000-0000-0000CA850000}"/>
    <cellStyle name="Normal 57 4 5 2 5 2 2" xfId="49439" xr:uid="{00000000-0005-0000-0000-0000CB850000}"/>
    <cellStyle name="Normal 57 4 5 2 5 3" xfId="37006" xr:uid="{00000000-0005-0000-0000-0000CC850000}"/>
    <cellStyle name="Normal 57 4 5 2 6" xfId="7213" xr:uid="{00000000-0005-0000-0000-0000CD850000}"/>
    <cellStyle name="Normal 57 4 5 2 6 2" xfId="19662" xr:uid="{00000000-0005-0000-0000-0000CE850000}"/>
    <cellStyle name="Normal 57 4 5 2 6 2 2" xfId="44536" xr:uid="{00000000-0005-0000-0000-0000CF850000}"/>
    <cellStyle name="Normal 57 4 5 2 6 3" xfId="32103" xr:uid="{00000000-0005-0000-0000-0000D0850000}"/>
    <cellStyle name="Normal 57 4 5 2 7" xfId="3667" xr:uid="{00000000-0005-0000-0000-0000D1850000}"/>
    <cellStyle name="Normal 57 4 5 2 7 2" xfId="16173" xr:uid="{00000000-0005-0000-0000-0000D2850000}"/>
    <cellStyle name="Normal 57 4 5 2 7 2 2" xfId="41047" xr:uid="{00000000-0005-0000-0000-0000D3850000}"/>
    <cellStyle name="Normal 57 4 5 2 7 3" xfId="28606" xr:uid="{00000000-0005-0000-0000-0000D4850000}"/>
    <cellStyle name="Normal 57 4 5 2 8" xfId="13522" xr:uid="{00000000-0005-0000-0000-0000D5850000}"/>
    <cellStyle name="Normal 57 4 5 2 8 2" xfId="38396" xr:uid="{00000000-0005-0000-0000-0000D6850000}"/>
    <cellStyle name="Normal 57 4 5 2 9" xfId="25955" xr:uid="{00000000-0005-0000-0000-0000D7850000}"/>
    <cellStyle name="Normal 57 4 5 3" xfId="1864" xr:uid="{00000000-0005-0000-0000-0000D8850000}"/>
    <cellStyle name="Normal 57 4 5 3 2" xfId="4904" xr:uid="{00000000-0005-0000-0000-0000D9850000}"/>
    <cellStyle name="Normal 57 4 5 3 2 2" xfId="9921" xr:uid="{00000000-0005-0000-0000-0000DA850000}"/>
    <cellStyle name="Normal 57 4 5 3 2 2 2" xfId="22364" xr:uid="{00000000-0005-0000-0000-0000DB850000}"/>
    <cellStyle name="Normal 57 4 5 3 2 2 2 2" xfId="47238" xr:uid="{00000000-0005-0000-0000-0000DC850000}"/>
    <cellStyle name="Normal 57 4 5 3 2 2 3" xfId="34805" xr:uid="{00000000-0005-0000-0000-0000DD850000}"/>
    <cellStyle name="Normal 57 4 5 3 2 3" xfId="17357" xr:uid="{00000000-0005-0000-0000-0000DE850000}"/>
    <cellStyle name="Normal 57 4 5 3 2 3 2" xfId="42231" xr:uid="{00000000-0005-0000-0000-0000DF850000}"/>
    <cellStyle name="Normal 57 4 5 3 2 4" xfId="29798" xr:uid="{00000000-0005-0000-0000-0000E0850000}"/>
    <cellStyle name="Normal 57 4 5 3 3" xfId="6010" xr:uid="{00000000-0005-0000-0000-0000E1850000}"/>
    <cellStyle name="Normal 57 4 5 3 3 2" xfId="11025" xr:uid="{00000000-0005-0000-0000-0000E2850000}"/>
    <cellStyle name="Normal 57 4 5 3 3 2 2" xfId="23468" xr:uid="{00000000-0005-0000-0000-0000E3850000}"/>
    <cellStyle name="Normal 57 4 5 3 3 2 2 2" xfId="48342" xr:uid="{00000000-0005-0000-0000-0000E4850000}"/>
    <cellStyle name="Normal 57 4 5 3 3 2 3" xfId="35909" xr:uid="{00000000-0005-0000-0000-0000E5850000}"/>
    <cellStyle name="Normal 57 4 5 3 3 3" xfId="18461" xr:uid="{00000000-0005-0000-0000-0000E6850000}"/>
    <cellStyle name="Normal 57 4 5 3 3 3 2" xfId="43335" xr:uid="{00000000-0005-0000-0000-0000E7850000}"/>
    <cellStyle name="Normal 57 4 5 3 3 4" xfId="30902" xr:uid="{00000000-0005-0000-0000-0000E8850000}"/>
    <cellStyle name="Normal 57 4 5 3 4" xfId="8328" xr:uid="{00000000-0005-0000-0000-0000E9850000}"/>
    <cellStyle name="Normal 57 4 5 3 4 2" xfId="20772" xr:uid="{00000000-0005-0000-0000-0000EA850000}"/>
    <cellStyle name="Normal 57 4 5 3 4 2 2" xfId="45646" xr:uid="{00000000-0005-0000-0000-0000EB850000}"/>
    <cellStyle name="Normal 57 4 5 3 4 3" xfId="33213" xr:uid="{00000000-0005-0000-0000-0000EC850000}"/>
    <cellStyle name="Normal 57 4 5 3 5" xfId="12479" xr:uid="{00000000-0005-0000-0000-0000ED850000}"/>
    <cellStyle name="Normal 57 4 5 3 5 2" xfId="24913" xr:uid="{00000000-0005-0000-0000-0000EE850000}"/>
    <cellStyle name="Normal 57 4 5 3 5 2 2" xfId="49787" xr:uid="{00000000-0005-0000-0000-0000EF850000}"/>
    <cellStyle name="Normal 57 4 5 3 5 3" xfId="37354" xr:uid="{00000000-0005-0000-0000-0000F0850000}"/>
    <cellStyle name="Normal 57 4 5 3 6" xfId="7515" xr:uid="{00000000-0005-0000-0000-0000F1850000}"/>
    <cellStyle name="Normal 57 4 5 3 6 2" xfId="19963" xr:uid="{00000000-0005-0000-0000-0000F2850000}"/>
    <cellStyle name="Normal 57 4 5 3 6 2 2" xfId="44837" xr:uid="{00000000-0005-0000-0000-0000F3850000}"/>
    <cellStyle name="Normal 57 4 5 3 6 3" xfId="32404" xr:uid="{00000000-0005-0000-0000-0000F4850000}"/>
    <cellStyle name="Normal 57 4 5 3 7" xfId="3259" xr:uid="{00000000-0005-0000-0000-0000F5850000}"/>
    <cellStyle name="Normal 57 4 5 3 7 2" xfId="15765" xr:uid="{00000000-0005-0000-0000-0000F6850000}"/>
    <cellStyle name="Normal 57 4 5 3 7 2 2" xfId="40639" xr:uid="{00000000-0005-0000-0000-0000F7850000}"/>
    <cellStyle name="Normal 57 4 5 3 7 3" xfId="28198" xr:uid="{00000000-0005-0000-0000-0000F8850000}"/>
    <cellStyle name="Normal 57 4 5 3 8" xfId="14664" xr:uid="{00000000-0005-0000-0000-0000F9850000}"/>
    <cellStyle name="Normal 57 4 5 3 8 2" xfId="39538" xr:uid="{00000000-0005-0000-0000-0000FA850000}"/>
    <cellStyle name="Normal 57 4 5 3 9" xfId="27097" xr:uid="{00000000-0005-0000-0000-0000FB850000}"/>
    <cellStyle name="Normal 57 4 5 4" xfId="2277" xr:uid="{00000000-0005-0000-0000-0000FC850000}"/>
    <cellStyle name="Normal 57 4 5 4 2" xfId="6302" xr:uid="{00000000-0005-0000-0000-0000FD850000}"/>
    <cellStyle name="Normal 57 4 5 4 2 2" xfId="11317" xr:uid="{00000000-0005-0000-0000-0000FE850000}"/>
    <cellStyle name="Normal 57 4 5 4 2 2 2" xfId="23760" xr:uid="{00000000-0005-0000-0000-0000FF850000}"/>
    <cellStyle name="Normal 57 4 5 4 2 2 2 2" xfId="48634" xr:uid="{00000000-0005-0000-0000-000000860000}"/>
    <cellStyle name="Normal 57 4 5 4 2 2 3" xfId="36201" xr:uid="{00000000-0005-0000-0000-000001860000}"/>
    <cellStyle name="Normal 57 4 5 4 2 3" xfId="18753" xr:uid="{00000000-0005-0000-0000-000002860000}"/>
    <cellStyle name="Normal 57 4 5 4 2 3 2" xfId="43627" xr:uid="{00000000-0005-0000-0000-000003860000}"/>
    <cellStyle name="Normal 57 4 5 4 2 4" xfId="31194" xr:uid="{00000000-0005-0000-0000-000004860000}"/>
    <cellStyle name="Normal 57 4 5 4 3" xfId="12771" xr:uid="{00000000-0005-0000-0000-000005860000}"/>
    <cellStyle name="Normal 57 4 5 4 3 2" xfId="25205" xr:uid="{00000000-0005-0000-0000-000006860000}"/>
    <cellStyle name="Normal 57 4 5 4 3 2 2" xfId="50079" xr:uid="{00000000-0005-0000-0000-000007860000}"/>
    <cellStyle name="Normal 57 4 5 4 3 3" xfId="37646" xr:uid="{00000000-0005-0000-0000-000008860000}"/>
    <cellStyle name="Normal 57 4 5 4 4" xfId="9212" xr:uid="{00000000-0005-0000-0000-000009860000}"/>
    <cellStyle name="Normal 57 4 5 4 4 2" xfId="21655" xr:uid="{00000000-0005-0000-0000-00000A860000}"/>
    <cellStyle name="Normal 57 4 5 4 4 2 2" xfId="46529" xr:uid="{00000000-0005-0000-0000-00000B860000}"/>
    <cellStyle name="Normal 57 4 5 4 4 3" xfId="34096" xr:uid="{00000000-0005-0000-0000-00000C860000}"/>
    <cellStyle name="Normal 57 4 5 4 5" xfId="4194" xr:uid="{00000000-0005-0000-0000-00000D860000}"/>
    <cellStyle name="Normal 57 4 5 4 5 2" xfId="16648" xr:uid="{00000000-0005-0000-0000-00000E860000}"/>
    <cellStyle name="Normal 57 4 5 4 5 2 2" xfId="41522" xr:uid="{00000000-0005-0000-0000-00000F860000}"/>
    <cellStyle name="Normal 57 4 5 4 5 3" xfId="29089" xr:uid="{00000000-0005-0000-0000-000010860000}"/>
    <cellStyle name="Normal 57 4 5 4 6" xfId="14956" xr:uid="{00000000-0005-0000-0000-000011860000}"/>
    <cellStyle name="Normal 57 4 5 4 6 2" xfId="39830" xr:uid="{00000000-0005-0000-0000-000012860000}"/>
    <cellStyle name="Normal 57 4 5 4 7" xfId="27389" xr:uid="{00000000-0005-0000-0000-000013860000}"/>
    <cellStyle name="Normal 57 4 5 5" xfId="1113" xr:uid="{00000000-0005-0000-0000-000014860000}"/>
    <cellStyle name="Normal 57 4 5 5 2" xfId="10274" xr:uid="{00000000-0005-0000-0000-000015860000}"/>
    <cellStyle name="Normal 57 4 5 5 2 2" xfId="22717" xr:uid="{00000000-0005-0000-0000-000016860000}"/>
    <cellStyle name="Normal 57 4 5 5 2 2 2" xfId="47591" xr:uid="{00000000-0005-0000-0000-000017860000}"/>
    <cellStyle name="Normal 57 4 5 5 2 3" xfId="35158" xr:uid="{00000000-0005-0000-0000-000018860000}"/>
    <cellStyle name="Normal 57 4 5 5 3" xfId="5258" xr:uid="{00000000-0005-0000-0000-000019860000}"/>
    <cellStyle name="Normal 57 4 5 5 3 2" xfId="17710" xr:uid="{00000000-0005-0000-0000-00001A860000}"/>
    <cellStyle name="Normal 57 4 5 5 3 2 2" xfId="42584" xr:uid="{00000000-0005-0000-0000-00001B860000}"/>
    <cellStyle name="Normal 57 4 5 5 3 3" xfId="30151" xr:uid="{00000000-0005-0000-0000-00001C860000}"/>
    <cellStyle name="Normal 57 4 5 5 4" xfId="13913" xr:uid="{00000000-0005-0000-0000-00001D860000}"/>
    <cellStyle name="Normal 57 4 5 5 4 2" xfId="38787" xr:uid="{00000000-0005-0000-0000-00001E860000}"/>
    <cellStyle name="Normal 57 4 5 5 5" xfId="26346" xr:uid="{00000000-0005-0000-0000-00001F860000}"/>
    <cellStyle name="Normal 57 4 5 6" xfId="7835" xr:uid="{00000000-0005-0000-0000-000020860000}"/>
    <cellStyle name="Normal 57 4 5 6 2" xfId="20281" xr:uid="{00000000-0005-0000-0000-000021860000}"/>
    <cellStyle name="Normal 57 4 5 6 2 2" xfId="45155" xr:uid="{00000000-0005-0000-0000-000022860000}"/>
    <cellStyle name="Normal 57 4 5 6 3" xfId="32722" xr:uid="{00000000-0005-0000-0000-000023860000}"/>
    <cellStyle name="Normal 57 4 5 7" xfId="11728" xr:uid="{00000000-0005-0000-0000-000024860000}"/>
    <cellStyle name="Normal 57 4 5 7 2" xfId="24162" xr:uid="{00000000-0005-0000-0000-000025860000}"/>
    <cellStyle name="Normal 57 4 5 7 2 2" xfId="49036" xr:uid="{00000000-0005-0000-0000-000026860000}"/>
    <cellStyle name="Normal 57 4 5 7 3" xfId="36603" xr:uid="{00000000-0005-0000-0000-000027860000}"/>
    <cellStyle name="Normal 57 4 5 8" xfId="6805" xr:uid="{00000000-0005-0000-0000-000028860000}"/>
    <cellStyle name="Normal 57 4 5 8 2" xfId="19254" xr:uid="{00000000-0005-0000-0000-000029860000}"/>
    <cellStyle name="Normal 57 4 5 8 2 2" xfId="44128" xr:uid="{00000000-0005-0000-0000-00002A860000}"/>
    <cellStyle name="Normal 57 4 5 8 3" xfId="31695" xr:uid="{00000000-0005-0000-0000-00002B860000}"/>
    <cellStyle name="Normal 57 4 5 9" xfId="2756" xr:uid="{00000000-0005-0000-0000-00002C860000}"/>
    <cellStyle name="Normal 57 4 5 9 2" xfId="15274" xr:uid="{00000000-0005-0000-0000-00002D860000}"/>
    <cellStyle name="Normal 57 4 5 9 2 2" xfId="40148" xr:uid="{00000000-0005-0000-0000-00002E860000}"/>
    <cellStyle name="Normal 57 4 5 9 3" xfId="27707" xr:uid="{00000000-0005-0000-0000-00002F860000}"/>
    <cellStyle name="Normal 57 4 5_Degree data" xfId="2481" xr:uid="{00000000-0005-0000-0000-000030860000}"/>
    <cellStyle name="Normal 57 4 6" xfId="216" xr:uid="{00000000-0005-0000-0000-000031860000}"/>
    <cellStyle name="Normal 57 4 6 10" xfId="13044" xr:uid="{00000000-0005-0000-0000-000032860000}"/>
    <cellStyle name="Normal 57 4 6 10 2" xfId="37918" xr:uid="{00000000-0005-0000-0000-000033860000}"/>
    <cellStyle name="Normal 57 4 6 11" xfId="25477" xr:uid="{00000000-0005-0000-0000-000034860000}"/>
    <cellStyle name="Normal 57 4 6 2" xfId="582" xr:uid="{00000000-0005-0000-0000-000035860000}"/>
    <cellStyle name="Normal 57 4 6 2 2" xfId="1517" xr:uid="{00000000-0005-0000-0000-000036860000}"/>
    <cellStyle name="Normal 57 4 6 2 2 2" xfId="9621" xr:uid="{00000000-0005-0000-0000-000037860000}"/>
    <cellStyle name="Normal 57 4 6 2 2 2 2" xfId="22064" xr:uid="{00000000-0005-0000-0000-000038860000}"/>
    <cellStyle name="Normal 57 4 6 2 2 2 2 2" xfId="46938" xr:uid="{00000000-0005-0000-0000-000039860000}"/>
    <cellStyle name="Normal 57 4 6 2 2 2 3" xfId="34505" xr:uid="{00000000-0005-0000-0000-00003A860000}"/>
    <cellStyle name="Normal 57 4 6 2 2 3" xfId="4603" xr:uid="{00000000-0005-0000-0000-00003B860000}"/>
    <cellStyle name="Normal 57 4 6 2 2 3 2" xfId="17057" xr:uid="{00000000-0005-0000-0000-00003C860000}"/>
    <cellStyle name="Normal 57 4 6 2 2 3 2 2" xfId="41931" xr:uid="{00000000-0005-0000-0000-00003D860000}"/>
    <cellStyle name="Normal 57 4 6 2 2 3 3" xfId="29498" xr:uid="{00000000-0005-0000-0000-00003E860000}"/>
    <cellStyle name="Normal 57 4 6 2 2 4" xfId="14317" xr:uid="{00000000-0005-0000-0000-00003F860000}"/>
    <cellStyle name="Normal 57 4 6 2 2 4 2" xfId="39191" xr:uid="{00000000-0005-0000-0000-000040860000}"/>
    <cellStyle name="Normal 57 4 6 2 2 5" xfId="26750" xr:uid="{00000000-0005-0000-0000-000041860000}"/>
    <cellStyle name="Normal 57 4 6 2 3" xfId="5662" xr:uid="{00000000-0005-0000-0000-000042860000}"/>
    <cellStyle name="Normal 57 4 6 2 3 2" xfId="10678" xr:uid="{00000000-0005-0000-0000-000043860000}"/>
    <cellStyle name="Normal 57 4 6 2 3 2 2" xfId="23121" xr:uid="{00000000-0005-0000-0000-000044860000}"/>
    <cellStyle name="Normal 57 4 6 2 3 2 2 2" xfId="47995" xr:uid="{00000000-0005-0000-0000-000045860000}"/>
    <cellStyle name="Normal 57 4 6 2 3 2 3" xfId="35562" xr:uid="{00000000-0005-0000-0000-000046860000}"/>
    <cellStyle name="Normal 57 4 6 2 3 3" xfId="18114" xr:uid="{00000000-0005-0000-0000-000047860000}"/>
    <cellStyle name="Normal 57 4 6 2 3 3 2" xfId="42988" xr:uid="{00000000-0005-0000-0000-000048860000}"/>
    <cellStyle name="Normal 57 4 6 2 3 4" xfId="30555" xr:uid="{00000000-0005-0000-0000-000049860000}"/>
    <cellStyle name="Normal 57 4 6 2 4" xfId="8737" xr:uid="{00000000-0005-0000-0000-00004A860000}"/>
    <cellStyle name="Normal 57 4 6 2 4 2" xfId="21181" xr:uid="{00000000-0005-0000-0000-00004B860000}"/>
    <cellStyle name="Normal 57 4 6 2 4 2 2" xfId="46055" xr:uid="{00000000-0005-0000-0000-00004C860000}"/>
    <cellStyle name="Normal 57 4 6 2 4 3" xfId="33622" xr:uid="{00000000-0005-0000-0000-00004D860000}"/>
    <cellStyle name="Normal 57 4 6 2 5" xfId="12132" xr:uid="{00000000-0005-0000-0000-00004E860000}"/>
    <cellStyle name="Normal 57 4 6 2 5 2" xfId="24566" xr:uid="{00000000-0005-0000-0000-00004F860000}"/>
    <cellStyle name="Normal 57 4 6 2 5 2 2" xfId="49440" xr:uid="{00000000-0005-0000-0000-000050860000}"/>
    <cellStyle name="Normal 57 4 6 2 5 3" xfId="37007" xr:uid="{00000000-0005-0000-0000-000051860000}"/>
    <cellStyle name="Normal 57 4 6 2 6" xfId="7214" xr:uid="{00000000-0005-0000-0000-000052860000}"/>
    <cellStyle name="Normal 57 4 6 2 6 2" xfId="19663" xr:uid="{00000000-0005-0000-0000-000053860000}"/>
    <cellStyle name="Normal 57 4 6 2 6 2 2" xfId="44537" xr:uid="{00000000-0005-0000-0000-000054860000}"/>
    <cellStyle name="Normal 57 4 6 2 6 3" xfId="32104" xr:uid="{00000000-0005-0000-0000-000055860000}"/>
    <cellStyle name="Normal 57 4 6 2 7" xfId="3668" xr:uid="{00000000-0005-0000-0000-000056860000}"/>
    <cellStyle name="Normal 57 4 6 2 7 2" xfId="16174" xr:uid="{00000000-0005-0000-0000-000057860000}"/>
    <cellStyle name="Normal 57 4 6 2 7 2 2" xfId="41048" xr:uid="{00000000-0005-0000-0000-000058860000}"/>
    <cellStyle name="Normal 57 4 6 2 7 3" xfId="28607" xr:uid="{00000000-0005-0000-0000-000059860000}"/>
    <cellStyle name="Normal 57 4 6 2 8" xfId="13391" xr:uid="{00000000-0005-0000-0000-00005A860000}"/>
    <cellStyle name="Normal 57 4 6 2 8 2" xfId="38265" xr:uid="{00000000-0005-0000-0000-00005B860000}"/>
    <cellStyle name="Normal 57 4 6 2 9" xfId="25824" xr:uid="{00000000-0005-0000-0000-00005C860000}"/>
    <cellStyle name="Normal 57 4 6 3" xfId="1865" xr:uid="{00000000-0005-0000-0000-00005D860000}"/>
    <cellStyle name="Normal 57 4 6 3 2" xfId="4773" xr:uid="{00000000-0005-0000-0000-00005E860000}"/>
    <cellStyle name="Normal 57 4 6 3 2 2" xfId="9790" xr:uid="{00000000-0005-0000-0000-00005F860000}"/>
    <cellStyle name="Normal 57 4 6 3 2 2 2" xfId="22233" xr:uid="{00000000-0005-0000-0000-000060860000}"/>
    <cellStyle name="Normal 57 4 6 3 2 2 2 2" xfId="47107" xr:uid="{00000000-0005-0000-0000-000061860000}"/>
    <cellStyle name="Normal 57 4 6 3 2 2 3" xfId="34674" xr:uid="{00000000-0005-0000-0000-000062860000}"/>
    <cellStyle name="Normal 57 4 6 3 2 3" xfId="17226" xr:uid="{00000000-0005-0000-0000-000063860000}"/>
    <cellStyle name="Normal 57 4 6 3 2 3 2" xfId="42100" xr:uid="{00000000-0005-0000-0000-000064860000}"/>
    <cellStyle name="Normal 57 4 6 3 2 4" xfId="29667" xr:uid="{00000000-0005-0000-0000-000065860000}"/>
    <cellStyle name="Normal 57 4 6 3 3" xfId="6011" xr:uid="{00000000-0005-0000-0000-000066860000}"/>
    <cellStyle name="Normal 57 4 6 3 3 2" xfId="11026" xr:uid="{00000000-0005-0000-0000-000067860000}"/>
    <cellStyle name="Normal 57 4 6 3 3 2 2" xfId="23469" xr:uid="{00000000-0005-0000-0000-000068860000}"/>
    <cellStyle name="Normal 57 4 6 3 3 2 2 2" xfId="48343" xr:uid="{00000000-0005-0000-0000-000069860000}"/>
    <cellStyle name="Normal 57 4 6 3 3 2 3" xfId="35910" xr:uid="{00000000-0005-0000-0000-00006A860000}"/>
    <cellStyle name="Normal 57 4 6 3 3 3" xfId="18462" xr:uid="{00000000-0005-0000-0000-00006B860000}"/>
    <cellStyle name="Normal 57 4 6 3 3 3 2" xfId="43336" xr:uid="{00000000-0005-0000-0000-00006C860000}"/>
    <cellStyle name="Normal 57 4 6 3 3 4" xfId="30903" xr:uid="{00000000-0005-0000-0000-00006D860000}"/>
    <cellStyle name="Normal 57 4 6 3 4" xfId="8876" xr:uid="{00000000-0005-0000-0000-00006E860000}"/>
    <cellStyle name="Normal 57 4 6 3 4 2" xfId="21319" xr:uid="{00000000-0005-0000-0000-00006F860000}"/>
    <cellStyle name="Normal 57 4 6 3 4 2 2" xfId="46193" xr:uid="{00000000-0005-0000-0000-000070860000}"/>
    <cellStyle name="Normal 57 4 6 3 4 3" xfId="33760" xr:uid="{00000000-0005-0000-0000-000071860000}"/>
    <cellStyle name="Normal 57 4 6 3 5" xfId="12480" xr:uid="{00000000-0005-0000-0000-000072860000}"/>
    <cellStyle name="Normal 57 4 6 3 5 2" xfId="24914" xr:uid="{00000000-0005-0000-0000-000073860000}"/>
    <cellStyle name="Normal 57 4 6 3 5 2 2" xfId="49788" xr:uid="{00000000-0005-0000-0000-000074860000}"/>
    <cellStyle name="Normal 57 4 6 3 5 3" xfId="37355" xr:uid="{00000000-0005-0000-0000-000075860000}"/>
    <cellStyle name="Normal 57 4 6 3 6" xfId="7384" xr:uid="{00000000-0005-0000-0000-000076860000}"/>
    <cellStyle name="Normal 57 4 6 3 6 2" xfId="19832" xr:uid="{00000000-0005-0000-0000-000077860000}"/>
    <cellStyle name="Normal 57 4 6 3 6 2 2" xfId="44706" xr:uid="{00000000-0005-0000-0000-000078860000}"/>
    <cellStyle name="Normal 57 4 6 3 6 3" xfId="32273" xr:uid="{00000000-0005-0000-0000-000079860000}"/>
    <cellStyle name="Normal 57 4 6 3 7" xfId="3858" xr:uid="{00000000-0005-0000-0000-00007A860000}"/>
    <cellStyle name="Normal 57 4 6 3 7 2" xfId="16312" xr:uid="{00000000-0005-0000-0000-00007B860000}"/>
    <cellStyle name="Normal 57 4 6 3 7 2 2" xfId="41186" xr:uid="{00000000-0005-0000-0000-00007C860000}"/>
    <cellStyle name="Normal 57 4 6 3 7 3" xfId="28753" xr:uid="{00000000-0005-0000-0000-00007D860000}"/>
    <cellStyle name="Normal 57 4 6 3 8" xfId="14665" xr:uid="{00000000-0005-0000-0000-00007E860000}"/>
    <cellStyle name="Normal 57 4 6 3 8 2" xfId="39539" xr:uid="{00000000-0005-0000-0000-00007F860000}"/>
    <cellStyle name="Normal 57 4 6 3 9" xfId="27098" xr:uid="{00000000-0005-0000-0000-000080860000}"/>
    <cellStyle name="Normal 57 4 6 4" xfId="2134" xr:uid="{00000000-0005-0000-0000-000081860000}"/>
    <cellStyle name="Normal 57 4 6 4 2" xfId="6171" xr:uid="{00000000-0005-0000-0000-000082860000}"/>
    <cellStyle name="Normal 57 4 6 4 2 2" xfId="11186" xr:uid="{00000000-0005-0000-0000-000083860000}"/>
    <cellStyle name="Normal 57 4 6 4 2 2 2" xfId="23629" xr:uid="{00000000-0005-0000-0000-000084860000}"/>
    <cellStyle name="Normal 57 4 6 4 2 2 2 2" xfId="48503" xr:uid="{00000000-0005-0000-0000-000085860000}"/>
    <cellStyle name="Normal 57 4 6 4 2 2 3" xfId="36070" xr:uid="{00000000-0005-0000-0000-000086860000}"/>
    <cellStyle name="Normal 57 4 6 4 2 3" xfId="18622" xr:uid="{00000000-0005-0000-0000-000087860000}"/>
    <cellStyle name="Normal 57 4 6 4 2 3 2" xfId="43496" xr:uid="{00000000-0005-0000-0000-000088860000}"/>
    <cellStyle name="Normal 57 4 6 4 2 4" xfId="31063" xr:uid="{00000000-0005-0000-0000-000089860000}"/>
    <cellStyle name="Normal 57 4 6 4 3" xfId="12640" xr:uid="{00000000-0005-0000-0000-00008A860000}"/>
    <cellStyle name="Normal 57 4 6 4 3 2" xfId="25074" xr:uid="{00000000-0005-0000-0000-00008B860000}"/>
    <cellStyle name="Normal 57 4 6 4 3 2 2" xfId="49948" xr:uid="{00000000-0005-0000-0000-00008C860000}"/>
    <cellStyle name="Normal 57 4 6 4 3 3" xfId="37515" xr:uid="{00000000-0005-0000-0000-00008D860000}"/>
    <cellStyle name="Normal 57 4 6 4 4" xfId="9081" xr:uid="{00000000-0005-0000-0000-00008E860000}"/>
    <cellStyle name="Normal 57 4 6 4 4 2" xfId="21524" xr:uid="{00000000-0005-0000-0000-00008F860000}"/>
    <cellStyle name="Normal 57 4 6 4 4 2 2" xfId="46398" xr:uid="{00000000-0005-0000-0000-000090860000}"/>
    <cellStyle name="Normal 57 4 6 4 4 3" xfId="33965" xr:uid="{00000000-0005-0000-0000-000091860000}"/>
    <cellStyle name="Normal 57 4 6 4 5" xfId="4063" xr:uid="{00000000-0005-0000-0000-000092860000}"/>
    <cellStyle name="Normal 57 4 6 4 5 2" xfId="16517" xr:uid="{00000000-0005-0000-0000-000093860000}"/>
    <cellStyle name="Normal 57 4 6 4 5 2 2" xfId="41391" xr:uid="{00000000-0005-0000-0000-000094860000}"/>
    <cellStyle name="Normal 57 4 6 4 5 3" xfId="28958" xr:uid="{00000000-0005-0000-0000-000095860000}"/>
    <cellStyle name="Normal 57 4 6 4 6" xfId="14825" xr:uid="{00000000-0005-0000-0000-000096860000}"/>
    <cellStyle name="Normal 57 4 6 4 6 2" xfId="39699" xr:uid="{00000000-0005-0000-0000-000097860000}"/>
    <cellStyle name="Normal 57 4 6 4 7" xfId="27258" xr:uid="{00000000-0005-0000-0000-000098860000}"/>
    <cellStyle name="Normal 57 4 6 5" xfId="982" xr:uid="{00000000-0005-0000-0000-000099860000}"/>
    <cellStyle name="Normal 57 4 6 5 2" xfId="10141" xr:uid="{00000000-0005-0000-0000-00009A860000}"/>
    <cellStyle name="Normal 57 4 6 5 2 2" xfId="22584" xr:uid="{00000000-0005-0000-0000-00009B860000}"/>
    <cellStyle name="Normal 57 4 6 5 2 2 2" xfId="47458" xr:uid="{00000000-0005-0000-0000-00009C860000}"/>
    <cellStyle name="Normal 57 4 6 5 2 3" xfId="35025" xr:uid="{00000000-0005-0000-0000-00009D860000}"/>
    <cellStyle name="Normal 57 4 6 5 3" xfId="5125" xr:uid="{00000000-0005-0000-0000-00009E860000}"/>
    <cellStyle name="Normal 57 4 6 5 3 2" xfId="17577" xr:uid="{00000000-0005-0000-0000-00009F860000}"/>
    <cellStyle name="Normal 57 4 6 5 3 2 2" xfId="42451" xr:uid="{00000000-0005-0000-0000-0000A0860000}"/>
    <cellStyle name="Normal 57 4 6 5 3 3" xfId="30018" xr:uid="{00000000-0005-0000-0000-0000A1860000}"/>
    <cellStyle name="Normal 57 4 6 5 4" xfId="13782" xr:uid="{00000000-0005-0000-0000-0000A2860000}"/>
    <cellStyle name="Normal 57 4 6 5 4 2" xfId="38656" xr:uid="{00000000-0005-0000-0000-0000A3860000}"/>
    <cellStyle name="Normal 57 4 6 5 5" xfId="26215" xr:uid="{00000000-0005-0000-0000-0000A4860000}"/>
    <cellStyle name="Normal 57 4 6 6" xfId="8197" xr:uid="{00000000-0005-0000-0000-0000A5860000}"/>
    <cellStyle name="Normal 57 4 6 6 2" xfId="20641" xr:uid="{00000000-0005-0000-0000-0000A6860000}"/>
    <cellStyle name="Normal 57 4 6 6 2 2" xfId="45515" xr:uid="{00000000-0005-0000-0000-0000A7860000}"/>
    <cellStyle name="Normal 57 4 6 6 3" xfId="33082" xr:uid="{00000000-0005-0000-0000-0000A8860000}"/>
    <cellStyle name="Normal 57 4 6 7" xfId="11597" xr:uid="{00000000-0005-0000-0000-0000A9860000}"/>
    <cellStyle name="Normal 57 4 6 7 2" xfId="24031" xr:uid="{00000000-0005-0000-0000-0000AA860000}"/>
    <cellStyle name="Normal 57 4 6 7 2 2" xfId="48905" xr:uid="{00000000-0005-0000-0000-0000AB860000}"/>
    <cellStyle name="Normal 57 4 6 7 3" xfId="36472" xr:uid="{00000000-0005-0000-0000-0000AC860000}"/>
    <cellStyle name="Normal 57 4 6 8" xfId="6674" xr:uid="{00000000-0005-0000-0000-0000AD860000}"/>
    <cellStyle name="Normal 57 4 6 8 2" xfId="19123" xr:uid="{00000000-0005-0000-0000-0000AE860000}"/>
    <cellStyle name="Normal 57 4 6 8 2 2" xfId="43997" xr:uid="{00000000-0005-0000-0000-0000AF860000}"/>
    <cellStyle name="Normal 57 4 6 8 3" xfId="31564" xr:uid="{00000000-0005-0000-0000-0000B0860000}"/>
    <cellStyle name="Normal 57 4 6 9" xfId="3128" xr:uid="{00000000-0005-0000-0000-0000B1860000}"/>
    <cellStyle name="Normal 57 4 6 9 2" xfId="15634" xr:uid="{00000000-0005-0000-0000-0000B2860000}"/>
    <cellStyle name="Normal 57 4 6 9 2 2" xfId="40508" xr:uid="{00000000-0005-0000-0000-0000B3860000}"/>
    <cellStyle name="Normal 57 4 6 9 3" xfId="28067" xr:uid="{00000000-0005-0000-0000-0000B4860000}"/>
    <cellStyle name="Normal 57 4 6_Degree data" xfId="2482" xr:uid="{00000000-0005-0000-0000-0000B5860000}"/>
    <cellStyle name="Normal 57 4 7" xfId="538" xr:uid="{00000000-0005-0000-0000-0000B6860000}"/>
    <cellStyle name="Normal 57 4 7 2" xfId="1507" xr:uid="{00000000-0005-0000-0000-0000B7860000}"/>
    <cellStyle name="Normal 57 4 7 2 2" xfId="9611" xr:uid="{00000000-0005-0000-0000-0000B8860000}"/>
    <cellStyle name="Normal 57 4 7 2 2 2" xfId="22054" xr:uid="{00000000-0005-0000-0000-0000B9860000}"/>
    <cellStyle name="Normal 57 4 7 2 2 2 2" xfId="46928" xr:uid="{00000000-0005-0000-0000-0000BA860000}"/>
    <cellStyle name="Normal 57 4 7 2 2 3" xfId="34495" xr:uid="{00000000-0005-0000-0000-0000BB860000}"/>
    <cellStyle name="Normal 57 4 7 2 3" xfId="4593" xr:uid="{00000000-0005-0000-0000-0000BC860000}"/>
    <cellStyle name="Normal 57 4 7 2 3 2" xfId="17047" xr:uid="{00000000-0005-0000-0000-0000BD860000}"/>
    <cellStyle name="Normal 57 4 7 2 3 2 2" xfId="41921" xr:uid="{00000000-0005-0000-0000-0000BE860000}"/>
    <cellStyle name="Normal 57 4 7 2 3 3" xfId="29488" xr:uid="{00000000-0005-0000-0000-0000BF860000}"/>
    <cellStyle name="Normal 57 4 7 2 4" xfId="14307" xr:uid="{00000000-0005-0000-0000-0000C0860000}"/>
    <cellStyle name="Normal 57 4 7 2 4 2" xfId="39181" xr:uid="{00000000-0005-0000-0000-0000C1860000}"/>
    <cellStyle name="Normal 57 4 7 2 5" xfId="26740" xr:uid="{00000000-0005-0000-0000-0000C2860000}"/>
    <cellStyle name="Normal 57 4 7 3" xfId="5652" xr:uid="{00000000-0005-0000-0000-0000C3860000}"/>
    <cellStyle name="Normal 57 4 7 3 2" xfId="10668" xr:uid="{00000000-0005-0000-0000-0000C4860000}"/>
    <cellStyle name="Normal 57 4 7 3 2 2" xfId="23111" xr:uid="{00000000-0005-0000-0000-0000C5860000}"/>
    <cellStyle name="Normal 57 4 7 3 2 2 2" xfId="47985" xr:uid="{00000000-0005-0000-0000-0000C6860000}"/>
    <cellStyle name="Normal 57 4 7 3 2 3" xfId="35552" xr:uid="{00000000-0005-0000-0000-0000C7860000}"/>
    <cellStyle name="Normal 57 4 7 3 3" xfId="18104" xr:uid="{00000000-0005-0000-0000-0000C8860000}"/>
    <cellStyle name="Normal 57 4 7 3 3 2" xfId="42978" xr:uid="{00000000-0005-0000-0000-0000C9860000}"/>
    <cellStyle name="Normal 57 4 7 3 4" xfId="30545" xr:uid="{00000000-0005-0000-0000-0000CA860000}"/>
    <cellStyle name="Normal 57 4 7 4" xfId="8727" xr:uid="{00000000-0005-0000-0000-0000CB860000}"/>
    <cellStyle name="Normal 57 4 7 4 2" xfId="21171" xr:uid="{00000000-0005-0000-0000-0000CC860000}"/>
    <cellStyle name="Normal 57 4 7 4 2 2" xfId="46045" xr:uid="{00000000-0005-0000-0000-0000CD860000}"/>
    <cellStyle name="Normal 57 4 7 4 3" xfId="33612" xr:uid="{00000000-0005-0000-0000-0000CE860000}"/>
    <cellStyle name="Normal 57 4 7 5" xfId="12122" xr:uid="{00000000-0005-0000-0000-0000CF860000}"/>
    <cellStyle name="Normal 57 4 7 5 2" xfId="24556" xr:uid="{00000000-0005-0000-0000-0000D0860000}"/>
    <cellStyle name="Normal 57 4 7 5 2 2" xfId="49430" xr:uid="{00000000-0005-0000-0000-0000D1860000}"/>
    <cellStyle name="Normal 57 4 7 5 3" xfId="36997" xr:uid="{00000000-0005-0000-0000-0000D2860000}"/>
    <cellStyle name="Normal 57 4 7 6" xfId="7204" xr:uid="{00000000-0005-0000-0000-0000D3860000}"/>
    <cellStyle name="Normal 57 4 7 6 2" xfId="19653" xr:uid="{00000000-0005-0000-0000-0000D4860000}"/>
    <cellStyle name="Normal 57 4 7 6 2 2" xfId="44527" xr:uid="{00000000-0005-0000-0000-0000D5860000}"/>
    <cellStyle name="Normal 57 4 7 6 3" xfId="32094" xr:uid="{00000000-0005-0000-0000-0000D6860000}"/>
    <cellStyle name="Normal 57 4 7 7" xfId="3658" xr:uid="{00000000-0005-0000-0000-0000D7860000}"/>
    <cellStyle name="Normal 57 4 7 7 2" xfId="16164" xr:uid="{00000000-0005-0000-0000-0000D8860000}"/>
    <cellStyle name="Normal 57 4 7 7 2 2" xfId="41038" xr:uid="{00000000-0005-0000-0000-0000D9860000}"/>
    <cellStyle name="Normal 57 4 7 7 3" xfId="28597" xr:uid="{00000000-0005-0000-0000-0000DA860000}"/>
    <cellStyle name="Normal 57 4 7 8" xfId="13348" xr:uid="{00000000-0005-0000-0000-0000DB860000}"/>
    <cellStyle name="Normal 57 4 7 8 2" xfId="38222" xr:uid="{00000000-0005-0000-0000-0000DC860000}"/>
    <cellStyle name="Normal 57 4 7 9" xfId="25781" xr:uid="{00000000-0005-0000-0000-0000DD860000}"/>
    <cellStyle name="Normal 57 4 8" xfId="1855" xr:uid="{00000000-0005-0000-0000-0000DE860000}"/>
    <cellStyle name="Normal 57 4 8 2" xfId="4730" xr:uid="{00000000-0005-0000-0000-0000DF860000}"/>
    <cellStyle name="Normal 57 4 8 2 2" xfId="9747" xr:uid="{00000000-0005-0000-0000-0000E0860000}"/>
    <cellStyle name="Normal 57 4 8 2 2 2" xfId="22190" xr:uid="{00000000-0005-0000-0000-0000E1860000}"/>
    <cellStyle name="Normal 57 4 8 2 2 2 2" xfId="47064" xr:uid="{00000000-0005-0000-0000-0000E2860000}"/>
    <cellStyle name="Normal 57 4 8 2 2 3" xfId="34631" xr:uid="{00000000-0005-0000-0000-0000E3860000}"/>
    <cellStyle name="Normal 57 4 8 2 3" xfId="17183" xr:uid="{00000000-0005-0000-0000-0000E4860000}"/>
    <cellStyle name="Normal 57 4 8 2 3 2" xfId="42057" xr:uid="{00000000-0005-0000-0000-0000E5860000}"/>
    <cellStyle name="Normal 57 4 8 2 4" xfId="29624" xr:uid="{00000000-0005-0000-0000-0000E6860000}"/>
    <cellStyle name="Normal 57 4 8 3" xfId="6001" xr:uid="{00000000-0005-0000-0000-0000E7860000}"/>
    <cellStyle name="Normal 57 4 8 3 2" xfId="11016" xr:uid="{00000000-0005-0000-0000-0000E8860000}"/>
    <cellStyle name="Normal 57 4 8 3 2 2" xfId="23459" xr:uid="{00000000-0005-0000-0000-0000E9860000}"/>
    <cellStyle name="Normal 57 4 8 3 2 2 2" xfId="48333" xr:uid="{00000000-0005-0000-0000-0000EA860000}"/>
    <cellStyle name="Normal 57 4 8 3 2 3" xfId="35900" xr:uid="{00000000-0005-0000-0000-0000EB860000}"/>
    <cellStyle name="Normal 57 4 8 3 3" xfId="18452" xr:uid="{00000000-0005-0000-0000-0000EC860000}"/>
    <cellStyle name="Normal 57 4 8 3 3 2" xfId="43326" xr:uid="{00000000-0005-0000-0000-0000ED860000}"/>
    <cellStyle name="Normal 57 4 8 3 4" xfId="30893" xr:uid="{00000000-0005-0000-0000-0000EE860000}"/>
    <cellStyle name="Normal 57 4 8 4" xfId="8008" xr:uid="{00000000-0005-0000-0000-0000EF860000}"/>
    <cellStyle name="Normal 57 4 8 4 2" xfId="20454" xr:uid="{00000000-0005-0000-0000-0000F0860000}"/>
    <cellStyle name="Normal 57 4 8 4 2 2" xfId="45328" xr:uid="{00000000-0005-0000-0000-0000F1860000}"/>
    <cellStyle name="Normal 57 4 8 4 3" xfId="32895" xr:uid="{00000000-0005-0000-0000-0000F2860000}"/>
    <cellStyle name="Normal 57 4 8 5" xfId="12470" xr:uid="{00000000-0005-0000-0000-0000F3860000}"/>
    <cellStyle name="Normal 57 4 8 5 2" xfId="24904" xr:uid="{00000000-0005-0000-0000-0000F4860000}"/>
    <cellStyle name="Normal 57 4 8 5 2 2" xfId="49778" xr:uid="{00000000-0005-0000-0000-0000F5860000}"/>
    <cellStyle name="Normal 57 4 8 5 3" xfId="37345" xr:uid="{00000000-0005-0000-0000-0000F6860000}"/>
    <cellStyle name="Normal 57 4 8 6" xfId="7341" xr:uid="{00000000-0005-0000-0000-0000F7860000}"/>
    <cellStyle name="Normal 57 4 8 6 2" xfId="19789" xr:uid="{00000000-0005-0000-0000-0000F8860000}"/>
    <cellStyle name="Normal 57 4 8 6 2 2" xfId="44663" xr:uid="{00000000-0005-0000-0000-0000F9860000}"/>
    <cellStyle name="Normal 57 4 8 6 3" xfId="32230" xr:uid="{00000000-0005-0000-0000-0000FA860000}"/>
    <cellStyle name="Normal 57 4 8 7" xfId="2932" xr:uid="{00000000-0005-0000-0000-0000FB860000}"/>
    <cellStyle name="Normal 57 4 8 7 2" xfId="15447" xr:uid="{00000000-0005-0000-0000-0000FC860000}"/>
    <cellStyle name="Normal 57 4 8 7 2 2" xfId="40321" xr:uid="{00000000-0005-0000-0000-0000FD860000}"/>
    <cellStyle name="Normal 57 4 8 7 3" xfId="27880" xr:uid="{00000000-0005-0000-0000-0000FE860000}"/>
    <cellStyle name="Normal 57 4 8 8" xfId="14655" xr:uid="{00000000-0005-0000-0000-0000FF860000}"/>
    <cellStyle name="Normal 57 4 8 8 2" xfId="39529" xr:uid="{00000000-0005-0000-0000-000000870000}"/>
    <cellStyle name="Normal 57 4 8 9" xfId="27088" xr:uid="{00000000-0005-0000-0000-000001870000}"/>
    <cellStyle name="Normal 57 4 9" xfId="2063" xr:uid="{00000000-0005-0000-0000-000002870000}"/>
    <cellStyle name="Normal 57 4 9 2" xfId="6128" xr:uid="{00000000-0005-0000-0000-000003870000}"/>
    <cellStyle name="Normal 57 4 9 2 2" xfId="11143" xr:uid="{00000000-0005-0000-0000-000004870000}"/>
    <cellStyle name="Normal 57 4 9 2 2 2" xfId="23586" xr:uid="{00000000-0005-0000-0000-000005870000}"/>
    <cellStyle name="Normal 57 4 9 2 2 2 2" xfId="48460" xr:uid="{00000000-0005-0000-0000-000006870000}"/>
    <cellStyle name="Normal 57 4 9 2 2 3" xfId="36027" xr:uid="{00000000-0005-0000-0000-000007870000}"/>
    <cellStyle name="Normal 57 4 9 2 3" xfId="18579" xr:uid="{00000000-0005-0000-0000-000008870000}"/>
    <cellStyle name="Normal 57 4 9 2 3 2" xfId="43453" xr:uid="{00000000-0005-0000-0000-000009870000}"/>
    <cellStyle name="Normal 57 4 9 2 4" xfId="31020" xr:uid="{00000000-0005-0000-0000-00000A870000}"/>
    <cellStyle name="Normal 57 4 9 3" xfId="12597" xr:uid="{00000000-0005-0000-0000-00000B870000}"/>
    <cellStyle name="Normal 57 4 9 3 2" xfId="25031" xr:uid="{00000000-0005-0000-0000-00000C870000}"/>
    <cellStyle name="Normal 57 4 9 3 2 2" xfId="49905" xr:uid="{00000000-0005-0000-0000-00000D870000}"/>
    <cellStyle name="Normal 57 4 9 3 3" xfId="37472" xr:uid="{00000000-0005-0000-0000-00000E870000}"/>
    <cellStyle name="Normal 57 4 9 4" xfId="8894" xr:uid="{00000000-0005-0000-0000-00000F870000}"/>
    <cellStyle name="Normal 57 4 9 4 2" xfId="21337" xr:uid="{00000000-0005-0000-0000-000010870000}"/>
    <cellStyle name="Normal 57 4 9 4 2 2" xfId="46211" xr:uid="{00000000-0005-0000-0000-000011870000}"/>
    <cellStyle name="Normal 57 4 9 4 3" xfId="33778" xr:uid="{00000000-0005-0000-0000-000012870000}"/>
    <cellStyle name="Normal 57 4 9 5" xfId="3876" xr:uid="{00000000-0005-0000-0000-000013870000}"/>
    <cellStyle name="Normal 57 4 9 5 2" xfId="16330" xr:uid="{00000000-0005-0000-0000-000014870000}"/>
    <cellStyle name="Normal 57 4 9 5 2 2" xfId="41204" xr:uid="{00000000-0005-0000-0000-000015870000}"/>
    <cellStyle name="Normal 57 4 9 5 3" xfId="28771" xr:uid="{00000000-0005-0000-0000-000016870000}"/>
    <cellStyle name="Normal 57 4 9 6" xfId="14782" xr:uid="{00000000-0005-0000-0000-000017870000}"/>
    <cellStyle name="Normal 57 4 9 6 2" xfId="39656" xr:uid="{00000000-0005-0000-0000-000018870000}"/>
    <cellStyle name="Normal 57 4 9 7" xfId="27215" xr:uid="{00000000-0005-0000-0000-000019870000}"/>
    <cellStyle name="Normal 57 4_Degree data" xfId="2472" xr:uid="{00000000-0005-0000-0000-00001A870000}"/>
    <cellStyle name="Normal 57 5" xfId="155" xr:uid="{00000000-0005-0000-0000-00001B870000}"/>
    <cellStyle name="Normal 57 5 10" xfId="953" xr:uid="{00000000-0005-0000-0000-00001C870000}"/>
    <cellStyle name="Normal 57 5 10 2" xfId="11568" xr:uid="{00000000-0005-0000-0000-00001D870000}"/>
    <cellStyle name="Normal 57 5 10 2 2" xfId="24002" xr:uid="{00000000-0005-0000-0000-00001E870000}"/>
    <cellStyle name="Normal 57 5 10 2 2 2" xfId="48876" xr:uid="{00000000-0005-0000-0000-00001F870000}"/>
    <cellStyle name="Normal 57 5 10 2 3" xfId="36443" xr:uid="{00000000-0005-0000-0000-000020870000}"/>
    <cellStyle name="Normal 57 5 10 3" xfId="10112" xr:uid="{00000000-0005-0000-0000-000021870000}"/>
    <cellStyle name="Normal 57 5 10 3 2" xfId="22555" xr:uid="{00000000-0005-0000-0000-000022870000}"/>
    <cellStyle name="Normal 57 5 10 3 2 2" xfId="47429" xr:uid="{00000000-0005-0000-0000-000023870000}"/>
    <cellStyle name="Normal 57 5 10 3 3" xfId="34996" xr:uid="{00000000-0005-0000-0000-000024870000}"/>
    <cellStyle name="Normal 57 5 10 4" xfId="5096" xr:uid="{00000000-0005-0000-0000-000025870000}"/>
    <cellStyle name="Normal 57 5 10 4 2" xfId="17548" xr:uid="{00000000-0005-0000-0000-000026870000}"/>
    <cellStyle name="Normal 57 5 10 4 2 2" xfId="42422" xr:uid="{00000000-0005-0000-0000-000027870000}"/>
    <cellStyle name="Normal 57 5 10 4 3" xfId="29989" xr:uid="{00000000-0005-0000-0000-000028870000}"/>
    <cellStyle name="Normal 57 5 10 5" xfId="13753" xr:uid="{00000000-0005-0000-0000-000029870000}"/>
    <cellStyle name="Normal 57 5 10 5 2" xfId="38627" xr:uid="{00000000-0005-0000-0000-00002A870000}"/>
    <cellStyle name="Normal 57 5 10 6" xfId="26186" xr:uid="{00000000-0005-0000-0000-00002B870000}"/>
    <cellStyle name="Normal 57 5 11" xfId="923" xr:uid="{00000000-0005-0000-0000-00002C870000}"/>
    <cellStyle name="Normal 57 5 11 2" xfId="7720" xr:uid="{00000000-0005-0000-0000-00002D870000}"/>
    <cellStyle name="Normal 57 5 11 2 2" xfId="20166" xr:uid="{00000000-0005-0000-0000-00002E870000}"/>
    <cellStyle name="Normal 57 5 11 2 2 2" xfId="45040" xr:uid="{00000000-0005-0000-0000-00002F870000}"/>
    <cellStyle name="Normal 57 5 11 2 3" xfId="32607" xr:uid="{00000000-0005-0000-0000-000030870000}"/>
    <cellStyle name="Normal 57 5 11 3" xfId="13723" xr:uid="{00000000-0005-0000-0000-000031870000}"/>
    <cellStyle name="Normal 57 5 11 3 2" xfId="38597" xr:uid="{00000000-0005-0000-0000-000032870000}"/>
    <cellStyle name="Normal 57 5 11 4" xfId="26156" xr:uid="{00000000-0005-0000-0000-000033870000}"/>
    <cellStyle name="Normal 57 5 12" xfId="11538" xr:uid="{00000000-0005-0000-0000-000034870000}"/>
    <cellStyle name="Normal 57 5 12 2" xfId="23972" xr:uid="{00000000-0005-0000-0000-000035870000}"/>
    <cellStyle name="Normal 57 5 12 2 2" xfId="48846" xr:uid="{00000000-0005-0000-0000-000036870000}"/>
    <cellStyle name="Normal 57 5 12 3" xfId="36413" xr:uid="{00000000-0005-0000-0000-000037870000}"/>
    <cellStyle name="Normal 57 5 13" xfId="6485" xr:uid="{00000000-0005-0000-0000-000038870000}"/>
    <cellStyle name="Normal 57 5 13 2" xfId="18934" xr:uid="{00000000-0005-0000-0000-000039870000}"/>
    <cellStyle name="Normal 57 5 13 2 2" xfId="43808" xr:uid="{00000000-0005-0000-0000-00003A870000}"/>
    <cellStyle name="Normal 57 5 13 3" xfId="31375" xr:uid="{00000000-0005-0000-0000-00003B870000}"/>
    <cellStyle name="Normal 57 5 14" xfId="2641" xr:uid="{00000000-0005-0000-0000-00003C870000}"/>
    <cellStyle name="Normal 57 5 14 2" xfId="15159" xr:uid="{00000000-0005-0000-0000-00003D870000}"/>
    <cellStyle name="Normal 57 5 14 2 2" xfId="40033" xr:uid="{00000000-0005-0000-0000-00003E870000}"/>
    <cellStyle name="Normal 57 5 14 3" xfId="27592" xr:uid="{00000000-0005-0000-0000-00003F870000}"/>
    <cellStyle name="Normal 57 5 15" xfId="12985" xr:uid="{00000000-0005-0000-0000-000040870000}"/>
    <cellStyle name="Normal 57 5 15 2" xfId="37859" xr:uid="{00000000-0005-0000-0000-000041870000}"/>
    <cellStyle name="Normal 57 5 16" xfId="25418" xr:uid="{00000000-0005-0000-0000-000042870000}"/>
    <cellStyle name="Normal 57 5 2" xfId="185" xr:uid="{00000000-0005-0000-0000-000043870000}"/>
    <cellStyle name="Normal 57 5 2 10" xfId="11670" xr:uid="{00000000-0005-0000-0000-000044870000}"/>
    <cellStyle name="Normal 57 5 2 10 2" xfId="24104" xr:uid="{00000000-0005-0000-0000-000045870000}"/>
    <cellStyle name="Normal 57 5 2 10 2 2" xfId="48978" xr:uid="{00000000-0005-0000-0000-000046870000}"/>
    <cellStyle name="Normal 57 5 2 10 3" xfId="36545" xr:uid="{00000000-0005-0000-0000-000047870000}"/>
    <cellStyle name="Normal 57 5 2 11" xfId="6530" xr:uid="{00000000-0005-0000-0000-000048870000}"/>
    <cellStyle name="Normal 57 5 2 11 2" xfId="18979" xr:uid="{00000000-0005-0000-0000-000049870000}"/>
    <cellStyle name="Normal 57 5 2 11 2 2" xfId="43853" xr:uid="{00000000-0005-0000-0000-00004A870000}"/>
    <cellStyle name="Normal 57 5 2 11 3" xfId="31420" xr:uid="{00000000-0005-0000-0000-00004B870000}"/>
    <cellStyle name="Normal 57 5 2 12" xfId="2698" xr:uid="{00000000-0005-0000-0000-00004C870000}"/>
    <cellStyle name="Normal 57 5 2 12 2" xfId="15216" xr:uid="{00000000-0005-0000-0000-00004D870000}"/>
    <cellStyle name="Normal 57 5 2 12 2 2" xfId="40090" xr:uid="{00000000-0005-0000-0000-00004E870000}"/>
    <cellStyle name="Normal 57 5 2 12 3" xfId="27649" xr:uid="{00000000-0005-0000-0000-00004F870000}"/>
    <cellStyle name="Normal 57 5 2 13" xfId="13015" xr:uid="{00000000-0005-0000-0000-000050870000}"/>
    <cellStyle name="Normal 57 5 2 13 2" xfId="37889" xr:uid="{00000000-0005-0000-0000-000051870000}"/>
    <cellStyle name="Normal 57 5 2 14" xfId="25448" xr:uid="{00000000-0005-0000-0000-000052870000}"/>
    <cellStyle name="Normal 57 5 2 2" xfId="508" xr:uid="{00000000-0005-0000-0000-000053870000}"/>
    <cellStyle name="Normal 57 5 2 2 10" xfId="2902" xr:uid="{00000000-0005-0000-0000-000054870000}"/>
    <cellStyle name="Normal 57 5 2 2 10 2" xfId="15420" xr:uid="{00000000-0005-0000-0000-000055870000}"/>
    <cellStyle name="Normal 57 5 2 2 10 2 2" xfId="40294" xr:uid="{00000000-0005-0000-0000-000056870000}"/>
    <cellStyle name="Normal 57 5 2 2 10 3" xfId="27853" xr:uid="{00000000-0005-0000-0000-000057870000}"/>
    <cellStyle name="Normal 57 5 2 2 11" xfId="13321" xr:uid="{00000000-0005-0000-0000-000058870000}"/>
    <cellStyle name="Normal 57 5 2 2 11 2" xfId="38195" xr:uid="{00000000-0005-0000-0000-000059870000}"/>
    <cellStyle name="Normal 57 5 2 2 12" xfId="25754" xr:uid="{00000000-0005-0000-0000-00005A870000}"/>
    <cellStyle name="Normal 57 5 2 2 2" xfId="867" xr:uid="{00000000-0005-0000-0000-00005B870000}"/>
    <cellStyle name="Normal 57 5 2 2 2 2" xfId="1520" xr:uid="{00000000-0005-0000-0000-00005C870000}"/>
    <cellStyle name="Normal 57 5 2 2 2 2 2" xfId="9358" xr:uid="{00000000-0005-0000-0000-00005D870000}"/>
    <cellStyle name="Normal 57 5 2 2 2 2 2 2" xfId="21801" xr:uid="{00000000-0005-0000-0000-00005E870000}"/>
    <cellStyle name="Normal 57 5 2 2 2 2 2 2 2" xfId="46675" xr:uid="{00000000-0005-0000-0000-00005F870000}"/>
    <cellStyle name="Normal 57 5 2 2 2 2 2 3" xfId="34242" xr:uid="{00000000-0005-0000-0000-000060870000}"/>
    <cellStyle name="Normal 57 5 2 2 2 2 3" xfId="4340" xr:uid="{00000000-0005-0000-0000-000061870000}"/>
    <cellStyle name="Normal 57 5 2 2 2 2 3 2" xfId="16794" xr:uid="{00000000-0005-0000-0000-000062870000}"/>
    <cellStyle name="Normal 57 5 2 2 2 2 3 2 2" xfId="41668" xr:uid="{00000000-0005-0000-0000-000063870000}"/>
    <cellStyle name="Normal 57 5 2 2 2 2 3 3" xfId="29235" xr:uid="{00000000-0005-0000-0000-000064870000}"/>
    <cellStyle name="Normal 57 5 2 2 2 2 4" xfId="14320" xr:uid="{00000000-0005-0000-0000-000065870000}"/>
    <cellStyle name="Normal 57 5 2 2 2 2 4 2" xfId="39194" xr:uid="{00000000-0005-0000-0000-000066870000}"/>
    <cellStyle name="Normal 57 5 2 2 2 2 5" xfId="26753" xr:uid="{00000000-0005-0000-0000-000067870000}"/>
    <cellStyle name="Normal 57 5 2 2 2 3" xfId="5665" xr:uid="{00000000-0005-0000-0000-000068870000}"/>
    <cellStyle name="Normal 57 5 2 2 2 3 2" xfId="10681" xr:uid="{00000000-0005-0000-0000-000069870000}"/>
    <cellStyle name="Normal 57 5 2 2 2 3 2 2" xfId="23124" xr:uid="{00000000-0005-0000-0000-00006A870000}"/>
    <cellStyle name="Normal 57 5 2 2 2 3 2 2 2" xfId="47998" xr:uid="{00000000-0005-0000-0000-00006B870000}"/>
    <cellStyle name="Normal 57 5 2 2 2 3 2 3" xfId="35565" xr:uid="{00000000-0005-0000-0000-00006C870000}"/>
    <cellStyle name="Normal 57 5 2 2 2 3 3" xfId="18117" xr:uid="{00000000-0005-0000-0000-00006D870000}"/>
    <cellStyle name="Normal 57 5 2 2 2 3 3 2" xfId="42991" xr:uid="{00000000-0005-0000-0000-00006E870000}"/>
    <cellStyle name="Normal 57 5 2 2 2 3 4" xfId="30558" xr:uid="{00000000-0005-0000-0000-00006F870000}"/>
    <cellStyle name="Normal 57 5 2 2 2 4" xfId="8474" xr:uid="{00000000-0005-0000-0000-000070870000}"/>
    <cellStyle name="Normal 57 5 2 2 2 4 2" xfId="20918" xr:uid="{00000000-0005-0000-0000-000071870000}"/>
    <cellStyle name="Normal 57 5 2 2 2 4 2 2" xfId="45792" xr:uid="{00000000-0005-0000-0000-000072870000}"/>
    <cellStyle name="Normal 57 5 2 2 2 4 3" xfId="33359" xr:uid="{00000000-0005-0000-0000-000073870000}"/>
    <cellStyle name="Normal 57 5 2 2 2 5" xfId="12135" xr:uid="{00000000-0005-0000-0000-000074870000}"/>
    <cellStyle name="Normal 57 5 2 2 2 5 2" xfId="24569" xr:uid="{00000000-0005-0000-0000-000075870000}"/>
    <cellStyle name="Normal 57 5 2 2 2 5 2 2" xfId="49443" xr:uid="{00000000-0005-0000-0000-000076870000}"/>
    <cellStyle name="Normal 57 5 2 2 2 5 3" xfId="37010" xr:uid="{00000000-0005-0000-0000-000077870000}"/>
    <cellStyle name="Normal 57 5 2 2 2 6" xfId="6951" xr:uid="{00000000-0005-0000-0000-000078870000}"/>
    <cellStyle name="Normal 57 5 2 2 2 6 2" xfId="19400" xr:uid="{00000000-0005-0000-0000-000079870000}"/>
    <cellStyle name="Normal 57 5 2 2 2 6 2 2" xfId="44274" xr:uid="{00000000-0005-0000-0000-00007A870000}"/>
    <cellStyle name="Normal 57 5 2 2 2 6 3" xfId="31841" xr:uid="{00000000-0005-0000-0000-00007B870000}"/>
    <cellStyle name="Normal 57 5 2 2 2 7" xfId="3405" xr:uid="{00000000-0005-0000-0000-00007C870000}"/>
    <cellStyle name="Normal 57 5 2 2 2 7 2" xfId="15911" xr:uid="{00000000-0005-0000-0000-00007D870000}"/>
    <cellStyle name="Normal 57 5 2 2 2 7 2 2" xfId="40785" xr:uid="{00000000-0005-0000-0000-00007E870000}"/>
    <cellStyle name="Normal 57 5 2 2 2 7 3" xfId="28344" xr:uid="{00000000-0005-0000-0000-00007F870000}"/>
    <cellStyle name="Normal 57 5 2 2 2 8" xfId="13668" xr:uid="{00000000-0005-0000-0000-000080870000}"/>
    <cellStyle name="Normal 57 5 2 2 2 8 2" xfId="38542" xr:uid="{00000000-0005-0000-0000-000081870000}"/>
    <cellStyle name="Normal 57 5 2 2 2 9" xfId="26101" xr:uid="{00000000-0005-0000-0000-000082870000}"/>
    <cellStyle name="Normal 57 5 2 2 3" xfId="1868" xr:uid="{00000000-0005-0000-0000-000083870000}"/>
    <cellStyle name="Normal 57 5 2 2 3 2" xfId="4606" xr:uid="{00000000-0005-0000-0000-000084870000}"/>
    <cellStyle name="Normal 57 5 2 2 3 2 2" xfId="9624" xr:uid="{00000000-0005-0000-0000-000085870000}"/>
    <cellStyle name="Normal 57 5 2 2 3 2 2 2" xfId="22067" xr:uid="{00000000-0005-0000-0000-000086870000}"/>
    <cellStyle name="Normal 57 5 2 2 3 2 2 2 2" xfId="46941" xr:uid="{00000000-0005-0000-0000-000087870000}"/>
    <cellStyle name="Normal 57 5 2 2 3 2 2 3" xfId="34508" xr:uid="{00000000-0005-0000-0000-000088870000}"/>
    <cellStyle name="Normal 57 5 2 2 3 2 3" xfId="17060" xr:uid="{00000000-0005-0000-0000-000089870000}"/>
    <cellStyle name="Normal 57 5 2 2 3 2 3 2" xfId="41934" xr:uid="{00000000-0005-0000-0000-00008A870000}"/>
    <cellStyle name="Normal 57 5 2 2 3 2 4" xfId="29501" xr:uid="{00000000-0005-0000-0000-00008B870000}"/>
    <cellStyle name="Normal 57 5 2 2 3 3" xfId="6014" xr:uid="{00000000-0005-0000-0000-00008C870000}"/>
    <cellStyle name="Normal 57 5 2 2 3 3 2" xfId="11029" xr:uid="{00000000-0005-0000-0000-00008D870000}"/>
    <cellStyle name="Normal 57 5 2 2 3 3 2 2" xfId="23472" xr:uid="{00000000-0005-0000-0000-00008E870000}"/>
    <cellStyle name="Normal 57 5 2 2 3 3 2 2 2" xfId="48346" xr:uid="{00000000-0005-0000-0000-00008F870000}"/>
    <cellStyle name="Normal 57 5 2 2 3 3 2 3" xfId="35913" xr:uid="{00000000-0005-0000-0000-000090870000}"/>
    <cellStyle name="Normal 57 5 2 2 3 3 3" xfId="18465" xr:uid="{00000000-0005-0000-0000-000091870000}"/>
    <cellStyle name="Normal 57 5 2 2 3 3 3 2" xfId="43339" xr:uid="{00000000-0005-0000-0000-000092870000}"/>
    <cellStyle name="Normal 57 5 2 2 3 3 4" xfId="30906" xr:uid="{00000000-0005-0000-0000-000093870000}"/>
    <cellStyle name="Normal 57 5 2 2 3 4" xfId="8740" xr:uid="{00000000-0005-0000-0000-000094870000}"/>
    <cellStyle name="Normal 57 5 2 2 3 4 2" xfId="21184" xr:uid="{00000000-0005-0000-0000-000095870000}"/>
    <cellStyle name="Normal 57 5 2 2 3 4 2 2" xfId="46058" xr:uid="{00000000-0005-0000-0000-000096870000}"/>
    <cellStyle name="Normal 57 5 2 2 3 4 3" xfId="33625" xr:uid="{00000000-0005-0000-0000-000097870000}"/>
    <cellStyle name="Normal 57 5 2 2 3 5" xfId="12483" xr:uid="{00000000-0005-0000-0000-000098870000}"/>
    <cellStyle name="Normal 57 5 2 2 3 5 2" xfId="24917" xr:uid="{00000000-0005-0000-0000-000099870000}"/>
    <cellStyle name="Normal 57 5 2 2 3 5 2 2" xfId="49791" xr:uid="{00000000-0005-0000-0000-00009A870000}"/>
    <cellStyle name="Normal 57 5 2 2 3 5 3" xfId="37358" xr:uid="{00000000-0005-0000-0000-00009B870000}"/>
    <cellStyle name="Normal 57 5 2 2 3 6" xfId="7217" xr:uid="{00000000-0005-0000-0000-00009C870000}"/>
    <cellStyle name="Normal 57 5 2 2 3 6 2" xfId="19666" xr:uid="{00000000-0005-0000-0000-00009D870000}"/>
    <cellStyle name="Normal 57 5 2 2 3 6 2 2" xfId="44540" xr:uid="{00000000-0005-0000-0000-00009E870000}"/>
    <cellStyle name="Normal 57 5 2 2 3 6 3" xfId="32107" xr:uid="{00000000-0005-0000-0000-00009F870000}"/>
    <cellStyle name="Normal 57 5 2 2 3 7" xfId="3671" xr:uid="{00000000-0005-0000-0000-0000A0870000}"/>
    <cellStyle name="Normal 57 5 2 2 3 7 2" xfId="16177" xr:uid="{00000000-0005-0000-0000-0000A1870000}"/>
    <cellStyle name="Normal 57 5 2 2 3 7 2 2" xfId="41051" xr:uid="{00000000-0005-0000-0000-0000A2870000}"/>
    <cellStyle name="Normal 57 5 2 2 3 7 3" xfId="28610" xr:uid="{00000000-0005-0000-0000-0000A3870000}"/>
    <cellStyle name="Normal 57 5 2 2 3 8" xfId="14668" xr:uid="{00000000-0005-0000-0000-0000A4870000}"/>
    <cellStyle name="Normal 57 5 2 2 3 8 2" xfId="39542" xr:uid="{00000000-0005-0000-0000-0000A5870000}"/>
    <cellStyle name="Normal 57 5 2 2 3 9" xfId="27101" xr:uid="{00000000-0005-0000-0000-0000A6870000}"/>
    <cellStyle name="Normal 57 5 2 2 4" xfId="2426" xr:uid="{00000000-0005-0000-0000-0000A7870000}"/>
    <cellStyle name="Normal 57 5 2 2 4 2" xfId="5050" xr:uid="{00000000-0005-0000-0000-0000A8870000}"/>
    <cellStyle name="Normal 57 5 2 2 4 2 2" xfId="10067" xr:uid="{00000000-0005-0000-0000-0000A9870000}"/>
    <cellStyle name="Normal 57 5 2 2 4 2 2 2" xfId="22510" xr:uid="{00000000-0005-0000-0000-0000AA870000}"/>
    <cellStyle name="Normal 57 5 2 2 4 2 2 2 2" xfId="47384" xr:uid="{00000000-0005-0000-0000-0000AB870000}"/>
    <cellStyle name="Normal 57 5 2 2 4 2 2 3" xfId="34951" xr:uid="{00000000-0005-0000-0000-0000AC870000}"/>
    <cellStyle name="Normal 57 5 2 2 4 2 3" xfId="17503" xr:uid="{00000000-0005-0000-0000-0000AD870000}"/>
    <cellStyle name="Normal 57 5 2 2 4 2 3 2" xfId="42377" xr:uid="{00000000-0005-0000-0000-0000AE870000}"/>
    <cellStyle name="Normal 57 5 2 2 4 2 4" xfId="29944" xr:uid="{00000000-0005-0000-0000-0000AF870000}"/>
    <cellStyle name="Normal 57 5 2 2 4 3" xfId="6448" xr:uid="{00000000-0005-0000-0000-0000B0870000}"/>
    <cellStyle name="Normal 57 5 2 2 4 3 2" xfId="11463" xr:uid="{00000000-0005-0000-0000-0000B1870000}"/>
    <cellStyle name="Normal 57 5 2 2 4 3 2 2" xfId="23906" xr:uid="{00000000-0005-0000-0000-0000B2870000}"/>
    <cellStyle name="Normal 57 5 2 2 4 3 2 2 2" xfId="48780" xr:uid="{00000000-0005-0000-0000-0000B3870000}"/>
    <cellStyle name="Normal 57 5 2 2 4 3 2 3" xfId="36347" xr:uid="{00000000-0005-0000-0000-0000B4870000}"/>
    <cellStyle name="Normal 57 5 2 2 4 3 3" xfId="18899" xr:uid="{00000000-0005-0000-0000-0000B5870000}"/>
    <cellStyle name="Normal 57 5 2 2 4 3 3 2" xfId="43773" xr:uid="{00000000-0005-0000-0000-0000B6870000}"/>
    <cellStyle name="Normal 57 5 2 2 4 3 4" xfId="31340" xr:uid="{00000000-0005-0000-0000-0000B7870000}"/>
    <cellStyle name="Normal 57 5 2 2 4 4" xfId="8155" xr:uid="{00000000-0005-0000-0000-0000B8870000}"/>
    <cellStyle name="Normal 57 5 2 2 4 4 2" xfId="20601" xr:uid="{00000000-0005-0000-0000-0000B9870000}"/>
    <cellStyle name="Normal 57 5 2 2 4 4 2 2" xfId="45475" xr:uid="{00000000-0005-0000-0000-0000BA870000}"/>
    <cellStyle name="Normal 57 5 2 2 4 4 3" xfId="33042" xr:uid="{00000000-0005-0000-0000-0000BB870000}"/>
    <cellStyle name="Normal 57 5 2 2 4 5" xfId="12917" xr:uid="{00000000-0005-0000-0000-0000BC870000}"/>
    <cellStyle name="Normal 57 5 2 2 4 5 2" xfId="25351" xr:uid="{00000000-0005-0000-0000-0000BD870000}"/>
    <cellStyle name="Normal 57 5 2 2 4 5 2 2" xfId="50225" xr:uid="{00000000-0005-0000-0000-0000BE870000}"/>
    <cellStyle name="Normal 57 5 2 2 4 5 3" xfId="37792" xr:uid="{00000000-0005-0000-0000-0000BF870000}"/>
    <cellStyle name="Normal 57 5 2 2 4 6" xfId="7661" xr:uid="{00000000-0005-0000-0000-0000C0870000}"/>
    <cellStyle name="Normal 57 5 2 2 4 6 2" xfId="20109" xr:uid="{00000000-0005-0000-0000-0000C1870000}"/>
    <cellStyle name="Normal 57 5 2 2 4 6 2 2" xfId="44983" xr:uid="{00000000-0005-0000-0000-0000C2870000}"/>
    <cellStyle name="Normal 57 5 2 2 4 6 3" xfId="32550" xr:uid="{00000000-0005-0000-0000-0000C3870000}"/>
    <cellStyle name="Normal 57 5 2 2 4 7" xfId="3085" xr:uid="{00000000-0005-0000-0000-0000C4870000}"/>
    <cellStyle name="Normal 57 5 2 2 4 7 2" xfId="15594" xr:uid="{00000000-0005-0000-0000-0000C5870000}"/>
    <cellStyle name="Normal 57 5 2 2 4 7 2 2" xfId="40468" xr:uid="{00000000-0005-0000-0000-0000C6870000}"/>
    <cellStyle name="Normal 57 5 2 2 4 7 3" xfId="28027" xr:uid="{00000000-0005-0000-0000-0000C7870000}"/>
    <cellStyle name="Normal 57 5 2 2 4 8" xfId="15102" xr:uid="{00000000-0005-0000-0000-0000C8870000}"/>
    <cellStyle name="Normal 57 5 2 2 4 8 2" xfId="39976" xr:uid="{00000000-0005-0000-0000-0000C9870000}"/>
    <cellStyle name="Normal 57 5 2 2 4 9" xfId="27535" xr:uid="{00000000-0005-0000-0000-0000CA870000}"/>
    <cellStyle name="Normal 57 5 2 2 5" xfId="1259" xr:uid="{00000000-0005-0000-0000-0000CB870000}"/>
    <cellStyle name="Normal 57 5 2 2 5 2" xfId="9041" xr:uid="{00000000-0005-0000-0000-0000CC870000}"/>
    <cellStyle name="Normal 57 5 2 2 5 2 2" xfId="21484" xr:uid="{00000000-0005-0000-0000-0000CD870000}"/>
    <cellStyle name="Normal 57 5 2 2 5 2 2 2" xfId="46358" xr:uid="{00000000-0005-0000-0000-0000CE870000}"/>
    <cellStyle name="Normal 57 5 2 2 5 2 3" xfId="33925" xr:uid="{00000000-0005-0000-0000-0000CF870000}"/>
    <cellStyle name="Normal 57 5 2 2 5 3" xfId="4023" xr:uid="{00000000-0005-0000-0000-0000D0870000}"/>
    <cellStyle name="Normal 57 5 2 2 5 3 2" xfId="16477" xr:uid="{00000000-0005-0000-0000-0000D1870000}"/>
    <cellStyle name="Normal 57 5 2 2 5 3 2 2" xfId="41351" xr:uid="{00000000-0005-0000-0000-0000D2870000}"/>
    <cellStyle name="Normal 57 5 2 2 5 3 3" xfId="28918" xr:uid="{00000000-0005-0000-0000-0000D3870000}"/>
    <cellStyle name="Normal 57 5 2 2 5 4" xfId="14059" xr:uid="{00000000-0005-0000-0000-0000D4870000}"/>
    <cellStyle name="Normal 57 5 2 2 5 4 2" xfId="38933" xr:uid="{00000000-0005-0000-0000-0000D5870000}"/>
    <cellStyle name="Normal 57 5 2 2 5 5" xfId="26492" xr:uid="{00000000-0005-0000-0000-0000D6870000}"/>
    <cellStyle name="Normal 57 5 2 2 6" xfId="5404" xr:uid="{00000000-0005-0000-0000-0000D7870000}"/>
    <cellStyle name="Normal 57 5 2 2 6 2" xfId="10420" xr:uid="{00000000-0005-0000-0000-0000D8870000}"/>
    <cellStyle name="Normal 57 5 2 2 6 2 2" xfId="22863" xr:uid="{00000000-0005-0000-0000-0000D9870000}"/>
    <cellStyle name="Normal 57 5 2 2 6 2 2 2" xfId="47737" xr:uid="{00000000-0005-0000-0000-0000DA870000}"/>
    <cellStyle name="Normal 57 5 2 2 6 2 3" xfId="35304" xr:uid="{00000000-0005-0000-0000-0000DB870000}"/>
    <cellStyle name="Normal 57 5 2 2 6 3" xfId="17856" xr:uid="{00000000-0005-0000-0000-0000DC870000}"/>
    <cellStyle name="Normal 57 5 2 2 6 3 2" xfId="42730" xr:uid="{00000000-0005-0000-0000-0000DD870000}"/>
    <cellStyle name="Normal 57 5 2 2 6 4" xfId="30297" xr:uid="{00000000-0005-0000-0000-0000DE870000}"/>
    <cellStyle name="Normal 57 5 2 2 7" xfId="7981" xr:uid="{00000000-0005-0000-0000-0000DF870000}"/>
    <cellStyle name="Normal 57 5 2 2 7 2" xfId="20427" xr:uid="{00000000-0005-0000-0000-0000E0870000}"/>
    <cellStyle name="Normal 57 5 2 2 7 2 2" xfId="45301" xr:uid="{00000000-0005-0000-0000-0000E1870000}"/>
    <cellStyle name="Normal 57 5 2 2 7 3" xfId="32868" xr:uid="{00000000-0005-0000-0000-0000E2870000}"/>
    <cellStyle name="Normal 57 5 2 2 8" xfId="11874" xr:uid="{00000000-0005-0000-0000-0000E3870000}"/>
    <cellStyle name="Normal 57 5 2 2 8 2" xfId="24308" xr:uid="{00000000-0005-0000-0000-0000E4870000}"/>
    <cellStyle name="Normal 57 5 2 2 8 2 2" xfId="49182" xr:uid="{00000000-0005-0000-0000-0000E5870000}"/>
    <cellStyle name="Normal 57 5 2 2 8 3" xfId="36749" xr:uid="{00000000-0005-0000-0000-0000E6870000}"/>
    <cellStyle name="Normal 57 5 2 2 9" xfId="6634" xr:uid="{00000000-0005-0000-0000-0000E7870000}"/>
    <cellStyle name="Normal 57 5 2 2 9 2" xfId="19083" xr:uid="{00000000-0005-0000-0000-0000E8870000}"/>
    <cellStyle name="Normal 57 5 2 2 9 2 2" xfId="43957" xr:uid="{00000000-0005-0000-0000-0000E9870000}"/>
    <cellStyle name="Normal 57 5 2 2 9 3" xfId="31524" xr:uid="{00000000-0005-0000-0000-0000EA870000}"/>
    <cellStyle name="Normal 57 5 2 2_Degree data" xfId="2485" xr:uid="{00000000-0005-0000-0000-0000EB870000}"/>
    <cellStyle name="Normal 57 5 2 3" xfId="401" xr:uid="{00000000-0005-0000-0000-0000EC870000}"/>
    <cellStyle name="Normal 57 5 2 3 10" xfId="13217" xr:uid="{00000000-0005-0000-0000-0000ED870000}"/>
    <cellStyle name="Normal 57 5 2 3 10 2" xfId="38091" xr:uid="{00000000-0005-0000-0000-0000EE870000}"/>
    <cellStyle name="Normal 57 5 2 3 11" xfId="25650" xr:uid="{00000000-0005-0000-0000-0000EF870000}"/>
    <cellStyle name="Normal 57 5 2 3 2" xfId="761" xr:uid="{00000000-0005-0000-0000-0000F0870000}"/>
    <cellStyle name="Normal 57 5 2 3 2 2" xfId="1521" xr:uid="{00000000-0005-0000-0000-0000F1870000}"/>
    <cellStyle name="Normal 57 5 2 3 2 2 2" xfId="9625" xr:uid="{00000000-0005-0000-0000-0000F2870000}"/>
    <cellStyle name="Normal 57 5 2 3 2 2 2 2" xfId="22068" xr:uid="{00000000-0005-0000-0000-0000F3870000}"/>
    <cellStyle name="Normal 57 5 2 3 2 2 2 2 2" xfId="46942" xr:uid="{00000000-0005-0000-0000-0000F4870000}"/>
    <cellStyle name="Normal 57 5 2 3 2 2 2 3" xfId="34509" xr:uid="{00000000-0005-0000-0000-0000F5870000}"/>
    <cellStyle name="Normal 57 5 2 3 2 2 3" xfId="4607" xr:uid="{00000000-0005-0000-0000-0000F6870000}"/>
    <cellStyle name="Normal 57 5 2 3 2 2 3 2" xfId="17061" xr:uid="{00000000-0005-0000-0000-0000F7870000}"/>
    <cellStyle name="Normal 57 5 2 3 2 2 3 2 2" xfId="41935" xr:uid="{00000000-0005-0000-0000-0000F8870000}"/>
    <cellStyle name="Normal 57 5 2 3 2 2 3 3" xfId="29502" xr:uid="{00000000-0005-0000-0000-0000F9870000}"/>
    <cellStyle name="Normal 57 5 2 3 2 2 4" xfId="14321" xr:uid="{00000000-0005-0000-0000-0000FA870000}"/>
    <cellStyle name="Normal 57 5 2 3 2 2 4 2" xfId="39195" xr:uid="{00000000-0005-0000-0000-0000FB870000}"/>
    <cellStyle name="Normal 57 5 2 3 2 2 5" xfId="26754" xr:uid="{00000000-0005-0000-0000-0000FC870000}"/>
    <cellStyle name="Normal 57 5 2 3 2 3" xfId="5666" xr:uid="{00000000-0005-0000-0000-0000FD870000}"/>
    <cellStyle name="Normal 57 5 2 3 2 3 2" xfId="10682" xr:uid="{00000000-0005-0000-0000-0000FE870000}"/>
    <cellStyle name="Normal 57 5 2 3 2 3 2 2" xfId="23125" xr:uid="{00000000-0005-0000-0000-0000FF870000}"/>
    <cellStyle name="Normal 57 5 2 3 2 3 2 2 2" xfId="47999" xr:uid="{00000000-0005-0000-0000-000000880000}"/>
    <cellStyle name="Normal 57 5 2 3 2 3 2 3" xfId="35566" xr:uid="{00000000-0005-0000-0000-000001880000}"/>
    <cellStyle name="Normal 57 5 2 3 2 3 3" xfId="18118" xr:uid="{00000000-0005-0000-0000-000002880000}"/>
    <cellStyle name="Normal 57 5 2 3 2 3 3 2" xfId="42992" xr:uid="{00000000-0005-0000-0000-000003880000}"/>
    <cellStyle name="Normal 57 5 2 3 2 3 4" xfId="30559" xr:uid="{00000000-0005-0000-0000-000004880000}"/>
    <cellStyle name="Normal 57 5 2 3 2 4" xfId="8741" xr:uid="{00000000-0005-0000-0000-000005880000}"/>
    <cellStyle name="Normal 57 5 2 3 2 4 2" xfId="21185" xr:uid="{00000000-0005-0000-0000-000006880000}"/>
    <cellStyle name="Normal 57 5 2 3 2 4 2 2" xfId="46059" xr:uid="{00000000-0005-0000-0000-000007880000}"/>
    <cellStyle name="Normal 57 5 2 3 2 4 3" xfId="33626" xr:uid="{00000000-0005-0000-0000-000008880000}"/>
    <cellStyle name="Normal 57 5 2 3 2 5" xfId="12136" xr:uid="{00000000-0005-0000-0000-000009880000}"/>
    <cellStyle name="Normal 57 5 2 3 2 5 2" xfId="24570" xr:uid="{00000000-0005-0000-0000-00000A880000}"/>
    <cellStyle name="Normal 57 5 2 3 2 5 2 2" xfId="49444" xr:uid="{00000000-0005-0000-0000-00000B880000}"/>
    <cellStyle name="Normal 57 5 2 3 2 5 3" xfId="37011" xr:uid="{00000000-0005-0000-0000-00000C880000}"/>
    <cellStyle name="Normal 57 5 2 3 2 6" xfId="7218" xr:uid="{00000000-0005-0000-0000-00000D880000}"/>
    <cellStyle name="Normal 57 5 2 3 2 6 2" xfId="19667" xr:uid="{00000000-0005-0000-0000-00000E880000}"/>
    <cellStyle name="Normal 57 5 2 3 2 6 2 2" xfId="44541" xr:uid="{00000000-0005-0000-0000-00000F880000}"/>
    <cellStyle name="Normal 57 5 2 3 2 6 3" xfId="32108" xr:uid="{00000000-0005-0000-0000-000010880000}"/>
    <cellStyle name="Normal 57 5 2 3 2 7" xfId="3672" xr:uid="{00000000-0005-0000-0000-000011880000}"/>
    <cellStyle name="Normal 57 5 2 3 2 7 2" xfId="16178" xr:uid="{00000000-0005-0000-0000-000012880000}"/>
    <cellStyle name="Normal 57 5 2 3 2 7 2 2" xfId="41052" xr:uid="{00000000-0005-0000-0000-000013880000}"/>
    <cellStyle name="Normal 57 5 2 3 2 7 3" xfId="28611" xr:uid="{00000000-0005-0000-0000-000014880000}"/>
    <cellStyle name="Normal 57 5 2 3 2 8" xfId="13564" xr:uid="{00000000-0005-0000-0000-000015880000}"/>
    <cellStyle name="Normal 57 5 2 3 2 8 2" xfId="38438" xr:uid="{00000000-0005-0000-0000-000016880000}"/>
    <cellStyle name="Normal 57 5 2 3 2 9" xfId="25997" xr:uid="{00000000-0005-0000-0000-000017880000}"/>
    <cellStyle name="Normal 57 5 2 3 3" xfId="1869" xr:uid="{00000000-0005-0000-0000-000018880000}"/>
    <cellStyle name="Normal 57 5 2 3 3 2" xfId="4946" xr:uid="{00000000-0005-0000-0000-000019880000}"/>
    <cellStyle name="Normal 57 5 2 3 3 2 2" xfId="9963" xr:uid="{00000000-0005-0000-0000-00001A880000}"/>
    <cellStyle name="Normal 57 5 2 3 3 2 2 2" xfId="22406" xr:uid="{00000000-0005-0000-0000-00001B880000}"/>
    <cellStyle name="Normal 57 5 2 3 3 2 2 2 2" xfId="47280" xr:uid="{00000000-0005-0000-0000-00001C880000}"/>
    <cellStyle name="Normal 57 5 2 3 3 2 2 3" xfId="34847" xr:uid="{00000000-0005-0000-0000-00001D880000}"/>
    <cellStyle name="Normal 57 5 2 3 3 2 3" xfId="17399" xr:uid="{00000000-0005-0000-0000-00001E880000}"/>
    <cellStyle name="Normal 57 5 2 3 3 2 3 2" xfId="42273" xr:uid="{00000000-0005-0000-0000-00001F880000}"/>
    <cellStyle name="Normal 57 5 2 3 3 2 4" xfId="29840" xr:uid="{00000000-0005-0000-0000-000020880000}"/>
    <cellStyle name="Normal 57 5 2 3 3 3" xfId="6015" xr:uid="{00000000-0005-0000-0000-000021880000}"/>
    <cellStyle name="Normal 57 5 2 3 3 3 2" xfId="11030" xr:uid="{00000000-0005-0000-0000-000022880000}"/>
    <cellStyle name="Normal 57 5 2 3 3 3 2 2" xfId="23473" xr:uid="{00000000-0005-0000-0000-000023880000}"/>
    <cellStyle name="Normal 57 5 2 3 3 3 2 2 2" xfId="48347" xr:uid="{00000000-0005-0000-0000-000024880000}"/>
    <cellStyle name="Normal 57 5 2 3 3 3 2 3" xfId="35914" xr:uid="{00000000-0005-0000-0000-000025880000}"/>
    <cellStyle name="Normal 57 5 2 3 3 3 3" xfId="18466" xr:uid="{00000000-0005-0000-0000-000026880000}"/>
    <cellStyle name="Normal 57 5 2 3 3 3 3 2" xfId="43340" xr:uid="{00000000-0005-0000-0000-000027880000}"/>
    <cellStyle name="Normal 57 5 2 3 3 3 4" xfId="30907" xr:uid="{00000000-0005-0000-0000-000028880000}"/>
    <cellStyle name="Normal 57 5 2 3 3 4" xfId="8370" xr:uid="{00000000-0005-0000-0000-000029880000}"/>
    <cellStyle name="Normal 57 5 2 3 3 4 2" xfId="20814" xr:uid="{00000000-0005-0000-0000-00002A880000}"/>
    <cellStyle name="Normal 57 5 2 3 3 4 2 2" xfId="45688" xr:uid="{00000000-0005-0000-0000-00002B880000}"/>
    <cellStyle name="Normal 57 5 2 3 3 4 3" xfId="33255" xr:uid="{00000000-0005-0000-0000-00002C880000}"/>
    <cellStyle name="Normal 57 5 2 3 3 5" xfId="12484" xr:uid="{00000000-0005-0000-0000-00002D880000}"/>
    <cellStyle name="Normal 57 5 2 3 3 5 2" xfId="24918" xr:uid="{00000000-0005-0000-0000-00002E880000}"/>
    <cellStyle name="Normal 57 5 2 3 3 5 2 2" xfId="49792" xr:uid="{00000000-0005-0000-0000-00002F880000}"/>
    <cellStyle name="Normal 57 5 2 3 3 5 3" xfId="37359" xr:uid="{00000000-0005-0000-0000-000030880000}"/>
    <cellStyle name="Normal 57 5 2 3 3 6" xfId="7557" xr:uid="{00000000-0005-0000-0000-000031880000}"/>
    <cellStyle name="Normal 57 5 2 3 3 6 2" xfId="20005" xr:uid="{00000000-0005-0000-0000-000032880000}"/>
    <cellStyle name="Normal 57 5 2 3 3 6 2 2" xfId="44879" xr:uid="{00000000-0005-0000-0000-000033880000}"/>
    <cellStyle name="Normal 57 5 2 3 3 6 3" xfId="32446" xr:uid="{00000000-0005-0000-0000-000034880000}"/>
    <cellStyle name="Normal 57 5 2 3 3 7" xfId="3301" xr:uid="{00000000-0005-0000-0000-000035880000}"/>
    <cellStyle name="Normal 57 5 2 3 3 7 2" xfId="15807" xr:uid="{00000000-0005-0000-0000-000036880000}"/>
    <cellStyle name="Normal 57 5 2 3 3 7 2 2" xfId="40681" xr:uid="{00000000-0005-0000-0000-000037880000}"/>
    <cellStyle name="Normal 57 5 2 3 3 7 3" xfId="28240" xr:uid="{00000000-0005-0000-0000-000038880000}"/>
    <cellStyle name="Normal 57 5 2 3 3 8" xfId="14669" xr:uid="{00000000-0005-0000-0000-000039880000}"/>
    <cellStyle name="Normal 57 5 2 3 3 8 2" xfId="39543" xr:uid="{00000000-0005-0000-0000-00003A880000}"/>
    <cellStyle name="Normal 57 5 2 3 3 9" xfId="27102" xr:uid="{00000000-0005-0000-0000-00003B880000}"/>
    <cellStyle name="Normal 57 5 2 3 4" xfId="2319" xr:uid="{00000000-0005-0000-0000-00003C880000}"/>
    <cellStyle name="Normal 57 5 2 3 4 2" xfId="6344" xr:uid="{00000000-0005-0000-0000-00003D880000}"/>
    <cellStyle name="Normal 57 5 2 3 4 2 2" xfId="11359" xr:uid="{00000000-0005-0000-0000-00003E880000}"/>
    <cellStyle name="Normal 57 5 2 3 4 2 2 2" xfId="23802" xr:uid="{00000000-0005-0000-0000-00003F880000}"/>
    <cellStyle name="Normal 57 5 2 3 4 2 2 2 2" xfId="48676" xr:uid="{00000000-0005-0000-0000-000040880000}"/>
    <cellStyle name="Normal 57 5 2 3 4 2 2 3" xfId="36243" xr:uid="{00000000-0005-0000-0000-000041880000}"/>
    <cellStyle name="Normal 57 5 2 3 4 2 3" xfId="18795" xr:uid="{00000000-0005-0000-0000-000042880000}"/>
    <cellStyle name="Normal 57 5 2 3 4 2 3 2" xfId="43669" xr:uid="{00000000-0005-0000-0000-000043880000}"/>
    <cellStyle name="Normal 57 5 2 3 4 2 4" xfId="31236" xr:uid="{00000000-0005-0000-0000-000044880000}"/>
    <cellStyle name="Normal 57 5 2 3 4 3" xfId="12813" xr:uid="{00000000-0005-0000-0000-000045880000}"/>
    <cellStyle name="Normal 57 5 2 3 4 3 2" xfId="25247" xr:uid="{00000000-0005-0000-0000-000046880000}"/>
    <cellStyle name="Normal 57 5 2 3 4 3 2 2" xfId="50121" xr:uid="{00000000-0005-0000-0000-000047880000}"/>
    <cellStyle name="Normal 57 5 2 3 4 3 3" xfId="37688" xr:uid="{00000000-0005-0000-0000-000048880000}"/>
    <cellStyle name="Normal 57 5 2 3 4 4" xfId="9254" xr:uid="{00000000-0005-0000-0000-000049880000}"/>
    <cellStyle name="Normal 57 5 2 3 4 4 2" xfId="21697" xr:uid="{00000000-0005-0000-0000-00004A880000}"/>
    <cellStyle name="Normal 57 5 2 3 4 4 2 2" xfId="46571" xr:uid="{00000000-0005-0000-0000-00004B880000}"/>
    <cellStyle name="Normal 57 5 2 3 4 4 3" xfId="34138" xr:uid="{00000000-0005-0000-0000-00004C880000}"/>
    <cellStyle name="Normal 57 5 2 3 4 5" xfId="4236" xr:uid="{00000000-0005-0000-0000-00004D880000}"/>
    <cellStyle name="Normal 57 5 2 3 4 5 2" xfId="16690" xr:uid="{00000000-0005-0000-0000-00004E880000}"/>
    <cellStyle name="Normal 57 5 2 3 4 5 2 2" xfId="41564" xr:uid="{00000000-0005-0000-0000-00004F880000}"/>
    <cellStyle name="Normal 57 5 2 3 4 5 3" xfId="29131" xr:uid="{00000000-0005-0000-0000-000050880000}"/>
    <cellStyle name="Normal 57 5 2 3 4 6" xfId="14998" xr:uid="{00000000-0005-0000-0000-000051880000}"/>
    <cellStyle name="Normal 57 5 2 3 4 6 2" xfId="39872" xr:uid="{00000000-0005-0000-0000-000052880000}"/>
    <cellStyle name="Normal 57 5 2 3 4 7" xfId="27431" xr:uid="{00000000-0005-0000-0000-000053880000}"/>
    <cellStyle name="Normal 57 5 2 3 5" xfId="1155" xr:uid="{00000000-0005-0000-0000-000054880000}"/>
    <cellStyle name="Normal 57 5 2 3 5 2" xfId="10316" xr:uid="{00000000-0005-0000-0000-000055880000}"/>
    <cellStyle name="Normal 57 5 2 3 5 2 2" xfId="22759" xr:uid="{00000000-0005-0000-0000-000056880000}"/>
    <cellStyle name="Normal 57 5 2 3 5 2 2 2" xfId="47633" xr:uid="{00000000-0005-0000-0000-000057880000}"/>
    <cellStyle name="Normal 57 5 2 3 5 2 3" xfId="35200" xr:uid="{00000000-0005-0000-0000-000058880000}"/>
    <cellStyle name="Normal 57 5 2 3 5 3" xfId="5300" xr:uid="{00000000-0005-0000-0000-000059880000}"/>
    <cellStyle name="Normal 57 5 2 3 5 3 2" xfId="17752" xr:uid="{00000000-0005-0000-0000-00005A880000}"/>
    <cellStyle name="Normal 57 5 2 3 5 3 2 2" xfId="42626" xr:uid="{00000000-0005-0000-0000-00005B880000}"/>
    <cellStyle name="Normal 57 5 2 3 5 3 3" xfId="30193" xr:uid="{00000000-0005-0000-0000-00005C880000}"/>
    <cellStyle name="Normal 57 5 2 3 5 4" xfId="13955" xr:uid="{00000000-0005-0000-0000-00005D880000}"/>
    <cellStyle name="Normal 57 5 2 3 5 4 2" xfId="38829" xr:uid="{00000000-0005-0000-0000-00005E880000}"/>
    <cellStyle name="Normal 57 5 2 3 5 5" xfId="26388" xr:uid="{00000000-0005-0000-0000-00005F880000}"/>
    <cellStyle name="Normal 57 5 2 3 6" xfId="7877" xr:uid="{00000000-0005-0000-0000-000060880000}"/>
    <cellStyle name="Normal 57 5 2 3 6 2" xfId="20323" xr:uid="{00000000-0005-0000-0000-000061880000}"/>
    <cellStyle name="Normal 57 5 2 3 6 2 2" xfId="45197" xr:uid="{00000000-0005-0000-0000-000062880000}"/>
    <cellStyle name="Normal 57 5 2 3 6 3" xfId="32764" xr:uid="{00000000-0005-0000-0000-000063880000}"/>
    <cellStyle name="Normal 57 5 2 3 7" xfId="11770" xr:uid="{00000000-0005-0000-0000-000064880000}"/>
    <cellStyle name="Normal 57 5 2 3 7 2" xfId="24204" xr:uid="{00000000-0005-0000-0000-000065880000}"/>
    <cellStyle name="Normal 57 5 2 3 7 2 2" xfId="49078" xr:uid="{00000000-0005-0000-0000-000066880000}"/>
    <cellStyle name="Normal 57 5 2 3 7 3" xfId="36645" xr:uid="{00000000-0005-0000-0000-000067880000}"/>
    <cellStyle name="Normal 57 5 2 3 8" xfId="6847" xr:uid="{00000000-0005-0000-0000-000068880000}"/>
    <cellStyle name="Normal 57 5 2 3 8 2" xfId="19296" xr:uid="{00000000-0005-0000-0000-000069880000}"/>
    <cellStyle name="Normal 57 5 2 3 8 2 2" xfId="44170" xr:uid="{00000000-0005-0000-0000-00006A880000}"/>
    <cellStyle name="Normal 57 5 2 3 8 3" xfId="31737" xr:uid="{00000000-0005-0000-0000-00006B880000}"/>
    <cellStyle name="Normal 57 5 2 3 9" xfId="2798" xr:uid="{00000000-0005-0000-0000-00006C880000}"/>
    <cellStyle name="Normal 57 5 2 3 9 2" xfId="15316" xr:uid="{00000000-0005-0000-0000-00006D880000}"/>
    <cellStyle name="Normal 57 5 2 3 9 2 2" xfId="40190" xr:uid="{00000000-0005-0000-0000-00006E880000}"/>
    <cellStyle name="Normal 57 5 2 3 9 3" xfId="27749" xr:uid="{00000000-0005-0000-0000-00006F880000}"/>
    <cellStyle name="Normal 57 5 2 3_Degree data" xfId="2486" xr:uid="{00000000-0005-0000-0000-000070880000}"/>
    <cellStyle name="Normal 57 5 2 4" xfId="299" xr:uid="{00000000-0005-0000-0000-000071880000}"/>
    <cellStyle name="Normal 57 5 2 4 2" xfId="1519" xr:uid="{00000000-0005-0000-0000-000072880000}"/>
    <cellStyle name="Normal 57 5 2 4 2 2" xfId="9154" xr:uid="{00000000-0005-0000-0000-000073880000}"/>
    <cellStyle name="Normal 57 5 2 4 2 2 2" xfId="21597" xr:uid="{00000000-0005-0000-0000-000074880000}"/>
    <cellStyle name="Normal 57 5 2 4 2 2 2 2" xfId="46471" xr:uid="{00000000-0005-0000-0000-000075880000}"/>
    <cellStyle name="Normal 57 5 2 4 2 2 3" xfId="34038" xr:uid="{00000000-0005-0000-0000-000076880000}"/>
    <cellStyle name="Normal 57 5 2 4 2 3" xfId="4136" xr:uid="{00000000-0005-0000-0000-000077880000}"/>
    <cellStyle name="Normal 57 5 2 4 2 3 2" xfId="16590" xr:uid="{00000000-0005-0000-0000-000078880000}"/>
    <cellStyle name="Normal 57 5 2 4 2 3 2 2" xfId="41464" xr:uid="{00000000-0005-0000-0000-000079880000}"/>
    <cellStyle name="Normal 57 5 2 4 2 3 3" xfId="29031" xr:uid="{00000000-0005-0000-0000-00007A880000}"/>
    <cellStyle name="Normal 57 5 2 4 2 4" xfId="14319" xr:uid="{00000000-0005-0000-0000-00007B880000}"/>
    <cellStyle name="Normal 57 5 2 4 2 4 2" xfId="39193" xr:uid="{00000000-0005-0000-0000-00007C880000}"/>
    <cellStyle name="Normal 57 5 2 4 2 5" xfId="26752" xr:uid="{00000000-0005-0000-0000-00007D880000}"/>
    <cellStyle name="Normal 57 5 2 4 3" xfId="5664" xr:uid="{00000000-0005-0000-0000-00007E880000}"/>
    <cellStyle name="Normal 57 5 2 4 3 2" xfId="10680" xr:uid="{00000000-0005-0000-0000-00007F880000}"/>
    <cellStyle name="Normal 57 5 2 4 3 2 2" xfId="23123" xr:uid="{00000000-0005-0000-0000-000080880000}"/>
    <cellStyle name="Normal 57 5 2 4 3 2 2 2" xfId="47997" xr:uid="{00000000-0005-0000-0000-000081880000}"/>
    <cellStyle name="Normal 57 5 2 4 3 2 3" xfId="35564" xr:uid="{00000000-0005-0000-0000-000082880000}"/>
    <cellStyle name="Normal 57 5 2 4 3 3" xfId="18116" xr:uid="{00000000-0005-0000-0000-000083880000}"/>
    <cellStyle name="Normal 57 5 2 4 3 3 2" xfId="42990" xr:uid="{00000000-0005-0000-0000-000084880000}"/>
    <cellStyle name="Normal 57 5 2 4 3 4" xfId="30557" xr:uid="{00000000-0005-0000-0000-000085880000}"/>
    <cellStyle name="Normal 57 5 2 4 4" xfId="8270" xr:uid="{00000000-0005-0000-0000-000086880000}"/>
    <cellStyle name="Normal 57 5 2 4 4 2" xfId="20714" xr:uid="{00000000-0005-0000-0000-000087880000}"/>
    <cellStyle name="Normal 57 5 2 4 4 2 2" xfId="45588" xr:uid="{00000000-0005-0000-0000-000088880000}"/>
    <cellStyle name="Normal 57 5 2 4 4 3" xfId="33155" xr:uid="{00000000-0005-0000-0000-000089880000}"/>
    <cellStyle name="Normal 57 5 2 4 5" xfId="12134" xr:uid="{00000000-0005-0000-0000-00008A880000}"/>
    <cellStyle name="Normal 57 5 2 4 5 2" xfId="24568" xr:uid="{00000000-0005-0000-0000-00008B880000}"/>
    <cellStyle name="Normal 57 5 2 4 5 2 2" xfId="49442" xr:uid="{00000000-0005-0000-0000-00008C880000}"/>
    <cellStyle name="Normal 57 5 2 4 5 3" xfId="37009" xr:uid="{00000000-0005-0000-0000-00008D880000}"/>
    <cellStyle name="Normal 57 5 2 4 6" xfId="6747" xr:uid="{00000000-0005-0000-0000-00008E880000}"/>
    <cellStyle name="Normal 57 5 2 4 6 2" xfId="19196" xr:uid="{00000000-0005-0000-0000-00008F880000}"/>
    <cellStyle name="Normal 57 5 2 4 6 2 2" xfId="44070" xr:uid="{00000000-0005-0000-0000-000090880000}"/>
    <cellStyle name="Normal 57 5 2 4 6 3" xfId="31637" xr:uid="{00000000-0005-0000-0000-000091880000}"/>
    <cellStyle name="Normal 57 5 2 4 7" xfId="3201" xr:uid="{00000000-0005-0000-0000-000092880000}"/>
    <cellStyle name="Normal 57 5 2 4 7 2" xfId="15707" xr:uid="{00000000-0005-0000-0000-000093880000}"/>
    <cellStyle name="Normal 57 5 2 4 7 2 2" xfId="40581" xr:uid="{00000000-0005-0000-0000-000094880000}"/>
    <cellStyle name="Normal 57 5 2 4 7 3" xfId="28140" xr:uid="{00000000-0005-0000-0000-000095880000}"/>
    <cellStyle name="Normal 57 5 2 4 8" xfId="13117" xr:uid="{00000000-0005-0000-0000-000096880000}"/>
    <cellStyle name="Normal 57 5 2 4 8 2" xfId="37991" xr:uid="{00000000-0005-0000-0000-000097880000}"/>
    <cellStyle name="Normal 57 5 2 4 9" xfId="25550" xr:uid="{00000000-0005-0000-0000-000098880000}"/>
    <cellStyle name="Normal 57 5 2 5" xfId="660" xr:uid="{00000000-0005-0000-0000-000099880000}"/>
    <cellStyle name="Normal 57 5 2 5 2" xfId="1867" xr:uid="{00000000-0005-0000-0000-00009A880000}"/>
    <cellStyle name="Normal 57 5 2 5 2 2" xfId="9623" xr:uid="{00000000-0005-0000-0000-00009B880000}"/>
    <cellStyle name="Normal 57 5 2 5 2 2 2" xfId="22066" xr:uid="{00000000-0005-0000-0000-00009C880000}"/>
    <cellStyle name="Normal 57 5 2 5 2 2 2 2" xfId="46940" xr:uid="{00000000-0005-0000-0000-00009D880000}"/>
    <cellStyle name="Normal 57 5 2 5 2 2 3" xfId="34507" xr:uid="{00000000-0005-0000-0000-00009E880000}"/>
    <cellStyle name="Normal 57 5 2 5 2 3" xfId="4605" xr:uid="{00000000-0005-0000-0000-00009F880000}"/>
    <cellStyle name="Normal 57 5 2 5 2 3 2" xfId="17059" xr:uid="{00000000-0005-0000-0000-0000A0880000}"/>
    <cellStyle name="Normal 57 5 2 5 2 3 2 2" xfId="41933" xr:uid="{00000000-0005-0000-0000-0000A1880000}"/>
    <cellStyle name="Normal 57 5 2 5 2 3 3" xfId="29500" xr:uid="{00000000-0005-0000-0000-0000A2880000}"/>
    <cellStyle name="Normal 57 5 2 5 2 4" xfId="14667" xr:uid="{00000000-0005-0000-0000-0000A3880000}"/>
    <cellStyle name="Normal 57 5 2 5 2 4 2" xfId="39541" xr:uid="{00000000-0005-0000-0000-0000A4880000}"/>
    <cellStyle name="Normal 57 5 2 5 2 5" xfId="27100" xr:uid="{00000000-0005-0000-0000-0000A5880000}"/>
    <cellStyle name="Normal 57 5 2 5 3" xfId="6013" xr:uid="{00000000-0005-0000-0000-0000A6880000}"/>
    <cellStyle name="Normal 57 5 2 5 3 2" xfId="11028" xr:uid="{00000000-0005-0000-0000-0000A7880000}"/>
    <cellStyle name="Normal 57 5 2 5 3 2 2" xfId="23471" xr:uid="{00000000-0005-0000-0000-0000A8880000}"/>
    <cellStyle name="Normal 57 5 2 5 3 2 2 2" xfId="48345" xr:uid="{00000000-0005-0000-0000-0000A9880000}"/>
    <cellStyle name="Normal 57 5 2 5 3 2 3" xfId="35912" xr:uid="{00000000-0005-0000-0000-0000AA880000}"/>
    <cellStyle name="Normal 57 5 2 5 3 3" xfId="18464" xr:uid="{00000000-0005-0000-0000-0000AB880000}"/>
    <cellStyle name="Normal 57 5 2 5 3 3 2" xfId="43338" xr:uid="{00000000-0005-0000-0000-0000AC880000}"/>
    <cellStyle name="Normal 57 5 2 5 3 4" xfId="30905" xr:uid="{00000000-0005-0000-0000-0000AD880000}"/>
    <cellStyle name="Normal 57 5 2 5 4" xfId="8739" xr:uid="{00000000-0005-0000-0000-0000AE880000}"/>
    <cellStyle name="Normal 57 5 2 5 4 2" xfId="21183" xr:uid="{00000000-0005-0000-0000-0000AF880000}"/>
    <cellStyle name="Normal 57 5 2 5 4 2 2" xfId="46057" xr:uid="{00000000-0005-0000-0000-0000B0880000}"/>
    <cellStyle name="Normal 57 5 2 5 4 3" xfId="33624" xr:uid="{00000000-0005-0000-0000-0000B1880000}"/>
    <cellStyle name="Normal 57 5 2 5 5" xfId="12482" xr:uid="{00000000-0005-0000-0000-0000B2880000}"/>
    <cellStyle name="Normal 57 5 2 5 5 2" xfId="24916" xr:uid="{00000000-0005-0000-0000-0000B3880000}"/>
    <cellStyle name="Normal 57 5 2 5 5 2 2" xfId="49790" xr:uid="{00000000-0005-0000-0000-0000B4880000}"/>
    <cellStyle name="Normal 57 5 2 5 5 3" xfId="37357" xr:uid="{00000000-0005-0000-0000-0000B5880000}"/>
    <cellStyle name="Normal 57 5 2 5 6" xfId="7216" xr:uid="{00000000-0005-0000-0000-0000B6880000}"/>
    <cellStyle name="Normal 57 5 2 5 6 2" xfId="19665" xr:uid="{00000000-0005-0000-0000-0000B7880000}"/>
    <cellStyle name="Normal 57 5 2 5 6 2 2" xfId="44539" xr:uid="{00000000-0005-0000-0000-0000B8880000}"/>
    <cellStyle name="Normal 57 5 2 5 6 3" xfId="32106" xr:uid="{00000000-0005-0000-0000-0000B9880000}"/>
    <cellStyle name="Normal 57 5 2 5 7" xfId="3670" xr:uid="{00000000-0005-0000-0000-0000BA880000}"/>
    <cellStyle name="Normal 57 5 2 5 7 2" xfId="16176" xr:uid="{00000000-0005-0000-0000-0000BB880000}"/>
    <cellStyle name="Normal 57 5 2 5 7 2 2" xfId="41050" xr:uid="{00000000-0005-0000-0000-0000BC880000}"/>
    <cellStyle name="Normal 57 5 2 5 7 3" xfId="28609" xr:uid="{00000000-0005-0000-0000-0000BD880000}"/>
    <cellStyle name="Normal 57 5 2 5 8" xfId="13464" xr:uid="{00000000-0005-0000-0000-0000BE880000}"/>
    <cellStyle name="Normal 57 5 2 5 8 2" xfId="38338" xr:uid="{00000000-0005-0000-0000-0000BF880000}"/>
    <cellStyle name="Normal 57 5 2 5 9" xfId="25897" xr:uid="{00000000-0005-0000-0000-0000C0880000}"/>
    <cellStyle name="Normal 57 5 2 6" xfId="2217" xr:uid="{00000000-0005-0000-0000-0000C1880000}"/>
    <cellStyle name="Normal 57 5 2 6 2" xfId="4846" xr:uid="{00000000-0005-0000-0000-0000C2880000}"/>
    <cellStyle name="Normal 57 5 2 6 2 2" xfId="9863" xr:uid="{00000000-0005-0000-0000-0000C3880000}"/>
    <cellStyle name="Normal 57 5 2 6 2 2 2" xfId="22306" xr:uid="{00000000-0005-0000-0000-0000C4880000}"/>
    <cellStyle name="Normal 57 5 2 6 2 2 2 2" xfId="47180" xr:uid="{00000000-0005-0000-0000-0000C5880000}"/>
    <cellStyle name="Normal 57 5 2 6 2 2 3" xfId="34747" xr:uid="{00000000-0005-0000-0000-0000C6880000}"/>
    <cellStyle name="Normal 57 5 2 6 2 3" xfId="17299" xr:uid="{00000000-0005-0000-0000-0000C7880000}"/>
    <cellStyle name="Normal 57 5 2 6 2 3 2" xfId="42173" xr:uid="{00000000-0005-0000-0000-0000C8880000}"/>
    <cellStyle name="Normal 57 5 2 6 2 4" xfId="29740" xr:uid="{00000000-0005-0000-0000-0000C9880000}"/>
    <cellStyle name="Normal 57 5 2 6 3" xfId="6244" xr:uid="{00000000-0005-0000-0000-0000CA880000}"/>
    <cellStyle name="Normal 57 5 2 6 3 2" xfId="11259" xr:uid="{00000000-0005-0000-0000-0000CB880000}"/>
    <cellStyle name="Normal 57 5 2 6 3 2 2" xfId="23702" xr:uid="{00000000-0005-0000-0000-0000CC880000}"/>
    <cellStyle name="Normal 57 5 2 6 3 2 2 2" xfId="48576" xr:uid="{00000000-0005-0000-0000-0000CD880000}"/>
    <cellStyle name="Normal 57 5 2 6 3 2 3" xfId="36143" xr:uid="{00000000-0005-0000-0000-0000CE880000}"/>
    <cellStyle name="Normal 57 5 2 6 3 3" xfId="18695" xr:uid="{00000000-0005-0000-0000-0000CF880000}"/>
    <cellStyle name="Normal 57 5 2 6 3 3 2" xfId="43569" xr:uid="{00000000-0005-0000-0000-0000D0880000}"/>
    <cellStyle name="Normal 57 5 2 6 3 4" xfId="31136" xr:uid="{00000000-0005-0000-0000-0000D1880000}"/>
    <cellStyle name="Normal 57 5 2 6 4" xfId="8051" xr:uid="{00000000-0005-0000-0000-0000D2880000}"/>
    <cellStyle name="Normal 57 5 2 6 4 2" xfId="20497" xr:uid="{00000000-0005-0000-0000-0000D3880000}"/>
    <cellStyle name="Normal 57 5 2 6 4 2 2" xfId="45371" xr:uid="{00000000-0005-0000-0000-0000D4880000}"/>
    <cellStyle name="Normal 57 5 2 6 4 3" xfId="32938" xr:uid="{00000000-0005-0000-0000-0000D5880000}"/>
    <cellStyle name="Normal 57 5 2 6 5" xfId="12713" xr:uid="{00000000-0005-0000-0000-0000D6880000}"/>
    <cellStyle name="Normal 57 5 2 6 5 2" xfId="25147" xr:uid="{00000000-0005-0000-0000-0000D7880000}"/>
    <cellStyle name="Normal 57 5 2 6 5 2 2" xfId="50021" xr:uid="{00000000-0005-0000-0000-0000D8880000}"/>
    <cellStyle name="Normal 57 5 2 6 5 3" xfId="37588" xr:uid="{00000000-0005-0000-0000-0000D9880000}"/>
    <cellStyle name="Normal 57 5 2 6 6" xfId="7457" xr:uid="{00000000-0005-0000-0000-0000DA880000}"/>
    <cellStyle name="Normal 57 5 2 6 6 2" xfId="19905" xr:uid="{00000000-0005-0000-0000-0000DB880000}"/>
    <cellStyle name="Normal 57 5 2 6 6 2 2" xfId="44779" xr:uid="{00000000-0005-0000-0000-0000DC880000}"/>
    <cellStyle name="Normal 57 5 2 6 6 3" xfId="32346" xr:uid="{00000000-0005-0000-0000-0000DD880000}"/>
    <cellStyle name="Normal 57 5 2 6 7" xfId="2978" xr:uid="{00000000-0005-0000-0000-0000DE880000}"/>
    <cellStyle name="Normal 57 5 2 6 7 2" xfId="15490" xr:uid="{00000000-0005-0000-0000-0000DF880000}"/>
    <cellStyle name="Normal 57 5 2 6 7 2 2" xfId="40364" xr:uid="{00000000-0005-0000-0000-0000E0880000}"/>
    <cellStyle name="Normal 57 5 2 6 7 3" xfId="27923" xr:uid="{00000000-0005-0000-0000-0000E1880000}"/>
    <cellStyle name="Normal 57 5 2 6 8" xfId="14898" xr:uid="{00000000-0005-0000-0000-0000E2880000}"/>
    <cellStyle name="Normal 57 5 2 6 8 2" xfId="39772" xr:uid="{00000000-0005-0000-0000-0000E3880000}"/>
    <cellStyle name="Normal 57 5 2 6 9" xfId="27331" xr:uid="{00000000-0005-0000-0000-0000E4880000}"/>
    <cellStyle name="Normal 57 5 2 7" xfId="1055" xr:uid="{00000000-0005-0000-0000-0000E5880000}"/>
    <cellStyle name="Normal 57 5 2 7 2" xfId="8937" xr:uid="{00000000-0005-0000-0000-0000E6880000}"/>
    <cellStyle name="Normal 57 5 2 7 2 2" xfId="21380" xr:uid="{00000000-0005-0000-0000-0000E7880000}"/>
    <cellStyle name="Normal 57 5 2 7 2 2 2" xfId="46254" xr:uid="{00000000-0005-0000-0000-0000E8880000}"/>
    <cellStyle name="Normal 57 5 2 7 2 3" xfId="33821" xr:uid="{00000000-0005-0000-0000-0000E9880000}"/>
    <cellStyle name="Normal 57 5 2 7 3" xfId="3919" xr:uid="{00000000-0005-0000-0000-0000EA880000}"/>
    <cellStyle name="Normal 57 5 2 7 3 2" xfId="16373" xr:uid="{00000000-0005-0000-0000-0000EB880000}"/>
    <cellStyle name="Normal 57 5 2 7 3 2 2" xfId="41247" xr:uid="{00000000-0005-0000-0000-0000EC880000}"/>
    <cellStyle name="Normal 57 5 2 7 3 3" xfId="28814" xr:uid="{00000000-0005-0000-0000-0000ED880000}"/>
    <cellStyle name="Normal 57 5 2 7 4" xfId="13855" xr:uid="{00000000-0005-0000-0000-0000EE880000}"/>
    <cellStyle name="Normal 57 5 2 7 4 2" xfId="38729" xr:uid="{00000000-0005-0000-0000-0000EF880000}"/>
    <cellStyle name="Normal 57 5 2 7 5" xfId="26288" xr:uid="{00000000-0005-0000-0000-0000F0880000}"/>
    <cellStyle name="Normal 57 5 2 8" xfId="5200" xr:uid="{00000000-0005-0000-0000-0000F1880000}"/>
    <cellStyle name="Normal 57 5 2 8 2" xfId="10216" xr:uid="{00000000-0005-0000-0000-0000F2880000}"/>
    <cellStyle name="Normal 57 5 2 8 2 2" xfId="22659" xr:uid="{00000000-0005-0000-0000-0000F3880000}"/>
    <cellStyle name="Normal 57 5 2 8 2 2 2" xfId="47533" xr:uid="{00000000-0005-0000-0000-0000F4880000}"/>
    <cellStyle name="Normal 57 5 2 8 2 3" xfId="35100" xr:uid="{00000000-0005-0000-0000-0000F5880000}"/>
    <cellStyle name="Normal 57 5 2 8 3" xfId="17652" xr:uid="{00000000-0005-0000-0000-0000F6880000}"/>
    <cellStyle name="Normal 57 5 2 8 3 2" xfId="42526" xr:uid="{00000000-0005-0000-0000-0000F7880000}"/>
    <cellStyle name="Normal 57 5 2 8 4" xfId="30093" xr:uid="{00000000-0005-0000-0000-0000F8880000}"/>
    <cellStyle name="Normal 57 5 2 9" xfId="7777" xr:uid="{00000000-0005-0000-0000-0000F9880000}"/>
    <cellStyle name="Normal 57 5 2 9 2" xfId="20223" xr:uid="{00000000-0005-0000-0000-0000FA880000}"/>
    <cellStyle name="Normal 57 5 2 9 2 2" xfId="45097" xr:uid="{00000000-0005-0000-0000-0000FB880000}"/>
    <cellStyle name="Normal 57 5 2 9 3" xfId="32664" xr:uid="{00000000-0005-0000-0000-0000FC880000}"/>
    <cellStyle name="Normal 57 5 2_Degree data" xfId="2484" xr:uid="{00000000-0005-0000-0000-0000FD880000}"/>
    <cellStyle name="Normal 57 5 3" xfId="344" xr:uid="{00000000-0005-0000-0000-0000FE880000}"/>
    <cellStyle name="Normal 57 5 3 10" xfId="6573" xr:uid="{00000000-0005-0000-0000-0000FF880000}"/>
    <cellStyle name="Normal 57 5 3 10 2" xfId="19022" xr:uid="{00000000-0005-0000-0000-000000890000}"/>
    <cellStyle name="Normal 57 5 3 10 2 2" xfId="43896" xr:uid="{00000000-0005-0000-0000-000001890000}"/>
    <cellStyle name="Normal 57 5 3 10 3" xfId="31463" xr:uid="{00000000-0005-0000-0000-000002890000}"/>
    <cellStyle name="Normal 57 5 3 11" xfId="2741" xr:uid="{00000000-0005-0000-0000-000003890000}"/>
    <cellStyle name="Normal 57 5 3 11 2" xfId="15259" xr:uid="{00000000-0005-0000-0000-000004890000}"/>
    <cellStyle name="Normal 57 5 3 11 2 2" xfId="40133" xr:uid="{00000000-0005-0000-0000-000005890000}"/>
    <cellStyle name="Normal 57 5 3 11 3" xfId="27692" xr:uid="{00000000-0005-0000-0000-000006890000}"/>
    <cellStyle name="Normal 57 5 3 12" xfId="13160" xr:uid="{00000000-0005-0000-0000-000007890000}"/>
    <cellStyle name="Normal 57 5 3 12 2" xfId="38034" xr:uid="{00000000-0005-0000-0000-000008890000}"/>
    <cellStyle name="Normal 57 5 3 13" xfId="25593" xr:uid="{00000000-0005-0000-0000-000009890000}"/>
    <cellStyle name="Normal 57 5 3 2" xfId="446" xr:uid="{00000000-0005-0000-0000-00000A890000}"/>
    <cellStyle name="Normal 57 5 3 2 10" xfId="13260" xr:uid="{00000000-0005-0000-0000-00000B890000}"/>
    <cellStyle name="Normal 57 5 3 2 10 2" xfId="38134" xr:uid="{00000000-0005-0000-0000-00000C890000}"/>
    <cellStyle name="Normal 57 5 3 2 11" xfId="25693" xr:uid="{00000000-0005-0000-0000-00000D890000}"/>
    <cellStyle name="Normal 57 5 3 2 2" xfId="806" xr:uid="{00000000-0005-0000-0000-00000E890000}"/>
    <cellStyle name="Normal 57 5 3 2 2 2" xfId="1523" xr:uid="{00000000-0005-0000-0000-00000F890000}"/>
    <cellStyle name="Normal 57 5 3 2 2 2 2" xfId="9627" xr:uid="{00000000-0005-0000-0000-000010890000}"/>
    <cellStyle name="Normal 57 5 3 2 2 2 2 2" xfId="22070" xr:uid="{00000000-0005-0000-0000-000011890000}"/>
    <cellStyle name="Normal 57 5 3 2 2 2 2 2 2" xfId="46944" xr:uid="{00000000-0005-0000-0000-000012890000}"/>
    <cellStyle name="Normal 57 5 3 2 2 2 2 3" xfId="34511" xr:uid="{00000000-0005-0000-0000-000013890000}"/>
    <cellStyle name="Normal 57 5 3 2 2 2 3" xfId="4609" xr:uid="{00000000-0005-0000-0000-000014890000}"/>
    <cellStyle name="Normal 57 5 3 2 2 2 3 2" xfId="17063" xr:uid="{00000000-0005-0000-0000-000015890000}"/>
    <cellStyle name="Normal 57 5 3 2 2 2 3 2 2" xfId="41937" xr:uid="{00000000-0005-0000-0000-000016890000}"/>
    <cellStyle name="Normal 57 5 3 2 2 2 3 3" xfId="29504" xr:uid="{00000000-0005-0000-0000-000017890000}"/>
    <cellStyle name="Normal 57 5 3 2 2 2 4" xfId="14323" xr:uid="{00000000-0005-0000-0000-000018890000}"/>
    <cellStyle name="Normal 57 5 3 2 2 2 4 2" xfId="39197" xr:uid="{00000000-0005-0000-0000-000019890000}"/>
    <cellStyle name="Normal 57 5 3 2 2 2 5" xfId="26756" xr:uid="{00000000-0005-0000-0000-00001A890000}"/>
    <cellStyle name="Normal 57 5 3 2 2 3" xfId="5668" xr:uid="{00000000-0005-0000-0000-00001B890000}"/>
    <cellStyle name="Normal 57 5 3 2 2 3 2" xfId="10684" xr:uid="{00000000-0005-0000-0000-00001C890000}"/>
    <cellStyle name="Normal 57 5 3 2 2 3 2 2" xfId="23127" xr:uid="{00000000-0005-0000-0000-00001D890000}"/>
    <cellStyle name="Normal 57 5 3 2 2 3 2 2 2" xfId="48001" xr:uid="{00000000-0005-0000-0000-00001E890000}"/>
    <cellStyle name="Normal 57 5 3 2 2 3 2 3" xfId="35568" xr:uid="{00000000-0005-0000-0000-00001F890000}"/>
    <cellStyle name="Normal 57 5 3 2 2 3 3" xfId="18120" xr:uid="{00000000-0005-0000-0000-000020890000}"/>
    <cellStyle name="Normal 57 5 3 2 2 3 3 2" xfId="42994" xr:uid="{00000000-0005-0000-0000-000021890000}"/>
    <cellStyle name="Normal 57 5 3 2 2 3 4" xfId="30561" xr:uid="{00000000-0005-0000-0000-000022890000}"/>
    <cellStyle name="Normal 57 5 3 2 2 4" xfId="8743" xr:uid="{00000000-0005-0000-0000-000023890000}"/>
    <cellStyle name="Normal 57 5 3 2 2 4 2" xfId="21187" xr:uid="{00000000-0005-0000-0000-000024890000}"/>
    <cellStyle name="Normal 57 5 3 2 2 4 2 2" xfId="46061" xr:uid="{00000000-0005-0000-0000-000025890000}"/>
    <cellStyle name="Normal 57 5 3 2 2 4 3" xfId="33628" xr:uid="{00000000-0005-0000-0000-000026890000}"/>
    <cellStyle name="Normal 57 5 3 2 2 5" xfId="12138" xr:uid="{00000000-0005-0000-0000-000027890000}"/>
    <cellStyle name="Normal 57 5 3 2 2 5 2" xfId="24572" xr:uid="{00000000-0005-0000-0000-000028890000}"/>
    <cellStyle name="Normal 57 5 3 2 2 5 2 2" xfId="49446" xr:uid="{00000000-0005-0000-0000-000029890000}"/>
    <cellStyle name="Normal 57 5 3 2 2 5 3" xfId="37013" xr:uid="{00000000-0005-0000-0000-00002A890000}"/>
    <cellStyle name="Normal 57 5 3 2 2 6" xfId="7220" xr:uid="{00000000-0005-0000-0000-00002B890000}"/>
    <cellStyle name="Normal 57 5 3 2 2 6 2" xfId="19669" xr:uid="{00000000-0005-0000-0000-00002C890000}"/>
    <cellStyle name="Normal 57 5 3 2 2 6 2 2" xfId="44543" xr:uid="{00000000-0005-0000-0000-00002D890000}"/>
    <cellStyle name="Normal 57 5 3 2 2 6 3" xfId="32110" xr:uid="{00000000-0005-0000-0000-00002E890000}"/>
    <cellStyle name="Normal 57 5 3 2 2 7" xfId="3674" xr:uid="{00000000-0005-0000-0000-00002F890000}"/>
    <cellStyle name="Normal 57 5 3 2 2 7 2" xfId="16180" xr:uid="{00000000-0005-0000-0000-000030890000}"/>
    <cellStyle name="Normal 57 5 3 2 2 7 2 2" xfId="41054" xr:uid="{00000000-0005-0000-0000-000031890000}"/>
    <cellStyle name="Normal 57 5 3 2 2 7 3" xfId="28613" xr:uid="{00000000-0005-0000-0000-000032890000}"/>
    <cellStyle name="Normal 57 5 3 2 2 8" xfId="13607" xr:uid="{00000000-0005-0000-0000-000033890000}"/>
    <cellStyle name="Normal 57 5 3 2 2 8 2" xfId="38481" xr:uid="{00000000-0005-0000-0000-000034890000}"/>
    <cellStyle name="Normal 57 5 3 2 2 9" xfId="26040" xr:uid="{00000000-0005-0000-0000-000035890000}"/>
    <cellStyle name="Normal 57 5 3 2 3" xfId="1871" xr:uid="{00000000-0005-0000-0000-000036890000}"/>
    <cellStyle name="Normal 57 5 3 2 3 2" xfId="4989" xr:uid="{00000000-0005-0000-0000-000037890000}"/>
    <cellStyle name="Normal 57 5 3 2 3 2 2" xfId="10006" xr:uid="{00000000-0005-0000-0000-000038890000}"/>
    <cellStyle name="Normal 57 5 3 2 3 2 2 2" xfId="22449" xr:uid="{00000000-0005-0000-0000-000039890000}"/>
    <cellStyle name="Normal 57 5 3 2 3 2 2 2 2" xfId="47323" xr:uid="{00000000-0005-0000-0000-00003A890000}"/>
    <cellStyle name="Normal 57 5 3 2 3 2 2 3" xfId="34890" xr:uid="{00000000-0005-0000-0000-00003B890000}"/>
    <cellStyle name="Normal 57 5 3 2 3 2 3" xfId="17442" xr:uid="{00000000-0005-0000-0000-00003C890000}"/>
    <cellStyle name="Normal 57 5 3 2 3 2 3 2" xfId="42316" xr:uid="{00000000-0005-0000-0000-00003D890000}"/>
    <cellStyle name="Normal 57 5 3 2 3 2 4" xfId="29883" xr:uid="{00000000-0005-0000-0000-00003E890000}"/>
    <cellStyle name="Normal 57 5 3 2 3 3" xfId="6017" xr:uid="{00000000-0005-0000-0000-00003F890000}"/>
    <cellStyle name="Normal 57 5 3 2 3 3 2" xfId="11032" xr:uid="{00000000-0005-0000-0000-000040890000}"/>
    <cellStyle name="Normal 57 5 3 2 3 3 2 2" xfId="23475" xr:uid="{00000000-0005-0000-0000-000041890000}"/>
    <cellStyle name="Normal 57 5 3 2 3 3 2 2 2" xfId="48349" xr:uid="{00000000-0005-0000-0000-000042890000}"/>
    <cellStyle name="Normal 57 5 3 2 3 3 2 3" xfId="35916" xr:uid="{00000000-0005-0000-0000-000043890000}"/>
    <cellStyle name="Normal 57 5 3 2 3 3 3" xfId="18468" xr:uid="{00000000-0005-0000-0000-000044890000}"/>
    <cellStyle name="Normal 57 5 3 2 3 3 3 2" xfId="43342" xr:uid="{00000000-0005-0000-0000-000045890000}"/>
    <cellStyle name="Normal 57 5 3 2 3 3 4" xfId="30909" xr:uid="{00000000-0005-0000-0000-000046890000}"/>
    <cellStyle name="Normal 57 5 3 2 3 4" xfId="8413" xr:uid="{00000000-0005-0000-0000-000047890000}"/>
    <cellStyle name="Normal 57 5 3 2 3 4 2" xfId="20857" xr:uid="{00000000-0005-0000-0000-000048890000}"/>
    <cellStyle name="Normal 57 5 3 2 3 4 2 2" xfId="45731" xr:uid="{00000000-0005-0000-0000-000049890000}"/>
    <cellStyle name="Normal 57 5 3 2 3 4 3" xfId="33298" xr:uid="{00000000-0005-0000-0000-00004A890000}"/>
    <cellStyle name="Normal 57 5 3 2 3 5" xfId="12486" xr:uid="{00000000-0005-0000-0000-00004B890000}"/>
    <cellStyle name="Normal 57 5 3 2 3 5 2" xfId="24920" xr:uid="{00000000-0005-0000-0000-00004C890000}"/>
    <cellStyle name="Normal 57 5 3 2 3 5 2 2" xfId="49794" xr:uid="{00000000-0005-0000-0000-00004D890000}"/>
    <cellStyle name="Normal 57 5 3 2 3 5 3" xfId="37361" xr:uid="{00000000-0005-0000-0000-00004E890000}"/>
    <cellStyle name="Normal 57 5 3 2 3 6" xfId="7600" xr:uid="{00000000-0005-0000-0000-00004F890000}"/>
    <cellStyle name="Normal 57 5 3 2 3 6 2" xfId="20048" xr:uid="{00000000-0005-0000-0000-000050890000}"/>
    <cellStyle name="Normal 57 5 3 2 3 6 2 2" xfId="44922" xr:uid="{00000000-0005-0000-0000-000051890000}"/>
    <cellStyle name="Normal 57 5 3 2 3 6 3" xfId="32489" xr:uid="{00000000-0005-0000-0000-000052890000}"/>
    <cellStyle name="Normal 57 5 3 2 3 7" xfId="3344" xr:uid="{00000000-0005-0000-0000-000053890000}"/>
    <cellStyle name="Normal 57 5 3 2 3 7 2" xfId="15850" xr:uid="{00000000-0005-0000-0000-000054890000}"/>
    <cellStyle name="Normal 57 5 3 2 3 7 2 2" xfId="40724" xr:uid="{00000000-0005-0000-0000-000055890000}"/>
    <cellStyle name="Normal 57 5 3 2 3 7 3" xfId="28283" xr:uid="{00000000-0005-0000-0000-000056890000}"/>
    <cellStyle name="Normal 57 5 3 2 3 8" xfId="14671" xr:uid="{00000000-0005-0000-0000-000057890000}"/>
    <cellStyle name="Normal 57 5 3 2 3 8 2" xfId="39545" xr:uid="{00000000-0005-0000-0000-000058890000}"/>
    <cellStyle name="Normal 57 5 3 2 3 9" xfId="27104" xr:uid="{00000000-0005-0000-0000-000059890000}"/>
    <cellStyle name="Normal 57 5 3 2 4" xfId="2364" xr:uid="{00000000-0005-0000-0000-00005A890000}"/>
    <cellStyle name="Normal 57 5 3 2 4 2" xfId="6387" xr:uid="{00000000-0005-0000-0000-00005B890000}"/>
    <cellStyle name="Normal 57 5 3 2 4 2 2" xfId="11402" xr:uid="{00000000-0005-0000-0000-00005C890000}"/>
    <cellStyle name="Normal 57 5 3 2 4 2 2 2" xfId="23845" xr:uid="{00000000-0005-0000-0000-00005D890000}"/>
    <cellStyle name="Normal 57 5 3 2 4 2 2 2 2" xfId="48719" xr:uid="{00000000-0005-0000-0000-00005E890000}"/>
    <cellStyle name="Normal 57 5 3 2 4 2 2 3" xfId="36286" xr:uid="{00000000-0005-0000-0000-00005F890000}"/>
    <cellStyle name="Normal 57 5 3 2 4 2 3" xfId="18838" xr:uid="{00000000-0005-0000-0000-000060890000}"/>
    <cellStyle name="Normal 57 5 3 2 4 2 3 2" xfId="43712" xr:uid="{00000000-0005-0000-0000-000061890000}"/>
    <cellStyle name="Normal 57 5 3 2 4 2 4" xfId="31279" xr:uid="{00000000-0005-0000-0000-000062890000}"/>
    <cellStyle name="Normal 57 5 3 2 4 3" xfId="12856" xr:uid="{00000000-0005-0000-0000-000063890000}"/>
    <cellStyle name="Normal 57 5 3 2 4 3 2" xfId="25290" xr:uid="{00000000-0005-0000-0000-000064890000}"/>
    <cellStyle name="Normal 57 5 3 2 4 3 2 2" xfId="50164" xr:uid="{00000000-0005-0000-0000-000065890000}"/>
    <cellStyle name="Normal 57 5 3 2 4 3 3" xfId="37731" xr:uid="{00000000-0005-0000-0000-000066890000}"/>
    <cellStyle name="Normal 57 5 3 2 4 4" xfId="9297" xr:uid="{00000000-0005-0000-0000-000067890000}"/>
    <cellStyle name="Normal 57 5 3 2 4 4 2" xfId="21740" xr:uid="{00000000-0005-0000-0000-000068890000}"/>
    <cellStyle name="Normal 57 5 3 2 4 4 2 2" xfId="46614" xr:uid="{00000000-0005-0000-0000-000069890000}"/>
    <cellStyle name="Normal 57 5 3 2 4 4 3" xfId="34181" xr:uid="{00000000-0005-0000-0000-00006A890000}"/>
    <cellStyle name="Normal 57 5 3 2 4 5" xfId="4279" xr:uid="{00000000-0005-0000-0000-00006B890000}"/>
    <cellStyle name="Normal 57 5 3 2 4 5 2" xfId="16733" xr:uid="{00000000-0005-0000-0000-00006C890000}"/>
    <cellStyle name="Normal 57 5 3 2 4 5 2 2" xfId="41607" xr:uid="{00000000-0005-0000-0000-00006D890000}"/>
    <cellStyle name="Normal 57 5 3 2 4 5 3" xfId="29174" xr:uid="{00000000-0005-0000-0000-00006E890000}"/>
    <cellStyle name="Normal 57 5 3 2 4 6" xfId="15041" xr:uid="{00000000-0005-0000-0000-00006F890000}"/>
    <cellStyle name="Normal 57 5 3 2 4 6 2" xfId="39915" xr:uid="{00000000-0005-0000-0000-000070890000}"/>
    <cellStyle name="Normal 57 5 3 2 4 7" xfId="27474" xr:uid="{00000000-0005-0000-0000-000071890000}"/>
    <cellStyle name="Normal 57 5 3 2 5" xfId="1198" xr:uid="{00000000-0005-0000-0000-000072890000}"/>
    <cellStyle name="Normal 57 5 3 2 5 2" xfId="10359" xr:uid="{00000000-0005-0000-0000-000073890000}"/>
    <cellStyle name="Normal 57 5 3 2 5 2 2" xfId="22802" xr:uid="{00000000-0005-0000-0000-000074890000}"/>
    <cellStyle name="Normal 57 5 3 2 5 2 2 2" xfId="47676" xr:uid="{00000000-0005-0000-0000-000075890000}"/>
    <cellStyle name="Normal 57 5 3 2 5 2 3" xfId="35243" xr:uid="{00000000-0005-0000-0000-000076890000}"/>
    <cellStyle name="Normal 57 5 3 2 5 3" xfId="5343" xr:uid="{00000000-0005-0000-0000-000077890000}"/>
    <cellStyle name="Normal 57 5 3 2 5 3 2" xfId="17795" xr:uid="{00000000-0005-0000-0000-000078890000}"/>
    <cellStyle name="Normal 57 5 3 2 5 3 2 2" xfId="42669" xr:uid="{00000000-0005-0000-0000-000079890000}"/>
    <cellStyle name="Normal 57 5 3 2 5 3 3" xfId="30236" xr:uid="{00000000-0005-0000-0000-00007A890000}"/>
    <cellStyle name="Normal 57 5 3 2 5 4" xfId="13998" xr:uid="{00000000-0005-0000-0000-00007B890000}"/>
    <cellStyle name="Normal 57 5 3 2 5 4 2" xfId="38872" xr:uid="{00000000-0005-0000-0000-00007C890000}"/>
    <cellStyle name="Normal 57 5 3 2 5 5" xfId="26431" xr:uid="{00000000-0005-0000-0000-00007D890000}"/>
    <cellStyle name="Normal 57 5 3 2 6" xfId="7920" xr:uid="{00000000-0005-0000-0000-00007E890000}"/>
    <cellStyle name="Normal 57 5 3 2 6 2" xfId="20366" xr:uid="{00000000-0005-0000-0000-00007F890000}"/>
    <cellStyle name="Normal 57 5 3 2 6 2 2" xfId="45240" xr:uid="{00000000-0005-0000-0000-000080890000}"/>
    <cellStyle name="Normal 57 5 3 2 6 3" xfId="32807" xr:uid="{00000000-0005-0000-0000-000081890000}"/>
    <cellStyle name="Normal 57 5 3 2 7" xfId="11813" xr:uid="{00000000-0005-0000-0000-000082890000}"/>
    <cellStyle name="Normal 57 5 3 2 7 2" xfId="24247" xr:uid="{00000000-0005-0000-0000-000083890000}"/>
    <cellStyle name="Normal 57 5 3 2 7 2 2" xfId="49121" xr:uid="{00000000-0005-0000-0000-000084890000}"/>
    <cellStyle name="Normal 57 5 3 2 7 3" xfId="36688" xr:uid="{00000000-0005-0000-0000-000085890000}"/>
    <cellStyle name="Normal 57 5 3 2 8" xfId="6890" xr:uid="{00000000-0005-0000-0000-000086890000}"/>
    <cellStyle name="Normal 57 5 3 2 8 2" xfId="19339" xr:uid="{00000000-0005-0000-0000-000087890000}"/>
    <cellStyle name="Normal 57 5 3 2 8 2 2" xfId="44213" xr:uid="{00000000-0005-0000-0000-000088890000}"/>
    <cellStyle name="Normal 57 5 3 2 8 3" xfId="31780" xr:uid="{00000000-0005-0000-0000-000089890000}"/>
    <cellStyle name="Normal 57 5 3 2 9" xfId="2841" xr:uid="{00000000-0005-0000-0000-00008A890000}"/>
    <cellStyle name="Normal 57 5 3 2 9 2" xfId="15359" xr:uid="{00000000-0005-0000-0000-00008B890000}"/>
    <cellStyle name="Normal 57 5 3 2 9 2 2" xfId="40233" xr:uid="{00000000-0005-0000-0000-00008C890000}"/>
    <cellStyle name="Normal 57 5 3 2 9 3" xfId="27792" xr:uid="{00000000-0005-0000-0000-00008D890000}"/>
    <cellStyle name="Normal 57 5 3 2_Degree data" xfId="2488" xr:uid="{00000000-0005-0000-0000-00008E890000}"/>
    <cellStyle name="Normal 57 5 3 3" xfId="704" xr:uid="{00000000-0005-0000-0000-00008F890000}"/>
    <cellStyle name="Normal 57 5 3 3 2" xfId="1522" xr:uid="{00000000-0005-0000-0000-000090890000}"/>
    <cellStyle name="Normal 57 5 3 3 2 2" xfId="9197" xr:uid="{00000000-0005-0000-0000-000091890000}"/>
    <cellStyle name="Normal 57 5 3 3 2 2 2" xfId="21640" xr:uid="{00000000-0005-0000-0000-000092890000}"/>
    <cellStyle name="Normal 57 5 3 3 2 2 2 2" xfId="46514" xr:uid="{00000000-0005-0000-0000-000093890000}"/>
    <cellStyle name="Normal 57 5 3 3 2 2 3" xfId="34081" xr:uid="{00000000-0005-0000-0000-000094890000}"/>
    <cellStyle name="Normal 57 5 3 3 2 3" xfId="4179" xr:uid="{00000000-0005-0000-0000-000095890000}"/>
    <cellStyle name="Normal 57 5 3 3 2 3 2" xfId="16633" xr:uid="{00000000-0005-0000-0000-000096890000}"/>
    <cellStyle name="Normal 57 5 3 3 2 3 2 2" xfId="41507" xr:uid="{00000000-0005-0000-0000-000097890000}"/>
    <cellStyle name="Normal 57 5 3 3 2 3 3" xfId="29074" xr:uid="{00000000-0005-0000-0000-000098890000}"/>
    <cellStyle name="Normal 57 5 3 3 2 4" xfId="14322" xr:uid="{00000000-0005-0000-0000-000099890000}"/>
    <cellStyle name="Normal 57 5 3 3 2 4 2" xfId="39196" xr:uid="{00000000-0005-0000-0000-00009A890000}"/>
    <cellStyle name="Normal 57 5 3 3 2 5" xfId="26755" xr:uid="{00000000-0005-0000-0000-00009B890000}"/>
    <cellStyle name="Normal 57 5 3 3 3" xfId="5667" xr:uid="{00000000-0005-0000-0000-00009C890000}"/>
    <cellStyle name="Normal 57 5 3 3 3 2" xfId="10683" xr:uid="{00000000-0005-0000-0000-00009D890000}"/>
    <cellStyle name="Normal 57 5 3 3 3 2 2" xfId="23126" xr:uid="{00000000-0005-0000-0000-00009E890000}"/>
    <cellStyle name="Normal 57 5 3 3 3 2 2 2" xfId="48000" xr:uid="{00000000-0005-0000-0000-00009F890000}"/>
    <cellStyle name="Normal 57 5 3 3 3 2 3" xfId="35567" xr:uid="{00000000-0005-0000-0000-0000A0890000}"/>
    <cellStyle name="Normal 57 5 3 3 3 3" xfId="18119" xr:uid="{00000000-0005-0000-0000-0000A1890000}"/>
    <cellStyle name="Normal 57 5 3 3 3 3 2" xfId="42993" xr:uid="{00000000-0005-0000-0000-0000A2890000}"/>
    <cellStyle name="Normal 57 5 3 3 3 4" xfId="30560" xr:uid="{00000000-0005-0000-0000-0000A3890000}"/>
    <cellStyle name="Normal 57 5 3 3 4" xfId="8313" xr:uid="{00000000-0005-0000-0000-0000A4890000}"/>
    <cellStyle name="Normal 57 5 3 3 4 2" xfId="20757" xr:uid="{00000000-0005-0000-0000-0000A5890000}"/>
    <cellStyle name="Normal 57 5 3 3 4 2 2" xfId="45631" xr:uid="{00000000-0005-0000-0000-0000A6890000}"/>
    <cellStyle name="Normal 57 5 3 3 4 3" xfId="33198" xr:uid="{00000000-0005-0000-0000-0000A7890000}"/>
    <cellStyle name="Normal 57 5 3 3 5" xfId="12137" xr:uid="{00000000-0005-0000-0000-0000A8890000}"/>
    <cellStyle name="Normal 57 5 3 3 5 2" xfId="24571" xr:uid="{00000000-0005-0000-0000-0000A9890000}"/>
    <cellStyle name="Normal 57 5 3 3 5 2 2" xfId="49445" xr:uid="{00000000-0005-0000-0000-0000AA890000}"/>
    <cellStyle name="Normal 57 5 3 3 5 3" xfId="37012" xr:uid="{00000000-0005-0000-0000-0000AB890000}"/>
    <cellStyle name="Normal 57 5 3 3 6" xfId="6790" xr:uid="{00000000-0005-0000-0000-0000AC890000}"/>
    <cellStyle name="Normal 57 5 3 3 6 2" xfId="19239" xr:uid="{00000000-0005-0000-0000-0000AD890000}"/>
    <cellStyle name="Normal 57 5 3 3 6 2 2" xfId="44113" xr:uid="{00000000-0005-0000-0000-0000AE890000}"/>
    <cellStyle name="Normal 57 5 3 3 6 3" xfId="31680" xr:uid="{00000000-0005-0000-0000-0000AF890000}"/>
    <cellStyle name="Normal 57 5 3 3 7" xfId="3244" xr:uid="{00000000-0005-0000-0000-0000B0890000}"/>
    <cellStyle name="Normal 57 5 3 3 7 2" xfId="15750" xr:uid="{00000000-0005-0000-0000-0000B1890000}"/>
    <cellStyle name="Normal 57 5 3 3 7 2 2" xfId="40624" xr:uid="{00000000-0005-0000-0000-0000B2890000}"/>
    <cellStyle name="Normal 57 5 3 3 7 3" xfId="28183" xr:uid="{00000000-0005-0000-0000-0000B3890000}"/>
    <cellStyle name="Normal 57 5 3 3 8" xfId="13507" xr:uid="{00000000-0005-0000-0000-0000B4890000}"/>
    <cellStyle name="Normal 57 5 3 3 8 2" xfId="38381" xr:uid="{00000000-0005-0000-0000-0000B5890000}"/>
    <cellStyle name="Normal 57 5 3 3 9" xfId="25940" xr:uid="{00000000-0005-0000-0000-0000B6890000}"/>
    <cellStyle name="Normal 57 5 3 4" xfId="1870" xr:uid="{00000000-0005-0000-0000-0000B7890000}"/>
    <cellStyle name="Normal 57 5 3 4 2" xfId="4608" xr:uid="{00000000-0005-0000-0000-0000B8890000}"/>
    <cellStyle name="Normal 57 5 3 4 2 2" xfId="9626" xr:uid="{00000000-0005-0000-0000-0000B9890000}"/>
    <cellStyle name="Normal 57 5 3 4 2 2 2" xfId="22069" xr:uid="{00000000-0005-0000-0000-0000BA890000}"/>
    <cellStyle name="Normal 57 5 3 4 2 2 2 2" xfId="46943" xr:uid="{00000000-0005-0000-0000-0000BB890000}"/>
    <cellStyle name="Normal 57 5 3 4 2 2 3" xfId="34510" xr:uid="{00000000-0005-0000-0000-0000BC890000}"/>
    <cellStyle name="Normal 57 5 3 4 2 3" xfId="17062" xr:uid="{00000000-0005-0000-0000-0000BD890000}"/>
    <cellStyle name="Normal 57 5 3 4 2 3 2" xfId="41936" xr:uid="{00000000-0005-0000-0000-0000BE890000}"/>
    <cellStyle name="Normal 57 5 3 4 2 4" xfId="29503" xr:uid="{00000000-0005-0000-0000-0000BF890000}"/>
    <cellStyle name="Normal 57 5 3 4 3" xfId="6016" xr:uid="{00000000-0005-0000-0000-0000C0890000}"/>
    <cellStyle name="Normal 57 5 3 4 3 2" xfId="11031" xr:uid="{00000000-0005-0000-0000-0000C1890000}"/>
    <cellStyle name="Normal 57 5 3 4 3 2 2" xfId="23474" xr:uid="{00000000-0005-0000-0000-0000C2890000}"/>
    <cellStyle name="Normal 57 5 3 4 3 2 2 2" xfId="48348" xr:uid="{00000000-0005-0000-0000-0000C3890000}"/>
    <cellStyle name="Normal 57 5 3 4 3 2 3" xfId="35915" xr:uid="{00000000-0005-0000-0000-0000C4890000}"/>
    <cellStyle name="Normal 57 5 3 4 3 3" xfId="18467" xr:uid="{00000000-0005-0000-0000-0000C5890000}"/>
    <cellStyle name="Normal 57 5 3 4 3 3 2" xfId="43341" xr:uid="{00000000-0005-0000-0000-0000C6890000}"/>
    <cellStyle name="Normal 57 5 3 4 3 4" xfId="30908" xr:uid="{00000000-0005-0000-0000-0000C7890000}"/>
    <cellStyle name="Normal 57 5 3 4 4" xfId="8742" xr:uid="{00000000-0005-0000-0000-0000C8890000}"/>
    <cellStyle name="Normal 57 5 3 4 4 2" xfId="21186" xr:uid="{00000000-0005-0000-0000-0000C9890000}"/>
    <cellStyle name="Normal 57 5 3 4 4 2 2" xfId="46060" xr:uid="{00000000-0005-0000-0000-0000CA890000}"/>
    <cellStyle name="Normal 57 5 3 4 4 3" xfId="33627" xr:uid="{00000000-0005-0000-0000-0000CB890000}"/>
    <cellStyle name="Normal 57 5 3 4 5" xfId="12485" xr:uid="{00000000-0005-0000-0000-0000CC890000}"/>
    <cellStyle name="Normal 57 5 3 4 5 2" xfId="24919" xr:uid="{00000000-0005-0000-0000-0000CD890000}"/>
    <cellStyle name="Normal 57 5 3 4 5 2 2" xfId="49793" xr:uid="{00000000-0005-0000-0000-0000CE890000}"/>
    <cellStyle name="Normal 57 5 3 4 5 3" xfId="37360" xr:uid="{00000000-0005-0000-0000-0000CF890000}"/>
    <cellStyle name="Normal 57 5 3 4 6" xfId="7219" xr:uid="{00000000-0005-0000-0000-0000D0890000}"/>
    <cellStyle name="Normal 57 5 3 4 6 2" xfId="19668" xr:uid="{00000000-0005-0000-0000-0000D1890000}"/>
    <cellStyle name="Normal 57 5 3 4 6 2 2" xfId="44542" xr:uid="{00000000-0005-0000-0000-0000D2890000}"/>
    <cellStyle name="Normal 57 5 3 4 6 3" xfId="32109" xr:uid="{00000000-0005-0000-0000-0000D3890000}"/>
    <cellStyle name="Normal 57 5 3 4 7" xfId="3673" xr:uid="{00000000-0005-0000-0000-0000D4890000}"/>
    <cellStyle name="Normal 57 5 3 4 7 2" xfId="16179" xr:uid="{00000000-0005-0000-0000-0000D5890000}"/>
    <cellStyle name="Normal 57 5 3 4 7 2 2" xfId="41053" xr:uid="{00000000-0005-0000-0000-0000D6890000}"/>
    <cellStyle name="Normal 57 5 3 4 7 3" xfId="28612" xr:uid="{00000000-0005-0000-0000-0000D7890000}"/>
    <cellStyle name="Normal 57 5 3 4 8" xfId="14670" xr:uid="{00000000-0005-0000-0000-0000D8890000}"/>
    <cellStyle name="Normal 57 5 3 4 8 2" xfId="39544" xr:uid="{00000000-0005-0000-0000-0000D9890000}"/>
    <cellStyle name="Normal 57 5 3 4 9" xfId="27103" xr:uid="{00000000-0005-0000-0000-0000DA890000}"/>
    <cellStyle name="Normal 57 5 3 5" xfId="2262" xr:uid="{00000000-0005-0000-0000-0000DB890000}"/>
    <cellStyle name="Normal 57 5 3 5 2" xfId="4889" xr:uid="{00000000-0005-0000-0000-0000DC890000}"/>
    <cellStyle name="Normal 57 5 3 5 2 2" xfId="9906" xr:uid="{00000000-0005-0000-0000-0000DD890000}"/>
    <cellStyle name="Normal 57 5 3 5 2 2 2" xfId="22349" xr:uid="{00000000-0005-0000-0000-0000DE890000}"/>
    <cellStyle name="Normal 57 5 3 5 2 2 2 2" xfId="47223" xr:uid="{00000000-0005-0000-0000-0000DF890000}"/>
    <cellStyle name="Normal 57 5 3 5 2 2 3" xfId="34790" xr:uid="{00000000-0005-0000-0000-0000E0890000}"/>
    <cellStyle name="Normal 57 5 3 5 2 3" xfId="17342" xr:uid="{00000000-0005-0000-0000-0000E1890000}"/>
    <cellStyle name="Normal 57 5 3 5 2 3 2" xfId="42216" xr:uid="{00000000-0005-0000-0000-0000E2890000}"/>
    <cellStyle name="Normal 57 5 3 5 2 4" xfId="29783" xr:uid="{00000000-0005-0000-0000-0000E3890000}"/>
    <cellStyle name="Normal 57 5 3 5 3" xfId="6287" xr:uid="{00000000-0005-0000-0000-0000E4890000}"/>
    <cellStyle name="Normal 57 5 3 5 3 2" xfId="11302" xr:uid="{00000000-0005-0000-0000-0000E5890000}"/>
    <cellStyle name="Normal 57 5 3 5 3 2 2" xfId="23745" xr:uid="{00000000-0005-0000-0000-0000E6890000}"/>
    <cellStyle name="Normal 57 5 3 5 3 2 2 2" xfId="48619" xr:uid="{00000000-0005-0000-0000-0000E7890000}"/>
    <cellStyle name="Normal 57 5 3 5 3 2 3" xfId="36186" xr:uid="{00000000-0005-0000-0000-0000E8890000}"/>
    <cellStyle name="Normal 57 5 3 5 3 3" xfId="18738" xr:uid="{00000000-0005-0000-0000-0000E9890000}"/>
    <cellStyle name="Normal 57 5 3 5 3 3 2" xfId="43612" xr:uid="{00000000-0005-0000-0000-0000EA890000}"/>
    <cellStyle name="Normal 57 5 3 5 3 4" xfId="31179" xr:uid="{00000000-0005-0000-0000-0000EB890000}"/>
    <cellStyle name="Normal 57 5 3 5 4" xfId="8094" xr:uid="{00000000-0005-0000-0000-0000EC890000}"/>
    <cellStyle name="Normal 57 5 3 5 4 2" xfId="20540" xr:uid="{00000000-0005-0000-0000-0000ED890000}"/>
    <cellStyle name="Normal 57 5 3 5 4 2 2" xfId="45414" xr:uid="{00000000-0005-0000-0000-0000EE890000}"/>
    <cellStyle name="Normal 57 5 3 5 4 3" xfId="32981" xr:uid="{00000000-0005-0000-0000-0000EF890000}"/>
    <cellStyle name="Normal 57 5 3 5 5" xfId="12756" xr:uid="{00000000-0005-0000-0000-0000F0890000}"/>
    <cellStyle name="Normal 57 5 3 5 5 2" xfId="25190" xr:uid="{00000000-0005-0000-0000-0000F1890000}"/>
    <cellStyle name="Normal 57 5 3 5 5 2 2" xfId="50064" xr:uid="{00000000-0005-0000-0000-0000F2890000}"/>
    <cellStyle name="Normal 57 5 3 5 5 3" xfId="37631" xr:uid="{00000000-0005-0000-0000-0000F3890000}"/>
    <cellStyle name="Normal 57 5 3 5 6" xfId="7500" xr:uid="{00000000-0005-0000-0000-0000F4890000}"/>
    <cellStyle name="Normal 57 5 3 5 6 2" xfId="19948" xr:uid="{00000000-0005-0000-0000-0000F5890000}"/>
    <cellStyle name="Normal 57 5 3 5 6 2 2" xfId="44822" xr:uid="{00000000-0005-0000-0000-0000F6890000}"/>
    <cellStyle name="Normal 57 5 3 5 6 3" xfId="32389" xr:uid="{00000000-0005-0000-0000-0000F7890000}"/>
    <cellStyle name="Normal 57 5 3 5 7" xfId="3024" xr:uid="{00000000-0005-0000-0000-0000F8890000}"/>
    <cellStyle name="Normal 57 5 3 5 7 2" xfId="15533" xr:uid="{00000000-0005-0000-0000-0000F9890000}"/>
    <cellStyle name="Normal 57 5 3 5 7 2 2" xfId="40407" xr:uid="{00000000-0005-0000-0000-0000FA890000}"/>
    <cellStyle name="Normal 57 5 3 5 7 3" xfId="27966" xr:uid="{00000000-0005-0000-0000-0000FB890000}"/>
    <cellStyle name="Normal 57 5 3 5 8" xfId="14941" xr:uid="{00000000-0005-0000-0000-0000FC890000}"/>
    <cellStyle name="Normal 57 5 3 5 8 2" xfId="39815" xr:uid="{00000000-0005-0000-0000-0000FD890000}"/>
    <cellStyle name="Normal 57 5 3 5 9" xfId="27374" xr:uid="{00000000-0005-0000-0000-0000FE890000}"/>
    <cellStyle name="Normal 57 5 3 6" xfId="1098" xr:uid="{00000000-0005-0000-0000-0000FF890000}"/>
    <cellStyle name="Normal 57 5 3 6 2" xfId="8980" xr:uid="{00000000-0005-0000-0000-0000008A0000}"/>
    <cellStyle name="Normal 57 5 3 6 2 2" xfId="21423" xr:uid="{00000000-0005-0000-0000-0000018A0000}"/>
    <cellStyle name="Normal 57 5 3 6 2 2 2" xfId="46297" xr:uid="{00000000-0005-0000-0000-0000028A0000}"/>
    <cellStyle name="Normal 57 5 3 6 2 3" xfId="33864" xr:uid="{00000000-0005-0000-0000-0000038A0000}"/>
    <cellStyle name="Normal 57 5 3 6 3" xfId="3962" xr:uid="{00000000-0005-0000-0000-0000048A0000}"/>
    <cellStyle name="Normal 57 5 3 6 3 2" xfId="16416" xr:uid="{00000000-0005-0000-0000-0000058A0000}"/>
    <cellStyle name="Normal 57 5 3 6 3 2 2" xfId="41290" xr:uid="{00000000-0005-0000-0000-0000068A0000}"/>
    <cellStyle name="Normal 57 5 3 6 3 3" xfId="28857" xr:uid="{00000000-0005-0000-0000-0000078A0000}"/>
    <cellStyle name="Normal 57 5 3 6 4" xfId="13898" xr:uid="{00000000-0005-0000-0000-0000088A0000}"/>
    <cellStyle name="Normal 57 5 3 6 4 2" xfId="38772" xr:uid="{00000000-0005-0000-0000-0000098A0000}"/>
    <cellStyle name="Normal 57 5 3 6 5" xfId="26331" xr:uid="{00000000-0005-0000-0000-00000A8A0000}"/>
    <cellStyle name="Normal 57 5 3 7" xfId="5243" xr:uid="{00000000-0005-0000-0000-00000B8A0000}"/>
    <cellStyle name="Normal 57 5 3 7 2" xfId="10259" xr:uid="{00000000-0005-0000-0000-00000C8A0000}"/>
    <cellStyle name="Normal 57 5 3 7 2 2" xfId="22702" xr:uid="{00000000-0005-0000-0000-00000D8A0000}"/>
    <cellStyle name="Normal 57 5 3 7 2 2 2" xfId="47576" xr:uid="{00000000-0005-0000-0000-00000E8A0000}"/>
    <cellStyle name="Normal 57 5 3 7 2 3" xfId="35143" xr:uid="{00000000-0005-0000-0000-00000F8A0000}"/>
    <cellStyle name="Normal 57 5 3 7 3" xfId="17695" xr:uid="{00000000-0005-0000-0000-0000108A0000}"/>
    <cellStyle name="Normal 57 5 3 7 3 2" xfId="42569" xr:uid="{00000000-0005-0000-0000-0000118A0000}"/>
    <cellStyle name="Normal 57 5 3 7 4" xfId="30136" xr:uid="{00000000-0005-0000-0000-0000128A0000}"/>
    <cellStyle name="Normal 57 5 3 8" xfId="7820" xr:uid="{00000000-0005-0000-0000-0000138A0000}"/>
    <cellStyle name="Normal 57 5 3 8 2" xfId="20266" xr:uid="{00000000-0005-0000-0000-0000148A0000}"/>
    <cellStyle name="Normal 57 5 3 8 2 2" xfId="45140" xr:uid="{00000000-0005-0000-0000-0000158A0000}"/>
    <cellStyle name="Normal 57 5 3 8 3" xfId="32707" xr:uid="{00000000-0005-0000-0000-0000168A0000}"/>
    <cellStyle name="Normal 57 5 3 9" xfId="11713" xr:uid="{00000000-0005-0000-0000-0000178A0000}"/>
    <cellStyle name="Normal 57 5 3 9 2" xfId="24147" xr:uid="{00000000-0005-0000-0000-0000188A0000}"/>
    <cellStyle name="Normal 57 5 3 9 2 2" xfId="49021" xr:uid="{00000000-0005-0000-0000-0000198A0000}"/>
    <cellStyle name="Normal 57 5 3 9 3" xfId="36588" xr:uid="{00000000-0005-0000-0000-00001A8A0000}"/>
    <cellStyle name="Normal 57 5 3_Degree data" xfId="2487" xr:uid="{00000000-0005-0000-0000-00001B8A0000}"/>
    <cellStyle name="Normal 57 5 4" xfId="250" xr:uid="{00000000-0005-0000-0000-00001C8A0000}"/>
    <cellStyle name="Normal 57 5 4 10" xfId="6590" xr:uid="{00000000-0005-0000-0000-00001D8A0000}"/>
    <cellStyle name="Normal 57 5 4 10 2" xfId="19039" xr:uid="{00000000-0005-0000-0000-00001E8A0000}"/>
    <cellStyle name="Normal 57 5 4 10 2 2" xfId="43913" xr:uid="{00000000-0005-0000-0000-00001F8A0000}"/>
    <cellStyle name="Normal 57 5 4 10 3" xfId="31480" xr:uid="{00000000-0005-0000-0000-0000208A0000}"/>
    <cellStyle name="Normal 57 5 4 11" xfId="2653" xr:uid="{00000000-0005-0000-0000-0000218A0000}"/>
    <cellStyle name="Normal 57 5 4 11 2" xfId="15171" xr:uid="{00000000-0005-0000-0000-0000228A0000}"/>
    <cellStyle name="Normal 57 5 4 11 2 2" xfId="40045" xr:uid="{00000000-0005-0000-0000-0000238A0000}"/>
    <cellStyle name="Normal 57 5 4 11 3" xfId="27604" xr:uid="{00000000-0005-0000-0000-0000248A0000}"/>
    <cellStyle name="Normal 57 5 4 12" xfId="13072" xr:uid="{00000000-0005-0000-0000-0000258A0000}"/>
    <cellStyle name="Normal 57 5 4 12 2" xfId="37946" xr:uid="{00000000-0005-0000-0000-0000268A0000}"/>
    <cellStyle name="Normal 57 5 4 13" xfId="25505" xr:uid="{00000000-0005-0000-0000-0000278A0000}"/>
    <cellStyle name="Normal 57 5 4 2" xfId="464" xr:uid="{00000000-0005-0000-0000-0000288A0000}"/>
    <cellStyle name="Normal 57 5 4 2 10" xfId="13277" xr:uid="{00000000-0005-0000-0000-0000298A0000}"/>
    <cellStyle name="Normal 57 5 4 2 10 2" xfId="38151" xr:uid="{00000000-0005-0000-0000-00002A8A0000}"/>
    <cellStyle name="Normal 57 5 4 2 11" xfId="25710" xr:uid="{00000000-0005-0000-0000-00002B8A0000}"/>
    <cellStyle name="Normal 57 5 4 2 2" xfId="823" xr:uid="{00000000-0005-0000-0000-00002C8A0000}"/>
    <cellStyle name="Normal 57 5 4 2 2 2" xfId="1525" xr:uid="{00000000-0005-0000-0000-00002D8A0000}"/>
    <cellStyle name="Normal 57 5 4 2 2 2 2" xfId="9629" xr:uid="{00000000-0005-0000-0000-00002E8A0000}"/>
    <cellStyle name="Normal 57 5 4 2 2 2 2 2" xfId="22072" xr:uid="{00000000-0005-0000-0000-00002F8A0000}"/>
    <cellStyle name="Normal 57 5 4 2 2 2 2 2 2" xfId="46946" xr:uid="{00000000-0005-0000-0000-0000308A0000}"/>
    <cellStyle name="Normal 57 5 4 2 2 2 2 3" xfId="34513" xr:uid="{00000000-0005-0000-0000-0000318A0000}"/>
    <cellStyle name="Normal 57 5 4 2 2 2 3" xfId="4611" xr:uid="{00000000-0005-0000-0000-0000328A0000}"/>
    <cellStyle name="Normal 57 5 4 2 2 2 3 2" xfId="17065" xr:uid="{00000000-0005-0000-0000-0000338A0000}"/>
    <cellStyle name="Normal 57 5 4 2 2 2 3 2 2" xfId="41939" xr:uid="{00000000-0005-0000-0000-0000348A0000}"/>
    <cellStyle name="Normal 57 5 4 2 2 2 3 3" xfId="29506" xr:uid="{00000000-0005-0000-0000-0000358A0000}"/>
    <cellStyle name="Normal 57 5 4 2 2 2 4" xfId="14325" xr:uid="{00000000-0005-0000-0000-0000368A0000}"/>
    <cellStyle name="Normal 57 5 4 2 2 2 4 2" xfId="39199" xr:uid="{00000000-0005-0000-0000-0000378A0000}"/>
    <cellStyle name="Normal 57 5 4 2 2 2 5" xfId="26758" xr:uid="{00000000-0005-0000-0000-0000388A0000}"/>
    <cellStyle name="Normal 57 5 4 2 2 3" xfId="5670" xr:uid="{00000000-0005-0000-0000-0000398A0000}"/>
    <cellStyle name="Normal 57 5 4 2 2 3 2" xfId="10686" xr:uid="{00000000-0005-0000-0000-00003A8A0000}"/>
    <cellStyle name="Normal 57 5 4 2 2 3 2 2" xfId="23129" xr:uid="{00000000-0005-0000-0000-00003B8A0000}"/>
    <cellStyle name="Normal 57 5 4 2 2 3 2 2 2" xfId="48003" xr:uid="{00000000-0005-0000-0000-00003C8A0000}"/>
    <cellStyle name="Normal 57 5 4 2 2 3 2 3" xfId="35570" xr:uid="{00000000-0005-0000-0000-00003D8A0000}"/>
    <cellStyle name="Normal 57 5 4 2 2 3 3" xfId="18122" xr:uid="{00000000-0005-0000-0000-00003E8A0000}"/>
    <cellStyle name="Normal 57 5 4 2 2 3 3 2" xfId="42996" xr:uid="{00000000-0005-0000-0000-00003F8A0000}"/>
    <cellStyle name="Normal 57 5 4 2 2 3 4" xfId="30563" xr:uid="{00000000-0005-0000-0000-0000408A0000}"/>
    <cellStyle name="Normal 57 5 4 2 2 4" xfId="8745" xr:uid="{00000000-0005-0000-0000-0000418A0000}"/>
    <cellStyle name="Normal 57 5 4 2 2 4 2" xfId="21189" xr:uid="{00000000-0005-0000-0000-0000428A0000}"/>
    <cellStyle name="Normal 57 5 4 2 2 4 2 2" xfId="46063" xr:uid="{00000000-0005-0000-0000-0000438A0000}"/>
    <cellStyle name="Normal 57 5 4 2 2 4 3" xfId="33630" xr:uid="{00000000-0005-0000-0000-0000448A0000}"/>
    <cellStyle name="Normal 57 5 4 2 2 5" xfId="12140" xr:uid="{00000000-0005-0000-0000-0000458A0000}"/>
    <cellStyle name="Normal 57 5 4 2 2 5 2" xfId="24574" xr:uid="{00000000-0005-0000-0000-0000468A0000}"/>
    <cellStyle name="Normal 57 5 4 2 2 5 2 2" xfId="49448" xr:uid="{00000000-0005-0000-0000-0000478A0000}"/>
    <cellStyle name="Normal 57 5 4 2 2 5 3" xfId="37015" xr:uid="{00000000-0005-0000-0000-0000488A0000}"/>
    <cellStyle name="Normal 57 5 4 2 2 6" xfId="7222" xr:uid="{00000000-0005-0000-0000-0000498A0000}"/>
    <cellStyle name="Normal 57 5 4 2 2 6 2" xfId="19671" xr:uid="{00000000-0005-0000-0000-00004A8A0000}"/>
    <cellStyle name="Normal 57 5 4 2 2 6 2 2" xfId="44545" xr:uid="{00000000-0005-0000-0000-00004B8A0000}"/>
    <cellStyle name="Normal 57 5 4 2 2 6 3" xfId="32112" xr:uid="{00000000-0005-0000-0000-00004C8A0000}"/>
    <cellStyle name="Normal 57 5 4 2 2 7" xfId="3676" xr:uid="{00000000-0005-0000-0000-00004D8A0000}"/>
    <cellStyle name="Normal 57 5 4 2 2 7 2" xfId="16182" xr:uid="{00000000-0005-0000-0000-00004E8A0000}"/>
    <cellStyle name="Normal 57 5 4 2 2 7 2 2" xfId="41056" xr:uid="{00000000-0005-0000-0000-00004F8A0000}"/>
    <cellStyle name="Normal 57 5 4 2 2 7 3" xfId="28615" xr:uid="{00000000-0005-0000-0000-0000508A0000}"/>
    <cellStyle name="Normal 57 5 4 2 2 8" xfId="13624" xr:uid="{00000000-0005-0000-0000-0000518A0000}"/>
    <cellStyle name="Normal 57 5 4 2 2 8 2" xfId="38498" xr:uid="{00000000-0005-0000-0000-0000528A0000}"/>
    <cellStyle name="Normal 57 5 4 2 2 9" xfId="26057" xr:uid="{00000000-0005-0000-0000-0000538A0000}"/>
    <cellStyle name="Normal 57 5 4 2 3" xfId="1873" xr:uid="{00000000-0005-0000-0000-0000548A0000}"/>
    <cellStyle name="Normal 57 5 4 2 3 2" xfId="5006" xr:uid="{00000000-0005-0000-0000-0000558A0000}"/>
    <cellStyle name="Normal 57 5 4 2 3 2 2" xfId="10023" xr:uid="{00000000-0005-0000-0000-0000568A0000}"/>
    <cellStyle name="Normal 57 5 4 2 3 2 2 2" xfId="22466" xr:uid="{00000000-0005-0000-0000-0000578A0000}"/>
    <cellStyle name="Normal 57 5 4 2 3 2 2 2 2" xfId="47340" xr:uid="{00000000-0005-0000-0000-0000588A0000}"/>
    <cellStyle name="Normal 57 5 4 2 3 2 2 3" xfId="34907" xr:uid="{00000000-0005-0000-0000-0000598A0000}"/>
    <cellStyle name="Normal 57 5 4 2 3 2 3" xfId="17459" xr:uid="{00000000-0005-0000-0000-00005A8A0000}"/>
    <cellStyle name="Normal 57 5 4 2 3 2 3 2" xfId="42333" xr:uid="{00000000-0005-0000-0000-00005B8A0000}"/>
    <cellStyle name="Normal 57 5 4 2 3 2 4" xfId="29900" xr:uid="{00000000-0005-0000-0000-00005C8A0000}"/>
    <cellStyle name="Normal 57 5 4 2 3 3" xfId="6019" xr:uid="{00000000-0005-0000-0000-00005D8A0000}"/>
    <cellStyle name="Normal 57 5 4 2 3 3 2" xfId="11034" xr:uid="{00000000-0005-0000-0000-00005E8A0000}"/>
    <cellStyle name="Normal 57 5 4 2 3 3 2 2" xfId="23477" xr:uid="{00000000-0005-0000-0000-00005F8A0000}"/>
    <cellStyle name="Normal 57 5 4 2 3 3 2 2 2" xfId="48351" xr:uid="{00000000-0005-0000-0000-0000608A0000}"/>
    <cellStyle name="Normal 57 5 4 2 3 3 2 3" xfId="35918" xr:uid="{00000000-0005-0000-0000-0000618A0000}"/>
    <cellStyle name="Normal 57 5 4 2 3 3 3" xfId="18470" xr:uid="{00000000-0005-0000-0000-0000628A0000}"/>
    <cellStyle name="Normal 57 5 4 2 3 3 3 2" xfId="43344" xr:uid="{00000000-0005-0000-0000-0000638A0000}"/>
    <cellStyle name="Normal 57 5 4 2 3 3 4" xfId="30911" xr:uid="{00000000-0005-0000-0000-0000648A0000}"/>
    <cellStyle name="Normal 57 5 4 2 3 4" xfId="8430" xr:uid="{00000000-0005-0000-0000-0000658A0000}"/>
    <cellStyle name="Normal 57 5 4 2 3 4 2" xfId="20874" xr:uid="{00000000-0005-0000-0000-0000668A0000}"/>
    <cellStyle name="Normal 57 5 4 2 3 4 2 2" xfId="45748" xr:uid="{00000000-0005-0000-0000-0000678A0000}"/>
    <cellStyle name="Normal 57 5 4 2 3 4 3" xfId="33315" xr:uid="{00000000-0005-0000-0000-0000688A0000}"/>
    <cellStyle name="Normal 57 5 4 2 3 5" xfId="12488" xr:uid="{00000000-0005-0000-0000-0000698A0000}"/>
    <cellStyle name="Normal 57 5 4 2 3 5 2" xfId="24922" xr:uid="{00000000-0005-0000-0000-00006A8A0000}"/>
    <cellStyle name="Normal 57 5 4 2 3 5 2 2" xfId="49796" xr:uid="{00000000-0005-0000-0000-00006B8A0000}"/>
    <cellStyle name="Normal 57 5 4 2 3 5 3" xfId="37363" xr:uid="{00000000-0005-0000-0000-00006C8A0000}"/>
    <cellStyle name="Normal 57 5 4 2 3 6" xfId="7617" xr:uid="{00000000-0005-0000-0000-00006D8A0000}"/>
    <cellStyle name="Normal 57 5 4 2 3 6 2" xfId="20065" xr:uid="{00000000-0005-0000-0000-00006E8A0000}"/>
    <cellStyle name="Normal 57 5 4 2 3 6 2 2" xfId="44939" xr:uid="{00000000-0005-0000-0000-00006F8A0000}"/>
    <cellStyle name="Normal 57 5 4 2 3 6 3" xfId="32506" xr:uid="{00000000-0005-0000-0000-0000708A0000}"/>
    <cellStyle name="Normal 57 5 4 2 3 7" xfId="3361" xr:uid="{00000000-0005-0000-0000-0000718A0000}"/>
    <cellStyle name="Normal 57 5 4 2 3 7 2" xfId="15867" xr:uid="{00000000-0005-0000-0000-0000728A0000}"/>
    <cellStyle name="Normal 57 5 4 2 3 7 2 2" xfId="40741" xr:uid="{00000000-0005-0000-0000-0000738A0000}"/>
    <cellStyle name="Normal 57 5 4 2 3 7 3" xfId="28300" xr:uid="{00000000-0005-0000-0000-0000748A0000}"/>
    <cellStyle name="Normal 57 5 4 2 3 8" xfId="14673" xr:uid="{00000000-0005-0000-0000-0000758A0000}"/>
    <cellStyle name="Normal 57 5 4 2 3 8 2" xfId="39547" xr:uid="{00000000-0005-0000-0000-0000768A0000}"/>
    <cellStyle name="Normal 57 5 4 2 3 9" xfId="27106" xr:uid="{00000000-0005-0000-0000-0000778A0000}"/>
    <cellStyle name="Normal 57 5 4 2 4" xfId="2382" xr:uid="{00000000-0005-0000-0000-0000788A0000}"/>
    <cellStyle name="Normal 57 5 4 2 4 2" xfId="6404" xr:uid="{00000000-0005-0000-0000-0000798A0000}"/>
    <cellStyle name="Normal 57 5 4 2 4 2 2" xfId="11419" xr:uid="{00000000-0005-0000-0000-00007A8A0000}"/>
    <cellStyle name="Normal 57 5 4 2 4 2 2 2" xfId="23862" xr:uid="{00000000-0005-0000-0000-00007B8A0000}"/>
    <cellStyle name="Normal 57 5 4 2 4 2 2 2 2" xfId="48736" xr:uid="{00000000-0005-0000-0000-00007C8A0000}"/>
    <cellStyle name="Normal 57 5 4 2 4 2 2 3" xfId="36303" xr:uid="{00000000-0005-0000-0000-00007D8A0000}"/>
    <cellStyle name="Normal 57 5 4 2 4 2 3" xfId="18855" xr:uid="{00000000-0005-0000-0000-00007E8A0000}"/>
    <cellStyle name="Normal 57 5 4 2 4 2 3 2" xfId="43729" xr:uid="{00000000-0005-0000-0000-00007F8A0000}"/>
    <cellStyle name="Normal 57 5 4 2 4 2 4" xfId="31296" xr:uid="{00000000-0005-0000-0000-0000808A0000}"/>
    <cellStyle name="Normal 57 5 4 2 4 3" xfId="12873" xr:uid="{00000000-0005-0000-0000-0000818A0000}"/>
    <cellStyle name="Normal 57 5 4 2 4 3 2" xfId="25307" xr:uid="{00000000-0005-0000-0000-0000828A0000}"/>
    <cellStyle name="Normal 57 5 4 2 4 3 2 2" xfId="50181" xr:uid="{00000000-0005-0000-0000-0000838A0000}"/>
    <cellStyle name="Normal 57 5 4 2 4 3 3" xfId="37748" xr:uid="{00000000-0005-0000-0000-0000848A0000}"/>
    <cellStyle name="Normal 57 5 4 2 4 4" xfId="9314" xr:uid="{00000000-0005-0000-0000-0000858A0000}"/>
    <cellStyle name="Normal 57 5 4 2 4 4 2" xfId="21757" xr:uid="{00000000-0005-0000-0000-0000868A0000}"/>
    <cellStyle name="Normal 57 5 4 2 4 4 2 2" xfId="46631" xr:uid="{00000000-0005-0000-0000-0000878A0000}"/>
    <cellStyle name="Normal 57 5 4 2 4 4 3" xfId="34198" xr:uid="{00000000-0005-0000-0000-0000888A0000}"/>
    <cellStyle name="Normal 57 5 4 2 4 5" xfId="4296" xr:uid="{00000000-0005-0000-0000-0000898A0000}"/>
    <cellStyle name="Normal 57 5 4 2 4 5 2" xfId="16750" xr:uid="{00000000-0005-0000-0000-00008A8A0000}"/>
    <cellStyle name="Normal 57 5 4 2 4 5 2 2" xfId="41624" xr:uid="{00000000-0005-0000-0000-00008B8A0000}"/>
    <cellStyle name="Normal 57 5 4 2 4 5 3" xfId="29191" xr:uid="{00000000-0005-0000-0000-00008C8A0000}"/>
    <cellStyle name="Normal 57 5 4 2 4 6" xfId="15058" xr:uid="{00000000-0005-0000-0000-00008D8A0000}"/>
    <cellStyle name="Normal 57 5 4 2 4 6 2" xfId="39932" xr:uid="{00000000-0005-0000-0000-00008E8A0000}"/>
    <cellStyle name="Normal 57 5 4 2 4 7" xfId="27491" xr:uid="{00000000-0005-0000-0000-00008F8A0000}"/>
    <cellStyle name="Normal 57 5 4 2 5" xfId="1215" xr:uid="{00000000-0005-0000-0000-0000908A0000}"/>
    <cellStyle name="Normal 57 5 4 2 5 2" xfId="10376" xr:uid="{00000000-0005-0000-0000-0000918A0000}"/>
    <cellStyle name="Normal 57 5 4 2 5 2 2" xfId="22819" xr:uid="{00000000-0005-0000-0000-0000928A0000}"/>
    <cellStyle name="Normal 57 5 4 2 5 2 2 2" xfId="47693" xr:uid="{00000000-0005-0000-0000-0000938A0000}"/>
    <cellStyle name="Normal 57 5 4 2 5 2 3" xfId="35260" xr:uid="{00000000-0005-0000-0000-0000948A0000}"/>
    <cellStyle name="Normal 57 5 4 2 5 3" xfId="5360" xr:uid="{00000000-0005-0000-0000-0000958A0000}"/>
    <cellStyle name="Normal 57 5 4 2 5 3 2" xfId="17812" xr:uid="{00000000-0005-0000-0000-0000968A0000}"/>
    <cellStyle name="Normal 57 5 4 2 5 3 2 2" xfId="42686" xr:uid="{00000000-0005-0000-0000-0000978A0000}"/>
    <cellStyle name="Normal 57 5 4 2 5 3 3" xfId="30253" xr:uid="{00000000-0005-0000-0000-0000988A0000}"/>
    <cellStyle name="Normal 57 5 4 2 5 4" xfId="14015" xr:uid="{00000000-0005-0000-0000-0000998A0000}"/>
    <cellStyle name="Normal 57 5 4 2 5 4 2" xfId="38889" xr:uid="{00000000-0005-0000-0000-00009A8A0000}"/>
    <cellStyle name="Normal 57 5 4 2 5 5" xfId="26448" xr:uid="{00000000-0005-0000-0000-00009B8A0000}"/>
    <cellStyle name="Normal 57 5 4 2 6" xfId="7937" xr:uid="{00000000-0005-0000-0000-00009C8A0000}"/>
    <cellStyle name="Normal 57 5 4 2 6 2" xfId="20383" xr:uid="{00000000-0005-0000-0000-00009D8A0000}"/>
    <cellStyle name="Normal 57 5 4 2 6 2 2" xfId="45257" xr:uid="{00000000-0005-0000-0000-00009E8A0000}"/>
    <cellStyle name="Normal 57 5 4 2 6 3" xfId="32824" xr:uid="{00000000-0005-0000-0000-00009F8A0000}"/>
    <cellStyle name="Normal 57 5 4 2 7" xfId="11830" xr:uid="{00000000-0005-0000-0000-0000A08A0000}"/>
    <cellStyle name="Normal 57 5 4 2 7 2" xfId="24264" xr:uid="{00000000-0005-0000-0000-0000A18A0000}"/>
    <cellStyle name="Normal 57 5 4 2 7 2 2" xfId="49138" xr:uid="{00000000-0005-0000-0000-0000A28A0000}"/>
    <cellStyle name="Normal 57 5 4 2 7 3" xfId="36705" xr:uid="{00000000-0005-0000-0000-0000A38A0000}"/>
    <cellStyle name="Normal 57 5 4 2 8" xfId="6907" xr:uid="{00000000-0005-0000-0000-0000A48A0000}"/>
    <cellStyle name="Normal 57 5 4 2 8 2" xfId="19356" xr:uid="{00000000-0005-0000-0000-0000A58A0000}"/>
    <cellStyle name="Normal 57 5 4 2 8 2 2" xfId="44230" xr:uid="{00000000-0005-0000-0000-0000A68A0000}"/>
    <cellStyle name="Normal 57 5 4 2 8 3" xfId="31797" xr:uid="{00000000-0005-0000-0000-0000A78A0000}"/>
    <cellStyle name="Normal 57 5 4 2 9" xfId="2858" xr:uid="{00000000-0005-0000-0000-0000A88A0000}"/>
    <cellStyle name="Normal 57 5 4 2 9 2" xfId="15376" xr:uid="{00000000-0005-0000-0000-0000A98A0000}"/>
    <cellStyle name="Normal 57 5 4 2 9 2 2" xfId="40250" xr:uid="{00000000-0005-0000-0000-0000AA8A0000}"/>
    <cellStyle name="Normal 57 5 4 2 9 3" xfId="27809" xr:uid="{00000000-0005-0000-0000-0000AB8A0000}"/>
    <cellStyle name="Normal 57 5 4 2_Degree data" xfId="2490" xr:uid="{00000000-0005-0000-0000-0000AC8A0000}"/>
    <cellStyle name="Normal 57 5 4 3" xfId="612" xr:uid="{00000000-0005-0000-0000-0000AD8A0000}"/>
    <cellStyle name="Normal 57 5 4 3 2" xfId="1524" xr:uid="{00000000-0005-0000-0000-0000AE8A0000}"/>
    <cellStyle name="Normal 57 5 4 3 2 2" xfId="9109" xr:uid="{00000000-0005-0000-0000-0000AF8A0000}"/>
    <cellStyle name="Normal 57 5 4 3 2 2 2" xfId="21552" xr:uid="{00000000-0005-0000-0000-0000B08A0000}"/>
    <cellStyle name="Normal 57 5 4 3 2 2 2 2" xfId="46426" xr:uid="{00000000-0005-0000-0000-0000B18A0000}"/>
    <cellStyle name="Normal 57 5 4 3 2 2 3" xfId="33993" xr:uid="{00000000-0005-0000-0000-0000B28A0000}"/>
    <cellStyle name="Normal 57 5 4 3 2 3" xfId="4091" xr:uid="{00000000-0005-0000-0000-0000B38A0000}"/>
    <cellStyle name="Normal 57 5 4 3 2 3 2" xfId="16545" xr:uid="{00000000-0005-0000-0000-0000B48A0000}"/>
    <cellStyle name="Normal 57 5 4 3 2 3 2 2" xfId="41419" xr:uid="{00000000-0005-0000-0000-0000B58A0000}"/>
    <cellStyle name="Normal 57 5 4 3 2 3 3" xfId="28986" xr:uid="{00000000-0005-0000-0000-0000B68A0000}"/>
    <cellStyle name="Normal 57 5 4 3 2 4" xfId="14324" xr:uid="{00000000-0005-0000-0000-0000B78A0000}"/>
    <cellStyle name="Normal 57 5 4 3 2 4 2" xfId="39198" xr:uid="{00000000-0005-0000-0000-0000B88A0000}"/>
    <cellStyle name="Normal 57 5 4 3 2 5" xfId="26757" xr:uid="{00000000-0005-0000-0000-0000B98A0000}"/>
    <cellStyle name="Normal 57 5 4 3 3" xfId="5669" xr:uid="{00000000-0005-0000-0000-0000BA8A0000}"/>
    <cellStyle name="Normal 57 5 4 3 3 2" xfId="10685" xr:uid="{00000000-0005-0000-0000-0000BB8A0000}"/>
    <cellStyle name="Normal 57 5 4 3 3 2 2" xfId="23128" xr:uid="{00000000-0005-0000-0000-0000BC8A0000}"/>
    <cellStyle name="Normal 57 5 4 3 3 2 2 2" xfId="48002" xr:uid="{00000000-0005-0000-0000-0000BD8A0000}"/>
    <cellStyle name="Normal 57 5 4 3 3 2 3" xfId="35569" xr:uid="{00000000-0005-0000-0000-0000BE8A0000}"/>
    <cellStyle name="Normal 57 5 4 3 3 3" xfId="18121" xr:uid="{00000000-0005-0000-0000-0000BF8A0000}"/>
    <cellStyle name="Normal 57 5 4 3 3 3 2" xfId="42995" xr:uid="{00000000-0005-0000-0000-0000C08A0000}"/>
    <cellStyle name="Normal 57 5 4 3 3 4" xfId="30562" xr:uid="{00000000-0005-0000-0000-0000C18A0000}"/>
    <cellStyle name="Normal 57 5 4 3 4" xfId="8225" xr:uid="{00000000-0005-0000-0000-0000C28A0000}"/>
    <cellStyle name="Normal 57 5 4 3 4 2" xfId="20669" xr:uid="{00000000-0005-0000-0000-0000C38A0000}"/>
    <cellStyle name="Normal 57 5 4 3 4 2 2" xfId="45543" xr:uid="{00000000-0005-0000-0000-0000C48A0000}"/>
    <cellStyle name="Normal 57 5 4 3 4 3" xfId="33110" xr:uid="{00000000-0005-0000-0000-0000C58A0000}"/>
    <cellStyle name="Normal 57 5 4 3 5" xfId="12139" xr:uid="{00000000-0005-0000-0000-0000C68A0000}"/>
    <cellStyle name="Normal 57 5 4 3 5 2" xfId="24573" xr:uid="{00000000-0005-0000-0000-0000C78A0000}"/>
    <cellStyle name="Normal 57 5 4 3 5 2 2" xfId="49447" xr:uid="{00000000-0005-0000-0000-0000C88A0000}"/>
    <cellStyle name="Normal 57 5 4 3 5 3" xfId="37014" xr:uid="{00000000-0005-0000-0000-0000C98A0000}"/>
    <cellStyle name="Normal 57 5 4 3 6" xfId="6702" xr:uid="{00000000-0005-0000-0000-0000CA8A0000}"/>
    <cellStyle name="Normal 57 5 4 3 6 2" xfId="19151" xr:uid="{00000000-0005-0000-0000-0000CB8A0000}"/>
    <cellStyle name="Normal 57 5 4 3 6 2 2" xfId="44025" xr:uid="{00000000-0005-0000-0000-0000CC8A0000}"/>
    <cellStyle name="Normal 57 5 4 3 6 3" xfId="31592" xr:uid="{00000000-0005-0000-0000-0000CD8A0000}"/>
    <cellStyle name="Normal 57 5 4 3 7" xfId="3156" xr:uid="{00000000-0005-0000-0000-0000CE8A0000}"/>
    <cellStyle name="Normal 57 5 4 3 7 2" xfId="15662" xr:uid="{00000000-0005-0000-0000-0000CF8A0000}"/>
    <cellStyle name="Normal 57 5 4 3 7 2 2" xfId="40536" xr:uid="{00000000-0005-0000-0000-0000D08A0000}"/>
    <cellStyle name="Normal 57 5 4 3 7 3" xfId="28095" xr:uid="{00000000-0005-0000-0000-0000D18A0000}"/>
    <cellStyle name="Normal 57 5 4 3 8" xfId="13419" xr:uid="{00000000-0005-0000-0000-0000D28A0000}"/>
    <cellStyle name="Normal 57 5 4 3 8 2" xfId="38293" xr:uid="{00000000-0005-0000-0000-0000D38A0000}"/>
    <cellStyle name="Normal 57 5 4 3 9" xfId="25852" xr:uid="{00000000-0005-0000-0000-0000D48A0000}"/>
    <cellStyle name="Normal 57 5 4 4" xfId="1872" xr:uid="{00000000-0005-0000-0000-0000D58A0000}"/>
    <cellStyle name="Normal 57 5 4 4 2" xfId="4610" xr:uid="{00000000-0005-0000-0000-0000D68A0000}"/>
    <cellStyle name="Normal 57 5 4 4 2 2" xfId="9628" xr:uid="{00000000-0005-0000-0000-0000D78A0000}"/>
    <cellStyle name="Normal 57 5 4 4 2 2 2" xfId="22071" xr:uid="{00000000-0005-0000-0000-0000D88A0000}"/>
    <cellStyle name="Normal 57 5 4 4 2 2 2 2" xfId="46945" xr:uid="{00000000-0005-0000-0000-0000D98A0000}"/>
    <cellStyle name="Normal 57 5 4 4 2 2 3" xfId="34512" xr:uid="{00000000-0005-0000-0000-0000DA8A0000}"/>
    <cellStyle name="Normal 57 5 4 4 2 3" xfId="17064" xr:uid="{00000000-0005-0000-0000-0000DB8A0000}"/>
    <cellStyle name="Normal 57 5 4 4 2 3 2" xfId="41938" xr:uid="{00000000-0005-0000-0000-0000DC8A0000}"/>
    <cellStyle name="Normal 57 5 4 4 2 4" xfId="29505" xr:uid="{00000000-0005-0000-0000-0000DD8A0000}"/>
    <cellStyle name="Normal 57 5 4 4 3" xfId="6018" xr:uid="{00000000-0005-0000-0000-0000DE8A0000}"/>
    <cellStyle name="Normal 57 5 4 4 3 2" xfId="11033" xr:uid="{00000000-0005-0000-0000-0000DF8A0000}"/>
    <cellStyle name="Normal 57 5 4 4 3 2 2" xfId="23476" xr:uid="{00000000-0005-0000-0000-0000E08A0000}"/>
    <cellStyle name="Normal 57 5 4 4 3 2 2 2" xfId="48350" xr:uid="{00000000-0005-0000-0000-0000E18A0000}"/>
    <cellStyle name="Normal 57 5 4 4 3 2 3" xfId="35917" xr:uid="{00000000-0005-0000-0000-0000E28A0000}"/>
    <cellStyle name="Normal 57 5 4 4 3 3" xfId="18469" xr:uid="{00000000-0005-0000-0000-0000E38A0000}"/>
    <cellStyle name="Normal 57 5 4 4 3 3 2" xfId="43343" xr:uid="{00000000-0005-0000-0000-0000E48A0000}"/>
    <cellStyle name="Normal 57 5 4 4 3 4" xfId="30910" xr:uid="{00000000-0005-0000-0000-0000E58A0000}"/>
    <cellStyle name="Normal 57 5 4 4 4" xfId="8744" xr:uid="{00000000-0005-0000-0000-0000E68A0000}"/>
    <cellStyle name="Normal 57 5 4 4 4 2" xfId="21188" xr:uid="{00000000-0005-0000-0000-0000E78A0000}"/>
    <cellStyle name="Normal 57 5 4 4 4 2 2" xfId="46062" xr:uid="{00000000-0005-0000-0000-0000E88A0000}"/>
    <cellStyle name="Normal 57 5 4 4 4 3" xfId="33629" xr:uid="{00000000-0005-0000-0000-0000E98A0000}"/>
    <cellStyle name="Normal 57 5 4 4 5" xfId="12487" xr:uid="{00000000-0005-0000-0000-0000EA8A0000}"/>
    <cellStyle name="Normal 57 5 4 4 5 2" xfId="24921" xr:uid="{00000000-0005-0000-0000-0000EB8A0000}"/>
    <cellStyle name="Normal 57 5 4 4 5 2 2" xfId="49795" xr:uid="{00000000-0005-0000-0000-0000EC8A0000}"/>
    <cellStyle name="Normal 57 5 4 4 5 3" xfId="37362" xr:uid="{00000000-0005-0000-0000-0000ED8A0000}"/>
    <cellStyle name="Normal 57 5 4 4 6" xfId="7221" xr:uid="{00000000-0005-0000-0000-0000EE8A0000}"/>
    <cellStyle name="Normal 57 5 4 4 6 2" xfId="19670" xr:uid="{00000000-0005-0000-0000-0000EF8A0000}"/>
    <cellStyle name="Normal 57 5 4 4 6 2 2" xfId="44544" xr:uid="{00000000-0005-0000-0000-0000F08A0000}"/>
    <cellStyle name="Normal 57 5 4 4 6 3" xfId="32111" xr:uid="{00000000-0005-0000-0000-0000F18A0000}"/>
    <cellStyle name="Normal 57 5 4 4 7" xfId="3675" xr:uid="{00000000-0005-0000-0000-0000F28A0000}"/>
    <cellStyle name="Normal 57 5 4 4 7 2" xfId="16181" xr:uid="{00000000-0005-0000-0000-0000F38A0000}"/>
    <cellStyle name="Normal 57 5 4 4 7 2 2" xfId="41055" xr:uid="{00000000-0005-0000-0000-0000F48A0000}"/>
    <cellStyle name="Normal 57 5 4 4 7 3" xfId="28614" xr:uid="{00000000-0005-0000-0000-0000F58A0000}"/>
    <cellStyle name="Normal 57 5 4 4 8" xfId="14672" xr:uid="{00000000-0005-0000-0000-0000F68A0000}"/>
    <cellStyle name="Normal 57 5 4 4 8 2" xfId="39546" xr:uid="{00000000-0005-0000-0000-0000F78A0000}"/>
    <cellStyle name="Normal 57 5 4 4 9" xfId="27105" xr:uid="{00000000-0005-0000-0000-0000F88A0000}"/>
    <cellStyle name="Normal 57 5 4 5" xfId="2168" xr:uid="{00000000-0005-0000-0000-0000F98A0000}"/>
    <cellStyle name="Normal 57 5 4 5 2" xfId="4801" xr:uid="{00000000-0005-0000-0000-0000FA8A0000}"/>
    <cellStyle name="Normal 57 5 4 5 2 2" xfId="9818" xr:uid="{00000000-0005-0000-0000-0000FB8A0000}"/>
    <cellStyle name="Normal 57 5 4 5 2 2 2" xfId="22261" xr:uid="{00000000-0005-0000-0000-0000FC8A0000}"/>
    <cellStyle name="Normal 57 5 4 5 2 2 2 2" xfId="47135" xr:uid="{00000000-0005-0000-0000-0000FD8A0000}"/>
    <cellStyle name="Normal 57 5 4 5 2 2 3" xfId="34702" xr:uid="{00000000-0005-0000-0000-0000FE8A0000}"/>
    <cellStyle name="Normal 57 5 4 5 2 3" xfId="17254" xr:uid="{00000000-0005-0000-0000-0000FF8A0000}"/>
    <cellStyle name="Normal 57 5 4 5 2 3 2" xfId="42128" xr:uid="{00000000-0005-0000-0000-0000008B0000}"/>
    <cellStyle name="Normal 57 5 4 5 2 4" xfId="29695" xr:uid="{00000000-0005-0000-0000-0000018B0000}"/>
    <cellStyle name="Normal 57 5 4 5 3" xfId="6199" xr:uid="{00000000-0005-0000-0000-0000028B0000}"/>
    <cellStyle name="Normal 57 5 4 5 3 2" xfId="11214" xr:uid="{00000000-0005-0000-0000-0000038B0000}"/>
    <cellStyle name="Normal 57 5 4 5 3 2 2" xfId="23657" xr:uid="{00000000-0005-0000-0000-0000048B0000}"/>
    <cellStyle name="Normal 57 5 4 5 3 2 2 2" xfId="48531" xr:uid="{00000000-0005-0000-0000-0000058B0000}"/>
    <cellStyle name="Normal 57 5 4 5 3 2 3" xfId="36098" xr:uid="{00000000-0005-0000-0000-0000068B0000}"/>
    <cellStyle name="Normal 57 5 4 5 3 3" xfId="18650" xr:uid="{00000000-0005-0000-0000-0000078B0000}"/>
    <cellStyle name="Normal 57 5 4 5 3 3 2" xfId="43524" xr:uid="{00000000-0005-0000-0000-0000088B0000}"/>
    <cellStyle name="Normal 57 5 4 5 3 4" xfId="31091" xr:uid="{00000000-0005-0000-0000-0000098B0000}"/>
    <cellStyle name="Normal 57 5 4 5 4" xfId="8111" xr:uid="{00000000-0005-0000-0000-00000A8B0000}"/>
    <cellStyle name="Normal 57 5 4 5 4 2" xfId="20557" xr:uid="{00000000-0005-0000-0000-00000B8B0000}"/>
    <cellStyle name="Normal 57 5 4 5 4 2 2" xfId="45431" xr:uid="{00000000-0005-0000-0000-00000C8B0000}"/>
    <cellStyle name="Normal 57 5 4 5 4 3" xfId="32998" xr:uid="{00000000-0005-0000-0000-00000D8B0000}"/>
    <cellStyle name="Normal 57 5 4 5 5" xfId="12668" xr:uid="{00000000-0005-0000-0000-00000E8B0000}"/>
    <cellStyle name="Normal 57 5 4 5 5 2" xfId="25102" xr:uid="{00000000-0005-0000-0000-00000F8B0000}"/>
    <cellStyle name="Normal 57 5 4 5 5 2 2" xfId="49976" xr:uid="{00000000-0005-0000-0000-0000108B0000}"/>
    <cellStyle name="Normal 57 5 4 5 5 3" xfId="37543" xr:uid="{00000000-0005-0000-0000-0000118B0000}"/>
    <cellStyle name="Normal 57 5 4 5 6" xfId="7412" xr:uid="{00000000-0005-0000-0000-0000128B0000}"/>
    <cellStyle name="Normal 57 5 4 5 6 2" xfId="19860" xr:uid="{00000000-0005-0000-0000-0000138B0000}"/>
    <cellStyle name="Normal 57 5 4 5 6 2 2" xfId="44734" xr:uid="{00000000-0005-0000-0000-0000148B0000}"/>
    <cellStyle name="Normal 57 5 4 5 6 3" xfId="32301" xr:uid="{00000000-0005-0000-0000-0000158B0000}"/>
    <cellStyle name="Normal 57 5 4 5 7" xfId="3041" xr:uid="{00000000-0005-0000-0000-0000168B0000}"/>
    <cellStyle name="Normal 57 5 4 5 7 2" xfId="15550" xr:uid="{00000000-0005-0000-0000-0000178B0000}"/>
    <cellStyle name="Normal 57 5 4 5 7 2 2" xfId="40424" xr:uid="{00000000-0005-0000-0000-0000188B0000}"/>
    <cellStyle name="Normal 57 5 4 5 7 3" xfId="27983" xr:uid="{00000000-0005-0000-0000-0000198B0000}"/>
    <cellStyle name="Normal 57 5 4 5 8" xfId="14853" xr:uid="{00000000-0005-0000-0000-00001A8B0000}"/>
    <cellStyle name="Normal 57 5 4 5 8 2" xfId="39727" xr:uid="{00000000-0005-0000-0000-00001B8B0000}"/>
    <cellStyle name="Normal 57 5 4 5 9" xfId="27286" xr:uid="{00000000-0005-0000-0000-00001C8B0000}"/>
    <cellStyle name="Normal 57 5 4 6" xfId="1010" xr:uid="{00000000-0005-0000-0000-00001D8B0000}"/>
    <cellStyle name="Normal 57 5 4 6 2" xfId="8997" xr:uid="{00000000-0005-0000-0000-00001E8B0000}"/>
    <cellStyle name="Normal 57 5 4 6 2 2" xfId="21440" xr:uid="{00000000-0005-0000-0000-00001F8B0000}"/>
    <cellStyle name="Normal 57 5 4 6 2 2 2" xfId="46314" xr:uid="{00000000-0005-0000-0000-0000208B0000}"/>
    <cellStyle name="Normal 57 5 4 6 2 3" xfId="33881" xr:uid="{00000000-0005-0000-0000-0000218B0000}"/>
    <cellStyle name="Normal 57 5 4 6 3" xfId="3979" xr:uid="{00000000-0005-0000-0000-0000228B0000}"/>
    <cellStyle name="Normal 57 5 4 6 3 2" xfId="16433" xr:uid="{00000000-0005-0000-0000-0000238B0000}"/>
    <cellStyle name="Normal 57 5 4 6 3 2 2" xfId="41307" xr:uid="{00000000-0005-0000-0000-0000248B0000}"/>
    <cellStyle name="Normal 57 5 4 6 3 3" xfId="28874" xr:uid="{00000000-0005-0000-0000-0000258B0000}"/>
    <cellStyle name="Normal 57 5 4 6 4" xfId="13810" xr:uid="{00000000-0005-0000-0000-0000268B0000}"/>
    <cellStyle name="Normal 57 5 4 6 4 2" xfId="38684" xr:uid="{00000000-0005-0000-0000-0000278B0000}"/>
    <cellStyle name="Normal 57 5 4 6 5" xfId="26243" xr:uid="{00000000-0005-0000-0000-0000288B0000}"/>
    <cellStyle name="Normal 57 5 4 7" xfId="5155" xr:uid="{00000000-0005-0000-0000-0000298B0000}"/>
    <cellStyle name="Normal 57 5 4 7 2" xfId="10171" xr:uid="{00000000-0005-0000-0000-00002A8B0000}"/>
    <cellStyle name="Normal 57 5 4 7 2 2" xfId="22614" xr:uid="{00000000-0005-0000-0000-00002B8B0000}"/>
    <cellStyle name="Normal 57 5 4 7 2 2 2" xfId="47488" xr:uid="{00000000-0005-0000-0000-00002C8B0000}"/>
    <cellStyle name="Normal 57 5 4 7 2 3" xfId="35055" xr:uid="{00000000-0005-0000-0000-00002D8B0000}"/>
    <cellStyle name="Normal 57 5 4 7 3" xfId="17607" xr:uid="{00000000-0005-0000-0000-00002E8B0000}"/>
    <cellStyle name="Normal 57 5 4 7 3 2" xfId="42481" xr:uid="{00000000-0005-0000-0000-00002F8B0000}"/>
    <cellStyle name="Normal 57 5 4 7 4" xfId="30048" xr:uid="{00000000-0005-0000-0000-0000308B0000}"/>
    <cellStyle name="Normal 57 5 4 8" xfId="7732" xr:uid="{00000000-0005-0000-0000-0000318B0000}"/>
    <cellStyle name="Normal 57 5 4 8 2" xfId="20178" xr:uid="{00000000-0005-0000-0000-0000328B0000}"/>
    <cellStyle name="Normal 57 5 4 8 2 2" xfId="45052" xr:uid="{00000000-0005-0000-0000-0000338B0000}"/>
    <cellStyle name="Normal 57 5 4 8 3" xfId="32619" xr:uid="{00000000-0005-0000-0000-0000348B0000}"/>
    <cellStyle name="Normal 57 5 4 9" xfId="11625" xr:uid="{00000000-0005-0000-0000-0000358B0000}"/>
    <cellStyle name="Normal 57 5 4 9 2" xfId="24059" xr:uid="{00000000-0005-0000-0000-0000368B0000}"/>
    <cellStyle name="Normal 57 5 4 9 2 2" xfId="48933" xr:uid="{00000000-0005-0000-0000-0000378B0000}"/>
    <cellStyle name="Normal 57 5 4 9 3" xfId="36500" xr:uid="{00000000-0005-0000-0000-0000388B0000}"/>
    <cellStyle name="Normal 57 5 4_Degree data" xfId="2489" xr:uid="{00000000-0005-0000-0000-0000398B0000}"/>
    <cellStyle name="Normal 57 5 5" xfId="356" xr:uid="{00000000-0005-0000-0000-00003A8B0000}"/>
    <cellStyle name="Normal 57 5 5 10" xfId="13172" xr:uid="{00000000-0005-0000-0000-00003B8B0000}"/>
    <cellStyle name="Normal 57 5 5 10 2" xfId="38046" xr:uid="{00000000-0005-0000-0000-00003C8B0000}"/>
    <cellStyle name="Normal 57 5 5 11" xfId="25605" xr:uid="{00000000-0005-0000-0000-00003D8B0000}"/>
    <cellStyle name="Normal 57 5 5 2" xfId="716" xr:uid="{00000000-0005-0000-0000-00003E8B0000}"/>
    <cellStyle name="Normal 57 5 5 2 2" xfId="1526" xr:uid="{00000000-0005-0000-0000-00003F8B0000}"/>
    <cellStyle name="Normal 57 5 5 2 2 2" xfId="9630" xr:uid="{00000000-0005-0000-0000-0000408B0000}"/>
    <cellStyle name="Normal 57 5 5 2 2 2 2" xfId="22073" xr:uid="{00000000-0005-0000-0000-0000418B0000}"/>
    <cellStyle name="Normal 57 5 5 2 2 2 2 2" xfId="46947" xr:uid="{00000000-0005-0000-0000-0000428B0000}"/>
    <cellStyle name="Normal 57 5 5 2 2 2 3" xfId="34514" xr:uid="{00000000-0005-0000-0000-0000438B0000}"/>
    <cellStyle name="Normal 57 5 5 2 2 3" xfId="4612" xr:uid="{00000000-0005-0000-0000-0000448B0000}"/>
    <cellStyle name="Normal 57 5 5 2 2 3 2" xfId="17066" xr:uid="{00000000-0005-0000-0000-0000458B0000}"/>
    <cellStyle name="Normal 57 5 5 2 2 3 2 2" xfId="41940" xr:uid="{00000000-0005-0000-0000-0000468B0000}"/>
    <cellStyle name="Normal 57 5 5 2 2 3 3" xfId="29507" xr:uid="{00000000-0005-0000-0000-0000478B0000}"/>
    <cellStyle name="Normal 57 5 5 2 2 4" xfId="14326" xr:uid="{00000000-0005-0000-0000-0000488B0000}"/>
    <cellStyle name="Normal 57 5 5 2 2 4 2" xfId="39200" xr:uid="{00000000-0005-0000-0000-0000498B0000}"/>
    <cellStyle name="Normal 57 5 5 2 2 5" xfId="26759" xr:uid="{00000000-0005-0000-0000-00004A8B0000}"/>
    <cellStyle name="Normal 57 5 5 2 3" xfId="5671" xr:uid="{00000000-0005-0000-0000-00004B8B0000}"/>
    <cellStyle name="Normal 57 5 5 2 3 2" xfId="10687" xr:uid="{00000000-0005-0000-0000-00004C8B0000}"/>
    <cellStyle name="Normal 57 5 5 2 3 2 2" xfId="23130" xr:uid="{00000000-0005-0000-0000-00004D8B0000}"/>
    <cellStyle name="Normal 57 5 5 2 3 2 2 2" xfId="48004" xr:uid="{00000000-0005-0000-0000-00004E8B0000}"/>
    <cellStyle name="Normal 57 5 5 2 3 2 3" xfId="35571" xr:uid="{00000000-0005-0000-0000-00004F8B0000}"/>
    <cellStyle name="Normal 57 5 5 2 3 3" xfId="18123" xr:uid="{00000000-0005-0000-0000-0000508B0000}"/>
    <cellStyle name="Normal 57 5 5 2 3 3 2" xfId="42997" xr:uid="{00000000-0005-0000-0000-0000518B0000}"/>
    <cellStyle name="Normal 57 5 5 2 3 4" xfId="30564" xr:uid="{00000000-0005-0000-0000-0000528B0000}"/>
    <cellStyle name="Normal 57 5 5 2 4" xfId="8746" xr:uid="{00000000-0005-0000-0000-0000538B0000}"/>
    <cellStyle name="Normal 57 5 5 2 4 2" xfId="21190" xr:uid="{00000000-0005-0000-0000-0000548B0000}"/>
    <cellStyle name="Normal 57 5 5 2 4 2 2" xfId="46064" xr:uid="{00000000-0005-0000-0000-0000558B0000}"/>
    <cellStyle name="Normal 57 5 5 2 4 3" xfId="33631" xr:uid="{00000000-0005-0000-0000-0000568B0000}"/>
    <cellStyle name="Normal 57 5 5 2 5" xfId="12141" xr:uid="{00000000-0005-0000-0000-0000578B0000}"/>
    <cellStyle name="Normal 57 5 5 2 5 2" xfId="24575" xr:uid="{00000000-0005-0000-0000-0000588B0000}"/>
    <cellStyle name="Normal 57 5 5 2 5 2 2" xfId="49449" xr:uid="{00000000-0005-0000-0000-0000598B0000}"/>
    <cellStyle name="Normal 57 5 5 2 5 3" xfId="37016" xr:uid="{00000000-0005-0000-0000-00005A8B0000}"/>
    <cellStyle name="Normal 57 5 5 2 6" xfId="7223" xr:uid="{00000000-0005-0000-0000-00005B8B0000}"/>
    <cellStyle name="Normal 57 5 5 2 6 2" xfId="19672" xr:uid="{00000000-0005-0000-0000-00005C8B0000}"/>
    <cellStyle name="Normal 57 5 5 2 6 2 2" xfId="44546" xr:uid="{00000000-0005-0000-0000-00005D8B0000}"/>
    <cellStyle name="Normal 57 5 5 2 6 3" xfId="32113" xr:uid="{00000000-0005-0000-0000-00005E8B0000}"/>
    <cellStyle name="Normal 57 5 5 2 7" xfId="3677" xr:uid="{00000000-0005-0000-0000-00005F8B0000}"/>
    <cellStyle name="Normal 57 5 5 2 7 2" xfId="16183" xr:uid="{00000000-0005-0000-0000-0000608B0000}"/>
    <cellStyle name="Normal 57 5 5 2 7 2 2" xfId="41057" xr:uid="{00000000-0005-0000-0000-0000618B0000}"/>
    <cellStyle name="Normal 57 5 5 2 7 3" xfId="28616" xr:uid="{00000000-0005-0000-0000-0000628B0000}"/>
    <cellStyle name="Normal 57 5 5 2 8" xfId="13519" xr:uid="{00000000-0005-0000-0000-0000638B0000}"/>
    <cellStyle name="Normal 57 5 5 2 8 2" xfId="38393" xr:uid="{00000000-0005-0000-0000-0000648B0000}"/>
    <cellStyle name="Normal 57 5 5 2 9" xfId="25952" xr:uid="{00000000-0005-0000-0000-0000658B0000}"/>
    <cellStyle name="Normal 57 5 5 3" xfId="1874" xr:uid="{00000000-0005-0000-0000-0000668B0000}"/>
    <cellStyle name="Normal 57 5 5 3 2" xfId="4901" xr:uid="{00000000-0005-0000-0000-0000678B0000}"/>
    <cellStyle name="Normal 57 5 5 3 2 2" xfId="9918" xr:uid="{00000000-0005-0000-0000-0000688B0000}"/>
    <cellStyle name="Normal 57 5 5 3 2 2 2" xfId="22361" xr:uid="{00000000-0005-0000-0000-0000698B0000}"/>
    <cellStyle name="Normal 57 5 5 3 2 2 2 2" xfId="47235" xr:uid="{00000000-0005-0000-0000-00006A8B0000}"/>
    <cellStyle name="Normal 57 5 5 3 2 2 3" xfId="34802" xr:uid="{00000000-0005-0000-0000-00006B8B0000}"/>
    <cellStyle name="Normal 57 5 5 3 2 3" xfId="17354" xr:uid="{00000000-0005-0000-0000-00006C8B0000}"/>
    <cellStyle name="Normal 57 5 5 3 2 3 2" xfId="42228" xr:uid="{00000000-0005-0000-0000-00006D8B0000}"/>
    <cellStyle name="Normal 57 5 5 3 2 4" xfId="29795" xr:uid="{00000000-0005-0000-0000-00006E8B0000}"/>
    <cellStyle name="Normal 57 5 5 3 3" xfId="6020" xr:uid="{00000000-0005-0000-0000-00006F8B0000}"/>
    <cellStyle name="Normal 57 5 5 3 3 2" xfId="11035" xr:uid="{00000000-0005-0000-0000-0000708B0000}"/>
    <cellStyle name="Normal 57 5 5 3 3 2 2" xfId="23478" xr:uid="{00000000-0005-0000-0000-0000718B0000}"/>
    <cellStyle name="Normal 57 5 5 3 3 2 2 2" xfId="48352" xr:uid="{00000000-0005-0000-0000-0000728B0000}"/>
    <cellStyle name="Normal 57 5 5 3 3 2 3" xfId="35919" xr:uid="{00000000-0005-0000-0000-0000738B0000}"/>
    <cellStyle name="Normal 57 5 5 3 3 3" xfId="18471" xr:uid="{00000000-0005-0000-0000-0000748B0000}"/>
    <cellStyle name="Normal 57 5 5 3 3 3 2" xfId="43345" xr:uid="{00000000-0005-0000-0000-0000758B0000}"/>
    <cellStyle name="Normal 57 5 5 3 3 4" xfId="30912" xr:uid="{00000000-0005-0000-0000-0000768B0000}"/>
    <cellStyle name="Normal 57 5 5 3 4" xfId="8325" xr:uid="{00000000-0005-0000-0000-0000778B0000}"/>
    <cellStyle name="Normal 57 5 5 3 4 2" xfId="20769" xr:uid="{00000000-0005-0000-0000-0000788B0000}"/>
    <cellStyle name="Normal 57 5 5 3 4 2 2" xfId="45643" xr:uid="{00000000-0005-0000-0000-0000798B0000}"/>
    <cellStyle name="Normal 57 5 5 3 4 3" xfId="33210" xr:uid="{00000000-0005-0000-0000-00007A8B0000}"/>
    <cellStyle name="Normal 57 5 5 3 5" xfId="12489" xr:uid="{00000000-0005-0000-0000-00007B8B0000}"/>
    <cellStyle name="Normal 57 5 5 3 5 2" xfId="24923" xr:uid="{00000000-0005-0000-0000-00007C8B0000}"/>
    <cellStyle name="Normal 57 5 5 3 5 2 2" xfId="49797" xr:uid="{00000000-0005-0000-0000-00007D8B0000}"/>
    <cellStyle name="Normal 57 5 5 3 5 3" xfId="37364" xr:uid="{00000000-0005-0000-0000-00007E8B0000}"/>
    <cellStyle name="Normal 57 5 5 3 6" xfId="7512" xr:uid="{00000000-0005-0000-0000-00007F8B0000}"/>
    <cellStyle name="Normal 57 5 5 3 6 2" xfId="19960" xr:uid="{00000000-0005-0000-0000-0000808B0000}"/>
    <cellStyle name="Normal 57 5 5 3 6 2 2" xfId="44834" xr:uid="{00000000-0005-0000-0000-0000818B0000}"/>
    <cellStyle name="Normal 57 5 5 3 6 3" xfId="32401" xr:uid="{00000000-0005-0000-0000-0000828B0000}"/>
    <cellStyle name="Normal 57 5 5 3 7" xfId="3256" xr:uid="{00000000-0005-0000-0000-0000838B0000}"/>
    <cellStyle name="Normal 57 5 5 3 7 2" xfId="15762" xr:uid="{00000000-0005-0000-0000-0000848B0000}"/>
    <cellStyle name="Normal 57 5 5 3 7 2 2" xfId="40636" xr:uid="{00000000-0005-0000-0000-0000858B0000}"/>
    <cellStyle name="Normal 57 5 5 3 7 3" xfId="28195" xr:uid="{00000000-0005-0000-0000-0000868B0000}"/>
    <cellStyle name="Normal 57 5 5 3 8" xfId="14674" xr:uid="{00000000-0005-0000-0000-0000878B0000}"/>
    <cellStyle name="Normal 57 5 5 3 8 2" xfId="39548" xr:uid="{00000000-0005-0000-0000-0000888B0000}"/>
    <cellStyle name="Normal 57 5 5 3 9" xfId="27107" xr:uid="{00000000-0005-0000-0000-0000898B0000}"/>
    <cellStyle name="Normal 57 5 5 4" xfId="2274" xr:uid="{00000000-0005-0000-0000-00008A8B0000}"/>
    <cellStyle name="Normal 57 5 5 4 2" xfId="6299" xr:uid="{00000000-0005-0000-0000-00008B8B0000}"/>
    <cellStyle name="Normal 57 5 5 4 2 2" xfId="11314" xr:uid="{00000000-0005-0000-0000-00008C8B0000}"/>
    <cellStyle name="Normal 57 5 5 4 2 2 2" xfId="23757" xr:uid="{00000000-0005-0000-0000-00008D8B0000}"/>
    <cellStyle name="Normal 57 5 5 4 2 2 2 2" xfId="48631" xr:uid="{00000000-0005-0000-0000-00008E8B0000}"/>
    <cellStyle name="Normal 57 5 5 4 2 2 3" xfId="36198" xr:uid="{00000000-0005-0000-0000-00008F8B0000}"/>
    <cellStyle name="Normal 57 5 5 4 2 3" xfId="18750" xr:uid="{00000000-0005-0000-0000-0000908B0000}"/>
    <cellStyle name="Normal 57 5 5 4 2 3 2" xfId="43624" xr:uid="{00000000-0005-0000-0000-0000918B0000}"/>
    <cellStyle name="Normal 57 5 5 4 2 4" xfId="31191" xr:uid="{00000000-0005-0000-0000-0000928B0000}"/>
    <cellStyle name="Normal 57 5 5 4 3" xfId="12768" xr:uid="{00000000-0005-0000-0000-0000938B0000}"/>
    <cellStyle name="Normal 57 5 5 4 3 2" xfId="25202" xr:uid="{00000000-0005-0000-0000-0000948B0000}"/>
    <cellStyle name="Normal 57 5 5 4 3 2 2" xfId="50076" xr:uid="{00000000-0005-0000-0000-0000958B0000}"/>
    <cellStyle name="Normal 57 5 5 4 3 3" xfId="37643" xr:uid="{00000000-0005-0000-0000-0000968B0000}"/>
    <cellStyle name="Normal 57 5 5 4 4" xfId="9209" xr:uid="{00000000-0005-0000-0000-0000978B0000}"/>
    <cellStyle name="Normal 57 5 5 4 4 2" xfId="21652" xr:uid="{00000000-0005-0000-0000-0000988B0000}"/>
    <cellStyle name="Normal 57 5 5 4 4 2 2" xfId="46526" xr:uid="{00000000-0005-0000-0000-0000998B0000}"/>
    <cellStyle name="Normal 57 5 5 4 4 3" xfId="34093" xr:uid="{00000000-0005-0000-0000-00009A8B0000}"/>
    <cellStyle name="Normal 57 5 5 4 5" xfId="4191" xr:uid="{00000000-0005-0000-0000-00009B8B0000}"/>
    <cellStyle name="Normal 57 5 5 4 5 2" xfId="16645" xr:uid="{00000000-0005-0000-0000-00009C8B0000}"/>
    <cellStyle name="Normal 57 5 5 4 5 2 2" xfId="41519" xr:uid="{00000000-0005-0000-0000-00009D8B0000}"/>
    <cellStyle name="Normal 57 5 5 4 5 3" xfId="29086" xr:uid="{00000000-0005-0000-0000-00009E8B0000}"/>
    <cellStyle name="Normal 57 5 5 4 6" xfId="14953" xr:uid="{00000000-0005-0000-0000-00009F8B0000}"/>
    <cellStyle name="Normal 57 5 5 4 6 2" xfId="39827" xr:uid="{00000000-0005-0000-0000-0000A08B0000}"/>
    <cellStyle name="Normal 57 5 5 4 7" xfId="27386" xr:uid="{00000000-0005-0000-0000-0000A18B0000}"/>
    <cellStyle name="Normal 57 5 5 5" xfId="1110" xr:uid="{00000000-0005-0000-0000-0000A28B0000}"/>
    <cellStyle name="Normal 57 5 5 5 2" xfId="10271" xr:uid="{00000000-0005-0000-0000-0000A38B0000}"/>
    <cellStyle name="Normal 57 5 5 5 2 2" xfId="22714" xr:uid="{00000000-0005-0000-0000-0000A48B0000}"/>
    <cellStyle name="Normal 57 5 5 5 2 2 2" xfId="47588" xr:uid="{00000000-0005-0000-0000-0000A58B0000}"/>
    <cellStyle name="Normal 57 5 5 5 2 3" xfId="35155" xr:uid="{00000000-0005-0000-0000-0000A68B0000}"/>
    <cellStyle name="Normal 57 5 5 5 3" xfId="5255" xr:uid="{00000000-0005-0000-0000-0000A78B0000}"/>
    <cellStyle name="Normal 57 5 5 5 3 2" xfId="17707" xr:uid="{00000000-0005-0000-0000-0000A88B0000}"/>
    <cellStyle name="Normal 57 5 5 5 3 2 2" xfId="42581" xr:uid="{00000000-0005-0000-0000-0000A98B0000}"/>
    <cellStyle name="Normal 57 5 5 5 3 3" xfId="30148" xr:uid="{00000000-0005-0000-0000-0000AA8B0000}"/>
    <cellStyle name="Normal 57 5 5 5 4" xfId="13910" xr:uid="{00000000-0005-0000-0000-0000AB8B0000}"/>
    <cellStyle name="Normal 57 5 5 5 4 2" xfId="38784" xr:uid="{00000000-0005-0000-0000-0000AC8B0000}"/>
    <cellStyle name="Normal 57 5 5 5 5" xfId="26343" xr:uid="{00000000-0005-0000-0000-0000AD8B0000}"/>
    <cellStyle name="Normal 57 5 5 6" xfId="7832" xr:uid="{00000000-0005-0000-0000-0000AE8B0000}"/>
    <cellStyle name="Normal 57 5 5 6 2" xfId="20278" xr:uid="{00000000-0005-0000-0000-0000AF8B0000}"/>
    <cellStyle name="Normal 57 5 5 6 2 2" xfId="45152" xr:uid="{00000000-0005-0000-0000-0000B08B0000}"/>
    <cellStyle name="Normal 57 5 5 6 3" xfId="32719" xr:uid="{00000000-0005-0000-0000-0000B18B0000}"/>
    <cellStyle name="Normal 57 5 5 7" xfId="11725" xr:uid="{00000000-0005-0000-0000-0000B28B0000}"/>
    <cellStyle name="Normal 57 5 5 7 2" xfId="24159" xr:uid="{00000000-0005-0000-0000-0000B38B0000}"/>
    <cellStyle name="Normal 57 5 5 7 2 2" xfId="49033" xr:uid="{00000000-0005-0000-0000-0000B48B0000}"/>
    <cellStyle name="Normal 57 5 5 7 3" xfId="36600" xr:uid="{00000000-0005-0000-0000-0000B58B0000}"/>
    <cellStyle name="Normal 57 5 5 8" xfId="6802" xr:uid="{00000000-0005-0000-0000-0000B68B0000}"/>
    <cellStyle name="Normal 57 5 5 8 2" xfId="19251" xr:uid="{00000000-0005-0000-0000-0000B78B0000}"/>
    <cellStyle name="Normal 57 5 5 8 2 2" xfId="44125" xr:uid="{00000000-0005-0000-0000-0000B88B0000}"/>
    <cellStyle name="Normal 57 5 5 8 3" xfId="31692" xr:uid="{00000000-0005-0000-0000-0000B98B0000}"/>
    <cellStyle name="Normal 57 5 5 9" xfId="2753" xr:uid="{00000000-0005-0000-0000-0000BA8B0000}"/>
    <cellStyle name="Normal 57 5 5 9 2" xfId="15271" xr:uid="{00000000-0005-0000-0000-0000BB8B0000}"/>
    <cellStyle name="Normal 57 5 5 9 2 2" xfId="40145" xr:uid="{00000000-0005-0000-0000-0000BC8B0000}"/>
    <cellStyle name="Normal 57 5 5 9 3" xfId="27704" xr:uid="{00000000-0005-0000-0000-0000BD8B0000}"/>
    <cellStyle name="Normal 57 5 5_Degree data" xfId="2491" xr:uid="{00000000-0005-0000-0000-0000BE8B0000}"/>
    <cellStyle name="Normal 57 5 6" xfId="234" xr:uid="{00000000-0005-0000-0000-0000BF8B0000}"/>
    <cellStyle name="Normal 57 5 6 10" xfId="13060" xr:uid="{00000000-0005-0000-0000-0000C08B0000}"/>
    <cellStyle name="Normal 57 5 6 10 2" xfId="37934" xr:uid="{00000000-0005-0000-0000-0000C18B0000}"/>
    <cellStyle name="Normal 57 5 6 11" xfId="25493" xr:uid="{00000000-0005-0000-0000-0000C28B0000}"/>
    <cellStyle name="Normal 57 5 6 2" xfId="598" xr:uid="{00000000-0005-0000-0000-0000C38B0000}"/>
    <cellStyle name="Normal 57 5 6 2 2" xfId="1527" xr:uid="{00000000-0005-0000-0000-0000C48B0000}"/>
    <cellStyle name="Normal 57 5 6 2 2 2" xfId="9631" xr:uid="{00000000-0005-0000-0000-0000C58B0000}"/>
    <cellStyle name="Normal 57 5 6 2 2 2 2" xfId="22074" xr:uid="{00000000-0005-0000-0000-0000C68B0000}"/>
    <cellStyle name="Normal 57 5 6 2 2 2 2 2" xfId="46948" xr:uid="{00000000-0005-0000-0000-0000C78B0000}"/>
    <cellStyle name="Normal 57 5 6 2 2 2 3" xfId="34515" xr:uid="{00000000-0005-0000-0000-0000C88B0000}"/>
    <cellStyle name="Normal 57 5 6 2 2 3" xfId="4613" xr:uid="{00000000-0005-0000-0000-0000C98B0000}"/>
    <cellStyle name="Normal 57 5 6 2 2 3 2" xfId="17067" xr:uid="{00000000-0005-0000-0000-0000CA8B0000}"/>
    <cellStyle name="Normal 57 5 6 2 2 3 2 2" xfId="41941" xr:uid="{00000000-0005-0000-0000-0000CB8B0000}"/>
    <cellStyle name="Normal 57 5 6 2 2 3 3" xfId="29508" xr:uid="{00000000-0005-0000-0000-0000CC8B0000}"/>
    <cellStyle name="Normal 57 5 6 2 2 4" xfId="14327" xr:uid="{00000000-0005-0000-0000-0000CD8B0000}"/>
    <cellStyle name="Normal 57 5 6 2 2 4 2" xfId="39201" xr:uid="{00000000-0005-0000-0000-0000CE8B0000}"/>
    <cellStyle name="Normal 57 5 6 2 2 5" xfId="26760" xr:uid="{00000000-0005-0000-0000-0000CF8B0000}"/>
    <cellStyle name="Normal 57 5 6 2 3" xfId="5672" xr:uid="{00000000-0005-0000-0000-0000D08B0000}"/>
    <cellStyle name="Normal 57 5 6 2 3 2" xfId="10688" xr:uid="{00000000-0005-0000-0000-0000D18B0000}"/>
    <cellStyle name="Normal 57 5 6 2 3 2 2" xfId="23131" xr:uid="{00000000-0005-0000-0000-0000D28B0000}"/>
    <cellStyle name="Normal 57 5 6 2 3 2 2 2" xfId="48005" xr:uid="{00000000-0005-0000-0000-0000D38B0000}"/>
    <cellStyle name="Normal 57 5 6 2 3 2 3" xfId="35572" xr:uid="{00000000-0005-0000-0000-0000D48B0000}"/>
    <cellStyle name="Normal 57 5 6 2 3 3" xfId="18124" xr:uid="{00000000-0005-0000-0000-0000D58B0000}"/>
    <cellStyle name="Normal 57 5 6 2 3 3 2" xfId="42998" xr:uid="{00000000-0005-0000-0000-0000D68B0000}"/>
    <cellStyle name="Normal 57 5 6 2 3 4" xfId="30565" xr:uid="{00000000-0005-0000-0000-0000D78B0000}"/>
    <cellStyle name="Normal 57 5 6 2 4" xfId="8747" xr:uid="{00000000-0005-0000-0000-0000D88B0000}"/>
    <cellStyle name="Normal 57 5 6 2 4 2" xfId="21191" xr:uid="{00000000-0005-0000-0000-0000D98B0000}"/>
    <cellStyle name="Normal 57 5 6 2 4 2 2" xfId="46065" xr:uid="{00000000-0005-0000-0000-0000DA8B0000}"/>
    <cellStyle name="Normal 57 5 6 2 4 3" xfId="33632" xr:uid="{00000000-0005-0000-0000-0000DB8B0000}"/>
    <cellStyle name="Normal 57 5 6 2 5" xfId="12142" xr:uid="{00000000-0005-0000-0000-0000DC8B0000}"/>
    <cellStyle name="Normal 57 5 6 2 5 2" xfId="24576" xr:uid="{00000000-0005-0000-0000-0000DD8B0000}"/>
    <cellStyle name="Normal 57 5 6 2 5 2 2" xfId="49450" xr:uid="{00000000-0005-0000-0000-0000DE8B0000}"/>
    <cellStyle name="Normal 57 5 6 2 5 3" xfId="37017" xr:uid="{00000000-0005-0000-0000-0000DF8B0000}"/>
    <cellStyle name="Normal 57 5 6 2 6" xfId="7224" xr:uid="{00000000-0005-0000-0000-0000E08B0000}"/>
    <cellStyle name="Normal 57 5 6 2 6 2" xfId="19673" xr:uid="{00000000-0005-0000-0000-0000E18B0000}"/>
    <cellStyle name="Normal 57 5 6 2 6 2 2" xfId="44547" xr:uid="{00000000-0005-0000-0000-0000E28B0000}"/>
    <cellStyle name="Normal 57 5 6 2 6 3" xfId="32114" xr:uid="{00000000-0005-0000-0000-0000E38B0000}"/>
    <cellStyle name="Normal 57 5 6 2 7" xfId="3678" xr:uid="{00000000-0005-0000-0000-0000E48B0000}"/>
    <cellStyle name="Normal 57 5 6 2 7 2" xfId="16184" xr:uid="{00000000-0005-0000-0000-0000E58B0000}"/>
    <cellStyle name="Normal 57 5 6 2 7 2 2" xfId="41058" xr:uid="{00000000-0005-0000-0000-0000E68B0000}"/>
    <cellStyle name="Normal 57 5 6 2 7 3" xfId="28617" xr:uid="{00000000-0005-0000-0000-0000E78B0000}"/>
    <cellStyle name="Normal 57 5 6 2 8" xfId="13407" xr:uid="{00000000-0005-0000-0000-0000E88B0000}"/>
    <cellStyle name="Normal 57 5 6 2 8 2" xfId="38281" xr:uid="{00000000-0005-0000-0000-0000E98B0000}"/>
    <cellStyle name="Normal 57 5 6 2 9" xfId="25840" xr:uid="{00000000-0005-0000-0000-0000EA8B0000}"/>
    <cellStyle name="Normal 57 5 6 3" xfId="1875" xr:uid="{00000000-0005-0000-0000-0000EB8B0000}"/>
    <cellStyle name="Normal 57 5 6 3 2" xfId="4789" xr:uid="{00000000-0005-0000-0000-0000EC8B0000}"/>
    <cellStyle name="Normal 57 5 6 3 2 2" xfId="9806" xr:uid="{00000000-0005-0000-0000-0000ED8B0000}"/>
    <cellStyle name="Normal 57 5 6 3 2 2 2" xfId="22249" xr:uid="{00000000-0005-0000-0000-0000EE8B0000}"/>
    <cellStyle name="Normal 57 5 6 3 2 2 2 2" xfId="47123" xr:uid="{00000000-0005-0000-0000-0000EF8B0000}"/>
    <cellStyle name="Normal 57 5 6 3 2 2 3" xfId="34690" xr:uid="{00000000-0005-0000-0000-0000F08B0000}"/>
    <cellStyle name="Normal 57 5 6 3 2 3" xfId="17242" xr:uid="{00000000-0005-0000-0000-0000F18B0000}"/>
    <cellStyle name="Normal 57 5 6 3 2 3 2" xfId="42116" xr:uid="{00000000-0005-0000-0000-0000F28B0000}"/>
    <cellStyle name="Normal 57 5 6 3 2 4" xfId="29683" xr:uid="{00000000-0005-0000-0000-0000F38B0000}"/>
    <cellStyle name="Normal 57 5 6 3 3" xfId="6021" xr:uid="{00000000-0005-0000-0000-0000F48B0000}"/>
    <cellStyle name="Normal 57 5 6 3 3 2" xfId="11036" xr:uid="{00000000-0005-0000-0000-0000F58B0000}"/>
    <cellStyle name="Normal 57 5 6 3 3 2 2" xfId="23479" xr:uid="{00000000-0005-0000-0000-0000F68B0000}"/>
    <cellStyle name="Normal 57 5 6 3 3 2 2 2" xfId="48353" xr:uid="{00000000-0005-0000-0000-0000F78B0000}"/>
    <cellStyle name="Normal 57 5 6 3 3 2 3" xfId="35920" xr:uid="{00000000-0005-0000-0000-0000F88B0000}"/>
    <cellStyle name="Normal 57 5 6 3 3 3" xfId="18472" xr:uid="{00000000-0005-0000-0000-0000F98B0000}"/>
    <cellStyle name="Normal 57 5 6 3 3 3 2" xfId="43346" xr:uid="{00000000-0005-0000-0000-0000FA8B0000}"/>
    <cellStyle name="Normal 57 5 6 3 3 4" xfId="30913" xr:uid="{00000000-0005-0000-0000-0000FB8B0000}"/>
    <cellStyle name="Normal 57 5 6 3 4" xfId="8877" xr:uid="{00000000-0005-0000-0000-0000FC8B0000}"/>
    <cellStyle name="Normal 57 5 6 3 4 2" xfId="21320" xr:uid="{00000000-0005-0000-0000-0000FD8B0000}"/>
    <cellStyle name="Normal 57 5 6 3 4 2 2" xfId="46194" xr:uid="{00000000-0005-0000-0000-0000FE8B0000}"/>
    <cellStyle name="Normal 57 5 6 3 4 3" xfId="33761" xr:uid="{00000000-0005-0000-0000-0000FF8B0000}"/>
    <cellStyle name="Normal 57 5 6 3 5" xfId="12490" xr:uid="{00000000-0005-0000-0000-0000008C0000}"/>
    <cellStyle name="Normal 57 5 6 3 5 2" xfId="24924" xr:uid="{00000000-0005-0000-0000-0000018C0000}"/>
    <cellStyle name="Normal 57 5 6 3 5 2 2" xfId="49798" xr:uid="{00000000-0005-0000-0000-0000028C0000}"/>
    <cellStyle name="Normal 57 5 6 3 5 3" xfId="37365" xr:uid="{00000000-0005-0000-0000-0000038C0000}"/>
    <cellStyle name="Normal 57 5 6 3 6" xfId="7400" xr:uid="{00000000-0005-0000-0000-0000048C0000}"/>
    <cellStyle name="Normal 57 5 6 3 6 2" xfId="19848" xr:uid="{00000000-0005-0000-0000-0000058C0000}"/>
    <cellStyle name="Normal 57 5 6 3 6 2 2" xfId="44722" xr:uid="{00000000-0005-0000-0000-0000068C0000}"/>
    <cellStyle name="Normal 57 5 6 3 6 3" xfId="32289" xr:uid="{00000000-0005-0000-0000-0000078C0000}"/>
    <cellStyle name="Normal 57 5 6 3 7" xfId="3859" xr:uid="{00000000-0005-0000-0000-0000088C0000}"/>
    <cellStyle name="Normal 57 5 6 3 7 2" xfId="16313" xr:uid="{00000000-0005-0000-0000-0000098C0000}"/>
    <cellStyle name="Normal 57 5 6 3 7 2 2" xfId="41187" xr:uid="{00000000-0005-0000-0000-00000A8C0000}"/>
    <cellStyle name="Normal 57 5 6 3 7 3" xfId="28754" xr:uid="{00000000-0005-0000-0000-00000B8C0000}"/>
    <cellStyle name="Normal 57 5 6 3 8" xfId="14675" xr:uid="{00000000-0005-0000-0000-00000C8C0000}"/>
    <cellStyle name="Normal 57 5 6 3 8 2" xfId="39549" xr:uid="{00000000-0005-0000-0000-00000D8C0000}"/>
    <cellStyle name="Normal 57 5 6 3 9" xfId="27108" xr:uid="{00000000-0005-0000-0000-00000E8C0000}"/>
    <cellStyle name="Normal 57 5 6 4" xfId="2152" xr:uid="{00000000-0005-0000-0000-00000F8C0000}"/>
    <cellStyle name="Normal 57 5 6 4 2" xfId="6187" xr:uid="{00000000-0005-0000-0000-0000108C0000}"/>
    <cellStyle name="Normal 57 5 6 4 2 2" xfId="11202" xr:uid="{00000000-0005-0000-0000-0000118C0000}"/>
    <cellStyle name="Normal 57 5 6 4 2 2 2" xfId="23645" xr:uid="{00000000-0005-0000-0000-0000128C0000}"/>
    <cellStyle name="Normal 57 5 6 4 2 2 2 2" xfId="48519" xr:uid="{00000000-0005-0000-0000-0000138C0000}"/>
    <cellStyle name="Normal 57 5 6 4 2 2 3" xfId="36086" xr:uid="{00000000-0005-0000-0000-0000148C0000}"/>
    <cellStyle name="Normal 57 5 6 4 2 3" xfId="18638" xr:uid="{00000000-0005-0000-0000-0000158C0000}"/>
    <cellStyle name="Normal 57 5 6 4 2 3 2" xfId="43512" xr:uid="{00000000-0005-0000-0000-0000168C0000}"/>
    <cellStyle name="Normal 57 5 6 4 2 4" xfId="31079" xr:uid="{00000000-0005-0000-0000-0000178C0000}"/>
    <cellStyle name="Normal 57 5 6 4 3" xfId="12656" xr:uid="{00000000-0005-0000-0000-0000188C0000}"/>
    <cellStyle name="Normal 57 5 6 4 3 2" xfId="25090" xr:uid="{00000000-0005-0000-0000-0000198C0000}"/>
    <cellStyle name="Normal 57 5 6 4 3 2 2" xfId="49964" xr:uid="{00000000-0005-0000-0000-00001A8C0000}"/>
    <cellStyle name="Normal 57 5 6 4 3 3" xfId="37531" xr:uid="{00000000-0005-0000-0000-00001B8C0000}"/>
    <cellStyle name="Normal 57 5 6 4 4" xfId="9097" xr:uid="{00000000-0005-0000-0000-00001C8C0000}"/>
    <cellStyle name="Normal 57 5 6 4 4 2" xfId="21540" xr:uid="{00000000-0005-0000-0000-00001D8C0000}"/>
    <cellStyle name="Normal 57 5 6 4 4 2 2" xfId="46414" xr:uid="{00000000-0005-0000-0000-00001E8C0000}"/>
    <cellStyle name="Normal 57 5 6 4 4 3" xfId="33981" xr:uid="{00000000-0005-0000-0000-00001F8C0000}"/>
    <cellStyle name="Normal 57 5 6 4 5" xfId="4079" xr:uid="{00000000-0005-0000-0000-0000208C0000}"/>
    <cellStyle name="Normal 57 5 6 4 5 2" xfId="16533" xr:uid="{00000000-0005-0000-0000-0000218C0000}"/>
    <cellStyle name="Normal 57 5 6 4 5 2 2" xfId="41407" xr:uid="{00000000-0005-0000-0000-0000228C0000}"/>
    <cellStyle name="Normal 57 5 6 4 5 3" xfId="28974" xr:uid="{00000000-0005-0000-0000-0000238C0000}"/>
    <cellStyle name="Normal 57 5 6 4 6" xfId="14841" xr:uid="{00000000-0005-0000-0000-0000248C0000}"/>
    <cellStyle name="Normal 57 5 6 4 6 2" xfId="39715" xr:uid="{00000000-0005-0000-0000-0000258C0000}"/>
    <cellStyle name="Normal 57 5 6 4 7" xfId="27274" xr:uid="{00000000-0005-0000-0000-0000268C0000}"/>
    <cellStyle name="Normal 57 5 6 5" xfId="998" xr:uid="{00000000-0005-0000-0000-0000278C0000}"/>
    <cellStyle name="Normal 57 5 6 5 2" xfId="10157" xr:uid="{00000000-0005-0000-0000-0000288C0000}"/>
    <cellStyle name="Normal 57 5 6 5 2 2" xfId="22600" xr:uid="{00000000-0005-0000-0000-0000298C0000}"/>
    <cellStyle name="Normal 57 5 6 5 2 2 2" xfId="47474" xr:uid="{00000000-0005-0000-0000-00002A8C0000}"/>
    <cellStyle name="Normal 57 5 6 5 2 3" xfId="35041" xr:uid="{00000000-0005-0000-0000-00002B8C0000}"/>
    <cellStyle name="Normal 57 5 6 5 3" xfId="5141" xr:uid="{00000000-0005-0000-0000-00002C8C0000}"/>
    <cellStyle name="Normal 57 5 6 5 3 2" xfId="17593" xr:uid="{00000000-0005-0000-0000-00002D8C0000}"/>
    <cellStyle name="Normal 57 5 6 5 3 2 2" xfId="42467" xr:uid="{00000000-0005-0000-0000-00002E8C0000}"/>
    <cellStyle name="Normal 57 5 6 5 3 3" xfId="30034" xr:uid="{00000000-0005-0000-0000-00002F8C0000}"/>
    <cellStyle name="Normal 57 5 6 5 4" xfId="13798" xr:uid="{00000000-0005-0000-0000-0000308C0000}"/>
    <cellStyle name="Normal 57 5 6 5 4 2" xfId="38672" xr:uid="{00000000-0005-0000-0000-0000318C0000}"/>
    <cellStyle name="Normal 57 5 6 5 5" xfId="26231" xr:uid="{00000000-0005-0000-0000-0000328C0000}"/>
    <cellStyle name="Normal 57 5 6 6" xfId="8213" xr:uid="{00000000-0005-0000-0000-0000338C0000}"/>
    <cellStyle name="Normal 57 5 6 6 2" xfId="20657" xr:uid="{00000000-0005-0000-0000-0000348C0000}"/>
    <cellStyle name="Normal 57 5 6 6 2 2" xfId="45531" xr:uid="{00000000-0005-0000-0000-0000358C0000}"/>
    <cellStyle name="Normal 57 5 6 6 3" xfId="33098" xr:uid="{00000000-0005-0000-0000-0000368C0000}"/>
    <cellStyle name="Normal 57 5 6 7" xfId="11613" xr:uid="{00000000-0005-0000-0000-0000378C0000}"/>
    <cellStyle name="Normal 57 5 6 7 2" xfId="24047" xr:uid="{00000000-0005-0000-0000-0000388C0000}"/>
    <cellStyle name="Normal 57 5 6 7 2 2" xfId="48921" xr:uid="{00000000-0005-0000-0000-0000398C0000}"/>
    <cellStyle name="Normal 57 5 6 7 3" xfId="36488" xr:uid="{00000000-0005-0000-0000-00003A8C0000}"/>
    <cellStyle name="Normal 57 5 6 8" xfId="6690" xr:uid="{00000000-0005-0000-0000-00003B8C0000}"/>
    <cellStyle name="Normal 57 5 6 8 2" xfId="19139" xr:uid="{00000000-0005-0000-0000-00003C8C0000}"/>
    <cellStyle name="Normal 57 5 6 8 2 2" xfId="44013" xr:uid="{00000000-0005-0000-0000-00003D8C0000}"/>
    <cellStyle name="Normal 57 5 6 8 3" xfId="31580" xr:uid="{00000000-0005-0000-0000-00003E8C0000}"/>
    <cellStyle name="Normal 57 5 6 9" xfId="3144" xr:uid="{00000000-0005-0000-0000-00003F8C0000}"/>
    <cellStyle name="Normal 57 5 6 9 2" xfId="15650" xr:uid="{00000000-0005-0000-0000-0000408C0000}"/>
    <cellStyle name="Normal 57 5 6 9 2 2" xfId="40524" xr:uid="{00000000-0005-0000-0000-0000418C0000}"/>
    <cellStyle name="Normal 57 5 6 9 3" xfId="28083" xr:uid="{00000000-0005-0000-0000-0000428C0000}"/>
    <cellStyle name="Normal 57 5 6_Degree data" xfId="2492" xr:uid="{00000000-0005-0000-0000-0000438C0000}"/>
    <cellStyle name="Normal 57 5 7" xfId="552" xr:uid="{00000000-0005-0000-0000-0000448C0000}"/>
    <cellStyle name="Normal 57 5 7 2" xfId="1518" xr:uid="{00000000-0005-0000-0000-0000458C0000}"/>
    <cellStyle name="Normal 57 5 7 2 2" xfId="9622" xr:uid="{00000000-0005-0000-0000-0000468C0000}"/>
    <cellStyle name="Normal 57 5 7 2 2 2" xfId="22065" xr:uid="{00000000-0005-0000-0000-0000478C0000}"/>
    <cellStyle name="Normal 57 5 7 2 2 2 2" xfId="46939" xr:uid="{00000000-0005-0000-0000-0000488C0000}"/>
    <cellStyle name="Normal 57 5 7 2 2 3" xfId="34506" xr:uid="{00000000-0005-0000-0000-0000498C0000}"/>
    <cellStyle name="Normal 57 5 7 2 3" xfId="4604" xr:uid="{00000000-0005-0000-0000-00004A8C0000}"/>
    <cellStyle name="Normal 57 5 7 2 3 2" xfId="17058" xr:uid="{00000000-0005-0000-0000-00004B8C0000}"/>
    <cellStyle name="Normal 57 5 7 2 3 2 2" xfId="41932" xr:uid="{00000000-0005-0000-0000-00004C8C0000}"/>
    <cellStyle name="Normal 57 5 7 2 3 3" xfId="29499" xr:uid="{00000000-0005-0000-0000-00004D8C0000}"/>
    <cellStyle name="Normal 57 5 7 2 4" xfId="14318" xr:uid="{00000000-0005-0000-0000-00004E8C0000}"/>
    <cellStyle name="Normal 57 5 7 2 4 2" xfId="39192" xr:uid="{00000000-0005-0000-0000-00004F8C0000}"/>
    <cellStyle name="Normal 57 5 7 2 5" xfId="26751" xr:uid="{00000000-0005-0000-0000-0000508C0000}"/>
    <cellStyle name="Normal 57 5 7 3" xfId="5663" xr:uid="{00000000-0005-0000-0000-0000518C0000}"/>
    <cellStyle name="Normal 57 5 7 3 2" xfId="10679" xr:uid="{00000000-0005-0000-0000-0000528C0000}"/>
    <cellStyle name="Normal 57 5 7 3 2 2" xfId="23122" xr:uid="{00000000-0005-0000-0000-0000538C0000}"/>
    <cellStyle name="Normal 57 5 7 3 2 2 2" xfId="47996" xr:uid="{00000000-0005-0000-0000-0000548C0000}"/>
    <cellStyle name="Normal 57 5 7 3 2 3" xfId="35563" xr:uid="{00000000-0005-0000-0000-0000558C0000}"/>
    <cellStyle name="Normal 57 5 7 3 3" xfId="18115" xr:uid="{00000000-0005-0000-0000-0000568C0000}"/>
    <cellStyle name="Normal 57 5 7 3 3 2" xfId="42989" xr:uid="{00000000-0005-0000-0000-0000578C0000}"/>
    <cellStyle name="Normal 57 5 7 3 4" xfId="30556" xr:uid="{00000000-0005-0000-0000-0000588C0000}"/>
    <cellStyle name="Normal 57 5 7 4" xfId="8738" xr:uid="{00000000-0005-0000-0000-0000598C0000}"/>
    <cellStyle name="Normal 57 5 7 4 2" xfId="21182" xr:uid="{00000000-0005-0000-0000-00005A8C0000}"/>
    <cellStyle name="Normal 57 5 7 4 2 2" xfId="46056" xr:uid="{00000000-0005-0000-0000-00005B8C0000}"/>
    <cellStyle name="Normal 57 5 7 4 3" xfId="33623" xr:uid="{00000000-0005-0000-0000-00005C8C0000}"/>
    <cellStyle name="Normal 57 5 7 5" xfId="12133" xr:uid="{00000000-0005-0000-0000-00005D8C0000}"/>
    <cellStyle name="Normal 57 5 7 5 2" xfId="24567" xr:uid="{00000000-0005-0000-0000-00005E8C0000}"/>
    <cellStyle name="Normal 57 5 7 5 2 2" xfId="49441" xr:uid="{00000000-0005-0000-0000-00005F8C0000}"/>
    <cellStyle name="Normal 57 5 7 5 3" xfId="37008" xr:uid="{00000000-0005-0000-0000-0000608C0000}"/>
    <cellStyle name="Normal 57 5 7 6" xfId="7215" xr:uid="{00000000-0005-0000-0000-0000618C0000}"/>
    <cellStyle name="Normal 57 5 7 6 2" xfId="19664" xr:uid="{00000000-0005-0000-0000-0000628C0000}"/>
    <cellStyle name="Normal 57 5 7 6 2 2" xfId="44538" xr:uid="{00000000-0005-0000-0000-0000638C0000}"/>
    <cellStyle name="Normal 57 5 7 6 3" xfId="32105" xr:uid="{00000000-0005-0000-0000-0000648C0000}"/>
    <cellStyle name="Normal 57 5 7 7" xfId="3669" xr:uid="{00000000-0005-0000-0000-0000658C0000}"/>
    <cellStyle name="Normal 57 5 7 7 2" xfId="16175" xr:uid="{00000000-0005-0000-0000-0000668C0000}"/>
    <cellStyle name="Normal 57 5 7 7 2 2" xfId="41049" xr:uid="{00000000-0005-0000-0000-0000678C0000}"/>
    <cellStyle name="Normal 57 5 7 7 3" xfId="28608" xr:uid="{00000000-0005-0000-0000-0000688C0000}"/>
    <cellStyle name="Normal 57 5 7 8" xfId="13362" xr:uid="{00000000-0005-0000-0000-0000698C0000}"/>
    <cellStyle name="Normal 57 5 7 8 2" xfId="38236" xr:uid="{00000000-0005-0000-0000-00006A8C0000}"/>
    <cellStyle name="Normal 57 5 7 9" xfId="25795" xr:uid="{00000000-0005-0000-0000-00006B8C0000}"/>
    <cellStyle name="Normal 57 5 8" xfId="1866" xr:uid="{00000000-0005-0000-0000-00006C8C0000}"/>
    <cellStyle name="Normal 57 5 8 2" xfId="4744" xr:uid="{00000000-0005-0000-0000-00006D8C0000}"/>
    <cellStyle name="Normal 57 5 8 2 2" xfId="9761" xr:uid="{00000000-0005-0000-0000-00006E8C0000}"/>
    <cellStyle name="Normal 57 5 8 2 2 2" xfId="22204" xr:uid="{00000000-0005-0000-0000-00006F8C0000}"/>
    <cellStyle name="Normal 57 5 8 2 2 2 2" xfId="47078" xr:uid="{00000000-0005-0000-0000-0000708C0000}"/>
    <cellStyle name="Normal 57 5 8 2 2 3" xfId="34645" xr:uid="{00000000-0005-0000-0000-0000718C0000}"/>
    <cellStyle name="Normal 57 5 8 2 3" xfId="17197" xr:uid="{00000000-0005-0000-0000-0000728C0000}"/>
    <cellStyle name="Normal 57 5 8 2 3 2" xfId="42071" xr:uid="{00000000-0005-0000-0000-0000738C0000}"/>
    <cellStyle name="Normal 57 5 8 2 4" xfId="29638" xr:uid="{00000000-0005-0000-0000-0000748C0000}"/>
    <cellStyle name="Normal 57 5 8 3" xfId="6012" xr:uid="{00000000-0005-0000-0000-0000758C0000}"/>
    <cellStyle name="Normal 57 5 8 3 2" xfId="11027" xr:uid="{00000000-0005-0000-0000-0000768C0000}"/>
    <cellStyle name="Normal 57 5 8 3 2 2" xfId="23470" xr:uid="{00000000-0005-0000-0000-0000778C0000}"/>
    <cellStyle name="Normal 57 5 8 3 2 2 2" xfId="48344" xr:uid="{00000000-0005-0000-0000-0000788C0000}"/>
    <cellStyle name="Normal 57 5 8 3 2 3" xfId="35911" xr:uid="{00000000-0005-0000-0000-0000798C0000}"/>
    <cellStyle name="Normal 57 5 8 3 3" xfId="18463" xr:uid="{00000000-0005-0000-0000-00007A8C0000}"/>
    <cellStyle name="Normal 57 5 8 3 3 2" xfId="43337" xr:uid="{00000000-0005-0000-0000-00007B8C0000}"/>
    <cellStyle name="Normal 57 5 8 3 4" xfId="30904" xr:uid="{00000000-0005-0000-0000-00007C8C0000}"/>
    <cellStyle name="Normal 57 5 8 4" xfId="8005" xr:uid="{00000000-0005-0000-0000-00007D8C0000}"/>
    <cellStyle name="Normal 57 5 8 4 2" xfId="20451" xr:uid="{00000000-0005-0000-0000-00007E8C0000}"/>
    <cellStyle name="Normal 57 5 8 4 2 2" xfId="45325" xr:uid="{00000000-0005-0000-0000-00007F8C0000}"/>
    <cellStyle name="Normal 57 5 8 4 3" xfId="32892" xr:uid="{00000000-0005-0000-0000-0000808C0000}"/>
    <cellStyle name="Normal 57 5 8 5" xfId="12481" xr:uid="{00000000-0005-0000-0000-0000818C0000}"/>
    <cellStyle name="Normal 57 5 8 5 2" xfId="24915" xr:uid="{00000000-0005-0000-0000-0000828C0000}"/>
    <cellStyle name="Normal 57 5 8 5 2 2" xfId="49789" xr:uid="{00000000-0005-0000-0000-0000838C0000}"/>
    <cellStyle name="Normal 57 5 8 5 3" xfId="37356" xr:uid="{00000000-0005-0000-0000-0000848C0000}"/>
    <cellStyle name="Normal 57 5 8 6" xfId="7355" xr:uid="{00000000-0005-0000-0000-0000858C0000}"/>
    <cellStyle name="Normal 57 5 8 6 2" xfId="19803" xr:uid="{00000000-0005-0000-0000-0000868C0000}"/>
    <cellStyle name="Normal 57 5 8 6 2 2" xfId="44677" xr:uid="{00000000-0005-0000-0000-0000878C0000}"/>
    <cellStyle name="Normal 57 5 8 6 3" xfId="32244" xr:uid="{00000000-0005-0000-0000-0000888C0000}"/>
    <cellStyle name="Normal 57 5 8 7" xfId="2929" xr:uid="{00000000-0005-0000-0000-0000898C0000}"/>
    <cellStyle name="Normal 57 5 8 7 2" xfId="15444" xr:uid="{00000000-0005-0000-0000-00008A8C0000}"/>
    <cellStyle name="Normal 57 5 8 7 2 2" xfId="40318" xr:uid="{00000000-0005-0000-0000-00008B8C0000}"/>
    <cellStyle name="Normal 57 5 8 7 3" xfId="27877" xr:uid="{00000000-0005-0000-0000-00008C8C0000}"/>
    <cellStyle name="Normal 57 5 8 8" xfId="14666" xr:uid="{00000000-0005-0000-0000-00008D8C0000}"/>
    <cellStyle name="Normal 57 5 8 8 2" xfId="39540" xr:uid="{00000000-0005-0000-0000-00008E8C0000}"/>
    <cellStyle name="Normal 57 5 8 9" xfId="27099" xr:uid="{00000000-0005-0000-0000-00008F8C0000}"/>
    <cellStyle name="Normal 57 5 9" xfId="2103" xr:uid="{00000000-0005-0000-0000-0000908C0000}"/>
    <cellStyle name="Normal 57 5 9 2" xfId="6142" xr:uid="{00000000-0005-0000-0000-0000918C0000}"/>
    <cellStyle name="Normal 57 5 9 2 2" xfId="11157" xr:uid="{00000000-0005-0000-0000-0000928C0000}"/>
    <cellStyle name="Normal 57 5 9 2 2 2" xfId="23600" xr:uid="{00000000-0005-0000-0000-0000938C0000}"/>
    <cellStyle name="Normal 57 5 9 2 2 2 2" xfId="48474" xr:uid="{00000000-0005-0000-0000-0000948C0000}"/>
    <cellStyle name="Normal 57 5 9 2 2 3" xfId="36041" xr:uid="{00000000-0005-0000-0000-0000958C0000}"/>
    <cellStyle name="Normal 57 5 9 2 3" xfId="18593" xr:uid="{00000000-0005-0000-0000-0000968C0000}"/>
    <cellStyle name="Normal 57 5 9 2 3 2" xfId="43467" xr:uid="{00000000-0005-0000-0000-0000978C0000}"/>
    <cellStyle name="Normal 57 5 9 2 4" xfId="31034" xr:uid="{00000000-0005-0000-0000-0000988C0000}"/>
    <cellStyle name="Normal 57 5 9 3" xfId="12611" xr:uid="{00000000-0005-0000-0000-0000998C0000}"/>
    <cellStyle name="Normal 57 5 9 3 2" xfId="25045" xr:uid="{00000000-0005-0000-0000-00009A8C0000}"/>
    <cellStyle name="Normal 57 5 9 3 2 2" xfId="49919" xr:uid="{00000000-0005-0000-0000-00009B8C0000}"/>
    <cellStyle name="Normal 57 5 9 3 3" xfId="37486" xr:uid="{00000000-0005-0000-0000-00009C8C0000}"/>
    <cellStyle name="Normal 57 5 9 4" xfId="8891" xr:uid="{00000000-0005-0000-0000-00009D8C0000}"/>
    <cellStyle name="Normal 57 5 9 4 2" xfId="21334" xr:uid="{00000000-0005-0000-0000-00009E8C0000}"/>
    <cellStyle name="Normal 57 5 9 4 2 2" xfId="46208" xr:uid="{00000000-0005-0000-0000-00009F8C0000}"/>
    <cellStyle name="Normal 57 5 9 4 3" xfId="33775" xr:uid="{00000000-0005-0000-0000-0000A08C0000}"/>
    <cellStyle name="Normal 57 5 9 5" xfId="3873" xr:uid="{00000000-0005-0000-0000-0000A18C0000}"/>
    <cellStyle name="Normal 57 5 9 5 2" xfId="16327" xr:uid="{00000000-0005-0000-0000-0000A28C0000}"/>
    <cellStyle name="Normal 57 5 9 5 2 2" xfId="41201" xr:uid="{00000000-0005-0000-0000-0000A38C0000}"/>
    <cellStyle name="Normal 57 5 9 5 3" xfId="28768" xr:uid="{00000000-0005-0000-0000-0000A48C0000}"/>
    <cellStyle name="Normal 57 5 9 6" xfId="14796" xr:uid="{00000000-0005-0000-0000-0000A58C0000}"/>
    <cellStyle name="Normal 57 5 9 6 2" xfId="39670" xr:uid="{00000000-0005-0000-0000-0000A68C0000}"/>
    <cellStyle name="Normal 57 5 9 7" xfId="27229" xr:uid="{00000000-0005-0000-0000-0000A78C0000}"/>
    <cellStyle name="Normal 57 5_Degree data" xfId="2483" xr:uid="{00000000-0005-0000-0000-0000A88C0000}"/>
    <cellStyle name="Normal 57 6" xfId="131" xr:uid="{00000000-0005-0000-0000-0000A98C0000}"/>
    <cellStyle name="Normal 57 6 10" xfId="7694" xr:uid="{00000000-0005-0000-0000-0000AA8C0000}"/>
    <cellStyle name="Normal 57 6 10 2" xfId="20140" xr:uid="{00000000-0005-0000-0000-0000AB8C0000}"/>
    <cellStyle name="Normal 57 6 10 2 2" xfId="45014" xr:uid="{00000000-0005-0000-0000-0000AC8C0000}"/>
    <cellStyle name="Normal 57 6 10 3" xfId="32581" xr:uid="{00000000-0005-0000-0000-0000AD8C0000}"/>
    <cellStyle name="Normal 57 6 11" xfId="11514" xr:uid="{00000000-0005-0000-0000-0000AE8C0000}"/>
    <cellStyle name="Normal 57 6 11 2" xfId="23948" xr:uid="{00000000-0005-0000-0000-0000AF8C0000}"/>
    <cellStyle name="Normal 57 6 11 2 2" xfId="48822" xr:uid="{00000000-0005-0000-0000-0000B08C0000}"/>
    <cellStyle name="Normal 57 6 11 3" xfId="36389" xr:uid="{00000000-0005-0000-0000-0000B18C0000}"/>
    <cellStyle name="Normal 57 6 12" xfId="6503" xr:uid="{00000000-0005-0000-0000-0000B28C0000}"/>
    <cellStyle name="Normal 57 6 12 2" xfId="18952" xr:uid="{00000000-0005-0000-0000-0000B38C0000}"/>
    <cellStyle name="Normal 57 6 12 2 2" xfId="43826" xr:uid="{00000000-0005-0000-0000-0000B48C0000}"/>
    <cellStyle name="Normal 57 6 12 3" xfId="31393" xr:uid="{00000000-0005-0000-0000-0000B58C0000}"/>
    <cellStyle name="Normal 57 6 13" xfId="2614" xr:uid="{00000000-0005-0000-0000-0000B68C0000}"/>
    <cellStyle name="Normal 57 6 13 2" xfId="15133" xr:uid="{00000000-0005-0000-0000-0000B78C0000}"/>
    <cellStyle name="Normal 57 6 13 2 2" xfId="40007" xr:uid="{00000000-0005-0000-0000-0000B88C0000}"/>
    <cellStyle name="Normal 57 6 13 3" xfId="27566" xr:uid="{00000000-0005-0000-0000-0000B98C0000}"/>
    <cellStyle name="Normal 57 6 14" xfId="12961" xr:uid="{00000000-0005-0000-0000-0000BA8C0000}"/>
    <cellStyle name="Normal 57 6 14 2" xfId="37835" xr:uid="{00000000-0005-0000-0000-0000BB8C0000}"/>
    <cellStyle name="Normal 57 6 15" xfId="25394" xr:uid="{00000000-0005-0000-0000-0000BC8C0000}"/>
    <cellStyle name="Normal 57 6 2" xfId="319" xr:uid="{00000000-0005-0000-0000-0000BD8C0000}"/>
    <cellStyle name="Normal 57 6 2 10" xfId="6549" xr:uid="{00000000-0005-0000-0000-0000BE8C0000}"/>
    <cellStyle name="Normal 57 6 2 10 2" xfId="18998" xr:uid="{00000000-0005-0000-0000-0000BF8C0000}"/>
    <cellStyle name="Normal 57 6 2 10 2 2" xfId="43872" xr:uid="{00000000-0005-0000-0000-0000C08C0000}"/>
    <cellStyle name="Normal 57 6 2 10 3" xfId="31439" xr:uid="{00000000-0005-0000-0000-0000C18C0000}"/>
    <cellStyle name="Normal 57 6 2 11" xfId="2717" xr:uid="{00000000-0005-0000-0000-0000C28C0000}"/>
    <cellStyle name="Normal 57 6 2 11 2" xfId="15235" xr:uid="{00000000-0005-0000-0000-0000C38C0000}"/>
    <cellStyle name="Normal 57 6 2 11 2 2" xfId="40109" xr:uid="{00000000-0005-0000-0000-0000C48C0000}"/>
    <cellStyle name="Normal 57 6 2 11 3" xfId="27668" xr:uid="{00000000-0005-0000-0000-0000C58C0000}"/>
    <cellStyle name="Normal 57 6 2 12" xfId="13136" xr:uid="{00000000-0005-0000-0000-0000C68C0000}"/>
    <cellStyle name="Normal 57 6 2 12 2" xfId="38010" xr:uid="{00000000-0005-0000-0000-0000C78C0000}"/>
    <cellStyle name="Normal 57 6 2 13" xfId="25569" xr:uid="{00000000-0005-0000-0000-0000C88C0000}"/>
    <cellStyle name="Normal 57 6 2 2" xfId="421" xr:uid="{00000000-0005-0000-0000-0000C98C0000}"/>
    <cellStyle name="Normal 57 6 2 2 10" xfId="13236" xr:uid="{00000000-0005-0000-0000-0000CA8C0000}"/>
    <cellStyle name="Normal 57 6 2 2 10 2" xfId="38110" xr:uid="{00000000-0005-0000-0000-0000CB8C0000}"/>
    <cellStyle name="Normal 57 6 2 2 11" xfId="25669" xr:uid="{00000000-0005-0000-0000-0000CC8C0000}"/>
    <cellStyle name="Normal 57 6 2 2 2" xfId="781" xr:uid="{00000000-0005-0000-0000-0000CD8C0000}"/>
    <cellStyle name="Normal 57 6 2 2 2 2" xfId="1530" xr:uid="{00000000-0005-0000-0000-0000CE8C0000}"/>
    <cellStyle name="Normal 57 6 2 2 2 2 2" xfId="9634" xr:uid="{00000000-0005-0000-0000-0000CF8C0000}"/>
    <cellStyle name="Normal 57 6 2 2 2 2 2 2" xfId="22077" xr:uid="{00000000-0005-0000-0000-0000D08C0000}"/>
    <cellStyle name="Normal 57 6 2 2 2 2 2 2 2" xfId="46951" xr:uid="{00000000-0005-0000-0000-0000D18C0000}"/>
    <cellStyle name="Normal 57 6 2 2 2 2 2 3" xfId="34518" xr:uid="{00000000-0005-0000-0000-0000D28C0000}"/>
    <cellStyle name="Normal 57 6 2 2 2 2 3" xfId="4616" xr:uid="{00000000-0005-0000-0000-0000D38C0000}"/>
    <cellStyle name="Normal 57 6 2 2 2 2 3 2" xfId="17070" xr:uid="{00000000-0005-0000-0000-0000D48C0000}"/>
    <cellStyle name="Normal 57 6 2 2 2 2 3 2 2" xfId="41944" xr:uid="{00000000-0005-0000-0000-0000D58C0000}"/>
    <cellStyle name="Normal 57 6 2 2 2 2 3 3" xfId="29511" xr:uid="{00000000-0005-0000-0000-0000D68C0000}"/>
    <cellStyle name="Normal 57 6 2 2 2 2 4" xfId="14330" xr:uid="{00000000-0005-0000-0000-0000D78C0000}"/>
    <cellStyle name="Normal 57 6 2 2 2 2 4 2" xfId="39204" xr:uid="{00000000-0005-0000-0000-0000D88C0000}"/>
    <cellStyle name="Normal 57 6 2 2 2 2 5" xfId="26763" xr:uid="{00000000-0005-0000-0000-0000D98C0000}"/>
    <cellStyle name="Normal 57 6 2 2 2 3" xfId="5675" xr:uid="{00000000-0005-0000-0000-0000DA8C0000}"/>
    <cellStyle name="Normal 57 6 2 2 2 3 2" xfId="10691" xr:uid="{00000000-0005-0000-0000-0000DB8C0000}"/>
    <cellStyle name="Normal 57 6 2 2 2 3 2 2" xfId="23134" xr:uid="{00000000-0005-0000-0000-0000DC8C0000}"/>
    <cellStyle name="Normal 57 6 2 2 2 3 2 2 2" xfId="48008" xr:uid="{00000000-0005-0000-0000-0000DD8C0000}"/>
    <cellStyle name="Normal 57 6 2 2 2 3 2 3" xfId="35575" xr:uid="{00000000-0005-0000-0000-0000DE8C0000}"/>
    <cellStyle name="Normal 57 6 2 2 2 3 3" xfId="18127" xr:uid="{00000000-0005-0000-0000-0000DF8C0000}"/>
    <cellStyle name="Normal 57 6 2 2 2 3 3 2" xfId="43001" xr:uid="{00000000-0005-0000-0000-0000E08C0000}"/>
    <cellStyle name="Normal 57 6 2 2 2 3 4" xfId="30568" xr:uid="{00000000-0005-0000-0000-0000E18C0000}"/>
    <cellStyle name="Normal 57 6 2 2 2 4" xfId="8750" xr:uid="{00000000-0005-0000-0000-0000E28C0000}"/>
    <cellStyle name="Normal 57 6 2 2 2 4 2" xfId="21194" xr:uid="{00000000-0005-0000-0000-0000E38C0000}"/>
    <cellStyle name="Normal 57 6 2 2 2 4 2 2" xfId="46068" xr:uid="{00000000-0005-0000-0000-0000E48C0000}"/>
    <cellStyle name="Normal 57 6 2 2 2 4 3" xfId="33635" xr:uid="{00000000-0005-0000-0000-0000E58C0000}"/>
    <cellStyle name="Normal 57 6 2 2 2 5" xfId="12145" xr:uid="{00000000-0005-0000-0000-0000E68C0000}"/>
    <cellStyle name="Normal 57 6 2 2 2 5 2" xfId="24579" xr:uid="{00000000-0005-0000-0000-0000E78C0000}"/>
    <cellStyle name="Normal 57 6 2 2 2 5 2 2" xfId="49453" xr:uid="{00000000-0005-0000-0000-0000E88C0000}"/>
    <cellStyle name="Normal 57 6 2 2 2 5 3" xfId="37020" xr:uid="{00000000-0005-0000-0000-0000E98C0000}"/>
    <cellStyle name="Normal 57 6 2 2 2 6" xfId="7227" xr:uid="{00000000-0005-0000-0000-0000EA8C0000}"/>
    <cellStyle name="Normal 57 6 2 2 2 6 2" xfId="19676" xr:uid="{00000000-0005-0000-0000-0000EB8C0000}"/>
    <cellStyle name="Normal 57 6 2 2 2 6 2 2" xfId="44550" xr:uid="{00000000-0005-0000-0000-0000EC8C0000}"/>
    <cellStyle name="Normal 57 6 2 2 2 6 3" xfId="32117" xr:uid="{00000000-0005-0000-0000-0000ED8C0000}"/>
    <cellStyle name="Normal 57 6 2 2 2 7" xfId="3681" xr:uid="{00000000-0005-0000-0000-0000EE8C0000}"/>
    <cellStyle name="Normal 57 6 2 2 2 7 2" xfId="16187" xr:uid="{00000000-0005-0000-0000-0000EF8C0000}"/>
    <cellStyle name="Normal 57 6 2 2 2 7 2 2" xfId="41061" xr:uid="{00000000-0005-0000-0000-0000F08C0000}"/>
    <cellStyle name="Normal 57 6 2 2 2 7 3" xfId="28620" xr:uid="{00000000-0005-0000-0000-0000F18C0000}"/>
    <cellStyle name="Normal 57 6 2 2 2 8" xfId="13583" xr:uid="{00000000-0005-0000-0000-0000F28C0000}"/>
    <cellStyle name="Normal 57 6 2 2 2 8 2" xfId="38457" xr:uid="{00000000-0005-0000-0000-0000F38C0000}"/>
    <cellStyle name="Normal 57 6 2 2 2 9" xfId="26016" xr:uid="{00000000-0005-0000-0000-0000F48C0000}"/>
    <cellStyle name="Normal 57 6 2 2 3" xfId="1878" xr:uid="{00000000-0005-0000-0000-0000F58C0000}"/>
    <cellStyle name="Normal 57 6 2 2 3 2" xfId="4965" xr:uid="{00000000-0005-0000-0000-0000F68C0000}"/>
    <cellStyle name="Normal 57 6 2 2 3 2 2" xfId="9982" xr:uid="{00000000-0005-0000-0000-0000F78C0000}"/>
    <cellStyle name="Normal 57 6 2 2 3 2 2 2" xfId="22425" xr:uid="{00000000-0005-0000-0000-0000F88C0000}"/>
    <cellStyle name="Normal 57 6 2 2 3 2 2 2 2" xfId="47299" xr:uid="{00000000-0005-0000-0000-0000F98C0000}"/>
    <cellStyle name="Normal 57 6 2 2 3 2 2 3" xfId="34866" xr:uid="{00000000-0005-0000-0000-0000FA8C0000}"/>
    <cellStyle name="Normal 57 6 2 2 3 2 3" xfId="17418" xr:uid="{00000000-0005-0000-0000-0000FB8C0000}"/>
    <cellStyle name="Normal 57 6 2 2 3 2 3 2" xfId="42292" xr:uid="{00000000-0005-0000-0000-0000FC8C0000}"/>
    <cellStyle name="Normal 57 6 2 2 3 2 4" xfId="29859" xr:uid="{00000000-0005-0000-0000-0000FD8C0000}"/>
    <cellStyle name="Normal 57 6 2 2 3 3" xfId="6024" xr:uid="{00000000-0005-0000-0000-0000FE8C0000}"/>
    <cellStyle name="Normal 57 6 2 2 3 3 2" xfId="11039" xr:uid="{00000000-0005-0000-0000-0000FF8C0000}"/>
    <cellStyle name="Normal 57 6 2 2 3 3 2 2" xfId="23482" xr:uid="{00000000-0005-0000-0000-0000008D0000}"/>
    <cellStyle name="Normal 57 6 2 2 3 3 2 2 2" xfId="48356" xr:uid="{00000000-0005-0000-0000-0000018D0000}"/>
    <cellStyle name="Normal 57 6 2 2 3 3 2 3" xfId="35923" xr:uid="{00000000-0005-0000-0000-0000028D0000}"/>
    <cellStyle name="Normal 57 6 2 2 3 3 3" xfId="18475" xr:uid="{00000000-0005-0000-0000-0000038D0000}"/>
    <cellStyle name="Normal 57 6 2 2 3 3 3 2" xfId="43349" xr:uid="{00000000-0005-0000-0000-0000048D0000}"/>
    <cellStyle name="Normal 57 6 2 2 3 3 4" xfId="30916" xr:uid="{00000000-0005-0000-0000-0000058D0000}"/>
    <cellStyle name="Normal 57 6 2 2 3 4" xfId="8389" xr:uid="{00000000-0005-0000-0000-0000068D0000}"/>
    <cellStyle name="Normal 57 6 2 2 3 4 2" xfId="20833" xr:uid="{00000000-0005-0000-0000-0000078D0000}"/>
    <cellStyle name="Normal 57 6 2 2 3 4 2 2" xfId="45707" xr:uid="{00000000-0005-0000-0000-0000088D0000}"/>
    <cellStyle name="Normal 57 6 2 2 3 4 3" xfId="33274" xr:uid="{00000000-0005-0000-0000-0000098D0000}"/>
    <cellStyle name="Normal 57 6 2 2 3 5" xfId="12493" xr:uid="{00000000-0005-0000-0000-00000A8D0000}"/>
    <cellStyle name="Normal 57 6 2 2 3 5 2" xfId="24927" xr:uid="{00000000-0005-0000-0000-00000B8D0000}"/>
    <cellStyle name="Normal 57 6 2 2 3 5 2 2" xfId="49801" xr:uid="{00000000-0005-0000-0000-00000C8D0000}"/>
    <cellStyle name="Normal 57 6 2 2 3 5 3" xfId="37368" xr:uid="{00000000-0005-0000-0000-00000D8D0000}"/>
    <cellStyle name="Normal 57 6 2 2 3 6" xfId="7576" xr:uid="{00000000-0005-0000-0000-00000E8D0000}"/>
    <cellStyle name="Normal 57 6 2 2 3 6 2" xfId="20024" xr:uid="{00000000-0005-0000-0000-00000F8D0000}"/>
    <cellStyle name="Normal 57 6 2 2 3 6 2 2" xfId="44898" xr:uid="{00000000-0005-0000-0000-0000108D0000}"/>
    <cellStyle name="Normal 57 6 2 2 3 6 3" xfId="32465" xr:uid="{00000000-0005-0000-0000-0000118D0000}"/>
    <cellStyle name="Normal 57 6 2 2 3 7" xfId="3320" xr:uid="{00000000-0005-0000-0000-0000128D0000}"/>
    <cellStyle name="Normal 57 6 2 2 3 7 2" xfId="15826" xr:uid="{00000000-0005-0000-0000-0000138D0000}"/>
    <cellStyle name="Normal 57 6 2 2 3 7 2 2" xfId="40700" xr:uid="{00000000-0005-0000-0000-0000148D0000}"/>
    <cellStyle name="Normal 57 6 2 2 3 7 3" xfId="28259" xr:uid="{00000000-0005-0000-0000-0000158D0000}"/>
    <cellStyle name="Normal 57 6 2 2 3 8" xfId="14678" xr:uid="{00000000-0005-0000-0000-0000168D0000}"/>
    <cellStyle name="Normal 57 6 2 2 3 8 2" xfId="39552" xr:uid="{00000000-0005-0000-0000-0000178D0000}"/>
    <cellStyle name="Normal 57 6 2 2 3 9" xfId="27111" xr:uid="{00000000-0005-0000-0000-0000188D0000}"/>
    <cellStyle name="Normal 57 6 2 2 4" xfId="2339" xr:uid="{00000000-0005-0000-0000-0000198D0000}"/>
    <cellStyle name="Normal 57 6 2 2 4 2" xfId="6363" xr:uid="{00000000-0005-0000-0000-00001A8D0000}"/>
    <cellStyle name="Normal 57 6 2 2 4 2 2" xfId="11378" xr:uid="{00000000-0005-0000-0000-00001B8D0000}"/>
    <cellStyle name="Normal 57 6 2 2 4 2 2 2" xfId="23821" xr:uid="{00000000-0005-0000-0000-00001C8D0000}"/>
    <cellStyle name="Normal 57 6 2 2 4 2 2 2 2" xfId="48695" xr:uid="{00000000-0005-0000-0000-00001D8D0000}"/>
    <cellStyle name="Normal 57 6 2 2 4 2 2 3" xfId="36262" xr:uid="{00000000-0005-0000-0000-00001E8D0000}"/>
    <cellStyle name="Normal 57 6 2 2 4 2 3" xfId="18814" xr:uid="{00000000-0005-0000-0000-00001F8D0000}"/>
    <cellStyle name="Normal 57 6 2 2 4 2 3 2" xfId="43688" xr:uid="{00000000-0005-0000-0000-0000208D0000}"/>
    <cellStyle name="Normal 57 6 2 2 4 2 4" xfId="31255" xr:uid="{00000000-0005-0000-0000-0000218D0000}"/>
    <cellStyle name="Normal 57 6 2 2 4 3" xfId="12832" xr:uid="{00000000-0005-0000-0000-0000228D0000}"/>
    <cellStyle name="Normal 57 6 2 2 4 3 2" xfId="25266" xr:uid="{00000000-0005-0000-0000-0000238D0000}"/>
    <cellStyle name="Normal 57 6 2 2 4 3 2 2" xfId="50140" xr:uid="{00000000-0005-0000-0000-0000248D0000}"/>
    <cellStyle name="Normal 57 6 2 2 4 3 3" xfId="37707" xr:uid="{00000000-0005-0000-0000-0000258D0000}"/>
    <cellStyle name="Normal 57 6 2 2 4 4" xfId="9273" xr:uid="{00000000-0005-0000-0000-0000268D0000}"/>
    <cellStyle name="Normal 57 6 2 2 4 4 2" xfId="21716" xr:uid="{00000000-0005-0000-0000-0000278D0000}"/>
    <cellStyle name="Normal 57 6 2 2 4 4 2 2" xfId="46590" xr:uid="{00000000-0005-0000-0000-0000288D0000}"/>
    <cellStyle name="Normal 57 6 2 2 4 4 3" xfId="34157" xr:uid="{00000000-0005-0000-0000-0000298D0000}"/>
    <cellStyle name="Normal 57 6 2 2 4 5" xfId="4255" xr:uid="{00000000-0005-0000-0000-00002A8D0000}"/>
    <cellStyle name="Normal 57 6 2 2 4 5 2" xfId="16709" xr:uid="{00000000-0005-0000-0000-00002B8D0000}"/>
    <cellStyle name="Normal 57 6 2 2 4 5 2 2" xfId="41583" xr:uid="{00000000-0005-0000-0000-00002C8D0000}"/>
    <cellStyle name="Normal 57 6 2 2 4 5 3" xfId="29150" xr:uid="{00000000-0005-0000-0000-00002D8D0000}"/>
    <cellStyle name="Normal 57 6 2 2 4 6" xfId="15017" xr:uid="{00000000-0005-0000-0000-00002E8D0000}"/>
    <cellStyle name="Normal 57 6 2 2 4 6 2" xfId="39891" xr:uid="{00000000-0005-0000-0000-00002F8D0000}"/>
    <cellStyle name="Normal 57 6 2 2 4 7" xfId="27450" xr:uid="{00000000-0005-0000-0000-0000308D0000}"/>
    <cellStyle name="Normal 57 6 2 2 5" xfId="1174" xr:uid="{00000000-0005-0000-0000-0000318D0000}"/>
    <cellStyle name="Normal 57 6 2 2 5 2" xfId="10335" xr:uid="{00000000-0005-0000-0000-0000328D0000}"/>
    <cellStyle name="Normal 57 6 2 2 5 2 2" xfId="22778" xr:uid="{00000000-0005-0000-0000-0000338D0000}"/>
    <cellStyle name="Normal 57 6 2 2 5 2 2 2" xfId="47652" xr:uid="{00000000-0005-0000-0000-0000348D0000}"/>
    <cellStyle name="Normal 57 6 2 2 5 2 3" xfId="35219" xr:uid="{00000000-0005-0000-0000-0000358D0000}"/>
    <cellStyle name="Normal 57 6 2 2 5 3" xfId="5319" xr:uid="{00000000-0005-0000-0000-0000368D0000}"/>
    <cellStyle name="Normal 57 6 2 2 5 3 2" xfId="17771" xr:uid="{00000000-0005-0000-0000-0000378D0000}"/>
    <cellStyle name="Normal 57 6 2 2 5 3 2 2" xfId="42645" xr:uid="{00000000-0005-0000-0000-0000388D0000}"/>
    <cellStyle name="Normal 57 6 2 2 5 3 3" xfId="30212" xr:uid="{00000000-0005-0000-0000-0000398D0000}"/>
    <cellStyle name="Normal 57 6 2 2 5 4" xfId="13974" xr:uid="{00000000-0005-0000-0000-00003A8D0000}"/>
    <cellStyle name="Normal 57 6 2 2 5 4 2" xfId="38848" xr:uid="{00000000-0005-0000-0000-00003B8D0000}"/>
    <cellStyle name="Normal 57 6 2 2 5 5" xfId="26407" xr:uid="{00000000-0005-0000-0000-00003C8D0000}"/>
    <cellStyle name="Normal 57 6 2 2 6" xfId="7896" xr:uid="{00000000-0005-0000-0000-00003D8D0000}"/>
    <cellStyle name="Normal 57 6 2 2 6 2" xfId="20342" xr:uid="{00000000-0005-0000-0000-00003E8D0000}"/>
    <cellStyle name="Normal 57 6 2 2 6 2 2" xfId="45216" xr:uid="{00000000-0005-0000-0000-00003F8D0000}"/>
    <cellStyle name="Normal 57 6 2 2 6 3" xfId="32783" xr:uid="{00000000-0005-0000-0000-0000408D0000}"/>
    <cellStyle name="Normal 57 6 2 2 7" xfId="11789" xr:uid="{00000000-0005-0000-0000-0000418D0000}"/>
    <cellStyle name="Normal 57 6 2 2 7 2" xfId="24223" xr:uid="{00000000-0005-0000-0000-0000428D0000}"/>
    <cellStyle name="Normal 57 6 2 2 7 2 2" xfId="49097" xr:uid="{00000000-0005-0000-0000-0000438D0000}"/>
    <cellStyle name="Normal 57 6 2 2 7 3" xfId="36664" xr:uid="{00000000-0005-0000-0000-0000448D0000}"/>
    <cellStyle name="Normal 57 6 2 2 8" xfId="6866" xr:uid="{00000000-0005-0000-0000-0000458D0000}"/>
    <cellStyle name="Normal 57 6 2 2 8 2" xfId="19315" xr:uid="{00000000-0005-0000-0000-0000468D0000}"/>
    <cellStyle name="Normal 57 6 2 2 8 2 2" xfId="44189" xr:uid="{00000000-0005-0000-0000-0000478D0000}"/>
    <cellStyle name="Normal 57 6 2 2 8 3" xfId="31756" xr:uid="{00000000-0005-0000-0000-0000488D0000}"/>
    <cellStyle name="Normal 57 6 2 2 9" xfId="2817" xr:uid="{00000000-0005-0000-0000-0000498D0000}"/>
    <cellStyle name="Normal 57 6 2 2 9 2" xfId="15335" xr:uid="{00000000-0005-0000-0000-00004A8D0000}"/>
    <cellStyle name="Normal 57 6 2 2 9 2 2" xfId="40209" xr:uid="{00000000-0005-0000-0000-00004B8D0000}"/>
    <cellStyle name="Normal 57 6 2 2 9 3" xfId="27768" xr:uid="{00000000-0005-0000-0000-00004C8D0000}"/>
    <cellStyle name="Normal 57 6 2 2_Degree data" xfId="2495" xr:uid="{00000000-0005-0000-0000-00004D8D0000}"/>
    <cellStyle name="Normal 57 6 2 3" xfId="680" xr:uid="{00000000-0005-0000-0000-00004E8D0000}"/>
    <cellStyle name="Normal 57 6 2 3 2" xfId="1529" xr:uid="{00000000-0005-0000-0000-00004F8D0000}"/>
    <cellStyle name="Normal 57 6 2 3 2 2" xfId="9173" xr:uid="{00000000-0005-0000-0000-0000508D0000}"/>
    <cellStyle name="Normal 57 6 2 3 2 2 2" xfId="21616" xr:uid="{00000000-0005-0000-0000-0000518D0000}"/>
    <cellStyle name="Normal 57 6 2 3 2 2 2 2" xfId="46490" xr:uid="{00000000-0005-0000-0000-0000528D0000}"/>
    <cellStyle name="Normal 57 6 2 3 2 2 3" xfId="34057" xr:uid="{00000000-0005-0000-0000-0000538D0000}"/>
    <cellStyle name="Normal 57 6 2 3 2 3" xfId="4155" xr:uid="{00000000-0005-0000-0000-0000548D0000}"/>
    <cellStyle name="Normal 57 6 2 3 2 3 2" xfId="16609" xr:uid="{00000000-0005-0000-0000-0000558D0000}"/>
    <cellStyle name="Normal 57 6 2 3 2 3 2 2" xfId="41483" xr:uid="{00000000-0005-0000-0000-0000568D0000}"/>
    <cellStyle name="Normal 57 6 2 3 2 3 3" xfId="29050" xr:uid="{00000000-0005-0000-0000-0000578D0000}"/>
    <cellStyle name="Normal 57 6 2 3 2 4" xfId="14329" xr:uid="{00000000-0005-0000-0000-0000588D0000}"/>
    <cellStyle name="Normal 57 6 2 3 2 4 2" xfId="39203" xr:uid="{00000000-0005-0000-0000-0000598D0000}"/>
    <cellStyle name="Normal 57 6 2 3 2 5" xfId="26762" xr:uid="{00000000-0005-0000-0000-00005A8D0000}"/>
    <cellStyle name="Normal 57 6 2 3 3" xfId="5674" xr:uid="{00000000-0005-0000-0000-00005B8D0000}"/>
    <cellStyle name="Normal 57 6 2 3 3 2" xfId="10690" xr:uid="{00000000-0005-0000-0000-00005C8D0000}"/>
    <cellStyle name="Normal 57 6 2 3 3 2 2" xfId="23133" xr:uid="{00000000-0005-0000-0000-00005D8D0000}"/>
    <cellStyle name="Normal 57 6 2 3 3 2 2 2" xfId="48007" xr:uid="{00000000-0005-0000-0000-00005E8D0000}"/>
    <cellStyle name="Normal 57 6 2 3 3 2 3" xfId="35574" xr:uid="{00000000-0005-0000-0000-00005F8D0000}"/>
    <cellStyle name="Normal 57 6 2 3 3 3" xfId="18126" xr:uid="{00000000-0005-0000-0000-0000608D0000}"/>
    <cellStyle name="Normal 57 6 2 3 3 3 2" xfId="43000" xr:uid="{00000000-0005-0000-0000-0000618D0000}"/>
    <cellStyle name="Normal 57 6 2 3 3 4" xfId="30567" xr:uid="{00000000-0005-0000-0000-0000628D0000}"/>
    <cellStyle name="Normal 57 6 2 3 4" xfId="8289" xr:uid="{00000000-0005-0000-0000-0000638D0000}"/>
    <cellStyle name="Normal 57 6 2 3 4 2" xfId="20733" xr:uid="{00000000-0005-0000-0000-0000648D0000}"/>
    <cellStyle name="Normal 57 6 2 3 4 2 2" xfId="45607" xr:uid="{00000000-0005-0000-0000-0000658D0000}"/>
    <cellStyle name="Normal 57 6 2 3 4 3" xfId="33174" xr:uid="{00000000-0005-0000-0000-0000668D0000}"/>
    <cellStyle name="Normal 57 6 2 3 5" xfId="12144" xr:uid="{00000000-0005-0000-0000-0000678D0000}"/>
    <cellStyle name="Normal 57 6 2 3 5 2" xfId="24578" xr:uid="{00000000-0005-0000-0000-0000688D0000}"/>
    <cellStyle name="Normal 57 6 2 3 5 2 2" xfId="49452" xr:uid="{00000000-0005-0000-0000-0000698D0000}"/>
    <cellStyle name="Normal 57 6 2 3 5 3" xfId="37019" xr:uid="{00000000-0005-0000-0000-00006A8D0000}"/>
    <cellStyle name="Normal 57 6 2 3 6" xfId="6766" xr:uid="{00000000-0005-0000-0000-00006B8D0000}"/>
    <cellStyle name="Normal 57 6 2 3 6 2" xfId="19215" xr:uid="{00000000-0005-0000-0000-00006C8D0000}"/>
    <cellStyle name="Normal 57 6 2 3 6 2 2" xfId="44089" xr:uid="{00000000-0005-0000-0000-00006D8D0000}"/>
    <cellStyle name="Normal 57 6 2 3 6 3" xfId="31656" xr:uid="{00000000-0005-0000-0000-00006E8D0000}"/>
    <cellStyle name="Normal 57 6 2 3 7" xfId="3220" xr:uid="{00000000-0005-0000-0000-00006F8D0000}"/>
    <cellStyle name="Normal 57 6 2 3 7 2" xfId="15726" xr:uid="{00000000-0005-0000-0000-0000708D0000}"/>
    <cellStyle name="Normal 57 6 2 3 7 2 2" xfId="40600" xr:uid="{00000000-0005-0000-0000-0000718D0000}"/>
    <cellStyle name="Normal 57 6 2 3 7 3" xfId="28159" xr:uid="{00000000-0005-0000-0000-0000728D0000}"/>
    <cellStyle name="Normal 57 6 2 3 8" xfId="13483" xr:uid="{00000000-0005-0000-0000-0000738D0000}"/>
    <cellStyle name="Normal 57 6 2 3 8 2" xfId="38357" xr:uid="{00000000-0005-0000-0000-0000748D0000}"/>
    <cellStyle name="Normal 57 6 2 3 9" xfId="25916" xr:uid="{00000000-0005-0000-0000-0000758D0000}"/>
    <cellStyle name="Normal 57 6 2 4" xfId="1877" xr:uid="{00000000-0005-0000-0000-0000768D0000}"/>
    <cellStyle name="Normal 57 6 2 4 2" xfId="4615" xr:uid="{00000000-0005-0000-0000-0000778D0000}"/>
    <cellStyle name="Normal 57 6 2 4 2 2" xfId="9633" xr:uid="{00000000-0005-0000-0000-0000788D0000}"/>
    <cellStyle name="Normal 57 6 2 4 2 2 2" xfId="22076" xr:uid="{00000000-0005-0000-0000-0000798D0000}"/>
    <cellStyle name="Normal 57 6 2 4 2 2 2 2" xfId="46950" xr:uid="{00000000-0005-0000-0000-00007A8D0000}"/>
    <cellStyle name="Normal 57 6 2 4 2 2 3" xfId="34517" xr:uid="{00000000-0005-0000-0000-00007B8D0000}"/>
    <cellStyle name="Normal 57 6 2 4 2 3" xfId="17069" xr:uid="{00000000-0005-0000-0000-00007C8D0000}"/>
    <cellStyle name="Normal 57 6 2 4 2 3 2" xfId="41943" xr:uid="{00000000-0005-0000-0000-00007D8D0000}"/>
    <cellStyle name="Normal 57 6 2 4 2 4" xfId="29510" xr:uid="{00000000-0005-0000-0000-00007E8D0000}"/>
    <cellStyle name="Normal 57 6 2 4 3" xfId="6023" xr:uid="{00000000-0005-0000-0000-00007F8D0000}"/>
    <cellStyle name="Normal 57 6 2 4 3 2" xfId="11038" xr:uid="{00000000-0005-0000-0000-0000808D0000}"/>
    <cellStyle name="Normal 57 6 2 4 3 2 2" xfId="23481" xr:uid="{00000000-0005-0000-0000-0000818D0000}"/>
    <cellStyle name="Normal 57 6 2 4 3 2 2 2" xfId="48355" xr:uid="{00000000-0005-0000-0000-0000828D0000}"/>
    <cellStyle name="Normal 57 6 2 4 3 2 3" xfId="35922" xr:uid="{00000000-0005-0000-0000-0000838D0000}"/>
    <cellStyle name="Normal 57 6 2 4 3 3" xfId="18474" xr:uid="{00000000-0005-0000-0000-0000848D0000}"/>
    <cellStyle name="Normal 57 6 2 4 3 3 2" xfId="43348" xr:uid="{00000000-0005-0000-0000-0000858D0000}"/>
    <cellStyle name="Normal 57 6 2 4 3 4" xfId="30915" xr:uid="{00000000-0005-0000-0000-0000868D0000}"/>
    <cellStyle name="Normal 57 6 2 4 4" xfId="8749" xr:uid="{00000000-0005-0000-0000-0000878D0000}"/>
    <cellStyle name="Normal 57 6 2 4 4 2" xfId="21193" xr:uid="{00000000-0005-0000-0000-0000888D0000}"/>
    <cellStyle name="Normal 57 6 2 4 4 2 2" xfId="46067" xr:uid="{00000000-0005-0000-0000-0000898D0000}"/>
    <cellStyle name="Normal 57 6 2 4 4 3" xfId="33634" xr:uid="{00000000-0005-0000-0000-00008A8D0000}"/>
    <cellStyle name="Normal 57 6 2 4 5" xfId="12492" xr:uid="{00000000-0005-0000-0000-00008B8D0000}"/>
    <cellStyle name="Normal 57 6 2 4 5 2" xfId="24926" xr:uid="{00000000-0005-0000-0000-00008C8D0000}"/>
    <cellStyle name="Normal 57 6 2 4 5 2 2" xfId="49800" xr:uid="{00000000-0005-0000-0000-00008D8D0000}"/>
    <cellStyle name="Normal 57 6 2 4 5 3" xfId="37367" xr:uid="{00000000-0005-0000-0000-00008E8D0000}"/>
    <cellStyle name="Normal 57 6 2 4 6" xfId="7226" xr:uid="{00000000-0005-0000-0000-00008F8D0000}"/>
    <cellStyle name="Normal 57 6 2 4 6 2" xfId="19675" xr:uid="{00000000-0005-0000-0000-0000908D0000}"/>
    <cellStyle name="Normal 57 6 2 4 6 2 2" xfId="44549" xr:uid="{00000000-0005-0000-0000-0000918D0000}"/>
    <cellStyle name="Normal 57 6 2 4 6 3" xfId="32116" xr:uid="{00000000-0005-0000-0000-0000928D0000}"/>
    <cellStyle name="Normal 57 6 2 4 7" xfId="3680" xr:uid="{00000000-0005-0000-0000-0000938D0000}"/>
    <cellStyle name="Normal 57 6 2 4 7 2" xfId="16186" xr:uid="{00000000-0005-0000-0000-0000948D0000}"/>
    <cellStyle name="Normal 57 6 2 4 7 2 2" xfId="41060" xr:uid="{00000000-0005-0000-0000-0000958D0000}"/>
    <cellStyle name="Normal 57 6 2 4 7 3" xfId="28619" xr:uid="{00000000-0005-0000-0000-0000968D0000}"/>
    <cellStyle name="Normal 57 6 2 4 8" xfId="14677" xr:uid="{00000000-0005-0000-0000-0000978D0000}"/>
    <cellStyle name="Normal 57 6 2 4 8 2" xfId="39551" xr:uid="{00000000-0005-0000-0000-0000988D0000}"/>
    <cellStyle name="Normal 57 6 2 4 9" xfId="27110" xr:uid="{00000000-0005-0000-0000-0000998D0000}"/>
    <cellStyle name="Normal 57 6 2 5" xfId="2237" xr:uid="{00000000-0005-0000-0000-00009A8D0000}"/>
    <cellStyle name="Normal 57 6 2 5 2" xfId="4865" xr:uid="{00000000-0005-0000-0000-00009B8D0000}"/>
    <cellStyle name="Normal 57 6 2 5 2 2" xfId="9882" xr:uid="{00000000-0005-0000-0000-00009C8D0000}"/>
    <cellStyle name="Normal 57 6 2 5 2 2 2" xfId="22325" xr:uid="{00000000-0005-0000-0000-00009D8D0000}"/>
    <cellStyle name="Normal 57 6 2 5 2 2 2 2" xfId="47199" xr:uid="{00000000-0005-0000-0000-00009E8D0000}"/>
    <cellStyle name="Normal 57 6 2 5 2 2 3" xfId="34766" xr:uid="{00000000-0005-0000-0000-00009F8D0000}"/>
    <cellStyle name="Normal 57 6 2 5 2 3" xfId="17318" xr:uid="{00000000-0005-0000-0000-0000A08D0000}"/>
    <cellStyle name="Normal 57 6 2 5 2 3 2" xfId="42192" xr:uid="{00000000-0005-0000-0000-0000A18D0000}"/>
    <cellStyle name="Normal 57 6 2 5 2 4" xfId="29759" xr:uid="{00000000-0005-0000-0000-0000A28D0000}"/>
    <cellStyle name="Normal 57 6 2 5 3" xfId="6263" xr:uid="{00000000-0005-0000-0000-0000A38D0000}"/>
    <cellStyle name="Normal 57 6 2 5 3 2" xfId="11278" xr:uid="{00000000-0005-0000-0000-0000A48D0000}"/>
    <cellStyle name="Normal 57 6 2 5 3 2 2" xfId="23721" xr:uid="{00000000-0005-0000-0000-0000A58D0000}"/>
    <cellStyle name="Normal 57 6 2 5 3 2 2 2" xfId="48595" xr:uid="{00000000-0005-0000-0000-0000A68D0000}"/>
    <cellStyle name="Normal 57 6 2 5 3 2 3" xfId="36162" xr:uid="{00000000-0005-0000-0000-0000A78D0000}"/>
    <cellStyle name="Normal 57 6 2 5 3 3" xfId="18714" xr:uid="{00000000-0005-0000-0000-0000A88D0000}"/>
    <cellStyle name="Normal 57 6 2 5 3 3 2" xfId="43588" xr:uid="{00000000-0005-0000-0000-0000A98D0000}"/>
    <cellStyle name="Normal 57 6 2 5 3 4" xfId="31155" xr:uid="{00000000-0005-0000-0000-0000AA8D0000}"/>
    <cellStyle name="Normal 57 6 2 5 4" xfId="8070" xr:uid="{00000000-0005-0000-0000-0000AB8D0000}"/>
    <cellStyle name="Normal 57 6 2 5 4 2" xfId="20516" xr:uid="{00000000-0005-0000-0000-0000AC8D0000}"/>
    <cellStyle name="Normal 57 6 2 5 4 2 2" xfId="45390" xr:uid="{00000000-0005-0000-0000-0000AD8D0000}"/>
    <cellStyle name="Normal 57 6 2 5 4 3" xfId="32957" xr:uid="{00000000-0005-0000-0000-0000AE8D0000}"/>
    <cellStyle name="Normal 57 6 2 5 5" xfId="12732" xr:uid="{00000000-0005-0000-0000-0000AF8D0000}"/>
    <cellStyle name="Normal 57 6 2 5 5 2" xfId="25166" xr:uid="{00000000-0005-0000-0000-0000B08D0000}"/>
    <cellStyle name="Normal 57 6 2 5 5 2 2" xfId="50040" xr:uid="{00000000-0005-0000-0000-0000B18D0000}"/>
    <cellStyle name="Normal 57 6 2 5 5 3" xfId="37607" xr:uid="{00000000-0005-0000-0000-0000B28D0000}"/>
    <cellStyle name="Normal 57 6 2 5 6" xfId="7476" xr:uid="{00000000-0005-0000-0000-0000B38D0000}"/>
    <cellStyle name="Normal 57 6 2 5 6 2" xfId="19924" xr:uid="{00000000-0005-0000-0000-0000B48D0000}"/>
    <cellStyle name="Normal 57 6 2 5 6 2 2" xfId="44798" xr:uid="{00000000-0005-0000-0000-0000B58D0000}"/>
    <cellStyle name="Normal 57 6 2 5 6 3" xfId="32365" xr:uid="{00000000-0005-0000-0000-0000B68D0000}"/>
    <cellStyle name="Normal 57 6 2 5 7" xfId="2999" xr:uid="{00000000-0005-0000-0000-0000B78D0000}"/>
    <cellStyle name="Normal 57 6 2 5 7 2" xfId="15509" xr:uid="{00000000-0005-0000-0000-0000B88D0000}"/>
    <cellStyle name="Normal 57 6 2 5 7 2 2" xfId="40383" xr:uid="{00000000-0005-0000-0000-0000B98D0000}"/>
    <cellStyle name="Normal 57 6 2 5 7 3" xfId="27942" xr:uid="{00000000-0005-0000-0000-0000BA8D0000}"/>
    <cellStyle name="Normal 57 6 2 5 8" xfId="14917" xr:uid="{00000000-0005-0000-0000-0000BB8D0000}"/>
    <cellStyle name="Normal 57 6 2 5 8 2" xfId="39791" xr:uid="{00000000-0005-0000-0000-0000BC8D0000}"/>
    <cellStyle name="Normal 57 6 2 5 9" xfId="27350" xr:uid="{00000000-0005-0000-0000-0000BD8D0000}"/>
    <cellStyle name="Normal 57 6 2 6" xfId="1074" xr:uid="{00000000-0005-0000-0000-0000BE8D0000}"/>
    <cellStyle name="Normal 57 6 2 6 2" xfId="8956" xr:uid="{00000000-0005-0000-0000-0000BF8D0000}"/>
    <cellStyle name="Normal 57 6 2 6 2 2" xfId="21399" xr:uid="{00000000-0005-0000-0000-0000C08D0000}"/>
    <cellStyle name="Normal 57 6 2 6 2 2 2" xfId="46273" xr:uid="{00000000-0005-0000-0000-0000C18D0000}"/>
    <cellStyle name="Normal 57 6 2 6 2 3" xfId="33840" xr:uid="{00000000-0005-0000-0000-0000C28D0000}"/>
    <cellStyle name="Normal 57 6 2 6 3" xfId="3938" xr:uid="{00000000-0005-0000-0000-0000C38D0000}"/>
    <cellStyle name="Normal 57 6 2 6 3 2" xfId="16392" xr:uid="{00000000-0005-0000-0000-0000C48D0000}"/>
    <cellStyle name="Normal 57 6 2 6 3 2 2" xfId="41266" xr:uid="{00000000-0005-0000-0000-0000C58D0000}"/>
    <cellStyle name="Normal 57 6 2 6 3 3" xfId="28833" xr:uid="{00000000-0005-0000-0000-0000C68D0000}"/>
    <cellStyle name="Normal 57 6 2 6 4" xfId="13874" xr:uid="{00000000-0005-0000-0000-0000C78D0000}"/>
    <cellStyle name="Normal 57 6 2 6 4 2" xfId="38748" xr:uid="{00000000-0005-0000-0000-0000C88D0000}"/>
    <cellStyle name="Normal 57 6 2 6 5" xfId="26307" xr:uid="{00000000-0005-0000-0000-0000C98D0000}"/>
    <cellStyle name="Normal 57 6 2 7" xfId="5219" xr:uid="{00000000-0005-0000-0000-0000CA8D0000}"/>
    <cellStyle name="Normal 57 6 2 7 2" xfId="10235" xr:uid="{00000000-0005-0000-0000-0000CB8D0000}"/>
    <cellStyle name="Normal 57 6 2 7 2 2" xfId="22678" xr:uid="{00000000-0005-0000-0000-0000CC8D0000}"/>
    <cellStyle name="Normal 57 6 2 7 2 2 2" xfId="47552" xr:uid="{00000000-0005-0000-0000-0000CD8D0000}"/>
    <cellStyle name="Normal 57 6 2 7 2 3" xfId="35119" xr:uid="{00000000-0005-0000-0000-0000CE8D0000}"/>
    <cellStyle name="Normal 57 6 2 7 3" xfId="17671" xr:uid="{00000000-0005-0000-0000-0000CF8D0000}"/>
    <cellStyle name="Normal 57 6 2 7 3 2" xfId="42545" xr:uid="{00000000-0005-0000-0000-0000D08D0000}"/>
    <cellStyle name="Normal 57 6 2 7 4" xfId="30112" xr:uid="{00000000-0005-0000-0000-0000D18D0000}"/>
    <cellStyle name="Normal 57 6 2 8" xfId="7796" xr:uid="{00000000-0005-0000-0000-0000D28D0000}"/>
    <cellStyle name="Normal 57 6 2 8 2" xfId="20242" xr:uid="{00000000-0005-0000-0000-0000D38D0000}"/>
    <cellStyle name="Normal 57 6 2 8 2 2" xfId="45116" xr:uid="{00000000-0005-0000-0000-0000D48D0000}"/>
    <cellStyle name="Normal 57 6 2 8 3" xfId="32683" xr:uid="{00000000-0005-0000-0000-0000D58D0000}"/>
    <cellStyle name="Normal 57 6 2 9" xfId="11689" xr:uid="{00000000-0005-0000-0000-0000D68D0000}"/>
    <cellStyle name="Normal 57 6 2 9 2" xfId="24123" xr:uid="{00000000-0005-0000-0000-0000D78D0000}"/>
    <cellStyle name="Normal 57 6 2 9 2 2" xfId="48997" xr:uid="{00000000-0005-0000-0000-0000D88D0000}"/>
    <cellStyle name="Normal 57 6 2 9 3" xfId="36564" xr:uid="{00000000-0005-0000-0000-0000D98D0000}"/>
    <cellStyle name="Normal 57 6 2_Degree data" xfId="2494" xr:uid="{00000000-0005-0000-0000-0000DA8D0000}"/>
    <cellStyle name="Normal 57 6 3" xfId="268" xr:uid="{00000000-0005-0000-0000-0000DB8D0000}"/>
    <cellStyle name="Normal 57 6 3 10" xfId="6608" xr:uid="{00000000-0005-0000-0000-0000DC8D0000}"/>
    <cellStyle name="Normal 57 6 3 10 2" xfId="19057" xr:uid="{00000000-0005-0000-0000-0000DD8D0000}"/>
    <cellStyle name="Normal 57 6 3 10 2 2" xfId="43931" xr:uid="{00000000-0005-0000-0000-0000DE8D0000}"/>
    <cellStyle name="Normal 57 6 3 10 3" xfId="31498" xr:uid="{00000000-0005-0000-0000-0000DF8D0000}"/>
    <cellStyle name="Normal 57 6 3 11" xfId="2671" xr:uid="{00000000-0005-0000-0000-0000E08D0000}"/>
    <cellStyle name="Normal 57 6 3 11 2" xfId="15189" xr:uid="{00000000-0005-0000-0000-0000E18D0000}"/>
    <cellStyle name="Normal 57 6 3 11 2 2" xfId="40063" xr:uid="{00000000-0005-0000-0000-0000E28D0000}"/>
    <cellStyle name="Normal 57 6 3 11 3" xfId="27622" xr:uid="{00000000-0005-0000-0000-0000E38D0000}"/>
    <cellStyle name="Normal 57 6 3 12" xfId="13090" xr:uid="{00000000-0005-0000-0000-0000E48D0000}"/>
    <cellStyle name="Normal 57 6 3 12 2" xfId="37964" xr:uid="{00000000-0005-0000-0000-0000E58D0000}"/>
    <cellStyle name="Normal 57 6 3 13" xfId="25523" xr:uid="{00000000-0005-0000-0000-0000E68D0000}"/>
    <cellStyle name="Normal 57 6 3 2" xfId="482" xr:uid="{00000000-0005-0000-0000-0000E78D0000}"/>
    <cellStyle name="Normal 57 6 3 2 10" xfId="13295" xr:uid="{00000000-0005-0000-0000-0000E88D0000}"/>
    <cellStyle name="Normal 57 6 3 2 10 2" xfId="38169" xr:uid="{00000000-0005-0000-0000-0000E98D0000}"/>
    <cellStyle name="Normal 57 6 3 2 11" xfId="25728" xr:uid="{00000000-0005-0000-0000-0000EA8D0000}"/>
    <cellStyle name="Normal 57 6 3 2 2" xfId="841" xr:uid="{00000000-0005-0000-0000-0000EB8D0000}"/>
    <cellStyle name="Normal 57 6 3 2 2 2" xfId="1532" xr:uid="{00000000-0005-0000-0000-0000EC8D0000}"/>
    <cellStyle name="Normal 57 6 3 2 2 2 2" xfId="9636" xr:uid="{00000000-0005-0000-0000-0000ED8D0000}"/>
    <cellStyle name="Normal 57 6 3 2 2 2 2 2" xfId="22079" xr:uid="{00000000-0005-0000-0000-0000EE8D0000}"/>
    <cellStyle name="Normal 57 6 3 2 2 2 2 2 2" xfId="46953" xr:uid="{00000000-0005-0000-0000-0000EF8D0000}"/>
    <cellStyle name="Normal 57 6 3 2 2 2 2 3" xfId="34520" xr:uid="{00000000-0005-0000-0000-0000F08D0000}"/>
    <cellStyle name="Normal 57 6 3 2 2 2 3" xfId="4618" xr:uid="{00000000-0005-0000-0000-0000F18D0000}"/>
    <cellStyle name="Normal 57 6 3 2 2 2 3 2" xfId="17072" xr:uid="{00000000-0005-0000-0000-0000F28D0000}"/>
    <cellStyle name="Normal 57 6 3 2 2 2 3 2 2" xfId="41946" xr:uid="{00000000-0005-0000-0000-0000F38D0000}"/>
    <cellStyle name="Normal 57 6 3 2 2 2 3 3" xfId="29513" xr:uid="{00000000-0005-0000-0000-0000F48D0000}"/>
    <cellStyle name="Normal 57 6 3 2 2 2 4" xfId="14332" xr:uid="{00000000-0005-0000-0000-0000F58D0000}"/>
    <cellStyle name="Normal 57 6 3 2 2 2 4 2" xfId="39206" xr:uid="{00000000-0005-0000-0000-0000F68D0000}"/>
    <cellStyle name="Normal 57 6 3 2 2 2 5" xfId="26765" xr:uid="{00000000-0005-0000-0000-0000F78D0000}"/>
    <cellStyle name="Normal 57 6 3 2 2 3" xfId="5677" xr:uid="{00000000-0005-0000-0000-0000F88D0000}"/>
    <cellStyle name="Normal 57 6 3 2 2 3 2" xfId="10693" xr:uid="{00000000-0005-0000-0000-0000F98D0000}"/>
    <cellStyle name="Normal 57 6 3 2 2 3 2 2" xfId="23136" xr:uid="{00000000-0005-0000-0000-0000FA8D0000}"/>
    <cellStyle name="Normal 57 6 3 2 2 3 2 2 2" xfId="48010" xr:uid="{00000000-0005-0000-0000-0000FB8D0000}"/>
    <cellStyle name="Normal 57 6 3 2 2 3 2 3" xfId="35577" xr:uid="{00000000-0005-0000-0000-0000FC8D0000}"/>
    <cellStyle name="Normal 57 6 3 2 2 3 3" xfId="18129" xr:uid="{00000000-0005-0000-0000-0000FD8D0000}"/>
    <cellStyle name="Normal 57 6 3 2 2 3 3 2" xfId="43003" xr:uid="{00000000-0005-0000-0000-0000FE8D0000}"/>
    <cellStyle name="Normal 57 6 3 2 2 3 4" xfId="30570" xr:uid="{00000000-0005-0000-0000-0000FF8D0000}"/>
    <cellStyle name="Normal 57 6 3 2 2 4" xfId="8752" xr:uid="{00000000-0005-0000-0000-0000008E0000}"/>
    <cellStyle name="Normal 57 6 3 2 2 4 2" xfId="21196" xr:uid="{00000000-0005-0000-0000-0000018E0000}"/>
    <cellStyle name="Normal 57 6 3 2 2 4 2 2" xfId="46070" xr:uid="{00000000-0005-0000-0000-0000028E0000}"/>
    <cellStyle name="Normal 57 6 3 2 2 4 3" xfId="33637" xr:uid="{00000000-0005-0000-0000-0000038E0000}"/>
    <cellStyle name="Normal 57 6 3 2 2 5" xfId="12147" xr:uid="{00000000-0005-0000-0000-0000048E0000}"/>
    <cellStyle name="Normal 57 6 3 2 2 5 2" xfId="24581" xr:uid="{00000000-0005-0000-0000-0000058E0000}"/>
    <cellStyle name="Normal 57 6 3 2 2 5 2 2" xfId="49455" xr:uid="{00000000-0005-0000-0000-0000068E0000}"/>
    <cellStyle name="Normal 57 6 3 2 2 5 3" xfId="37022" xr:uid="{00000000-0005-0000-0000-0000078E0000}"/>
    <cellStyle name="Normal 57 6 3 2 2 6" xfId="7229" xr:uid="{00000000-0005-0000-0000-0000088E0000}"/>
    <cellStyle name="Normal 57 6 3 2 2 6 2" xfId="19678" xr:uid="{00000000-0005-0000-0000-0000098E0000}"/>
    <cellStyle name="Normal 57 6 3 2 2 6 2 2" xfId="44552" xr:uid="{00000000-0005-0000-0000-00000A8E0000}"/>
    <cellStyle name="Normal 57 6 3 2 2 6 3" xfId="32119" xr:uid="{00000000-0005-0000-0000-00000B8E0000}"/>
    <cellStyle name="Normal 57 6 3 2 2 7" xfId="3683" xr:uid="{00000000-0005-0000-0000-00000C8E0000}"/>
    <cellStyle name="Normal 57 6 3 2 2 7 2" xfId="16189" xr:uid="{00000000-0005-0000-0000-00000D8E0000}"/>
    <cellStyle name="Normal 57 6 3 2 2 7 2 2" xfId="41063" xr:uid="{00000000-0005-0000-0000-00000E8E0000}"/>
    <cellStyle name="Normal 57 6 3 2 2 7 3" xfId="28622" xr:uid="{00000000-0005-0000-0000-00000F8E0000}"/>
    <cellStyle name="Normal 57 6 3 2 2 8" xfId="13642" xr:uid="{00000000-0005-0000-0000-0000108E0000}"/>
    <cellStyle name="Normal 57 6 3 2 2 8 2" xfId="38516" xr:uid="{00000000-0005-0000-0000-0000118E0000}"/>
    <cellStyle name="Normal 57 6 3 2 2 9" xfId="26075" xr:uid="{00000000-0005-0000-0000-0000128E0000}"/>
    <cellStyle name="Normal 57 6 3 2 3" xfId="1880" xr:uid="{00000000-0005-0000-0000-0000138E0000}"/>
    <cellStyle name="Normal 57 6 3 2 3 2" xfId="5024" xr:uid="{00000000-0005-0000-0000-0000148E0000}"/>
    <cellStyle name="Normal 57 6 3 2 3 2 2" xfId="10041" xr:uid="{00000000-0005-0000-0000-0000158E0000}"/>
    <cellStyle name="Normal 57 6 3 2 3 2 2 2" xfId="22484" xr:uid="{00000000-0005-0000-0000-0000168E0000}"/>
    <cellStyle name="Normal 57 6 3 2 3 2 2 2 2" xfId="47358" xr:uid="{00000000-0005-0000-0000-0000178E0000}"/>
    <cellStyle name="Normal 57 6 3 2 3 2 2 3" xfId="34925" xr:uid="{00000000-0005-0000-0000-0000188E0000}"/>
    <cellStyle name="Normal 57 6 3 2 3 2 3" xfId="17477" xr:uid="{00000000-0005-0000-0000-0000198E0000}"/>
    <cellStyle name="Normal 57 6 3 2 3 2 3 2" xfId="42351" xr:uid="{00000000-0005-0000-0000-00001A8E0000}"/>
    <cellStyle name="Normal 57 6 3 2 3 2 4" xfId="29918" xr:uid="{00000000-0005-0000-0000-00001B8E0000}"/>
    <cellStyle name="Normal 57 6 3 2 3 3" xfId="6026" xr:uid="{00000000-0005-0000-0000-00001C8E0000}"/>
    <cellStyle name="Normal 57 6 3 2 3 3 2" xfId="11041" xr:uid="{00000000-0005-0000-0000-00001D8E0000}"/>
    <cellStyle name="Normal 57 6 3 2 3 3 2 2" xfId="23484" xr:uid="{00000000-0005-0000-0000-00001E8E0000}"/>
    <cellStyle name="Normal 57 6 3 2 3 3 2 2 2" xfId="48358" xr:uid="{00000000-0005-0000-0000-00001F8E0000}"/>
    <cellStyle name="Normal 57 6 3 2 3 3 2 3" xfId="35925" xr:uid="{00000000-0005-0000-0000-0000208E0000}"/>
    <cellStyle name="Normal 57 6 3 2 3 3 3" xfId="18477" xr:uid="{00000000-0005-0000-0000-0000218E0000}"/>
    <cellStyle name="Normal 57 6 3 2 3 3 3 2" xfId="43351" xr:uid="{00000000-0005-0000-0000-0000228E0000}"/>
    <cellStyle name="Normal 57 6 3 2 3 3 4" xfId="30918" xr:uid="{00000000-0005-0000-0000-0000238E0000}"/>
    <cellStyle name="Normal 57 6 3 2 3 4" xfId="8448" xr:uid="{00000000-0005-0000-0000-0000248E0000}"/>
    <cellStyle name="Normal 57 6 3 2 3 4 2" xfId="20892" xr:uid="{00000000-0005-0000-0000-0000258E0000}"/>
    <cellStyle name="Normal 57 6 3 2 3 4 2 2" xfId="45766" xr:uid="{00000000-0005-0000-0000-0000268E0000}"/>
    <cellStyle name="Normal 57 6 3 2 3 4 3" xfId="33333" xr:uid="{00000000-0005-0000-0000-0000278E0000}"/>
    <cellStyle name="Normal 57 6 3 2 3 5" xfId="12495" xr:uid="{00000000-0005-0000-0000-0000288E0000}"/>
    <cellStyle name="Normal 57 6 3 2 3 5 2" xfId="24929" xr:uid="{00000000-0005-0000-0000-0000298E0000}"/>
    <cellStyle name="Normal 57 6 3 2 3 5 2 2" xfId="49803" xr:uid="{00000000-0005-0000-0000-00002A8E0000}"/>
    <cellStyle name="Normal 57 6 3 2 3 5 3" xfId="37370" xr:uid="{00000000-0005-0000-0000-00002B8E0000}"/>
    <cellStyle name="Normal 57 6 3 2 3 6" xfId="7635" xr:uid="{00000000-0005-0000-0000-00002C8E0000}"/>
    <cellStyle name="Normal 57 6 3 2 3 6 2" xfId="20083" xr:uid="{00000000-0005-0000-0000-00002D8E0000}"/>
    <cellStyle name="Normal 57 6 3 2 3 6 2 2" xfId="44957" xr:uid="{00000000-0005-0000-0000-00002E8E0000}"/>
    <cellStyle name="Normal 57 6 3 2 3 6 3" xfId="32524" xr:uid="{00000000-0005-0000-0000-00002F8E0000}"/>
    <cellStyle name="Normal 57 6 3 2 3 7" xfId="3379" xr:uid="{00000000-0005-0000-0000-0000308E0000}"/>
    <cellStyle name="Normal 57 6 3 2 3 7 2" xfId="15885" xr:uid="{00000000-0005-0000-0000-0000318E0000}"/>
    <cellStyle name="Normal 57 6 3 2 3 7 2 2" xfId="40759" xr:uid="{00000000-0005-0000-0000-0000328E0000}"/>
    <cellStyle name="Normal 57 6 3 2 3 7 3" xfId="28318" xr:uid="{00000000-0005-0000-0000-0000338E0000}"/>
    <cellStyle name="Normal 57 6 3 2 3 8" xfId="14680" xr:uid="{00000000-0005-0000-0000-0000348E0000}"/>
    <cellStyle name="Normal 57 6 3 2 3 8 2" xfId="39554" xr:uid="{00000000-0005-0000-0000-0000358E0000}"/>
    <cellStyle name="Normal 57 6 3 2 3 9" xfId="27113" xr:uid="{00000000-0005-0000-0000-0000368E0000}"/>
    <cellStyle name="Normal 57 6 3 2 4" xfId="2400" xr:uid="{00000000-0005-0000-0000-0000378E0000}"/>
    <cellStyle name="Normal 57 6 3 2 4 2" xfId="6422" xr:uid="{00000000-0005-0000-0000-0000388E0000}"/>
    <cellStyle name="Normal 57 6 3 2 4 2 2" xfId="11437" xr:uid="{00000000-0005-0000-0000-0000398E0000}"/>
    <cellStyle name="Normal 57 6 3 2 4 2 2 2" xfId="23880" xr:uid="{00000000-0005-0000-0000-00003A8E0000}"/>
    <cellStyle name="Normal 57 6 3 2 4 2 2 2 2" xfId="48754" xr:uid="{00000000-0005-0000-0000-00003B8E0000}"/>
    <cellStyle name="Normal 57 6 3 2 4 2 2 3" xfId="36321" xr:uid="{00000000-0005-0000-0000-00003C8E0000}"/>
    <cellStyle name="Normal 57 6 3 2 4 2 3" xfId="18873" xr:uid="{00000000-0005-0000-0000-00003D8E0000}"/>
    <cellStyle name="Normal 57 6 3 2 4 2 3 2" xfId="43747" xr:uid="{00000000-0005-0000-0000-00003E8E0000}"/>
    <cellStyle name="Normal 57 6 3 2 4 2 4" xfId="31314" xr:uid="{00000000-0005-0000-0000-00003F8E0000}"/>
    <cellStyle name="Normal 57 6 3 2 4 3" xfId="12891" xr:uid="{00000000-0005-0000-0000-0000408E0000}"/>
    <cellStyle name="Normal 57 6 3 2 4 3 2" xfId="25325" xr:uid="{00000000-0005-0000-0000-0000418E0000}"/>
    <cellStyle name="Normal 57 6 3 2 4 3 2 2" xfId="50199" xr:uid="{00000000-0005-0000-0000-0000428E0000}"/>
    <cellStyle name="Normal 57 6 3 2 4 3 3" xfId="37766" xr:uid="{00000000-0005-0000-0000-0000438E0000}"/>
    <cellStyle name="Normal 57 6 3 2 4 4" xfId="9332" xr:uid="{00000000-0005-0000-0000-0000448E0000}"/>
    <cellStyle name="Normal 57 6 3 2 4 4 2" xfId="21775" xr:uid="{00000000-0005-0000-0000-0000458E0000}"/>
    <cellStyle name="Normal 57 6 3 2 4 4 2 2" xfId="46649" xr:uid="{00000000-0005-0000-0000-0000468E0000}"/>
    <cellStyle name="Normal 57 6 3 2 4 4 3" xfId="34216" xr:uid="{00000000-0005-0000-0000-0000478E0000}"/>
    <cellStyle name="Normal 57 6 3 2 4 5" xfId="4314" xr:uid="{00000000-0005-0000-0000-0000488E0000}"/>
    <cellStyle name="Normal 57 6 3 2 4 5 2" xfId="16768" xr:uid="{00000000-0005-0000-0000-0000498E0000}"/>
    <cellStyle name="Normal 57 6 3 2 4 5 2 2" xfId="41642" xr:uid="{00000000-0005-0000-0000-00004A8E0000}"/>
    <cellStyle name="Normal 57 6 3 2 4 5 3" xfId="29209" xr:uid="{00000000-0005-0000-0000-00004B8E0000}"/>
    <cellStyle name="Normal 57 6 3 2 4 6" xfId="15076" xr:uid="{00000000-0005-0000-0000-00004C8E0000}"/>
    <cellStyle name="Normal 57 6 3 2 4 6 2" xfId="39950" xr:uid="{00000000-0005-0000-0000-00004D8E0000}"/>
    <cellStyle name="Normal 57 6 3 2 4 7" xfId="27509" xr:uid="{00000000-0005-0000-0000-00004E8E0000}"/>
    <cellStyle name="Normal 57 6 3 2 5" xfId="1233" xr:uid="{00000000-0005-0000-0000-00004F8E0000}"/>
    <cellStyle name="Normal 57 6 3 2 5 2" xfId="10394" xr:uid="{00000000-0005-0000-0000-0000508E0000}"/>
    <cellStyle name="Normal 57 6 3 2 5 2 2" xfId="22837" xr:uid="{00000000-0005-0000-0000-0000518E0000}"/>
    <cellStyle name="Normal 57 6 3 2 5 2 2 2" xfId="47711" xr:uid="{00000000-0005-0000-0000-0000528E0000}"/>
    <cellStyle name="Normal 57 6 3 2 5 2 3" xfId="35278" xr:uid="{00000000-0005-0000-0000-0000538E0000}"/>
    <cellStyle name="Normal 57 6 3 2 5 3" xfId="5378" xr:uid="{00000000-0005-0000-0000-0000548E0000}"/>
    <cellStyle name="Normal 57 6 3 2 5 3 2" xfId="17830" xr:uid="{00000000-0005-0000-0000-0000558E0000}"/>
    <cellStyle name="Normal 57 6 3 2 5 3 2 2" xfId="42704" xr:uid="{00000000-0005-0000-0000-0000568E0000}"/>
    <cellStyle name="Normal 57 6 3 2 5 3 3" xfId="30271" xr:uid="{00000000-0005-0000-0000-0000578E0000}"/>
    <cellStyle name="Normal 57 6 3 2 5 4" xfId="14033" xr:uid="{00000000-0005-0000-0000-0000588E0000}"/>
    <cellStyle name="Normal 57 6 3 2 5 4 2" xfId="38907" xr:uid="{00000000-0005-0000-0000-0000598E0000}"/>
    <cellStyle name="Normal 57 6 3 2 5 5" xfId="26466" xr:uid="{00000000-0005-0000-0000-00005A8E0000}"/>
    <cellStyle name="Normal 57 6 3 2 6" xfId="7955" xr:uid="{00000000-0005-0000-0000-00005B8E0000}"/>
    <cellStyle name="Normal 57 6 3 2 6 2" xfId="20401" xr:uid="{00000000-0005-0000-0000-00005C8E0000}"/>
    <cellStyle name="Normal 57 6 3 2 6 2 2" xfId="45275" xr:uid="{00000000-0005-0000-0000-00005D8E0000}"/>
    <cellStyle name="Normal 57 6 3 2 6 3" xfId="32842" xr:uid="{00000000-0005-0000-0000-00005E8E0000}"/>
    <cellStyle name="Normal 57 6 3 2 7" xfId="11848" xr:uid="{00000000-0005-0000-0000-00005F8E0000}"/>
    <cellStyle name="Normal 57 6 3 2 7 2" xfId="24282" xr:uid="{00000000-0005-0000-0000-0000608E0000}"/>
    <cellStyle name="Normal 57 6 3 2 7 2 2" xfId="49156" xr:uid="{00000000-0005-0000-0000-0000618E0000}"/>
    <cellStyle name="Normal 57 6 3 2 7 3" xfId="36723" xr:uid="{00000000-0005-0000-0000-0000628E0000}"/>
    <cellStyle name="Normal 57 6 3 2 8" xfId="6925" xr:uid="{00000000-0005-0000-0000-0000638E0000}"/>
    <cellStyle name="Normal 57 6 3 2 8 2" xfId="19374" xr:uid="{00000000-0005-0000-0000-0000648E0000}"/>
    <cellStyle name="Normal 57 6 3 2 8 2 2" xfId="44248" xr:uid="{00000000-0005-0000-0000-0000658E0000}"/>
    <cellStyle name="Normal 57 6 3 2 8 3" xfId="31815" xr:uid="{00000000-0005-0000-0000-0000668E0000}"/>
    <cellStyle name="Normal 57 6 3 2 9" xfId="2876" xr:uid="{00000000-0005-0000-0000-0000678E0000}"/>
    <cellStyle name="Normal 57 6 3 2 9 2" xfId="15394" xr:uid="{00000000-0005-0000-0000-0000688E0000}"/>
    <cellStyle name="Normal 57 6 3 2 9 2 2" xfId="40268" xr:uid="{00000000-0005-0000-0000-0000698E0000}"/>
    <cellStyle name="Normal 57 6 3 2 9 3" xfId="27827" xr:uid="{00000000-0005-0000-0000-00006A8E0000}"/>
    <cellStyle name="Normal 57 6 3 2_Degree data" xfId="2497" xr:uid="{00000000-0005-0000-0000-00006B8E0000}"/>
    <cellStyle name="Normal 57 6 3 3" xfId="630" xr:uid="{00000000-0005-0000-0000-00006C8E0000}"/>
    <cellStyle name="Normal 57 6 3 3 2" xfId="1531" xr:uid="{00000000-0005-0000-0000-00006D8E0000}"/>
    <cellStyle name="Normal 57 6 3 3 2 2" xfId="9127" xr:uid="{00000000-0005-0000-0000-00006E8E0000}"/>
    <cellStyle name="Normal 57 6 3 3 2 2 2" xfId="21570" xr:uid="{00000000-0005-0000-0000-00006F8E0000}"/>
    <cellStyle name="Normal 57 6 3 3 2 2 2 2" xfId="46444" xr:uid="{00000000-0005-0000-0000-0000708E0000}"/>
    <cellStyle name="Normal 57 6 3 3 2 2 3" xfId="34011" xr:uid="{00000000-0005-0000-0000-0000718E0000}"/>
    <cellStyle name="Normal 57 6 3 3 2 3" xfId="4109" xr:uid="{00000000-0005-0000-0000-0000728E0000}"/>
    <cellStyle name="Normal 57 6 3 3 2 3 2" xfId="16563" xr:uid="{00000000-0005-0000-0000-0000738E0000}"/>
    <cellStyle name="Normal 57 6 3 3 2 3 2 2" xfId="41437" xr:uid="{00000000-0005-0000-0000-0000748E0000}"/>
    <cellStyle name="Normal 57 6 3 3 2 3 3" xfId="29004" xr:uid="{00000000-0005-0000-0000-0000758E0000}"/>
    <cellStyle name="Normal 57 6 3 3 2 4" xfId="14331" xr:uid="{00000000-0005-0000-0000-0000768E0000}"/>
    <cellStyle name="Normal 57 6 3 3 2 4 2" xfId="39205" xr:uid="{00000000-0005-0000-0000-0000778E0000}"/>
    <cellStyle name="Normal 57 6 3 3 2 5" xfId="26764" xr:uid="{00000000-0005-0000-0000-0000788E0000}"/>
    <cellStyle name="Normal 57 6 3 3 3" xfId="5676" xr:uid="{00000000-0005-0000-0000-0000798E0000}"/>
    <cellStyle name="Normal 57 6 3 3 3 2" xfId="10692" xr:uid="{00000000-0005-0000-0000-00007A8E0000}"/>
    <cellStyle name="Normal 57 6 3 3 3 2 2" xfId="23135" xr:uid="{00000000-0005-0000-0000-00007B8E0000}"/>
    <cellStyle name="Normal 57 6 3 3 3 2 2 2" xfId="48009" xr:uid="{00000000-0005-0000-0000-00007C8E0000}"/>
    <cellStyle name="Normal 57 6 3 3 3 2 3" xfId="35576" xr:uid="{00000000-0005-0000-0000-00007D8E0000}"/>
    <cellStyle name="Normal 57 6 3 3 3 3" xfId="18128" xr:uid="{00000000-0005-0000-0000-00007E8E0000}"/>
    <cellStyle name="Normal 57 6 3 3 3 3 2" xfId="43002" xr:uid="{00000000-0005-0000-0000-00007F8E0000}"/>
    <cellStyle name="Normal 57 6 3 3 3 4" xfId="30569" xr:uid="{00000000-0005-0000-0000-0000808E0000}"/>
    <cellStyle name="Normal 57 6 3 3 4" xfId="8243" xr:uid="{00000000-0005-0000-0000-0000818E0000}"/>
    <cellStyle name="Normal 57 6 3 3 4 2" xfId="20687" xr:uid="{00000000-0005-0000-0000-0000828E0000}"/>
    <cellStyle name="Normal 57 6 3 3 4 2 2" xfId="45561" xr:uid="{00000000-0005-0000-0000-0000838E0000}"/>
    <cellStyle name="Normal 57 6 3 3 4 3" xfId="33128" xr:uid="{00000000-0005-0000-0000-0000848E0000}"/>
    <cellStyle name="Normal 57 6 3 3 5" xfId="12146" xr:uid="{00000000-0005-0000-0000-0000858E0000}"/>
    <cellStyle name="Normal 57 6 3 3 5 2" xfId="24580" xr:uid="{00000000-0005-0000-0000-0000868E0000}"/>
    <cellStyle name="Normal 57 6 3 3 5 2 2" xfId="49454" xr:uid="{00000000-0005-0000-0000-0000878E0000}"/>
    <cellStyle name="Normal 57 6 3 3 5 3" xfId="37021" xr:uid="{00000000-0005-0000-0000-0000888E0000}"/>
    <cellStyle name="Normal 57 6 3 3 6" xfId="6720" xr:uid="{00000000-0005-0000-0000-0000898E0000}"/>
    <cellStyle name="Normal 57 6 3 3 6 2" xfId="19169" xr:uid="{00000000-0005-0000-0000-00008A8E0000}"/>
    <cellStyle name="Normal 57 6 3 3 6 2 2" xfId="44043" xr:uid="{00000000-0005-0000-0000-00008B8E0000}"/>
    <cellStyle name="Normal 57 6 3 3 6 3" xfId="31610" xr:uid="{00000000-0005-0000-0000-00008C8E0000}"/>
    <cellStyle name="Normal 57 6 3 3 7" xfId="3174" xr:uid="{00000000-0005-0000-0000-00008D8E0000}"/>
    <cellStyle name="Normal 57 6 3 3 7 2" xfId="15680" xr:uid="{00000000-0005-0000-0000-00008E8E0000}"/>
    <cellStyle name="Normal 57 6 3 3 7 2 2" xfId="40554" xr:uid="{00000000-0005-0000-0000-00008F8E0000}"/>
    <cellStyle name="Normal 57 6 3 3 7 3" xfId="28113" xr:uid="{00000000-0005-0000-0000-0000908E0000}"/>
    <cellStyle name="Normal 57 6 3 3 8" xfId="13437" xr:uid="{00000000-0005-0000-0000-0000918E0000}"/>
    <cellStyle name="Normal 57 6 3 3 8 2" xfId="38311" xr:uid="{00000000-0005-0000-0000-0000928E0000}"/>
    <cellStyle name="Normal 57 6 3 3 9" xfId="25870" xr:uid="{00000000-0005-0000-0000-0000938E0000}"/>
    <cellStyle name="Normal 57 6 3 4" xfId="1879" xr:uid="{00000000-0005-0000-0000-0000948E0000}"/>
    <cellStyle name="Normal 57 6 3 4 2" xfId="4617" xr:uid="{00000000-0005-0000-0000-0000958E0000}"/>
    <cellStyle name="Normal 57 6 3 4 2 2" xfId="9635" xr:uid="{00000000-0005-0000-0000-0000968E0000}"/>
    <cellStyle name="Normal 57 6 3 4 2 2 2" xfId="22078" xr:uid="{00000000-0005-0000-0000-0000978E0000}"/>
    <cellStyle name="Normal 57 6 3 4 2 2 2 2" xfId="46952" xr:uid="{00000000-0005-0000-0000-0000988E0000}"/>
    <cellStyle name="Normal 57 6 3 4 2 2 3" xfId="34519" xr:uid="{00000000-0005-0000-0000-0000998E0000}"/>
    <cellStyle name="Normal 57 6 3 4 2 3" xfId="17071" xr:uid="{00000000-0005-0000-0000-00009A8E0000}"/>
    <cellStyle name="Normal 57 6 3 4 2 3 2" xfId="41945" xr:uid="{00000000-0005-0000-0000-00009B8E0000}"/>
    <cellStyle name="Normal 57 6 3 4 2 4" xfId="29512" xr:uid="{00000000-0005-0000-0000-00009C8E0000}"/>
    <cellStyle name="Normal 57 6 3 4 3" xfId="6025" xr:uid="{00000000-0005-0000-0000-00009D8E0000}"/>
    <cellStyle name="Normal 57 6 3 4 3 2" xfId="11040" xr:uid="{00000000-0005-0000-0000-00009E8E0000}"/>
    <cellStyle name="Normal 57 6 3 4 3 2 2" xfId="23483" xr:uid="{00000000-0005-0000-0000-00009F8E0000}"/>
    <cellStyle name="Normal 57 6 3 4 3 2 2 2" xfId="48357" xr:uid="{00000000-0005-0000-0000-0000A08E0000}"/>
    <cellStyle name="Normal 57 6 3 4 3 2 3" xfId="35924" xr:uid="{00000000-0005-0000-0000-0000A18E0000}"/>
    <cellStyle name="Normal 57 6 3 4 3 3" xfId="18476" xr:uid="{00000000-0005-0000-0000-0000A28E0000}"/>
    <cellStyle name="Normal 57 6 3 4 3 3 2" xfId="43350" xr:uid="{00000000-0005-0000-0000-0000A38E0000}"/>
    <cellStyle name="Normal 57 6 3 4 3 4" xfId="30917" xr:uid="{00000000-0005-0000-0000-0000A48E0000}"/>
    <cellStyle name="Normal 57 6 3 4 4" xfId="8751" xr:uid="{00000000-0005-0000-0000-0000A58E0000}"/>
    <cellStyle name="Normal 57 6 3 4 4 2" xfId="21195" xr:uid="{00000000-0005-0000-0000-0000A68E0000}"/>
    <cellStyle name="Normal 57 6 3 4 4 2 2" xfId="46069" xr:uid="{00000000-0005-0000-0000-0000A78E0000}"/>
    <cellStyle name="Normal 57 6 3 4 4 3" xfId="33636" xr:uid="{00000000-0005-0000-0000-0000A88E0000}"/>
    <cellStyle name="Normal 57 6 3 4 5" xfId="12494" xr:uid="{00000000-0005-0000-0000-0000A98E0000}"/>
    <cellStyle name="Normal 57 6 3 4 5 2" xfId="24928" xr:uid="{00000000-0005-0000-0000-0000AA8E0000}"/>
    <cellStyle name="Normal 57 6 3 4 5 2 2" xfId="49802" xr:uid="{00000000-0005-0000-0000-0000AB8E0000}"/>
    <cellStyle name="Normal 57 6 3 4 5 3" xfId="37369" xr:uid="{00000000-0005-0000-0000-0000AC8E0000}"/>
    <cellStyle name="Normal 57 6 3 4 6" xfId="7228" xr:uid="{00000000-0005-0000-0000-0000AD8E0000}"/>
    <cellStyle name="Normal 57 6 3 4 6 2" xfId="19677" xr:uid="{00000000-0005-0000-0000-0000AE8E0000}"/>
    <cellStyle name="Normal 57 6 3 4 6 2 2" xfId="44551" xr:uid="{00000000-0005-0000-0000-0000AF8E0000}"/>
    <cellStyle name="Normal 57 6 3 4 6 3" xfId="32118" xr:uid="{00000000-0005-0000-0000-0000B08E0000}"/>
    <cellStyle name="Normal 57 6 3 4 7" xfId="3682" xr:uid="{00000000-0005-0000-0000-0000B18E0000}"/>
    <cellStyle name="Normal 57 6 3 4 7 2" xfId="16188" xr:uid="{00000000-0005-0000-0000-0000B28E0000}"/>
    <cellStyle name="Normal 57 6 3 4 7 2 2" xfId="41062" xr:uid="{00000000-0005-0000-0000-0000B38E0000}"/>
    <cellStyle name="Normal 57 6 3 4 7 3" xfId="28621" xr:uid="{00000000-0005-0000-0000-0000B48E0000}"/>
    <cellStyle name="Normal 57 6 3 4 8" xfId="14679" xr:uid="{00000000-0005-0000-0000-0000B58E0000}"/>
    <cellStyle name="Normal 57 6 3 4 8 2" xfId="39553" xr:uid="{00000000-0005-0000-0000-0000B68E0000}"/>
    <cellStyle name="Normal 57 6 3 4 9" xfId="27112" xr:uid="{00000000-0005-0000-0000-0000B78E0000}"/>
    <cellStyle name="Normal 57 6 3 5" xfId="2186" xr:uid="{00000000-0005-0000-0000-0000B88E0000}"/>
    <cellStyle name="Normal 57 6 3 5 2" xfId="4819" xr:uid="{00000000-0005-0000-0000-0000B98E0000}"/>
    <cellStyle name="Normal 57 6 3 5 2 2" xfId="9836" xr:uid="{00000000-0005-0000-0000-0000BA8E0000}"/>
    <cellStyle name="Normal 57 6 3 5 2 2 2" xfId="22279" xr:uid="{00000000-0005-0000-0000-0000BB8E0000}"/>
    <cellStyle name="Normal 57 6 3 5 2 2 2 2" xfId="47153" xr:uid="{00000000-0005-0000-0000-0000BC8E0000}"/>
    <cellStyle name="Normal 57 6 3 5 2 2 3" xfId="34720" xr:uid="{00000000-0005-0000-0000-0000BD8E0000}"/>
    <cellStyle name="Normal 57 6 3 5 2 3" xfId="17272" xr:uid="{00000000-0005-0000-0000-0000BE8E0000}"/>
    <cellStyle name="Normal 57 6 3 5 2 3 2" xfId="42146" xr:uid="{00000000-0005-0000-0000-0000BF8E0000}"/>
    <cellStyle name="Normal 57 6 3 5 2 4" xfId="29713" xr:uid="{00000000-0005-0000-0000-0000C08E0000}"/>
    <cellStyle name="Normal 57 6 3 5 3" xfId="6217" xr:uid="{00000000-0005-0000-0000-0000C18E0000}"/>
    <cellStyle name="Normal 57 6 3 5 3 2" xfId="11232" xr:uid="{00000000-0005-0000-0000-0000C28E0000}"/>
    <cellStyle name="Normal 57 6 3 5 3 2 2" xfId="23675" xr:uid="{00000000-0005-0000-0000-0000C38E0000}"/>
    <cellStyle name="Normal 57 6 3 5 3 2 2 2" xfId="48549" xr:uid="{00000000-0005-0000-0000-0000C48E0000}"/>
    <cellStyle name="Normal 57 6 3 5 3 2 3" xfId="36116" xr:uid="{00000000-0005-0000-0000-0000C58E0000}"/>
    <cellStyle name="Normal 57 6 3 5 3 3" xfId="18668" xr:uid="{00000000-0005-0000-0000-0000C68E0000}"/>
    <cellStyle name="Normal 57 6 3 5 3 3 2" xfId="43542" xr:uid="{00000000-0005-0000-0000-0000C78E0000}"/>
    <cellStyle name="Normal 57 6 3 5 3 4" xfId="31109" xr:uid="{00000000-0005-0000-0000-0000C88E0000}"/>
    <cellStyle name="Normal 57 6 3 5 4" xfId="8129" xr:uid="{00000000-0005-0000-0000-0000C98E0000}"/>
    <cellStyle name="Normal 57 6 3 5 4 2" xfId="20575" xr:uid="{00000000-0005-0000-0000-0000CA8E0000}"/>
    <cellStyle name="Normal 57 6 3 5 4 2 2" xfId="45449" xr:uid="{00000000-0005-0000-0000-0000CB8E0000}"/>
    <cellStyle name="Normal 57 6 3 5 4 3" xfId="33016" xr:uid="{00000000-0005-0000-0000-0000CC8E0000}"/>
    <cellStyle name="Normal 57 6 3 5 5" xfId="12686" xr:uid="{00000000-0005-0000-0000-0000CD8E0000}"/>
    <cellStyle name="Normal 57 6 3 5 5 2" xfId="25120" xr:uid="{00000000-0005-0000-0000-0000CE8E0000}"/>
    <cellStyle name="Normal 57 6 3 5 5 2 2" xfId="49994" xr:uid="{00000000-0005-0000-0000-0000CF8E0000}"/>
    <cellStyle name="Normal 57 6 3 5 5 3" xfId="37561" xr:uid="{00000000-0005-0000-0000-0000D08E0000}"/>
    <cellStyle name="Normal 57 6 3 5 6" xfId="7430" xr:uid="{00000000-0005-0000-0000-0000D18E0000}"/>
    <cellStyle name="Normal 57 6 3 5 6 2" xfId="19878" xr:uid="{00000000-0005-0000-0000-0000D28E0000}"/>
    <cellStyle name="Normal 57 6 3 5 6 2 2" xfId="44752" xr:uid="{00000000-0005-0000-0000-0000D38E0000}"/>
    <cellStyle name="Normal 57 6 3 5 6 3" xfId="32319" xr:uid="{00000000-0005-0000-0000-0000D48E0000}"/>
    <cellStyle name="Normal 57 6 3 5 7" xfId="3059" xr:uid="{00000000-0005-0000-0000-0000D58E0000}"/>
    <cellStyle name="Normal 57 6 3 5 7 2" xfId="15568" xr:uid="{00000000-0005-0000-0000-0000D68E0000}"/>
    <cellStyle name="Normal 57 6 3 5 7 2 2" xfId="40442" xr:uid="{00000000-0005-0000-0000-0000D78E0000}"/>
    <cellStyle name="Normal 57 6 3 5 7 3" xfId="28001" xr:uid="{00000000-0005-0000-0000-0000D88E0000}"/>
    <cellStyle name="Normal 57 6 3 5 8" xfId="14871" xr:uid="{00000000-0005-0000-0000-0000D98E0000}"/>
    <cellStyle name="Normal 57 6 3 5 8 2" xfId="39745" xr:uid="{00000000-0005-0000-0000-0000DA8E0000}"/>
    <cellStyle name="Normal 57 6 3 5 9" xfId="27304" xr:uid="{00000000-0005-0000-0000-0000DB8E0000}"/>
    <cellStyle name="Normal 57 6 3 6" xfId="1028" xr:uid="{00000000-0005-0000-0000-0000DC8E0000}"/>
    <cellStyle name="Normal 57 6 3 6 2" xfId="9015" xr:uid="{00000000-0005-0000-0000-0000DD8E0000}"/>
    <cellStyle name="Normal 57 6 3 6 2 2" xfId="21458" xr:uid="{00000000-0005-0000-0000-0000DE8E0000}"/>
    <cellStyle name="Normal 57 6 3 6 2 2 2" xfId="46332" xr:uid="{00000000-0005-0000-0000-0000DF8E0000}"/>
    <cellStyle name="Normal 57 6 3 6 2 3" xfId="33899" xr:uid="{00000000-0005-0000-0000-0000E08E0000}"/>
    <cellStyle name="Normal 57 6 3 6 3" xfId="3997" xr:uid="{00000000-0005-0000-0000-0000E18E0000}"/>
    <cellStyle name="Normal 57 6 3 6 3 2" xfId="16451" xr:uid="{00000000-0005-0000-0000-0000E28E0000}"/>
    <cellStyle name="Normal 57 6 3 6 3 2 2" xfId="41325" xr:uid="{00000000-0005-0000-0000-0000E38E0000}"/>
    <cellStyle name="Normal 57 6 3 6 3 3" xfId="28892" xr:uid="{00000000-0005-0000-0000-0000E48E0000}"/>
    <cellStyle name="Normal 57 6 3 6 4" xfId="13828" xr:uid="{00000000-0005-0000-0000-0000E58E0000}"/>
    <cellStyle name="Normal 57 6 3 6 4 2" xfId="38702" xr:uid="{00000000-0005-0000-0000-0000E68E0000}"/>
    <cellStyle name="Normal 57 6 3 6 5" xfId="26261" xr:uid="{00000000-0005-0000-0000-0000E78E0000}"/>
    <cellStyle name="Normal 57 6 3 7" xfId="5173" xr:uid="{00000000-0005-0000-0000-0000E88E0000}"/>
    <cellStyle name="Normal 57 6 3 7 2" xfId="10189" xr:uid="{00000000-0005-0000-0000-0000E98E0000}"/>
    <cellStyle name="Normal 57 6 3 7 2 2" xfId="22632" xr:uid="{00000000-0005-0000-0000-0000EA8E0000}"/>
    <cellStyle name="Normal 57 6 3 7 2 2 2" xfId="47506" xr:uid="{00000000-0005-0000-0000-0000EB8E0000}"/>
    <cellStyle name="Normal 57 6 3 7 2 3" xfId="35073" xr:uid="{00000000-0005-0000-0000-0000EC8E0000}"/>
    <cellStyle name="Normal 57 6 3 7 3" xfId="17625" xr:uid="{00000000-0005-0000-0000-0000ED8E0000}"/>
    <cellStyle name="Normal 57 6 3 7 3 2" xfId="42499" xr:uid="{00000000-0005-0000-0000-0000EE8E0000}"/>
    <cellStyle name="Normal 57 6 3 7 4" xfId="30066" xr:uid="{00000000-0005-0000-0000-0000EF8E0000}"/>
    <cellStyle name="Normal 57 6 3 8" xfId="7750" xr:uid="{00000000-0005-0000-0000-0000F08E0000}"/>
    <cellStyle name="Normal 57 6 3 8 2" xfId="20196" xr:uid="{00000000-0005-0000-0000-0000F18E0000}"/>
    <cellStyle name="Normal 57 6 3 8 2 2" xfId="45070" xr:uid="{00000000-0005-0000-0000-0000F28E0000}"/>
    <cellStyle name="Normal 57 6 3 8 3" xfId="32637" xr:uid="{00000000-0005-0000-0000-0000F38E0000}"/>
    <cellStyle name="Normal 57 6 3 9" xfId="11643" xr:uid="{00000000-0005-0000-0000-0000F48E0000}"/>
    <cellStyle name="Normal 57 6 3 9 2" xfId="24077" xr:uid="{00000000-0005-0000-0000-0000F58E0000}"/>
    <cellStyle name="Normal 57 6 3 9 2 2" xfId="48951" xr:uid="{00000000-0005-0000-0000-0000F68E0000}"/>
    <cellStyle name="Normal 57 6 3 9 3" xfId="36518" xr:uid="{00000000-0005-0000-0000-0000F78E0000}"/>
    <cellStyle name="Normal 57 6 3_Degree data" xfId="2496" xr:uid="{00000000-0005-0000-0000-0000F88E0000}"/>
    <cellStyle name="Normal 57 6 4" xfId="374" xr:uid="{00000000-0005-0000-0000-0000F98E0000}"/>
    <cellStyle name="Normal 57 6 4 10" xfId="13190" xr:uid="{00000000-0005-0000-0000-0000FA8E0000}"/>
    <cellStyle name="Normal 57 6 4 10 2" xfId="38064" xr:uid="{00000000-0005-0000-0000-0000FB8E0000}"/>
    <cellStyle name="Normal 57 6 4 11" xfId="25623" xr:uid="{00000000-0005-0000-0000-0000FC8E0000}"/>
    <cellStyle name="Normal 57 6 4 2" xfId="734" xr:uid="{00000000-0005-0000-0000-0000FD8E0000}"/>
    <cellStyle name="Normal 57 6 4 2 2" xfId="1533" xr:uid="{00000000-0005-0000-0000-0000FE8E0000}"/>
    <cellStyle name="Normal 57 6 4 2 2 2" xfId="9637" xr:uid="{00000000-0005-0000-0000-0000FF8E0000}"/>
    <cellStyle name="Normal 57 6 4 2 2 2 2" xfId="22080" xr:uid="{00000000-0005-0000-0000-0000008F0000}"/>
    <cellStyle name="Normal 57 6 4 2 2 2 2 2" xfId="46954" xr:uid="{00000000-0005-0000-0000-0000018F0000}"/>
    <cellStyle name="Normal 57 6 4 2 2 2 3" xfId="34521" xr:uid="{00000000-0005-0000-0000-0000028F0000}"/>
    <cellStyle name="Normal 57 6 4 2 2 3" xfId="4619" xr:uid="{00000000-0005-0000-0000-0000038F0000}"/>
    <cellStyle name="Normal 57 6 4 2 2 3 2" xfId="17073" xr:uid="{00000000-0005-0000-0000-0000048F0000}"/>
    <cellStyle name="Normal 57 6 4 2 2 3 2 2" xfId="41947" xr:uid="{00000000-0005-0000-0000-0000058F0000}"/>
    <cellStyle name="Normal 57 6 4 2 2 3 3" xfId="29514" xr:uid="{00000000-0005-0000-0000-0000068F0000}"/>
    <cellStyle name="Normal 57 6 4 2 2 4" xfId="14333" xr:uid="{00000000-0005-0000-0000-0000078F0000}"/>
    <cellStyle name="Normal 57 6 4 2 2 4 2" xfId="39207" xr:uid="{00000000-0005-0000-0000-0000088F0000}"/>
    <cellStyle name="Normal 57 6 4 2 2 5" xfId="26766" xr:uid="{00000000-0005-0000-0000-0000098F0000}"/>
    <cellStyle name="Normal 57 6 4 2 3" xfId="5678" xr:uid="{00000000-0005-0000-0000-00000A8F0000}"/>
    <cellStyle name="Normal 57 6 4 2 3 2" xfId="10694" xr:uid="{00000000-0005-0000-0000-00000B8F0000}"/>
    <cellStyle name="Normal 57 6 4 2 3 2 2" xfId="23137" xr:uid="{00000000-0005-0000-0000-00000C8F0000}"/>
    <cellStyle name="Normal 57 6 4 2 3 2 2 2" xfId="48011" xr:uid="{00000000-0005-0000-0000-00000D8F0000}"/>
    <cellStyle name="Normal 57 6 4 2 3 2 3" xfId="35578" xr:uid="{00000000-0005-0000-0000-00000E8F0000}"/>
    <cellStyle name="Normal 57 6 4 2 3 3" xfId="18130" xr:uid="{00000000-0005-0000-0000-00000F8F0000}"/>
    <cellStyle name="Normal 57 6 4 2 3 3 2" xfId="43004" xr:uid="{00000000-0005-0000-0000-0000108F0000}"/>
    <cellStyle name="Normal 57 6 4 2 3 4" xfId="30571" xr:uid="{00000000-0005-0000-0000-0000118F0000}"/>
    <cellStyle name="Normal 57 6 4 2 4" xfId="8753" xr:uid="{00000000-0005-0000-0000-0000128F0000}"/>
    <cellStyle name="Normal 57 6 4 2 4 2" xfId="21197" xr:uid="{00000000-0005-0000-0000-0000138F0000}"/>
    <cellStyle name="Normal 57 6 4 2 4 2 2" xfId="46071" xr:uid="{00000000-0005-0000-0000-0000148F0000}"/>
    <cellStyle name="Normal 57 6 4 2 4 3" xfId="33638" xr:uid="{00000000-0005-0000-0000-0000158F0000}"/>
    <cellStyle name="Normal 57 6 4 2 5" xfId="12148" xr:uid="{00000000-0005-0000-0000-0000168F0000}"/>
    <cellStyle name="Normal 57 6 4 2 5 2" xfId="24582" xr:uid="{00000000-0005-0000-0000-0000178F0000}"/>
    <cellStyle name="Normal 57 6 4 2 5 2 2" xfId="49456" xr:uid="{00000000-0005-0000-0000-0000188F0000}"/>
    <cellStyle name="Normal 57 6 4 2 5 3" xfId="37023" xr:uid="{00000000-0005-0000-0000-0000198F0000}"/>
    <cellStyle name="Normal 57 6 4 2 6" xfId="7230" xr:uid="{00000000-0005-0000-0000-00001A8F0000}"/>
    <cellStyle name="Normal 57 6 4 2 6 2" xfId="19679" xr:uid="{00000000-0005-0000-0000-00001B8F0000}"/>
    <cellStyle name="Normal 57 6 4 2 6 2 2" xfId="44553" xr:uid="{00000000-0005-0000-0000-00001C8F0000}"/>
    <cellStyle name="Normal 57 6 4 2 6 3" xfId="32120" xr:uid="{00000000-0005-0000-0000-00001D8F0000}"/>
    <cellStyle name="Normal 57 6 4 2 7" xfId="3684" xr:uid="{00000000-0005-0000-0000-00001E8F0000}"/>
    <cellStyle name="Normal 57 6 4 2 7 2" xfId="16190" xr:uid="{00000000-0005-0000-0000-00001F8F0000}"/>
    <cellStyle name="Normal 57 6 4 2 7 2 2" xfId="41064" xr:uid="{00000000-0005-0000-0000-0000208F0000}"/>
    <cellStyle name="Normal 57 6 4 2 7 3" xfId="28623" xr:uid="{00000000-0005-0000-0000-0000218F0000}"/>
    <cellStyle name="Normal 57 6 4 2 8" xfId="13537" xr:uid="{00000000-0005-0000-0000-0000228F0000}"/>
    <cellStyle name="Normal 57 6 4 2 8 2" xfId="38411" xr:uid="{00000000-0005-0000-0000-0000238F0000}"/>
    <cellStyle name="Normal 57 6 4 2 9" xfId="25970" xr:uid="{00000000-0005-0000-0000-0000248F0000}"/>
    <cellStyle name="Normal 57 6 4 3" xfId="1881" xr:uid="{00000000-0005-0000-0000-0000258F0000}"/>
    <cellStyle name="Normal 57 6 4 3 2" xfId="4919" xr:uid="{00000000-0005-0000-0000-0000268F0000}"/>
    <cellStyle name="Normal 57 6 4 3 2 2" xfId="9936" xr:uid="{00000000-0005-0000-0000-0000278F0000}"/>
    <cellStyle name="Normal 57 6 4 3 2 2 2" xfId="22379" xr:uid="{00000000-0005-0000-0000-0000288F0000}"/>
    <cellStyle name="Normal 57 6 4 3 2 2 2 2" xfId="47253" xr:uid="{00000000-0005-0000-0000-0000298F0000}"/>
    <cellStyle name="Normal 57 6 4 3 2 2 3" xfId="34820" xr:uid="{00000000-0005-0000-0000-00002A8F0000}"/>
    <cellStyle name="Normal 57 6 4 3 2 3" xfId="17372" xr:uid="{00000000-0005-0000-0000-00002B8F0000}"/>
    <cellStyle name="Normal 57 6 4 3 2 3 2" xfId="42246" xr:uid="{00000000-0005-0000-0000-00002C8F0000}"/>
    <cellStyle name="Normal 57 6 4 3 2 4" xfId="29813" xr:uid="{00000000-0005-0000-0000-00002D8F0000}"/>
    <cellStyle name="Normal 57 6 4 3 3" xfId="6027" xr:uid="{00000000-0005-0000-0000-00002E8F0000}"/>
    <cellStyle name="Normal 57 6 4 3 3 2" xfId="11042" xr:uid="{00000000-0005-0000-0000-00002F8F0000}"/>
    <cellStyle name="Normal 57 6 4 3 3 2 2" xfId="23485" xr:uid="{00000000-0005-0000-0000-0000308F0000}"/>
    <cellStyle name="Normal 57 6 4 3 3 2 2 2" xfId="48359" xr:uid="{00000000-0005-0000-0000-0000318F0000}"/>
    <cellStyle name="Normal 57 6 4 3 3 2 3" xfId="35926" xr:uid="{00000000-0005-0000-0000-0000328F0000}"/>
    <cellStyle name="Normal 57 6 4 3 3 3" xfId="18478" xr:uid="{00000000-0005-0000-0000-0000338F0000}"/>
    <cellStyle name="Normal 57 6 4 3 3 3 2" xfId="43352" xr:uid="{00000000-0005-0000-0000-0000348F0000}"/>
    <cellStyle name="Normal 57 6 4 3 3 4" xfId="30919" xr:uid="{00000000-0005-0000-0000-0000358F0000}"/>
    <cellStyle name="Normal 57 6 4 3 4" xfId="8343" xr:uid="{00000000-0005-0000-0000-0000368F0000}"/>
    <cellStyle name="Normal 57 6 4 3 4 2" xfId="20787" xr:uid="{00000000-0005-0000-0000-0000378F0000}"/>
    <cellStyle name="Normal 57 6 4 3 4 2 2" xfId="45661" xr:uid="{00000000-0005-0000-0000-0000388F0000}"/>
    <cellStyle name="Normal 57 6 4 3 4 3" xfId="33228" xr:uid="{00000000-0005-0000-0000-0000398F0000}"/>
    <cellStyle name="Normal 57 6 4 3 5" xfId="12496" xr:uid="{00000000-0005-0000-0000-00003A8F0000}"/>
    <cellStyle name="Normal 57 6 4 3 5 2" xfId="24930" xr:uid="{00000000-0005-0000-0000-00003B8F0000}"/>
    <cellStyle name="Normal 57 6 4 3 5 2 2" xfId="49804" xr:uid="{00000000-0005-0000-0000-00003C8F0000}"/>
    <cellStyle name="Normal 57 6 4 3 5 3" xfId="37371" xr:uid="{00000000-0005-0000-0000-00003D8F0000}"/>
    <cellStyle name="Normal 57 6 4 3 6" xfId="7530" xr:uid="{00000000-0005-0000-0000-00003E8F0000}"/>
    <cellStyle name="Normal 57 6 4 3 6 2" xfId="19978" xr:uid="{00000000-0005-0000-0000-00003F8F0000}"/>
    <cellStyle name="Normal 57 6 4 3 6 2 2" xfId="44852" xr:uid="{00000000-0005-0000-0000-0000408F0000}"/>
    <cellStyle name="Normal 57 6 4 3 6 3" xfId="32419" xr:uid="{00000000-0005-0000-0000-0000418F0000}"/>
    <cellStyle name="Normal 57 6 4 3 7" xfId="3274" xr:uid="{00000000-0005-0000-0000-0000428F0000}"/>
    <cellStyle name="Normal 57 6 4 3 7 2" xfId="15780" xr:uid="{00000000-0005-0000-0000-0000438F0000}"/>
    <cellStyle name="Normal 57 6 4 3 7 2 2" xfId="40654" xr:uid="{00000000-0005-0000-0000-0000448F0000}"/>
    <cellStyle name="Normal 57 6 4 3 7 3" xfId="28213" xr:uid="{00000000-0005-0000-0000-0000458F0000}"/>
    <cellStyle name="Normal 57 6 4 3 8" xfId="14681" xr:uid="{00000000-0005-0000-0000-0000468F0000}"/>
    <cellStyle name="Normal 57 6 4 3 8 2" xfId="39555" xr:uid="{00000000-0005-0000-0000-0000478F0000}"/>
    <cellStyle name="Normal 57 6 4 3 9" xfId="27114" xr:uid="{00000000-0005-0000-0000-0000488F0000}"/>
    <cellStyle name="Normal 57 6 4 4" xfId="2292" xr:uid="{00000000-0005-0000-0000-0000498F0000}"/>
    <cellStyle name="Normal 57 6 4 4 2" xfId="6317" xr:uid="{00000000-0005-0000-0000-00004A8F0000}"/>
    <cellStyle name="Normal 57 6 4 4 2 2" xfId="11332" xr:uid="{00000000-0005-0000-0000-00004B8F0000}"/>
    <cellStyle name="Normal 57 6 4 4 2 2 2" xfId="23775" xr:uid="{00000000-0005-0000-0000-00004C8F0000}"/>
    <cellStyle name="Normal 57 6 4 4 2 2 2 2" xfId="48649" xr:uid="{00000000-0005-0000-0000-00004D8F0000}"/>
    <cellStyle name="Normal 57 6 4 4 2 2 3" xfId="36216" xr:uid="{00000000-0005-0000-0000-00004E8F0000}"/>
    <cellStyle name="Normal 57 6 4 4 2 3" xfId="18768" xr:uid="{00000000-0005-0000-0000-00004F8F0000}"/>
    <cellStyle name="Normal 57 6 4 4 2 3 2" xfId="43642" xr:uid="{00000000-0005-0000-0000-0000508F0000}"/>
    <cellStyle name="Normal 57 6 4 4 2 4" xfId="31209" xr:uid="{00000000-0005-0000-0000-0000518F0000}"/>
    <cellStyle name="Normal 57 6 4 4 3" xfId="12786" xr:uid="{00000000-0005-0000-0000-0000528F0000}"/>
    <cellStyle name="Normal 57 6 4 4 3 2" xfId="25220" xr:uid="{00000000-0005-0000-0000-0000538F0000}"/>
    <cellStyle name="Normal 57 6 4 4 3 2 2" xfId="50094" xr:uid="{00000000-0005-0000-0000-0000548F0000}"/>
    <cellStyle name="Normal 57 6 4 4 3 3" xfId="37661" xr:uid="{00000000-0005-0000-0000-0000558F0000}"/>
    <cellStyle name="Normal 57 6 4 4 4" xfId="9227" xr:uid="{00000000-0005-0000-0000-0000568F0000}"/>
    <cellStyle name="Normal 57 6 4 4 4 2" xfId="21670" xr:uid="{00000000-0005-0000-0000-0000578F0000}"/>
    <cellStyle name="Normal 57 6 4 4 4 2 2" xfId="46544" xr:uid="{00000000-0005-0000-0000-0000588F0000}"/>
    <cellStyle name="Normal 57 6 4 4 4 3" xfId="34111" xr:uid="{00000000-0005-0000-0000-0000598F0000}"/>
    <cellStyle name="Normal 57 6 4 4 5" xfId="4209" xr:uid="{00000000-0005-0000-0000-00005A8F0000}"/>
    <cellStyle name="Normal 57 6 4 4 5 2" xfId="16663" xr:uid="{00000000-0005-0000-0000-00005B8F0000}"/>
    <cellStyle name="Normal 57 6 4 4 5 2 2" xfId="41537" xr:uid="{00000000-0005-0000-0000-00005C8F0000}"/>
    <cellStyle name="Normal 57 6 4 4 5 3" xfId="29104" xr:uid="{00000000-0005-0000-0000-00005D8F0000}"/>
    <cellStyle name="Normal 57 6 4 4 6" xfId="14971" xr:uid="{00000000-0005-0000-0000-00005E8F0000}"/>
    <cellStyle name="Normal 57 6 4 4 6 2" xfId="39845" xr:uid="{00000000-0005-0000-0000-00005F8F0000}"/>
    <cellStyle name="Normal 57 6 4 4 7" xfId="27404" xr:uid="{00000000-0005-0000-0000-0000608F0000}"/>
    <cellStyle name="Normal 57 6 4 5" xfId="1128" xr:uid="{00000000-0005-0000-0000-0000618F0000}"/>
    <cellStyle name="Normal 57 6 4 5 2" xfId="10289" xr:uid="{00000000-0005-0000-0000-0000628F0000}"/>
    <cellStyle name="Normal 57 6 4 5 2 2" xfId="22732" xr:uid="{00000000-0005-0000-0000-0000638F0000}"/>
    <cellStyle name="Normal 57 6 4 5 2 2 2" xfId="47606" xr:uid="{00000000-0005-0000-0000-0000648F0000}"/>
    <cellStyle name="Normal 57 6 4 5 2 3" xfId="35173" xr:uid="{00000000-0005-0000-0000-0000658F0000}"/>
    <cellStyle name="Normal 57 6 4 5 3" xfId="5273" xr:uid="{00000000-0005-0000-0000-0000668F0000}"/>
    <cellStyle name="Normal 57 6 4 5 3 2" xfId="17725" xr:uid="{00000000-0005-0000-0000-0000678F0000}"/>
    <cellStyle name="Normal 57 6 4 5 3 2 2" xfId="42599" xr:uid="{00000000-0005-0000-0000-0000688F0000}"/>
    <cellStyle name="Normal 57 6 4 5 3 3" xfId="30166" xr:uid="{00000000-0005-0000-0000-0000698F0000}"/>
    <cellStyle name="Normal 57 6 4 5 4" xfId="13928" xr:uid="{00000000-0005-0000-0000-00006A8F0000}"/>
    <cellStyle name="Normal 57 6 4 5 4 2" xfId="38802" xr:uid="{00000000-0005-0000-0000-00006B8F0000}"/>
    <cellStyle name="Normal 57 6 4 5 5" xfId="26361" xr:uid="{00000000-0005-0000-0000-00006C8F0000}"/>
    <cellStyle name="Normal 57 6 4 6" xfId="7850" xr:uid="{00000000-0005-0000-0000-00006D8F0000}"/>
    <cellStyle name="Normal 57 6 4 6 2" xfId="20296" xr:uid="{00000000-0005-0000-0000-00006E8F0000}"/>
    <cellStyle name="Normal 57 6 4 6 2 2" xfId="45170" xr:uid="{00000000-0005-0000-0000-00006F8F0000}"/>
    <cellStyle name="Normal 57 6 4 6 3" xfId="32737" xr:uid="{00000000-0005-0000-0000-0000708F0000}"/>
    <cellStyle name="Normal 57 6 4 7" xfId="11743" xr:uid="{00000000-0005-0000-0000-0000718F0000}"/>
    <cellStyle name="Normal 57 6 4 7 2" xfId="24177" xr:uid="{00000000-0005-0000-0000-0000728F0000}"/>
    <cellStyle name="Normal 57 6 4 7 2 2" xfId="49051" xr:uid="{00000000-0005-0000-0000-0000738F0000}"/>
    <cellStyle name="Normal 57 6 4 7 3" xfId="36618" xr:uid="{00000000-0005-0000-0000-0000748F0000}"/>
    <cellStyle name="Normal 57 6 4 8" xfId="6820" xr:uid="{00000000-0005-0000-0000-0000758F0000}"/>
    <cellStyle name="Normal 57 6 4 8 2" xfId="19269" xr:uid="{00000000-0005-0000-0000-0000768F0000}"/>
    <cellStyle name="Normal 57 6 4 8 2 2" xfId="44143" xr:uid="{00000000-0005-0000-0000-0000778F0000}"/>
    <cellStyle name="Normal 57 6 4 8 3" xfId="31710" xr:uid="{00000000-0005-0000-0000-0000788F0000}"/>
    <cellStyle name="Normal 57 6 4 9" xfId="2771" xr:uid="{00000000-0005-0000-0000-0000798F0000}"/>
    <cellStyle name="Normal 57 6 4 9 2" xfId="15289" xr:uid="{00000000-0005-0000-0000-00007A8F0000}"/>
    <cellStyle name="Normal 57 6 4 9 2 2" xfId="40163" xr:uid="{00000000-0005-0000-0000-00007B8F0000}"/>
    <cellStyle name="Normal 57 6 4 9 3" xfId="27722" xr:uid="{00000000-0005-0000-0000-00007C8F0000}"/>
    <cellStyle name="Normal 57 6 4_Degree data" xfId="2498" xr:uid="{00000000-0005-0000-0000-00007D8F0000}"/>
    <cellStyle name="Normal 57 6 5" xfId="206" xr:uid="{00000000-0005-0000-0000-00007E8F0000}"/>
    <cellStyle name="Normal 57 6 5 2" xfId="1528" xr:uid="{00000000-0005-0000-0000-00007F8F0000}"/>
    <cellStyle name="Normal 57 6 5 2 2" xfId="9071" xr:uid="{00000000-0005-0000-0000-0000808F0000}"/>
    <cellStyle name="Normal 57 6 5 2 2 2" xfId="21514" xr:uid="{00000000-0005-0000-0000-0000818F0000}"/>
    <cellStyle name="Normal 57 6 5 2 2 2 2" xfId="46388" xr:uid="{00000000-0005-0000-0000-0000828F0000}"/>
    <cellStyle name="Normal 57 6 5 2 2 3" xfId="33955" xr:uid="{00000000-0005-0000-0000-0000838F0000}"/>
    <cellStyle name="Normal 57 6 5 2 3" xfId="4053" xr:uid="{00000000-0005-0000-0000-0000848F0000}"/>
    <cellStyle name="Normal 57 6 5 2 3 2" xfId="16507" xr:uid="{00000000-0005-0000-0000-0000858F0000}"/>
    <cellStyle name="Normal 57 6 5 2 3 2 2" xfId="41381" xr:uid="{00000000-0005-0000-0000-0000868F0000}"/>
    <cellStyle name="Normal 57 6 5 2 3 3" xfId="28948" xr:uid="{00000000-0005-0000-0000-0000878F0000}"/>
    <cellStyle name="Normal 57 6 5 2 4" xfId="14328" xr:uid="{00000000-0005-0000-0000-0000888F0000}"/>
    <cellStyle name="Normal 57 6 5 2 4 2" xfId="39202" xr:uid="{00000000-0005-0000-0000-0000898F0000}"/>
    <cellStyle name="Normal 57 6 5 2 5" xfId="26761" xr:uid="{00000000-0005-0000-0000-00008A8F0000}"/>
    <cellStyle name="Normal 57 6 5 3" xfId="5673" xr:uid="{00000000-0005-0000-0000-00008B8F0000}"/>
    <cellStyle name="Normal 57 6 5 3 2" xfId="10689" xr:uid="{00000000-0005-0000-0000-00008C8F0000}"/>
    <cellStyle name="Normal 57 6 5 3 2 2" xfId="23132" xr:uid="{00000000-0005-0000-0000-00008D8F0000}"/>
    <cellStyle name="Normal 57 6 5 3 2 2 2" xfId="48006" xr:uid="{00000000-0005-0000-0000-00008E8F0000}"/>
    <cellStyle name="Normal 57 6 5 3 2 3" xfId="35573" xr:uid="{00000000-0005-0000-0000-00008F8F0000}"/>
    <cellStyle name="Normal 57 6 5 3 3" xfId="18125" xr:uid="{00000000-0005-0000-0000-0000908F0000}"/>
    <cellStyle name="Normal 57 6 5 3 3 2" xfId="42999" xr:uid="{00000000-0005-0000-0000-0000918F0000}"/>
    <cellStyle name="Normal 57 6 5 3 4" xfId="30566" xr:uid="{00000000-0005-0000-0000-0000928F0000}"/>
    <cellStyle name="Normal 57 6 5 4" xfId="8187" xr:uid="{00000000-0005-0000-0000-0000938F0000}"/>
    <cellStyle name="Normal 57 6 5 4 2" xfId="20631" xr:uid="{00000000-0005-0000-0000-0000948F0000}"/>
    <cellStyle name="Normal 57 6 5 4 2 2" xfId="45505" xr:uid="{00000000-0005-0000-0000-0000958F0000}"/>
    <cellStyle name="Normal 57 6 5 4 3" xfId="33072" xr:uid="{00000000-0005-0000-0000-0000968F0000}"/>
    <cellStyle name="Normal 57 6 5 5" xfId="12143" xr:uid="{00000000-0005-0000-0000-0000978F0000}"/>
    <cellStyle name="Normal 57 6 5 5 2" xfId="24577" xr:uid="{00000000-0005-0000-0000-0000988F0000}"/>
    <cellStyle name="Normal 57 6 5 5 2 2" xfId="49451" xr:uid="{00000000-0005-0000-0000-0000998F0000}"/>
    <cellStyle name="Normal 57 6 5 5 3" xfId="37018" xr:uid="{00000000-0005-0000-0000-00009A8F0000}"/>
    <cellStyle name="Normal 57 6 5 6" xfId="6664" xr:uid="{00000000-0005-0000-0000-00009B8F0000}"/>
    <cellStyle name="Normal 57 6 5 6 2" xfId="19113" xr:uid="{00000000-0005-0000-0000-00009C8F0000}"/>
    <cellStyle name="Normal 57 6 5 6 2 2" xfId="43987" xr:uid="{00000000-0005-0000-0000-00009D8F0000}"/>
    <cellStyle name="Normal 57 6 5 6 3" xfId="31554" xr:uid="{00000000-0005-0000-0000-00009E8F0000}"/>
    <cellStyle name="Normal 57 6 5 7" xfId="3118" xr:uid="{00000000-0005-0000-0000-00009F8F0000}"/>
    <cellStyle name="Normal 57 6 5 7 2" xfId="15624" xr:uid="{00000000-0005-0000-0000-0000A08F0000}"/>
    <cellStyle name="Normal 57 6 5 7 2 2" xfId="40498" xr:uid="{00000000-0005-0000-0000-0000A18F0000}"/>
    <cellStyle name="Normal 57 6 5 7 3" xfId="28057" xr:uid="{00000000-0005-0000-0000-0000A28F0000}"/>
    <cellStyle name="Normal 57 6 5 8" xfId="13034" xr:uid="{00000000-0005-0000-0000-0000A38F0000}"/>
    <cellStyle name="Normal 57 6 5 8 2" xfId="37908" xr:uid="{00000000-0005-0000-0000-0000A48F0000}"/>
    <cellStyle name="Normal 57 6 5 9" xfId="25467" xr:uid="{00000000-0005-0000-0000-0000A58F0000}"/>
    <cellStyle name="Normal 57 6 6" xfId="572" xr:uid="{00000000-0005-0000-0000-0000A68F0000}"/>
    <cellStyle name="Normal 57 6 6 2" xfId="1876" xr:uid="{00000000-0005-0000-0000-0000A78F0000}"/>
    <cellStyle name="Normal 57 6 6 2 2" xfId="9632" xr:uid="{00000000-0005-0000-0000-0000A88F0000}"/>
    <cellStyle name="Normal 57 6 6 2 2 2" xfId="22075" xr:uid="{00000000-0005-0000-0000-0000A98F0000}"/>
    <cellStyle name="Normal 57 6 6 2 2 2 2" xfId="46949" xr:uid="{00000000-0005-0000-0000-0000AA8F0000}"/>
    <cellStyle name="Normal 57 6 6 2 2 3" xfId="34516" xr:uid="{00000000-0005-0000-0000-0000AB8F0000}"/>
    <cellStyle name="Normal 57 6 6 2 3" xfId="4614" xr:uid="{00000000-0005-0000-0000-0000AC8F0000}"/>
    <cellStyle name="Normal 57 6 6 2 3 2" xfId="17068" xr:uid="{00000000-0005-0000-0000-0000AD8F0000}"/>
    <cellStyle name="Normal 57 6 6 2 3 2 2" xfId="41942" xr:uid="{00000000-0005-0000-0000-0000AE8F0000}"/>
    <cellStyle name="Normal 57 6 6 2 3 3" xfId="29509" xr:uid="{00000000-0005-0000-0000-0000AF8F0000}"/>
    <cellStyle name="Normal 57 6 6 2 4" xfId="14676" xr:uid="{00000000-0005-0000-0000-0000B08F0000}"/>
    <cellStyle name="Normal 57 6 6 2 4 2" xfId="39550" xr:uid="{00000000-0005-0000-0000-0000B18F0000}"/>
    <cellStyle name="Normal 57 6 6 2 5" xfId="27109" xr:uid="{00000000-0005-0000-0000-0000B28F0000}"/>
    <cellStyle name="Normal 57 6 6 3" xfId="6022" xr:uid="{00000000-0005-0000-0000-0000B38F0000}"/>
    <cellStyle name="Normal 57 6 6 3 2" xfId="11037" xr:uid="{00000000-0005-0000-0000-0000B48F0000}"/>
    <cellStyle name="Normal 57 6 6 3 2 2" xfId="23480" xr:uid="{00000000-0005-0000-0000-0000B58F0000}"/>
    <cellStyle name="Normal 57 6 6 3 2 2 2" xfId="48354" xr:uid="{00000000-0005-0000-0000-0000B68F0000}"/>
    <cellStyle name="Normal 57 6 6 3 2 3" xfId="35921" xr:uid="{00000000-0005-0000-0000-0000B78F0000}"/>
    <cellStyle name="Normal 57 6 6 3 3" xfId="18473" xr:uid="{00000000-0005-0000-0000-0000B88F0000}"/>
    <cellStyle name="Normal 57 6 6 3 3 2" xfId="43347" xr:uid="{00000000-0005-0000-0000-0000B98F0000}"/>
    <cellStyle name="Normal 57 6 6 3 4" xfId="30914" xr:uid="{00000000-0005-0000-0000-0000BA8F0000}"/>
    <cellStyle name="Normal 57 6 6 4" xfId="8748" xr:uid="{00000000-0005-0000-0000-0000BB8F0000}"/>
    <cellStyle name="Normal 57 6 6 4 2" xfId="21192" xr:uid="{00000000-0005-0000-0000-0000BC8F0000}"/>
    <cellStyle name="Normal 57 6 6 4 2 2" xfId="46066" xr:uid="{00000000-0005-0000-0000-0000BD8F0000}"/>
    <cellStyle name="Normal 57 6 6 4 3" xfId="33633" xr:uid="{00000000-0005-0000-0000-0000BE8F0000}"/>
    <cellStyle name="Normal 57 6 6 5" xfId="12491" xr:uid="{00000000-0005-0000-0000-0000BF8F0000}"/>
    <cellStyle name="Normal 57 6 6 5 2" xfId="24925" xr:uid="{00000000-0005-0000-0000-0000C08F0000}"/>
    <cellStyle name="Normal 57 6 6 5 2 2" xfId="49799" xr:uid="{00000000-0005-0000-0000-0000C18F0000}"/>
    <cellStyle name="Normal 57 6 6 5 3" xfId="37366" xr:uid="{00000000-0005-0000-0000-0000C28F0000}"/>
    <cellStyle name="Normal 57 6 6 6" xfId="7225" xr:uid="{00000000-0005-0000-0000-0000C38F0000}"/>
    <cellStyle name="Normal 57 6 6 6 2" xfId="19674" xr:uid="{00000000-0005-0000-0000-0000C48F0000}"/>
    <cellStyle name="Normal 57 6 6 6 2 2" xfId="44548" xr:uid="{00000000-0005-0000-0000-0000C58F0000}"/>
    <cellStyle name="Normal 57 6 6 6 3" xfId="32115" xr:uid="{00000000-0005-0000-0000-0000C68F0000}"/>
    <cellStyle name="Normal 57 6 6 7" xfId="3679" xr:uid="{00000000-0005-0000-0000-0000C78F0000}"/>
    <cellStyle name="Normal 57 6 6 7 2" xfId="16185" xr:uid="{00000000-0005-0000-0000-0000C88F0000}"/>
    <cellStyle name="Normal 57 6 6 7 2 2" xfId="41059" xr:uid="{00000000-0005-0000-0000-0000C98F0000}"/>
    <cellStyle name="Normal 57 6 6 7 3" xfId="28618" xr:uid="{00000000-0005-0000-0000-0000CA8F0000}"/>
    <cellStyle name="Normal 57 6 6 8" xfId="13381" xr:uid="{00000000-0005-0000-0000-0000CB8F0000}"/>
    <cellStyle name="Normal 57 6 6 8 2" xfId="38255" xr:uid="{00000000-0005-0000-0000-0000CC8F0000}"/>
    <cellStyle name="Normal 57 6 6 9" xfId="25814" xr:uid="{00000000-0005-0000-0000-0000CD8F0000}"/>
    <cellStyle name="Normal 57 6 7" xfId="2124" xr:uid="{00000000-0005-0000-0000-0000CE8F0000}"/>
    <cellStyle name="Normal 57 6 7 2" xfId="4763" xr:uid="{00000000-0005-0000-0000-0000CF8F0000}"/>
    <cellStyle name="Normal 57 6 7 2 2" xfId="9780" xr:uid="{00000000-0005-0000-0000-0000D08F0000}"/>
    <cellStyle name="Normal 57 6 7 2 2 2" xfId="22223" xr:uid="{00000000-0005-0000-0000-0000D18F0000}"/>
    <cellStyle name="Normal 57 6 7 2 2 2 2" xfId="47097" xr:uid="{00000000-0005-0000-0000-0000D28F0000}"/>
    <cellStyle name="Normal 57 6 7 2 2 3" xfId="34664" xr:uid="{00000000-0005-0000-0000-0000D38F0000}"/>
    <cellStyle name="Normal 57 6 7 2 3" xfId="17216" xr:uid="{00000000-0005-0000-0000-0000D48F0000}"/>
    <cellStyle name="Normal 57 6 7 2 3 2" xfId="42090" xr:uid="{00000000-0005-0000-0000-0000D58F0000}"/>
    <cellStyle name="Normal 57 6 7 2 4" xfId="29657" xr:uid="{00000000-0005-0000-0000-0000D68F0000}"/>
    <cellStyle name="Normal 57 6 7 3" xfId="6161" xr:uid="{00000000-0005-0000-0000-0000D78F0000}"/>
    <cellStyle name="Normal 57 6 7 3 2" xfId="11176" xr:uid="{00000000-0005-0000-0000-0000D88F0000}"/>
    <cellStyle name="Normal 57 6 7 3 2 2" xfId="23619" xr:uid="{00000000-0005-0000-0000-0000D98F0000}"/>
    <cellStyle name="Normal 57 6 7 3 2 2 2" xfId="48493" xr:uid="{00000000-0005-0000-0000-0000DA8F0000}"/>
    <cellStyle name="Normal 57 6 7 3 2 3" xfId="36060" xr:uid="{00000000-0005-0000-0000-0000DB8F0000}"/>
    <cellStyle name="Normal 57 6 7 3 3" xfId="18612" xr:uid="{00000000-0005-0000-0000-0000DC8F0000}"/>
    <cellStyle name="Normal 57 6 7 3 3 2" xfId="43486" xr:uid="{00000000-0005-0000-0000-0000DD8F0000}"/>
    <cellStyle name="Normal 57 6 7 3 4" xfId="31053" xr:uid="{00000000-0005-0000-0000-0000DE8F0000}"/>
    <cellStyle name="Normal 57 6 7 4" xfId="8023" xr:uid="{00000000-0005-0000-0000-0000DF8F0000}"/>
    <cellStyle name="Normal 57 6 7 4 2" xfId="20469" xr:uid="{00000000-0005-0000-0000-0000E08F0000}"/>
    <cellStyle name="Normal 57 6 7 4 2 2" xfId="45343" xr:uid="{00000000-0005-0000-0000-0000E18F0000}"/>
    <cellStyle name="Normal 57 6 7 4 3" xfId="32910" xr:uid="{00000000-0005-0000-0000-0000E28F0000}"/>
    <cellStyle name="Normal 57 6 7 5" xfId="12630" xr:uid="{00000000-0005-0000-0000-0000E38F0000}"/>
    <cellStyle name="Normal 57 6 7 5 2" xfId="25064" xr:uid="{00000000-0005-0000-0000-0000E48F0000}"/>
    <cellStyle name="Normal 57 6 7 5 2 2" xfId="49938" xr:uid="{00000000-0005-0000-0000-0000E58F0000}"/>
    <cellStyle name="Normal 57 6 7 5 3" xfId="37505" xr:uid="{00000000-0005-0000-0000-0000E68F0000}"/>
    <cellStyle name="Normal 57 6 7 6" xfId="7374" xr:uid="{00000000-0005-0000-0000-0000E78F0000}"/>
    <cellStyle name="Normal 57 6 7 6 2" xfId="19822" xr:uid="{00000000-0005-0000-0000-0000E88F0000}"/>
    <cellStyle name="Normal 57 6 7 6 2 2" xfId="44696" xr:uid="{00000000-0005-0000-0000-0000E98F0000}"/>
    <cellStyle name="Normal 57 6 7 6 3" xfId="32263" xr:uid="{00000000-0005-0000-0000-0000EA8F0000}"/>
    <cellStyle name="Normal 57 6 7 7" xfId="2947" xr:uid="{00000000-0005-0000-0000-0000EB8F0000}"/>
    <cellStyle name="Normal 57 6 7 7 2" xfId="15462" xr:uid="{00000000-0005-0000-0000-0000EC8F0000}"/>
    <cellStyle name="Normal 57 6 7 7 2 2" xfId="40336" xr:uid="{00000000-0005-0000-0000-0000ED8F0000}"/>
    <cellStyle name="Normal 57 6 7 7 3" xfId="27895" xr:uid="{00000000-0005-0000-0000-0000EE8F0000}"/>
    <cellStyle name="Normal 57 6 7 8" xfId="14815" xr:uid="{00000000-0005-0000-0000-0000EF8F0000}"/>
    <cellStyle name="Normal 57 6 7 8 2" xfId="39689" xr:uid="{00000000-0005-0000-0000-0000F08F0000}"/>
    <cellStyle name="Normal 57 6 7 9" xfId="27248" xr:uid="{00000000-0005-0000-0000-0000F18F0000}"/>
    <cellStyle name="Normal 57 6 8" xfId="972" xr:uid="{00000000-0005-0000-0000-0000F28F0000}"/>
    <cellStyle name="Normal 57 6 8 2" xfId="11587" xr:uid="{00000000-0005-0000-0000-0000F38F0000}"/>
    <cellStyle name="Normal 57 6 8 2 2" xfId="24021" xr:uid="{00000000-0005-0000-0000-0000F48F0000}"/>
    <cellStyle name="Normal 57 6 8 2 2 2" xfId="48895" xr:uid="{00000000-0005-0000-0000-0000F58F0000}"/>
    <cellStyle name="Normal 57 6 8 2 3" xfId="36462" xr:uid="{00000000-0005-0000-0000-0000F68F0000}"/>
    <cellStyle name="Normal 57 6 8 3" xfId="8910" xr:uid="{00000000-0005-0000-0000-0000F78F0000}"/>
    <cellStyle name="Normal 57 6 8 3 2" xfId="21353" xr:uid="{00000000-0005-0000-0000-0000F88F0000}"/>
    <cellStyle name="Normal 57 6 8 3 2 2" xfId="46227" xr:uid="{00000000-0005-0000-0000-0000F98F0000}"/>
    <cellStyle name="Normal 57 6 8 3 3" xfId="33794" xr:uid="{00000000-0005-0000-0000-0000FA8F0000}"/>
    <cellStyle name="Normal 57 6 8 4" xfId="3892" xr:uid="{00000000-0005-0000-0000-0000FB8F0000}"/>
    <cellStyle name="Normal 57 6 8 4 2" xfId="16346" xr:uid="{00000000-0005-0000-0000-0000FC8F0000}"/>
    <cellStyle name="Normal 57 6 8 4 2 2" xfId="41220" xr:uid="{00000000-0005-0000-0000-0000FD8F0000}"/>
    <cellStyle name="Normal 57 6 8 4 3" xfId="28787" xr:uid="{00000000-0005-0000-0000-0000FE8F0000}"/>
    <cellStyle name="Normal 57 6 8 5" xfId="13772" xr:uid="{00000000-0005-0000-0000-0000FF8F0000}"/>
    <cellStyle name="Normal 57 6 8 5 2" xfId="38646" xr:uid="{00000000-0005-0000-0000-000000900000}"/>
    <cellStyle name="Normal 57 6 8 6" xfId="26205" xr:uid="{00000000-0005-0000-0000-000001900000}"/>
    <cellStyle name="Normal 57 6 9" xfId="899" xr:uid="{00000000-0005-0000-0000-000002900000}"/>
    <cellStyle name="Normal 57 6 9 2" xfId="10131" xr:uid="{00000000-0005-0000-0000-000003900000}"/>
    <cellStyle name="Normal 57 6 9 2 2" xfId="22574" xr:uid="{00000000-0005-0000-0000-000004900000}"/>
    <cellStyle name="Normal 57 6 9 2 2 2" xfId="47448" xr:uid="{00000000-0005-0000-0000-000005900000}"/>
    <cellStyle name="Normal 57 6 9 2 3" xfId="35015" xr:uid="{00000000-0005-0000-0000-000006900000}"/>
    <cellStyle name="Normal 57 6 9 3" xfId="5115" xr:uid="{00000000-0005-0000-0000-000007900000}"/>
    <cellStyle name="Normal 57 6 9 3 2" xfId="17567" xr:uid="{00000000-0005-0000-0000-000008900000}"/>
    <cellStyle name="Normal 57 6 9 3 2 2" xfId="42441" xr:uid="{00000000-0005-0000-0000-000009900000}"/>
    <cellStyle name="Normal 57 6 9 3 3" xfId="30008" xr:uid="{00000000-0005-0000-0000-00000A900000}"/>
    <cellStyle name="Normal 57 6 9 4" xfId="13699" xr:uid="{00000000-0005-0000-0000-00000B900000}"/>
    <cellStyle name="Normal 57 6 9 4 2" xfId="38573" xr:uid="{00000000-0005-0000-0000-00000C900000}"/>
    <cellStyle name="Normal 57 6 9 5" xfId="26132" xr:uid="{00000000-0005-0000-0000-00000D900000}"/>
    <cellStyle name="Normal 57 6_Degree data" xfId="2493" xr:uid="{00000000-0005-0000-0000-00000E900000}"/>
    <cellStyle name="Normal 57 7" xfId="161" xr:uid="{00000000-0005-0000-0000-00000F900000}"/>
    <cellStyle name="Normal 57 7 10" xfId="11646" xr:uid="{00000000-0005-0000-0000-000010900000}"/>
    <cellStyle name="Normal 57 7 10 2" xfId="24080" xr:uid="{00000000-0005-0000-0000-000011900000}"/>
    <cellStyle name="Normal 57 7 10 2 2" xfId="48954" xr:uid="{00000000-0005-0000-0000-000012900000}"/>
    <cellStyle name="Normal 57 7 10 3" xfId="36521" xr:uid="{00000000-0005-0000-0000-000013900000}"/>
    <cellStyle name="Normal 57 7 11" xfId="6506" xr:uid="{00000000-0005-0000-0000-000014900000}"/>
    <cellStyle name="Normal 57 7 11 2" xfId="18955" xr:uid="{00000000-0005-0000-0000-000015900000}"/>
    <cellStyle name="Normal 57 7 11 2 2" xfId="43829" xr:uid="{00000000-0005-0000-0000-000016900000}"/>
    <cellStyle name="Normal 57 7 11 3" xfId="31396" xr:uid="{00000000-0005-0000-0000-000017900000}"/>
    <cellStyle name="Normal 57 7 12" xfId="2674" xr:uid="{00000000-0005-0000-0000-000018900000}"/>
    <cellStyle name="Normal 57 7 12 2" xfId="15192" xr:uid="{00000000-0005-0000-0000-000019900000}"/>
    <cellStyle name="Normal 57 7 12 2 2" xfId="40066" xr:uid="{00000000-0005-0000-0000-00001A900000}"/>
    <cellStyle name="Normal 57 7 12 3" xfId="27625" xr:uid="{00000000-0005-0000-0000-00001B900000}"/>
    <cellStyle name="Normal 57 7 13" xfId="12991" xr:uid="{00000000-0005-0000-0000-00001C900000}"/>
    <cellStyle name="Normal 57 7 13 2" xfId="37865" xr:uid="{00000000-0005-0000-0000-00001D900000}"/>
    <cellStyle name="Normal 57 7 14" xfId="25424" xr:uid="{00000000-0005-0000-0000-00001E900000}"/>
    <cellStyle name="Normal 57 7 2" xfId="485" xr:uid="{00000000-0005-0000-0000-00001F900000}"/>
    <cellStyle name="Normal 57 7 2 10" xfId="2879" xr:uid="{00000000-0005-0000-0000-000020900000}"/>
    <cellStyle name="Normal 57 7 2 10 2" xfId="15397" xr:uid="{00000000-0005-0000-0000-000021900000}"/>
    <cellStyle name="Normal 57 7 2 10 2 2" xfId="40271" xr:uid="{00000000-0005-0000-0000-000022900000}"/>
    <cellStyle name="Normal 57 7 2 10 3" xfId="27830" xr:uid="{00000000-0005-0000-0000-000023900000}"/>
    <cellStyle name="Normal 57 7 2 11" xfId="13298" xr:uid="{00000000-0005-0000-0000-000024900000}"/>
    <cellStyle name="Normal 57 7 2 11 2" xfId="38172" xr:uid="{00000000-0005-0000-0000-000025900000}"/>
    <cellStyle name="Normal 57 7 2 12" xfId="25731" xr:uid="{00000000-0005-0000-0000-000026900000}"/>
    <cellStyle name="Normal 57 7 2 2" xfId="844" xr:uid="{00000000-0005-0000-0000-000027900000}"/>
    <cellStyle name="Normal 57 7 2 2 2" xfId="1535" xr:uid="{00000000-0005-0000-0000-000028900000}"/>
    <cellStyle name="Normal 57 7 2 2 2 2" xfId="9335" xr:uid="{00000000-0005-0000-0000-000029900000}"/>
    <cellStyle name="Normal 57 7 2 2 2 2 2" xfId="21778" xr:uid="{00000000-0005-0000-0000-00002A900000}"/>
    <cellStyle name="Normal 57 7 2 2 2 2 2 2" xfId="46652" xr:uid="{00000000-0005-0000-0000-00002B900000}"/>
    <cellStyle name="Normal 57 7 2 2 2 2 3" xfId="34219" xr:uid="{00000000-0005-0000-0000-00002C900000}"/>
    <cellStyle name="Normal 57 7 2 2 2 3" xfId="4317" xr:uid="{00000000-0005-0000-0000-00002D900000}"/>
    <cellStyle name="Normal 57 7 2 2 2 3 2" xfId="16771" xr:uid="{00000000-0005-0000-0000-00002E900000}"/>
    <cellStyle name="Normal 57 7 2 2 2 3 2 2" xfId="41645" xr:uid="{00000000-0005-0000-0000-00002F900000}"/>
    <cellStyle name="Normal 57 7 2 2 2 3 3" xfId="29212" xr:uid="{00000000-0005-0000-0000-000030900000}"/>
    <cellStyle name="Normal 57 7 2 2 2 4" xfId="14335" xr:uid="{00000000-0005-0000-0000-000031900000}"/>
    <cellStyle name="Normal 57 7 2 2 2 4 2" xfId="39209" xr:uid="{00000000-0005-0000-0000-000032900000}"/>
    <cellStyle name="Normal 57 7 2 2 2 5" xfId="26768" xr:uid="{00000000-0005-0000-0000-000033900000}"/>
    <cellStyle name="Normal 57 7 2 2 3" xfId="5680" xr:uid="{00000000-0005-0000-0000-000034900000}"/>
    <cellStyle name="Normal 57 7 2 2 3 2" xfId="10696" xr:uid="{00000000-0005-0000-0000-000035900000}"/>
    <cellStyle name="Normal 57 7 2 2 3 2 2" xfId="23139" xr:uid="{00000000-0005-0000-0000-000036900000}"/>
    <cellStyle name="Normal 57 7 2 2 3 2 2 2" xfId="48013" xr:uid="{00000000-0005-0000-0000-000037900000}"/>
    <cellStyle name="Normal 57 7 2 2 3 2 3" xfId="35580" xr:uid="{00000000-0005-0000-0000-000038900000}"/>
    <cellStyle name="Normal 57 7 2 2 3 3" xfId="18132" xr:uid="{00000000-0005-0000-0000-000039900000}"/>
    <cellStyle name="Normal 57 7 2 2 3 3 2" xfId="43006" xr:uid="{00000000-0005-0000-0000-00003A900000}"/>
    <cellStyle name="Normal 57 7 2 2 3 4" xfId="30573" xr:uid="{00000000-0005-0000-0000-00003B900000}"/>
    <cellStyle name="Normal 57 7 2 2 4" xfId="8451" xr:uid="{00000000-0005-0000-0000-00003C900000}"/>
    <cellStyle name="Normal 57 7 2 2 4 2" xfId="20895" xr:uid="{00000000-0005-0000-0000-00003D900000}"/>
    <cellStyle name="Normal 57 7 2 2 4 2 2" xfId="45769" xr:uid="{00000000-0005-0000-0000-00003E900000}"/>
    <cellStyle name="Normal 57 7 2 2 4 3" xfId="33336" xr:uid="{00000000-0005-0000-0000-00003F900000}"/>
    <cellStyle name="Normal 57 7 2 2 5" xfId="12150" xr:uid="{00000000-0005-0000-0000-000040900000}"/>
    <cellStyle name="Normal 57 7 2 2 5 2" xfId="24584" xr:uid="{00000000-0005-0000-0000-000041900000}"/>
    <cellStyle name="Normal 57 7 2 2 5 2 2" xfId="49458" xr:uid="{00000000-0005-0000-0000-000042900000}"/>
    <cellStyle name="Normal 57 7 2 2 5 3" xfId="37025" xr:uid="{00000000-0005-0000-0000-000043900000}"/>
    <cellStyle name="Normal 57 7 2 2 6" xfId="6928" xr:uid="{00000000-0005-0000-0000-000044900000}"/>
    <cellStyle name="Normal 57 7 2 2 6 2" xfId="19377" xr:uid="{00000000-0005-0000-0000-000045900000}"/>
    <cellStyle name="Normal 57 7 2 2 6 2 2" xfId="44251" xr:uid="{00000000-0005-0000-0000-000046900000}"/>
    <cellStyle name="Normal 57 7 2 2 6 3" xfId="31818" xr:uid="{00000000-0005-0000-0000-000047900000}"/>
    <cellStyle name="Normal 57 7 2 2 7" xfId="3382" xr:uid="{00000000-0005-0000-0000-000048900000}"/>
    <cellStyle name="Normal 57 7 2 2 7 2" xfId="15888" xr:uid="{00000000-0005-0000-0000-000049900000}"/>
    <cellStyle name="Normal 57 7 2 2 7 2 2" xfId="40762" xr:uid="{00000000-0005-0000-0000-00004A900000}"/>
    <cellStyle name="Normal 57 7 2 2 7 3" xfId="28321" xr:uid="{00000000-0005-0000-0000-00004B900000}"/>
    <cellStyle name="Normal 57 7 2 2 8" xfId="13645" xr:uid="{00000000-0005-0000-0000-00004C900000}"/>
    <cellStyle name="Normal 57 7 2 2 8 2" xfId="38519" xr:uid="{00000000-0005-0000-0000-00004D900000}"/>
    <cellStyle name="Normal 57 7 2 2 9" xfId="26078" xr:uid="{00000000-0005-0000-0000-00004E900000}"/>
    <cellStyle name="Normal 57 7 2 3" xfId="1883" xr:uid="{00000000-0005-0000-0000-00004F900000}"/>
    <cellStyle name="Normal 57 7 2 3 2" xfId="4621" xr:uid="{00000000-0005-0000-0000-000050900000}"/>
    <cellStyle name="Normal 57 7 2 3 2 2" xfId="9639" xr:uid="{00000000-0005-0000-0000-000051900000}"/>
    <cellStyle name="Normal 57 7 2 3 2 2 2" xfId="22082" xr:uid="{00000000-0005-0000-0000-000052900000}"/>
    <cellStyle name="Normal 57 7 2 3 2 2 2 2" xfId="46956" xr:uid="{00000000-0005-0000-0000-000053900000}"/>
    <cellStyle name="Normal 57 7 2 3 2 2 3" xfId="34523" xr:uid="{00000000-0005-0000-0000-000054900000}"/>
    <cellStyle name="Normal 57 7 2 3 2 3" xfId="17075" xr:uid="{00000000-0005-0000-0000-000055900000}"/>
    <cellStyle name="Normal 57 7 2 3 2 3 2" xfId="41949" xr:uid="{00000000-0005-0000-0000-000056900000}"/>
    <cellStyle name="Normal 57 7 2 3 2 4" xfId="29516" xr:uid="{00000000-0005-0000-0000-000057900000}"/>
    <cellStyle name="Normal 57 7 2 3 3" xfId="6029" xr:uid="{00000000-0005-0000-0000-000058900000}"/>
    <cellStyle name="Normal 57 7 2 3 3 2" xfId="11044" xr:uid="{00000000-0005-0000-0000-000059900000}"/>
    <cellStyle name="Normal 57 7 2 3 3 2 2" xfId="23487" xr:uid="{00000000-0005-0000-0000-00005A900000}"/>
    <cellStyle name="Normal 57 7 2 3 3 2 2 2" xfId="48361" xr:uid="{00000000-0005-0000-0000-00005B900000}"/>
    <cellStyle name="Normal 57 7 2 3 3 2 3" xfId="35928" xr:uid="{00000000-0005-0000-0000-00005C900000}"/>
    <cellStyle name="Normal 57 7 2 3 3 3" xfId="18480" xr:uid="{00000000-0005-0000-0000-00005D900000}"/>
    <cellStyle name="Normal 57 7 2 3 3 3 2" xfId="43354" xr:uid="{00000000-0005-0000-0000-00005E900000}"/>
    <cellStyle name="Normal 57 7 2 3 3 4" xfId="30921" xr:uid="{00000000-0005-0000-0000-00005F900000}"/>
    <cellStyle name="Normal 57 7 2 3 4" xfId="8755" xr:uid="{00000000-0005-0000-0000-000060900000}"/>
    <cellStyle name="Normal 57 7 2 3 4 2" xfId="21199" xr:uid="{00000000-0005-0000-0000-000061900000}"/>
    <cellStyle name="Normal 57 7 2 3 4 2 2" xfId="46073" xr:uid="{00000000-0005-0000-0000-000062900000}"/>
    <cellStyle name="Normal 57 7 2 3 4 3" xfId="33640" xr:uid="{00000000-0005-0000-0000-000063900000}"/>
    <cellStyle name="Normal 57 7 2 3 5" xfId="12498" xr:uid="{00000000-0005-0000-0000-000064900000}"/>
    <cellStyle name="Normal 57 7 2 3 5 2" xfId="24932" xr:uid="{00000000-0005-0000-0000-000065900000}"/>
    <cellStyle name="Normal 57 7 2 3 5 2 2" xfId="49806" xr:uid="{00000000-0005-0000-0000-000066900000}"/>
    <cellStyle name="Normal 57 7 2 3 5 3" xfId="37373" xr:uid="{00000000-0005-0000-0000-000067900000}"/>
    <cellStyle name="Normal 57 7 2 3 6" xfId="7232" xr:uid="{00000000-0005-0000-0000-000068900000}"/>
    <cellStyle name="Normal 57 7 2 3 6 2" xfId="19681" xr:uid="{00000000-0005-0000-0000-000069900000}"/>
    <cellStyle name="Normal 57 7 2 3 6 2 2" xfId="44555" xr:uid="{00000000-0005-0000-0000-00006A900000}"/>
    <cellStyle name="Normal 57 7 2 3 6 3" xfId="32122" xr:uid="{00000000-0005-0000-0000-00006B900000}"/>
    <cellStyle name="Normal 57 7 2 3 7" xfId="3686" xr:uid="{00000000-0005-0000-0000-00006C900000}"/>
    <cellStyle name="Normal 57 7 2 3 7 2" xfId="16192" xr:uid="{00000000-0005-0000-0000-00006D900000}"/>
    <cellStyle name="Normal 57 7 2 3 7 2 2" xfId="41066" xr:uid="{00000000-0005-0000-0000-00006E900000}"/>
    <cellStyle name="Normal 57 7 2 3 7 3" xfId="28625" xr:uid="{00000000-0005-0000-0000-00006F900000}"/>
    <cellStyle name="Normal 57 7 2 3 8" xfId="14683" xr:uid="{00000000-0005-0000-0000-000070900000}"/>
    <cellStyle name="Normal 57 7 2 3 8 2" xfId="39557" xr:uid="{00000000-0005-0000-0000-000071900000}"/>
    <cellStyle name="Normal 57 7 2 3 9" xfId="27116" xr:uid="{00000000-0005-0000-0000-000072900000}"/>
    <cellStyle name="Normal 57 7 2 4" xfId="2403" xr:uid="{00000000-0005-0000-0000-000073900000}"/>
    <cellStyle name="Normal 57 7 2 4 2" xfId="5027" xr:uid="{00000000-0005-0000-0000-000074900000}"/>
    <cellStyle name="Normal 57 7 2 4 2 2" xfId="10044" xr:uid="{00000000-0005-0000-0000-000075900000}"/>
    <cellStyle name="Normal 57 7 2 4 2 2 2" xfId="22487" xr:uid="{00000000-0005-0000-0000-000076900000}"/>
    <cellStyle name="Normal 57 7 2 4 2 2 2 2" xfId="47361" xr:uid="{00000000-0005-0000-0000-000077900000}"/>
    <cellStyle name="Normal 57 7 2 4 2 2 3" xfId="34928" xr:uid="{00000000-0005-0000-0000-000078900000}"/>
    <cellStyle name="Normal 57 7 2 4 2 3" xfId="17480" xr:uid="{00000000-0005-0000-0000-000079900000}"/>
    <cellStyle name="Normal 57 7 2 4 2 3 2" xfId="42354" xr:uid="{00000000-0005-0000-0000-00007A900000}"/>
    <cellStyle name="Normal 57 7 2 4 2 4" xfId="29921" xr:uid="{00000000-0005-0000-0000-00007B900000}"/>
    <cellStyle name="Normal 57 7 2 4 3" xfId="6425" xr:uid="{00000000-0005-0000-0000-00007C900000}"/>
    <cellStyle name="Normal 57 7 2 4 3 2" xfId="11440" xr:uid="{00000000-0005-0000-0000-00007D900000}"/>
    <cellStyle name="Normal 57 7 2 4 3 2 2" xfId="23883" xr:uid="{00000000-0005-0000-0000-00007E900000}"/>
    <cellStyle name="Normal 57 7 2 4 3 2 2 2" xfId="48757" xr:uid="{00000000-0005-0000-0000-00007F900000}"/>
    <cellStyle name="Normal 57 7 2 4 3 2 3" xfId="36324" xr:uid="{00000000-0005-0000-0000-000080900000}"/>
    <cellStyle name="Normal 57 7 2 4 3 3" xfId="18876" xr:uid="{00000000-0005-0000-0000-000081900000}"/>
    <cellStyle name="Normal 57 7 2 4 3 3 2" xfId="43750" xr:uid="{00000000-0005-0000-0000-000082900000}"/>
    <cellStyle name="Normal 57 7 2 4 3 4" xfId="31317" xr:uid="{00000000-0005-0000-0000-000083900000}"/>
    <cellStyle name="Normal 57 7 2 4 4" xfId="8132" xr:uid="{00000000-0005-0000-0000-000084900000}"/>
    <cellStyle name="Normal 57 7 2 4 4 2" xfId="20578" xr:uid="{00000000-0005-0000-0000-000085900000}"/>
    <cellStyle name="Normal 57 7 2 4 4 2 2" xfId="45452" xr:uid="{00000000-0005-0000-0000-000086900000}"/>
    <cellStyle name="Normal 57 7 2 4 4 3" xfId="33019" xr:uid="{00000000-0005-0000-0000-000087900000}"/>
    <cellStyle name="Normal 57 7 2 4 5" xfId="12894" xr:uid="{00000000-0005-0000-0000-000088900000}"/>
    <cellStyle name="Normal 57 7 2 4 5 2" xfId="25328" xr:uid="{00000000-0005-0000-0000-000089900000}"/>
    <cellStyle name="Normal 57 7 2 4 5 2 2" xfId="50202" xr:uid="{00000000-0005-0000-0000-00008A900000}"/>
    <cellStyle name="Normal 57 7 2 4 5 3" xfId="37769" xr:uid="{00000000-0005-0000-0000-00008B900000}"/>
    <cellStyle name="Normal 57 7 2 4 6" xfId="7638" xr:uid="{00000000-0005-0000-0000-00008C900000}"/>
    <cellStyle name="Normal 57 7 2 4 6 2" xfId="20086" xr:uid="{00000000-0005-0000-0000-00008D900000}"/>
    <cellStyle name="Normal 57 7 2 4 6 2 2" xfId="44960" xr:uid="{00000000-0005-0000-0000-00008E900000}"/>
    <cellStyle name="Normal 57 7 2 4 6 3" xfId="32527" xr:uid="{00000000-0005-0000-0000-00008F900000}"/>
    <cellStyle name="Normal 57 7 2 4 7" xfId="3062" xr:uid="{00000000-0005-0000-0000-000090900000}"/>
    <cellStyle name="Normal 57 7 2 4 7 2" xfId="15571" xr:uid="{00000000-0005-0000-0000-000091900000}"/>
    <cellStyle name="Normal 57 7 2 4 7 2 2" xfId="40445" xr:uid="{00000000-0005-0000-0000-000092900000}"/>
    <cellStyle name="Normal 57 7 2 4 7 3" xfId="28004" xr:uid="{00000000-0005-0000-0000-000093900000}"/>
    <cellStyle name="Normal 57 7 2 4 8" xfId="15079" xr:uid="{00000000-0005-0000-0000-000094900000}"/>
    <cellStyle name="Normal 57 7 2 4 8 2" xfId="39953" xr:uid="{00000000-0005-0000-0000-000095900000}"/>
    <cellStyle name="Normal 57 7 2 4 9" xfId="27512" xr:uid="{00000000-0005-0000-0000-000096900000}"/>
    <cellStyle name="Normal 57 7 2 5" xfId="1236" xr:uid="{00000000-0005-0000-0000-000097900000}"/>
    <cellStyle name="Normal 57 7 2 5 2" xfId="9018" xr:uid="{00000000-0005-0000-0000-000098900000}"/>
    <cellStyle name="Normal 57 7 2 5 2 2" xfId="21461" xr:uid="{00000000-0005-0000-0000-000099900000}"/>
    <cellStyle name="Normal 57 7 2 5 2 2 2" xfId="46335" xr:uid="{00000000-0005-0000-0000-00009A900000}"/>
    <cellStyle name="Normal 57 7 2 5 2 3" xfId="33902" xr:uid="{00000000-0005-0000-0000-00009B900000}"/>
    <cellStyle name="Normal 57 7 2 5 3" xfId="4000" xr:uid="{00000000-0005-0000-0000-00009C900000}"/>
    <cellStyle name="Normal 57 7 2 5 3 2" xfId="16454" xr:uid="{00000000-0005-0000-0000-00009D900000}"/>
    <cellStyle name="Normal 57 7 2 5 3 2 2" xfId="41328" xr:uid="{00000000-0005-0000-0000-00009E900000}"/>
    <cellStyle name="Normal 57 7 2 5 3 3" xfId="28895" xr:uid="{00000000-0005-0000-0000-00009F900000}"/>
    <cellStyle name="Normal 57 7 2 5 4" xfId="14036" xr:uid="{00000000-0005-0000-0000-0000A0900000}"/>
    <cellStyle name="Normal 57 7 2 5 4 2" xfId="38910" xr:uid="{00000000-0005-0000-0000-0000A1900000}"/>
    <cellStyle name="Normal 57 7 2 5 5" xfId="26469" xr:uid="{00000000-0005-0000-0000-0000A2900000}"/>
    <cellStyle name="Normal 57 7 2 6" xfId="5381" xr:uid="{00000000-0005-0000-0000-0000A3900000}"/>
    <cellStyle name="Normal 57 7 2 6 2" xfId="10397" xr:uid="{00000000-0005-0000-0000-0000A4900000}"/>
    <cellStyle name="Normal 57 7 2 6 2 2" xfId="22840" xr:uid="{00000000-0005-0000-0000-0000A5900000}"/>
    <cellStyle name="Normal 57 7 2 6 2 2 2" xfId="47714" xr:uid="{00000000-0005-0000-0000-0000A6900000}"/>
    <cellStyle name="Normal 57 7 2 6 2 3" xfId="35281" xr:uid="{00000000-0005-0000-0000-0000A7900000}"/>
    <cellStyle name="Normal 57 7 2 6 3" xfId="17833" xr:uid="{00000000-0005-0000-0000-0000A8900000}"/>
    <cellStyle name="Normal 57 7 2 6 3 2" xfId="42707" xr:uid="{00000000-0005-0000-0000-0000A9900000}"/>
    <cellStyle name="Normal 57 7 2 6 4" xfId="30274" xr:uid="{00000000-0005-0000-0000-0000AA900000}"/>
    <cellStyle name="Normal 57 7 2 7" xfId="7958" xr:uid="{00000000-0005-0000-0000-0000AB900000}"/>
    <cellStyle name="Normal 57 7 2 7 2" xfId="20404" xr:uid="{00000000-0005-0000-0000-0000AC900000}"/>
    <cellStyle name="Normal 57 7 2 7 2 2" xfId="45278" xr:uid="{00000000-0005-0000-0000-0000AD900000}"/>
    <cellStyle name="Normal 57 7 2 7 3" xfId="32845" xr:uid="{00000000-0005-0000-0000-0000AE900000}"/>
    <cellStyle name="Normal 57 7 2 8" xfId="11851" xr:uid="{00000000-0005-0000-0000-0000AF900000}"/>
    <cellStyle name="Normal 57 7 2 8 2" xfId="24285" xr:uid="{00000000-0005-0000-0000-0000B0900000}"/>
    <cellStyle name="Normal 57 7 2 8 2 2" xfId="49159" xr:uid="{00000000-0005-0000-0000-0000B1900000}"/>
    <cellStyle name="Normal 57 7 2 8 3" xfId="36726" xr:uid="{00000000-0005-0000-0000-0000B2900000}"/>
    <cellStyle name="Normal 57 7 2 9" xfId="6611" xr:uid="{00000000-0005-0000-0000-0000B3900000}"/>
    <cellStyle name="Normal 57 7 2 9 2" xfId="19060" xr:uid="{00000000-0005-0000-0000-0000B4900000}"/>
    <cellStyle name="Normal 57 7 2 9 2 2" xfId="43934" xr:uid="{00000000-0005-0000-0000-0000B5900000}"/>
    <cellStyle name="Normal 57 7 2 9 3" xfId="31501" xr:uid="{00000000-0005-0000-0000-0000B6900000}"/>
    <cellStyle name="Normal 57 7 2_Degree data" xfId="2500" xr:uid="{00000000-0005-0000-0000-0000B7900000}"/>
    <cellStyle name="Normal 57 7 3" xfId="377" xr:uid="{00000000-0005-0000-0000-0000B8900000}"/>
    <cellStyle name="Normal 57 7 3 10" xfId="13193" xr:uid="{00000000-0005-0000-0000-0000B9900000}"/>
    <cellStyle name="Normal 57 7 3 10 2" xfId="38067" xr:uid="{00000000-0005-0000-0000-0000BA900000}"/>
    <cellStyle name="Normal 57 7 3 11" xfId="25626" xr:uid="{00000000-0005-0000-0000-0000BB900000}"/>
    <cellStyle name="Normal 57 7 3 2" xfId="737" xr:uid="{00000000-0005-0000-0000-0000BC900000}"/>
    <cellStyle name="Normal 57 7 3 2 2" xfId="1536" xr:uid="{00000000-0005-0000-0000-0000BD900000}"/>
    <cellStyle name="Normal 57 7 3 2 2 2" xfId="9640" xr:uid="{00000000-0005-0000-0000-0000BE900000}"/>
    <cellStyle name="Normal 57 7 3 2 2 2 2" xfId="22083" xr:uid="{00000000-0005-0000-0000-0000BF900000}"/>
    <cellStyle name="Normal 57 7 3 2 2 2 2 2" xfId="46957" xr:uid="{00000000-0005-0000-0000-0000C0900000}"/>
    <cellStyle name="Normal 57 7 3 2 2 2 3" xfId="34524" xr:uid="{00000000-0005-0000-0000-0000C1900000}"/>
    <cellStyle name="Normal 57 7 3 2 2 3" xfId="4622" xr:uid="{00000000-0005-0000-0000-0000C2900000}"/>
    <cellStyle name="Normal 57 7 3 2 2 3 2" xfId="17076" xr:uid="{00000000-0005-0000-0000-0000C3900000}"/>
    <cellStyle name="Normal 57 7 3 2 2 3 2 2" xfId="41950" xr:uid="{00000000-0005-0000-0000-0000C4900000}"/>
    <cellStyle name="Normal 57 7 3 2 2 3 3" xfId="29517" xr:uid="{00000000-0005-0000-0000-0000C5900000}"/>
    <cellStyle name="Normal 57 7 3 2 2 4" xfId="14336" xr:uid="{00000000-0005-0000-0000-0000C6900000}"/>
    <cellStyle name="Normal 57 7 3 2 2 4 2" xfId="39210" xr:uid="{00000000-0005-0000-0000-0000C7900000}"/>
    <cellStyle name="Normal 57 7 3 2 2 5" xfId="26769" xr:uid="{00000000-0005-0000-0000-0000C8900000}"/>
    <cellStyle name="Normal 57 7 3 2 3" xfId="5681" xr:uid="{00000000-0005-0000-0000-0000C9900000}"/>
    <cellStyle name="Normal 57 7 3 2 3 2" xfId="10697" xr:uid="{00000000-0005-0000-0000-0000CA900000}"/>
    <cellStyle name="Normal 57 7 3 2 3 2 2" xfId="23140" xr:uid="{00000000-0005-0000-0000-0000CB900000}"/>
    <cellStyle name="Normal 57 7 3 2 3 2 2 2" xfId="48014" xr:uid="{00000000-0005-0000-0000-0000CC900000}"/>
    <cellStyle name="Normal 57 7 3 2 3 2 3" xfId="35581" xr:uid="{00000000-0005-0000-0000-0000CD900000}"/>
    <cellStyle name="Normal 57 7 3 2 3 3" xfId="18133" xr:uid="{00000000-0005-0000-0000-0000CE900000}"/>
    <cellStyle name="Normal 57 7 3 2 3 3 2" xfId="43007" xr:uid="{00000000-0005-0000-0000-0000CF900000}"/>
    <cellStyle name="Normal 57 7 3 2 3 4" xfId="30574" xr:uid="{00000000-0005-0000-0000-0000D0900000}"/>
    <cellStyle name="Normal 57 7 3 2 4" xfId="8756" xr:uid="{00000000-0005-0000-0000-0000D1900000}"/>
    <cellStyle name="Normal 57 7 3 2 4 2" xfId="21200" xr:uid="{00000000-0005-0000-0000-0000D2900000}"/>
    <cellStyle name="Normal 57 7 3 2 4 2 2" xfId="46074" xr:uid="{00000000-0005-0000-0000-0000D3900000}"/>
    <cellStyle name="Normal 57 7 3 2 4 3" xfId="33641" xr:uid="{00000000-0005-0000-0000-0000D4900000}"/>
    <cellStyle name="Normal 57 7 3 2 5" xfId="12151" xr:uid="{00000000-0005-0000-0000-0000D5900000}"/>
    <cellStyle name="Normal 57 7 3 2 5 2" xfId="24585" xr:uid="{00000000-0005-0000-0000-0000D6900000}"/>
    <cellStyle name="Normal 57 7 3 2 5 2 2" xfId="49459" xr:uid="{00000000-0005-0000-0000-0000D7900000}"/>
    <cellStyle name="Normal 57 7 3 2 5 3" xfId="37026" xr:uid="{00000000-0005-0000-0000-0000D8900000}"/>
    <cellStyle name="Normal 57 7 3 2 6" xfId="7233" xr:uid="{00000000-0005-0000-0000-0000D9900000}"/>
    <cellStyle name="Normal 57 7 3 2 6 2" xfId="19682" xr:uid="{00000000-0005-0000-0000-0000DA900000}"/>
    <cellStyle name="Normal 57 7 3 2 6 2 2" xfId="44556" xr:uid="{00000000-0005-0000-0000-0000DB900000}"/>
    <cellStyle name="Normal 57 7 3 2 6 3" xfId="32123" xr:uid="{00000000-0005-0000-0000-0000DC900000}"/>
    <cellStyle name="Normal 57 7 3 2 7" xfId="3687" xr:uid="{00000000-0005-0000-0000-0000DD900000}"/>
    <cellStyle name="Normal 57 7 3 2 7 2" xfId="16193" xr:uid="{00000000-0005-0000-0000-0000DE900000}"/>
    <cellStyle name="Normal 57 7 3 2 7 2 2" xfId="41067" xr:uid="{00000000-0005-0000-0000-0000DF900000}"/>
    <cellStyle name="Normal 57 7 3 2 7 3" xfId="28626" xr:uid="{00000000-0005-0000-0000-0000E0900000}"/>
    <cellStyle name="Normal 57 7 3 2 8" xfId="13540" xr:uid="{00000000-0005-0000-0000-0000E1900000}"/>
    <cellStyle name="Normal 57 7 3 2 8 2" xfId="38414" xr:uid="{00000000-0005-0000-0000-0000E2900000}"/>
    <cellStyle name="Normal 57 7 3 2 9" xfId="25973" xr:uid="{00000000-0005-0000-0000-0000E3900000}"/>
    <cellStyle name="Normal 57 7 3 3" xfId="1884" xr:uid="{00000000-0005-0000-0000-0000E4900000}"/>
    <cellStyle name="Normal 57 7 3 3 2" xfId="4922" xr:uid="{00000000-0005-0000-0000-0000E5900000}"/>
    <cellStyle name="Normal 57 7 3 3 2 2" xfId="9939" xr:uid="{00000000-0005-0000-0000-0000E6900000}"/>
    <cellStyle name="Normal 57 7 3 3 2 2 2" xfId="22382" xr:uid="{00000000-0005-0000-0000-0000E7900000}"/>
    <cellStyle name="Normal 57 7 3 3 2 2 2 2" xfId="47256" xr:uid="{00000000-0005-0000-0000-0000E8900000}"/>
    <cellStyle name="Normal 57 7 3 3 2 2 3" xfId="34823" xr:uid="{00000000-0005-0000-0000-0000E9900000}"/>
    <cellStyle name="Normal 57 7 3 3 2 3" xfId="17375" xr:uid="{00000000-0005-0000-0000-0000EA900000}"/>
    <cellStyle name="Normal 57 7 3 3 2 3 2" xfId="42249" xr:uid="{00000000-0005-0000-0000-0000EB900000}"/>
    <cellStyle name="Normal 57 7 3 3 2 4" xfId="29816" xr:uid="{00000000-0005-0000-0000-0000EC900000}"/>
    <cellStyle name="Normal 57 7 3 3 3" xfId="6030" xr:uid="{00000000-0005-0000-0000-0000ED900000}"/>
    <cellStyle name="Normal 57 7 3 3 3 2" xfId="11045" xr:uid="{00000000-0005-0000-0000-0000EE900000}"/>
    <cellStyle name="Normal 57 7 3 3 3 2 2" xfId="23488" xr:uid="{00000000-0005-0000-0000-0000EF900000}"/>
    <cellStyle name="Normal 57 7 3 3 3 2 2 2" xfId="48362" xr:uid="{00000000-0005-0000-0000-0000F0900000}"/>
    <cellStyle name="Normal 57 7 3 3 3 2 3" xfId="35929" xr:uid="{00000000-0005-0000-0000-0000F1900000}"/>
    <cellStyle name="Normal 57 7 3 3 3 3" xfId="18481" xr:uid="{00000000-0005-0000-0000-0000F2900000}"/>
    <cellStyle name="Normal 57 7 3 3 3 3 2" xfId="43355" xr:uid="{00000000-0005-0000-0000-0000F3900000}"/>
    <cellStyle name="Normal 57 7 3 3 3 4" xfId="30922" xr:uid="{00000000-0005-0000-0000-0000F4900000}"/>
    <cellStyle name="Normal 57 7 3 3 4" xfId="8346" xr:uid="{00000000-0005-0000-0000-0000F5900000}"/>
    <cellStyle name="Normal 57 7 3 3 4 2" xfId="20790" xr:uid="{00000000-0005-0000-0000-0000F6900000}"/>
    <cellStyle name="Normal 57 7 3 3 4 2 2" xfId="45664" xr:uid="{00000000-0005-0000-0000-0000F7900000}"/>
    <cellStyle name="Normal 57 7 3 3 4 3" xfId="33231" xr:uid="{00000000-0005-0000-0000-0000F8900000}"/>
    <cellStyle name="Normal 57 7 3 3 5" xfId="12499" xr:uid="{00000000-0005-0000-0000-0000F9900000}"/>
    <cellStyle name="Normal 57 7 3 3 5 2" xfId="24933" xr:uid="{00000000-0005-0000-0000-0000FA900000}"/>
    <cellStyle name="Normal 57 7 3 3 5 2 2" xfId="49807" xr:uid="{00000000-0005-0000-0000-0000FB900000}"/>
    <cellStyle name="Normal 57 7 3 3 5 3" xfId="37374" xr:uid="{00000000-0005-0000-0000-0000FC900000}"/>
    <cellStyle name="Normal 57 7 3 3 6" xfId="7533" xr:uid="{00000000-0005-0000-0000-0000FD900000}"/>
    <cellStyle name="Normal 57 7 3 3 6 2" xfId="19981" xr:uid="{00000000-0005-0000-0000-0000FE900000}"/>
    <cellStyle name="Normal 57 7 3 3 6 2 2" xfId="44855" xr:uid="{00000000-0005-0000-0000-0000FF900000}"/>
    <cellStyle name="Normal 57 7 3 3 6 3" xfId="32422" xr:uid="{00000000-0005-0000-0000-000000910000}"/>
    <cellStyle name="Normal 57 7 3 3 7" xfId="3277" xr:uid="{00000000-0005-0000-0000-000001910000}"/>
    <cellStyle name="Normal 57 7 3 3 7 2" xfId="15783" xr:uid="{00000000-0005-0000-0000-000002910000}"/>
    <cellStyle name="Normal 57 7 3 3 7 2 2" xfId="40657" xr:uid="{00000000-0005-0000-0000-000003910000}"/>
    <cellStyle name="Normal 57 7 3 3 7 3" xfId="28216" xr:uid="{00000000-0005-0000-0000-000004910000}"/>
    <cellStyle name="Normal 57 7 3 3 8" xfId="14684" xr:uid="{00000000-0005-0000-0000-000005910000}"/>
    <cellStyle name="Normal 57 7 3 3 8 2" xfId="39558" xr:uid="{00000000-0005-0000-0000-000006910000}"/>
    <cellStyle name="Normal 57 7 3 3 9" xfId="27117" xr:uid="{00000000-0005-0000-0000-000007910000}"/>
    <cellStyle name="Normal 57 7 3 4" xfId="2295" xr:uid="{00000000-0005-0000-0000-000008910000}"/>
    <cellStyle name="Normal 57 7 3 4 2" xfId="6320" xr:uid="{00000000-0005-0000-0000-000009910000}"/>
    <cellStyle name="Normal 57 7 3 4 2 2" xfId="11335" xr:uid="{00000000-0005-0000-0000-00000A910000}"/>
    <cellStyle name="Normal 57 7 3 4 2 2 2" xfId="23778" xr:uid="{00000000-0005-0000-0000-00000B910000}"/>
    <cellStyle name="Normal 57 7 3 4 2 2 2 2" xfId="48652" xr:uid="{00000000-0005-0000-0000-00000C910000}"/>
    <cellStyle name="Normal 57 7 3 4 2 2 3" xfId="36219" xr:uid="{00000000-0005-0000-0000-00000D910000}"/>
    <cellStyle name="Normal 57 7 3 4 2 3" xfId="18771" xr:uid="{00000000-0005-0000-0000-00000E910000}"/>
    <cellStyle name="Normal 57 7 3 4 2 3 2" xfId="43645" xr:uid="{00000000-0005-0000-0000-00000F910000}"/>
    <cellStyle name="Normal 57 7 3 4 2 4" xfId="31212" xr:uid="{00000000-0005-0000-0000-000010910000}"/>
    <cellStyle name="Normal 57 7 3 4 3" xfId="12789" xr:uid="{00000000-0005-0000-0000-000011910000}"/>
    <cellStyle name="Normal 57 7 3 4 3 2" xfId="25223" xr:uid="{00000000-0005-0000-0000-000012910000}"/>
    <cellStyle name="Normal 57 7 3 4 3 2 2" xfId="50097" xr:uid="{00000000-0005-0000-0000-000013910000}"/>
    <cellStyle name="Normal 57 7 3 4 3 3" xfId="37664" xr:uid="{00000000-0005-0000-0000-000014910000}"/>
    <cellStyle name="Normal 57 7 3 4 4" xfId="9230" xr:uid="{00000000-0005-0000-0000-000015910000}"/>
    <cellStyle name="Normal 57 7 3 4 4 2" xfId="21673" xr:uid="{00000000-0005-0000-0000-000016910000}"/>
    <cellStyle name="Normal 57 7 3 4 4 2 2" xfId="46547" xr:uid="{00000000-0005-0000-0000-000017910000}"/>
    <cellStyle name="Normal 57 7 3 4 4 3" xfId="34114" xr:uid="{00000000-0005-0000-0000-000018910000}"/>
    <cellStyle name="Normal 57 7 3 4 5" xfId="4212" xr:uid="{00000000-0005-0000-0000-000019910000}"/>
    <cellStyle name="Normal 57 7 3 4 5 2" xfId="16666" xr:uid="{00000000-0005-0000-0000-00001A910000}"/>
    <cellStyle name="Normal 57 7 3 4 5 2 2" xfId="41540" xr:uid="{00000000-0005-0000-0000-00001B910000}"/>
    <cellStyle name="Normal 57 7 3 4 5 3" xfId="29107" xr:uid="{00000000-0005-0000-0000-00001C910000}"/>
    <cellStyle name="Normal 57 7 3 4 6" xfId="14974" xr:uid="{00000000-0005-0000-0000-00001D910000}"/>
    <cellStyle name="Normal 57 7 3 4 6 2" xfId="39848" xr:uid="{00000000-0005-0000-0000-00001E910000}"/>
    <cellStyle name="Normal 57 7 3 4 7" xfId="27407" xr:uid="{00000000-0005-0000-0000-00001F910000}"/>
    <cellStyle name="Normal 57 7 3 5" xfId="1131" xr:uid="{00000000-0005-0000-0000-000020910000}"/>
    <cellStyle name="Normal 57 7 3 5 2" xfId="10292" xr:uid="{00000000-0005-0000-0000-000021910000}"/>
    <cellStyle name="Normal 57 7 3 5 2 2" xfId="22735" xr:uid="{00000000-0005-0000-0000-000022910000}"/>
    <cellStyle name="Normal 57 7 3 5 2 2 2" xfId="47609" xr:uid="{00000000-0005-0000-0000-000023910000}"/>
    <cellStyle name="Normal 57 7 3 5 2 3" xfId="35176" xr:uid="{00000000-0005-0000-0000-000024910000}"/>
    <cellStyle name="Normal 57 7 3 5 3" xfId="5276" xr:uid="{00000000-0005-0000-0000-000025910000}"/>
    <cellStyle name="Normal 57 7 3 5 3 2" xfId="17728" xr:uid="{00000000-0005-0000-0000-000026910000}"/>
    <cellStyle name="Normal 57 7 3 5 3 2 2" xfId="42602" xr:uid="{00000000-0005-0000-0000-000027910000}"/>
    <cellStyle name="Normal 57 7 3 5 3 3" xfId="30169" xr:uid="{00000000-0005-0000-0000-000028910000}"/>
    <cellStyle name="Normal 57 7 3 5 4" xfId="13931" xr:uid="{00000000-0005-0000-0000-000029910000}"/>
    <cellStyle name="Normal 57 7 3 5 4 2" xfId="38805" xr:uid="{00000000-0005-0000-0000-00002A910000}"/>
    <cellStyle name="Normal 57 7 3 5 5" xfId="26364" xr:uid="{00000000-0005-0000-0000-00002B910000}"/>
    <cellStyle name="Normal 57 7 3 6" xfId="7853" xr:uid="{00000000-0005-0000-0000-00002C910000}"/>
    <cellStyle name="Normal 57 7 3 6 2" xfId="20299" xr:uid="{00000000-0005-0000-0000-00002D910000}"/>
    <cellStyle name="Normal 57 7 3 6 2 2" xfId="45173" xr:uid="{00000000-0005-0000-0000-00002E910000}"/>
    <cellStyle name="Normal 57 7 3 6 3" xfId="32740" xr:uid="{00000000-0005-0000-0000-00002F910000}"/>
    <cellStyle name="Normal 57 7 3 7" xfId="11746" xr:uid="{00000000-0005-0000-0000-000030910000}"/>
    <cellStyle name="Normal 57 7 3 7 2" xfId="24180" xr:uid="{00000000-0005-0000-0000-000031910000}"/>
    <cellStyle name="Normal 57 7 3 7 2 2" xfId="49054" xr:uid="{00000000-0005-0000-0000-000032910000}"/>
    <cellStyle name="Normal 57 7 3 7 3" xfId="36621" xr:uid="{00000000-0005-0000-0000-000033910000}"/>
    <cellStyle name="Normal 57 7 3 8" xfId="6823" xr:uid="{00000000-0005-0000-0000-000034910000}"/>
    <cellStyle name="Normal 57 7 3 8 2" xfId="19272" xr:uid="{00000000-0005-0000-0000-000035910000}"/>
    <cellStyle name="Normal 57 7 3 8 2 2" xfId="44146" xr:uid="{00000000-0005-0000-0000-000036910000}"/>
    <cellStyle name="Normal 57 7 3 8 3" xfId="31713" xr:uid="{00000000-0005-0000-0000-000037910000}"/>
    <cellStyle name="Normal 57 7 3 9" xfId="2774" xr:uid="{00000000-0005-0000-0000-000038910000}"/>
    <cellStyle name="Normal 57 7 3 9 2" xfId="15292" xr:uid="{00000000-0005-0000-0000-000039910000}"/>
    <cellStyle name="Normal 57 7 3 9 2 2" xfId="40166" xr:uid="{00000000-0005-0000-0000-00003A910000}"/>
    <cellStyle name="Normal 57 7 3 9 3" xfId="27725" xr:uid="{00000000-0005-0000-0000-00003B910000}"/>
    <cellStyle name="Normal 57 7 3_Degree data" xfId="2501" xr:uid="{00000000-0005-0000-0000-00003C910000}"/>
    <cellStyle name="Normal 57 7 4" xfId="274" xr:uid="{00000000-0005-0000-0000-00003D910000}"/>
    <cellStyle name="Normal 57 7 4 2" xfId="1534" xr:uid="{00000000-0005-0000-0000-00003E910000}"/>
    <cellStyle name="Normal 57 7 4 2 2" xfId="9130" xr:uid="{00000000-0005-0000-0000-00003F910000}"/>
    <cellStyle name="Normal 57 7 4 2 2 2" xfId="21573" xr:uid="{00000000-0005-0000-0000-000040910000}"/>
    <cellStyle name="Normal 57 7 4 2 2 2 2" xfId="46447" xr:uid="{00000000-0005-0000-0000-000041910000}"/>
    <cellStyle name="Normal 57 7 4 2 2 3" xfId="34014" xr:uid="{00000000-0005-0000-0000-000042910000}"/>
    <cellStyle name="Normal 57 7 4 2 3" xfId="4112" xr:uid="{00000000-0005-0000-0000-000043910000}"/>
    <cellStyle name="Normal 57 7 4 2 3 2" xfId="16566" xr:uid="{00000000-0005-0000-0000-000044910000}"/>
    <cellStyle name="Normal 57 7 4 2 3 2 2" xfId="41440" xr:uid="{00000000-0005-0000-0000-000045910000}"/>
    <cellStyle name="Normal 57 7 4 2 3 3" xfId="29007" xr:uid="{00000000-0005-0000-0000-000046910000}"/>
    <cellStyle name="Normal 57 7 4 2 4" xfId="14334" xr:uid="{00000000-0005-0000-0000-000047910000}"/>
    <cellStyle name="Normal 57 7 4 2 4 2" xfId="39208" xr:uid="{00000000-0005-0000-0000-000048910000}"/>
    <cellStyle name="Normal 57 7 4 2 5" xfId="26767" xr:uid="{00000000-0005-0000-0000-000049910000}"/>
    <cellStyle name="Normal 57 7 4 3" xfId="5679" xr:uid="{00000000-0005-0000-0000-00004A910000}"/>
    <cellStyle name="Normal 57 7 4 3 2" xfId="10695" xr:uid="{00000000-0005-0000-0000-00004B910000}"/>
    <cellStyle name="Normal 57 7 4 3 2 2" xfId="23138" xr:uid="{00000000-0005-0000-0000-00004C910000}"/>
    <cellStyle name="Normal 57 7 4 3 2 2 2" xfId="48012" xr:uid="{00000000-0005-0000-0000-00004D910000}"/>
    <cellStyle name="Normal 57 7 4 3 2 3" xfId="35579" xr:uid="{00000000-0005-0000-0000-00004E910000}"/>
    <cellStyle name="Normal 57 7 4 3 3" xfId="18131" xr:uid="{00000000-0005-0000-0000-00004F910000}"/>
    <cellStyle name="Normal 57 7 4 3 3 2" xfId="43005" xr:uid="{00000000-0005-0000-0000-000050910000}"/>
    <cellStyle name="Normal 57 7 4 3 4" xfId="30572" xr:uid="{00000000-0005-0000-0000-000051910000}"/>
    <cellStyle name="Normal 57 7 4 4" xfId="8246" xr:uid="{00000000-0005-0000-0000-000052910000}"/>
    <cellStyle name="Normal 57 7 4 4 2" xfId="20690" xr:uid="{00000000-0005-0000-0000-000053910000}"/>
    <cellStyle name="Normal 57 7 4 4 2 2" xfId="45564" xr:uid="{00000000-0005-0000-0000-000054910000}"/>
    <cellStyle name="Normal 57 7 4 4 3" xfId="33131" xr:uid="{00000000-0005-0000-0000-000055910000}"/>
    <cellStyle name="Normal 57 7 4 5" xfId="12149" xr:uid="{00000000-0005-0000-0000-000056910000}"/>
    <cellStyle name="Normal 57 7 4 5 2" xfId="24583" xr:uid="{00000000-0005-0000-0000-000057910000}"/>
    <cellStyle name="Normal 57 7 4 5 2 2" xfId="49457" xr:uid="{00000000-0005-0000-0000-000058910000}"/>
    <cellStyle name="Normal 57 7 4 5 3" xfId="37024" xr:uid="{00000000-0005-0000-0000-000059910000}"/>
    <cellStyle name="Normal 57 7 4 6" xfId="6723" xr:uid="{00000000-0005-0000-0000-00005A910000}"/>
    <cellStyle name="Normal 57 7 4 6 2" xfId="19172" xr:uid="{00000000-0005-0000-0000-00005B910000}"/>
    <cellStyle name="Normal 57 7 4 6 2 2" xfId="44046" xr:uid="{00000000-0005-0000-0000-00005C910000}"/>
    <cellStyle name="Normal 57 7 4 6 3" xfId="31613" xr:uid="{00000000-0005-0000-0000-00005D910000}"/>
    <cellStyle name="Normal 57 7 4 7" xfId="3177" xr:uid="{00000000-0005-0000-0000-00005E910000}"/>
    <cellStyle name="Normal 57 7 4 7 2" xfId="15683" xr:uid="{00000000-0005-0000-0000-00005F910000}"/>
    <cellStyle name="Normal 57 7 4 7 2 2" xfId="40557" xr:uid="{00000000-0005-0000-0000-000060910000}"/>
    <cellStyle name="Normal 57 7 4 7 3" xfId="28116" xr:uid="{00000000-0005-0000-0000-000061910000}"/>
    <cellStyle name="Normal 57 7 4 8" xfId="13093" xr:uid="{00000000-0005-0000-0000-000062910000}"/>
    <cellStyle name="Normal 57 7 4 8 2" xfId="37967" xr:uid="{00000000-0005-0000-0000-000063910000}"/>
    <cellStyle name="Normal 57 7 4 9" xfId="25526" xr:uid="{00000000-0005-0000-0000-000064910000}"/>
    <cellStyle name="Normal 57 7 5" xfId="636" xr:uid="{00000000-0005-0000-0000-000065910000}"/>
    <cellStyle name="Normal 57 7 5 2" xfId="1882" xr:uid="{00000000-0005-0000-0000-000066910000}"/>
    <cellStyle name="Normal 57 7 5 2 2" xfId="9638" xr:uid="{00000000-0005-0000-0000-000067910000}"/>
    <cellStyle name="Normal 57 7 5 2 2 2" xfId="22081" xr:uid="{00000000-0005-0000-0000-000068910000}"/>
    <cellStyle name="Normal 57 7 5 2 2 2 2" xfId="46955" xr:uid="{00000000-0005-0000-0000-000069910000}"/>
    <cellStyle name="Normal 57 7 5 2 2 3" xfId="34522" xr:uid="{00000000-0005-0000-0000-00006A910000}"/>
    <cellStyle name="Normal 57 7 5 2 3" xfId="4620" xr:uid="{00000000-0005-0000-0000-00006B910000}"/>
    <cellStyle name="Normal 57 7 5 2 3 2" xfId="17074" xr:uid="{00000000-0005-0000-0000-00006C910000}"/>
    <cellStyle name="Normal 57 7 5 2 3 2 2" xfId="41948" xr:uid="{00000000-0005-0000-0000-00006D910000}"/>
    <cellStyle name="Normal 57 7 5 2 3 3" xfId="29515" xr:uid="{00000000-0005-0000-0000-00006E910000}"/>
    <cellStyle name="Normal 57 7 5 2 4" xfId="14682" xr:uid="{00000000-0005-0000-0000-00006F910000}"/>
    <cellStyle name="Normal 57 7 5 2 4 2" xfId="39556" xr:uid="{00000000-0005-0000-0000-000070910000}"/>
    <cellStyle name="Normal 57 7 5 2 5" xfId="27115" xr:uid="{00000000-0005-0000-0000-000071910000}"/>
    <cellStyle name="Normal 57 7 5 3" xfId="6028" xr:uid="{00000000-0005-0000-0000-000072910000}"/>
    <cellStyle name="Normal 57 7 5 3 2" xfId="11043" xr:uid="{00000000-0005-0000-0000-000073910000}"/>
    <cellStyle name="Normal 57 7 5 3 2 2" xfId="23486" xr:uid="{00000000-0005-0000-0000-000074910000}"/>
    <cellStyle name="Normal 57 7 5 3 2 2 2" xfId="48360" xr:uid="{00000000-0005-0000-0000-000075910000}"/>
    <cellStyle name="Normal 57 7 5 3 2 3" xfId="35927" xr:uid="{00000000-0005-0000-0000-000076910000}"/>
    <cellStyle name="Normal 57 7 5 3 3" xfId="18479" xr:uid="{00000000-0005-0000-0000-000077910000}"/>
    <cellStyle name="Normal 57 7 5 3 3 2" xfId="43353" xr:uid="{00000000-0005-0000-0000-000078910000}"/>
    <cellStyle name="Normal 57 7 5 3 4" xfId="30920" xr:uid="{00000000-0005-0000-0000-000079910000}"/>
    <cellStyle name="Normal 57 7 5 4" xfId="8754" xr:uid="{00000000-0005-0000-0000-00007A910000}"/>
    <cellStyle name="Normal 57 7 5 4 2" xfId="21198" xr:uid="{00000000-0005-0000-0000-00007B910000}"/>
    <cellStyle name="Normal 57 7 5 4 2 2" xfId="46072" xr:uid="{00000000-0005-0000-0000-00007C910000}"/>
    <cellStyle name="Normal 57 7 5 4 3" xfId="33639" xr:uid="{00000000-0005-0000-0000-00007D910000}"/>
    <cellStyle name="Normal 57 7 5 5" xfId="12497" xr:uid="{00000000-0005-0000-0000-00007E910000}"/>
    <cellStyle name="Normal 57 7 5 5 2" xfId="24931" xr:uid="{00000000-0005-0000-0000-00007F910000}"/>
    <cellStyle name="Normal 57 7 5 5 2 2" xfId="49805" xr:uid="{00000000-0005-0000-0000-000080910000}"/>
    <cellStyle name="Normal 57 7 5 5 3" xfId="37372" xr:uid="{00000000-0005-0000-0000-000081910000}"/>
    <cellStyle name="Normal 57 7 5 6" xfId="7231" xr:uid="{00000000-0005-0000-0000-000082910000}"/>
    <cellStyle name="Normal 57 7 5 6 2" xfId="19680" xr:uid="{00000000-0005-0000-0000-000083910000}"/>
    <cellStyle name="Normal 57 7 5 6 2 2" xfId="44554" xr:uid="{00000000-0005-0000-0000-000084910000}"/>
    <cellStyle name="Normal 57 7 5 6 3" xfId="32121" xr:uid="{00000000-0005-0000-0000-000085910000}"/>
    <cellStyle name="Normal 57 7 5 7" xfId="3685" xr:uid="{00000000-0005-0000-0000-000086910000}"/>
    <cellStyle name="Normal 57 7 5 7 2" xfId="16191" xr:uid="{00000000-0005-0000-0000-000087910000}"/>
    <cellStyle name="Normal 57 7 5 7 2 2" xfId="41065" xr:uid="{00000000-0005-0000-0000-000088910000}"/>
    <cellStyle name="Normal 57 7 5 7 3" xfId="28624" xr:uid="{00000000-0005-0000-0000-000089910000}"/>
    <cellStyle name="Normal 57 7 5 8" xfId="13440" xr:uid="{00000000-0005-0000-0000-00008A910000}"/>
    <cellStyle name="Normal 57 7 5 8 2" xfId="38314" xr:uid="{00000000-0005-0000-0000-00008B910000}"/>
    <cellStyle name="Normal 57 7 5 9" xfId="25873" xr:uid="{00000000-0005-0000-0000-00008C910000}"/>
    <cellStyle name="Normal 57 7 6" xfId="2192" xr:uid="{00000000-0005-0000-0000-00008D910000}"/>
    <cellStyle name="Normal 57 7 6 2" xfId="4822" xr:uid="{00000000-0005-0000-0000-00008E910000}"/>
    <cellStyle name="Normal 57 7 6 2 2" xfId="9839" xr:uid="{00000000-0005-0000-0000-00008F910000}"/>
    <cellStyle name="Normal 57 7 6 2 2 2" xfId="22282" xr:uid="{00000000-0005-0000-0000-000090910000}"/>
    <cellStyle name="Normal 57 7 6 2 2 2 2" xfId="47156" xr:uid="{00000000-0005-0000-0000-000091910000}"/>
    <cellStyle name="Normal 57 7 6 2 2 3" xfId="34723" xr:uid="{00000000-0005-0000-0000-000092910000}"/>
    <cellStyle name="Normal 57 7 6 2 3" xfId="17275" xr:uid="{00000000-0005-0000-0000-000093910000}"/>
    <cellStyle name="Normal 57 7 6 2 3 2" xfId="42149" xr:uid="{00000000-0005-0000-0000-000094910000}"/>
    <cellStyle name="Normal 57 7 6 2 4" xfId="29716" xr:uid="{00000000-0005-0000-0000-000095910000}"/>
    <cellStyle name="Normal 57 7 6 3" xfId="6220" xr:uid="{00000000-0005-0000-0000-000096910000}"/>
    <cellStyle name="Normal 57 7 6 3 2" xfId="11235" xr:uid="{00000000-0005-0000-0000-000097910000}"/>
    <cellStyle name="Normal 57 7 6 3 2 2" xfId="23678" xr:uid="{00000000-0005-0000-0000-000098910000}"/>
    <cellStyle name="Normal 57 7 6 3 2 2 2" xfId="48552" xr:uid="{00000000-0005-0000-0000-000099910000}"/>
    <cellStyle name="Normal 57 7 6 3 2 3" xfId="36119" xr:uid="{00000000-0005-0000-0000-00009A910000}"/>
    <cellStyle name="Normal 57 7 6 3 3" xfId="18671" xr:uid="{00000000-0005-0000-0000-00009B910000}"/>
    <cellStyle name="Normal 57 7 6 3 3 2" xfId="43545" xr:uid="{00000000-0005-0000-0000-00009C910000}"/>
    <cellStyle name="Normal 57 7 6 3 4" xfId="31112" xr:uid="{00000000-0005-0000-0000-00009D910000}"/>
    <cellStyle name="Normal 57 7 6 4" xfId="8026" xr:uid="{00000000-0005-0000-0000-00009E910000}"/>
    <cellStyle name="Normal 57 7 6 4 2" xfId="20472" xr:uid="{00000000-0005-0000-0000-00009F910000}"/>
    <cellStyle name="Normal 57 7 6 4 2 2" xfId="45346" xr:uid="{00000000-0005-0000-0000-0000A0910000}"/>
    <cellStyle name="Normal 57 7 6 4 3" xfId="32913" xr:uid="{00000000-0005-0000-0000-0000A1910000}"/>
    <cellStyle name="Normal 57 7 6 5" xfId="12689" xr:uid="{00000000-0005-0000-0000-0000A2910000}"/>
    <cellStyle name="Normal 57 7 6 5 2" xfId="25123" xr:uid="{00000000-0005-0000-0000-0000A3910000}"/>
    <cellStyle name="Normal 57 7 6 5 2 2" xfId="49997" xr:uid="{00000000-0005-0000-0000-0000A4910000}"/>
    <cellStyle name="Normal 57 7 6 5 3" xfId="37564" xr:uid="{00000000-0005-0000-0000-0000A5910000}"/>
    <cellStyle name="Normal 57 7 6 6" xfId="7433" xr:uid="{00000000-0005-0000-0000-0000A6910000}"/>
    <cellStyle name="Normal 57 7 6 6 2" xfId="19881" xr:uid="{00000000-0005-0000-0000-0000A7910000}"/>
    <cellStyle name="Normal 57 7 6 6 2 2" xfId="44755" xr:uid="{00000000-0005-0000-0000-0000A8910000}"/>
    <cellStyle name="Normal 57 7 6 6 3" xfId="32322" xr:uid="{00000000-0005-0000-0000-0000A9910000}"/>
    <cellStyle name="Normal 57 7 6 7" xfId="2953" xr:uid="{00000000-0005-0000-0000-0000AA910000}"/>
    <cellStyle name="Normal 57 7 6 7 2" xfId="15465" xr:uid="{00000000-0005-0000-0000-0000AB910000}"/>
    <cellStyle name="Normal 57 7 6 7 2 2" xfId="40339" xr:uid="{00000000-0005-0000-0000-0000AC910000}"/>
    <cellStyle name="Normal 57 7 6 7 3" xfId="27898" xr:uid="{00000000-0005-0000-0000-0000AD910000}"/>
    <cellStyle name="Normal 57 7 6 8" xfId="14874" xr:uid="{00000000-0005-0000-0000-0000AE910000}"/>
    <cellStyle name="Normal 57 7 6 8 2" xfId="39748" xr:uid="{00000000-0005-0000-0000-0000AF910000}"/>
    <cellStyle name="Normal 57 7 6 9" xfId="27307" xr:uid="{00000000-0005-0000-0000-0000B0910000}"/>
    <cellStyle name="Normal 57 7 7" xfId="1031" xr:uid="{00000000-0005-0000-0000-0000B1910000}"/>
    <cellStyle name="Normal 57 7 7 2" xfId="8913" xr:uid="{00000000-0005-0000-0000-0000B2910000}"/>
    <cellStyle name="Normal 57 7 7 2 2" xfId="21356" xr:uid="{00000000-0005-0000-0000-0000B3910000}"/>
    <cellStyle name="Normal 57 7 7 2 2 2" xfId="46230" xr:uid="{00000000-0005-0000-0000-0000B4910000}"/>
    <cellStyle name="Normal 57 7 7 2 3" xfId="33797" xr:uid="{00000000-0005-0000-0000-0000B5910000}"/>
    <cellStyle name="Normal 57 7 7 3" xfId="3895" xr:uid="{00000000-0005-0000-0000-0000B6910000}"/>
    <cellStyle name="Normal 57 7 7 3 2" xfId="16349" xr:uid="{00000000-0005-0000-0000-0000B7910000}"/>
    <cellStyle name="Normal 57 7 7 3 2 2" xfId="41223" xr:uid="{00000000-0005-0000-0000-0000B8910000}"/>
    <cellStyle name="Normal 57 7 7 3 3" xfId="28790" xr:uid="{00000000-0005-0000-0000-0000B9910000}"/>
    <cellStyle name="Normal 57 7 7 4" xfId="13831" xr:uid="{00000000-0005-0000-0000-0000BA910000}"/>
    <cellStyle name="Normal 57 7 7 4 2" xfId="38705" xr:uid="{00000000-0005-0000-0000-0000BB910000}"/>
    <cellStyle name="Normal 57 7 7 5" xfId="26264" xr:uid="{00000000-0005-0000-0000-0000BC910000}"/>
    <cellStyle name="Normal 57 7 8" xfId="5176" xr:uid="{00000000-0005-0000-0000-0000BD910000}"/>
    <cellStyle name="Normal 57 7 8 2" xfId="10192" xr:uid="{00000000-0005-0000-0000-0000BE910000}"/>
    <cellStyle name="Normal 57 7 8 2 2" xfId="22635" xr:uid="{00000000-0005-0000-0000-0000BF910000}"/>
    <cellStyle name="Normal 57 7 8 2 2 2" xfId="47509" xr:uid="{00000000-0005-0000-0000-0000C0910000}"/>
    <cellStyle name="Normal 57 7 8 2 3" xfId="35076" xr:uid="{00000000-0005-0000-0000-0000C1910000}"/>
    <cellStyle name="Normal 57 7 8 3" xfId="17628" xr:uid="{00000000-0005-0000-0000-0000C2910000}"/>
    <cellStyle name="Normal 57 7 8 3 2" xfId="42502" xr:uid="{00000000-0005-0000-0000-0000C3910000}"/>
    <cellStyle name="Normal 57 7 8 4" xfId="30069" xr:uid="{00000000-0005-0000-0000-0000C4910000}"/>
    <cellStyle name="Normal 57 7 9" xfId="7753" xr:uid="{00000000-0005-0000-0000-0000C5910000}"/>
    <cellStyle name="Normal 57 7 9 2" xfId="20199" xr:uid="{00000000-0005-0000-0000-0000C6910000}"/>
    <cellStyle name="Normal 57 7 9 2 2" xfId="45073" xr:uid="{00000000-0005-0000-0000-0000C7910000}"/>
    <cellStyle name="Normal 57 7 9 3" xfId="32640" xr:uid="{00000000-0005-0000-0000-0000C8910000}"/>
    <cellStyle name="Normal 57 7_Degree data" xfId="2499" xr:uid="{00000000-0005-0000-0000-0000C9910000}"/>
    <cellStyle name="Normal 57 8" xfId="306" xr:uid="{00000000-0005-0000-0000-0000CA910000}"/>
    <cellStyle name="Normal 57 8 10" xfId="6536" xr:uid="{00000000-0005-0000-0000-0000CB910000}"/>
    <cellStyle name="Normal 57 8 10 2" xfId="18985" xr:uid="{00000000-0005-0000-0000-0000CC910000}"/>
    <cellStyle name="Normal 57 8 10 2 2" xfId="43859" xr:uid="{00000000-0005-0000-0000-0000CD910000}"/>
    <cellStyle name="Normal 57 8 10 3" xfId="31426" xr:uid="{00000000-0005-0000-0000-0000CE910000}"/>
    <cellStyle name="Normal 57 8 11" xfId="2704" xr:uid="{00000000-0005-0000-0000-0000CF910000}"/>
    <cellStyle name="Normal 57 8 11 2" xfId="15222" xr:uid="{00000000-0005-0000-0000-0000D0910000}"/>
    <cellStyle name="Normal 57 8 11 2 2" xfId="40096" xr:uid="{00000000-0005-0000-0000-0000D1910000}"/>
    <cellStyle name="Normal 57 8 11 3" xfId="27655" xr:uid="{00000000-0005-0000-0000-0000D2910000}"/>
    <cellStyle name="Normal 57 8 12" xfId="13123" xr:uid="{00000000-0005-0000-0000-0000D3910000}"/>
    <cellStyle name="Normal 57 8 12 2" xfId="37997" xr:uid="{00000000-0005-0000-0000-0000D4910000}"/>
    <cellStyle name="Normal 57 8 13" xfId="25556" xr:uid="{00000000-0005-0000-0000-0000D5910000}"/>
    <cellStyle name="Normal 57 8 2" xfId="408" xr:uid="{00000000-0005-0000-0000-0000D6910000}"/>
    <cellStyle name="Normal 57 8 2 10" xfId="13223" xr:uid="{00000000-0005-0000-0000-0000D7910000}"/>
    <cellStyle name="Normal 57 8 2 10 2" xfId="38097" xr:uid="{00000000-0005-0000-0000-0000D8910000}"/>
    <cellStyle name="Normal 57 8 2 11" xfId="25656" xr:uid="{00000000-0005-0000-0000-0000D9910000}"/>
    <cellStyle name="Normal 57 8 2 2" xfId="768" xr:uid="{00000000-0005-0000-0000-0000DA910000}"/>
    <cellStyle name="Normal 57 8 2 2 2" xfId="1538" xr:uid="{00000000-0005-0000-0000-0000DB910000}"/>
    <cellStyle name="Normal 57 8 2 2 2 2" xfId="9642" xr:uid="{00000000-0005-0000-0000-0000DC910000}"/>
    <cellStyle name="Normal 57 8 2 2 2 2 2" xfId="22085" xr:uid="{00000000-0005-0000-0000-0000DD910000}"/>
    <cellStyle name="Normal 57 8 2 2 2 2 2 2" xfId="46959" xr:uid="{00000000-0005-0000-0000-0000DE910000}"/>
    <cellStyle name="Normal 57 8 2 2 2 2 3" xfId="34526" xr:uid="{00000000-0005-0000-0000-0000DF910000}"/>
    <cellStyle name="Normal 57 8 2 2 2 3" xfId="4624" xr:uid="{00000000-0005-0000-0000-0000E0910000}"/>
    <cellStyle name="Normal 57 8 2 2 2 3 2" xfId="17078" xr:uid="{00000000-0005-0000-0000-0000E1910000}"/>
    <cellStyle name="Normal 57 8 2 2 2 3 2 2" xfId="41952" xr:uid="{00000000-0005-0000-0000-0000E2910000}"/>
    <cellStyle name="Normal 57 8 2 2 2 3 3" xfId="29519" xr:uid="{00000000-0005-0000-0000-0000E3910000}"/>
    <cellStyle name="Normal 57 8 2 2 2 4" xfId="14338" xr:uid="{00000000-0005-0000-0000-0000E4910000}"/>
    <cellStyle name="Normal 57 8 2 2 2 4 2" xfId="39212" xr:uid="{00000000-0005-0000-0000-0000E5910000}"/>
    <cellStyle name="Normal 57 8 2 2 2 5" xfId="26771" xr:uid="{00000000-0005-0000-0000-0000E6910000}"/>
    <cellStyle name="Normal 57 8 2 2 3" xfId="5683" xr:uid="{00000000-0005-0000-0000-0000E7910000}"/>
    <cellStyle name="Normal 57 8 2 2 3 2" xfId="10699" xr:uid="{00000000-0005-0000-0000-0000E8910000}"/>
    <cellStyle name="Normal 57 8 2 2 3 2 2" xfId="23142" xr:uid="{00000000-0005-0000-0000-0000E9910000}"/>
    <cellStyle name="Normal 57 8 2 2 3 2 2 2" xfId="48016" xr:uid="{00000000-0005-0000-0000-0000EA910000}"/>
    <cellStyle name="Normal 57 8 2 2 3 2 3" xfId="35583" xr:uid="{00000000-0005-0000-0000-0000EB910000}"/>
    <cellStyle name="Normal 57 8 2 2 3 3" xfId="18135" xr:uid="{00000000-0005-0000-0000-0000EC910000}"/>
    <cellStyle name="Normal 57 8 2 2 3 3 2" xfId="43009" xr:uid="{00000000-0005-0000-0000-0000ED910000}"/>
    <cellStyle name="Normal 57 8 2 2 3 4" xfId="30576" xr:uid="{00000000-0005-0000-0000-0000EE910000}"/>
    <cellStyle name="Normal 57 8 2 2 4" xfId="8758" xr:uid="{00000000-0005-0000-0000-0000EF910000}"/>
    <cellStyle name="Normal 57 8 2 2 4 2" xfId="21202" xr:uid="{00000000-0005-0000-0000-0000F0910000}"/>
    <cellStyle name="Normal 57 8 2 2 4 2 2" xfId="46076" xr:uid="{00000000-0005-0000-0000-0000F1910000}"/>
    <cellStyle name="Normal 57 8 2 2 4 3" xfId="33643" xr:uid="{00000000-0005-0000-0000-0000F2910000}"/>
    <cellStyle name="Normal 57 8 2 2 5" xfId="12153" xr:uid="{00000000-0005-0000-0000-0000F3910000}"/>
    <cellStyle name="Normal 57 8 2 2 5 2" xfId="24587" xr:uid="{00000000-0005-0000-0000-0000F4910000}"/>
    <cellStyle name="Normal 57 8 2 2 5 2 2" xfId="49461" xr:uid="{00000000-0005-0000-0000-0000F5910000}"/>
    <cellStyle name="Normal 57 8 2 2 5 3" xfId="37028" xr:uid="{00000000-0005-0000-0000-0000F6910000}"/>
    <cellStyle name="Normal 57 8 2 2 6" xfId="7235" xr:uid="{00000000-0005-0000-0000-0000F7910000}"/>
    <cellStyle name="Normal 57 8 2 2 6 2" xfId="19684" xr:uid="{00000000-0005-0000-0000-0000F8910000}"/>
    <cellStyle name="Normal 57 8 2 2 6 2 2" xfId="44558" xr:uid="{00000000-0005-0000-0000-0000F9910000}"/>
    <cellStyle name="Normal 57 8 2 2 6 3" xfId="32125" xr:uid="{00000000-0005-0000-0000-0000FA910000}"/>
    <cellStyle name="Normal 57 8 2 2 7" xfId="3689" xr:uid="{00000000-0005-0000-0000-0000FB910000}"/>
    <cellStyle name="Normal 57 8 2 2 7 2" xfId="16195" xr:uid="{00000000-0005-0000-0000-0000FC910000}"/>
    <cellStyle name="Normal 57 8 2 2 7 2 2" xfId="41069" xr:uid="{00000000-0005-0000-0000-0000FD910000}"/>
    <cellStyle name="Normal 57 8 2 2 7 3" xfId="28628" xr:uid="{00000000-0005-0000-0000-0000FE910000}"/>
    <cellStyle name="Normal 57 8 2 2 8" xfId="13570" xr:uid="{00000000-0005-0000-0000-0000FF910000}"/>
    <cellStyle name="Normal 57 8 2 2 8 2" xfId="38444" xr:uid="{00000000-0005-0000-0000-000000920000}"/>
    <cellStyle name="Normal 57 8 2 2 9" xfId="26003" xr:uid="{00000000-0005-0000-0000-000001920000}"/>
    <cellStyle name="Normal 57 8 2 3" xfId="1886" xr:uid="{00000000-0005-0000-0000-000002920000}"/>
    <cellStyle name="Normal 57 8 2 3 2" xfId="4952" xr:uid="{00000000-0005-0000-0000-000003920000}"/>
    <cellStyle name="Normal 57 8 2 3 2 2" xfId="9969" xr:uid="{00000000-0005-0000-0000-000004920000}"/>
    <cellStyle name="Normal 57 8 2 3 2 2 2" xfId="22412" xr:uid="{00000000-0005-0000-0000-000005920000}"/>
    <cellStyle name="Normal 57 8 2 3 2 2 2 2" xfId="47286" xr:uid="{00000000-0005-0000-0000-000006920000}"/>
    <cellStyle name="Normal 57 8 2 3 2 2 3" xfId="34853" xr:uid="{00000000-0005-0000-0000-000007920000}"/>
    <cellStyle name="Normal 57 8 2 3 2 3" xfId="17405" xr:uid="{00000000-0005-0000-0000-000008920000}"/>
    <cellStyle name="Normal 57 8 2 3 2 3 2" xfId="42279" xr:uid="{00000000-0005-0000-0000-000009920000}"/>
    <cellStyle name="Normal 57 8 2 3 2 4" xfId="29846" xr:uid="{00000000-0005-0000-0000-00000A920000}"/>
    <cellStyle name="Normal 57 8 2 3 3" xfId="6032" xr:uid="{00000000-0005-0000-0000-00000B920000}"/>
    <cellStyle name="Normal 57 8 2 3 3 2" xfId="11047" xr:uid="{00000000-0005-0000-0000-00000C920000}"/>
    <cellStyle name="Normal 57 8 2 3 3 2 2" xfId="23490" xr:uid="{00000000-0005-0000-0000-00000D920000}"/>
    <cellStyle name="Normal 57 8 2 3 3 2 2 2" xfId="48364" xr:uid="{00000000-0005-0000-0000-00000E920000}"/>
    <cellStyle name="Normal 57 8 2 3 3 2 3" xfId="35931" xr:uid="{00000000-0005-0000-0000-00000F920000}"/>
    <cellStyle name="Normal 57 8 2 3 3 3" xfId="18483" xr:uid="{00000000-0005-0000-0000-000010920000}"/>
    <cellStyle name="Normal 57 8 2 3 3 3 2" xfId="43357" xr:uid="{00000000-0005-0000-0000-000011920000}"/>
    <cellStyle name="Normal 57 8 2 3 3 4" xfId="30924" xr:uid="{00000000-0005-0000-0000-000012920000}"/>
    <cellStyle name="Normal 57 8 2 3 4" xfId="8376" xr:uid="{00000000-0005-0000-0000-000013920000}"/>
    <cellStyle name="Normal 57 8 2 3 4 2" xfId="20820" xr:uid="{00000000-0005-0000-0000-000014920000}"/>
    <cellStyle name="Normal 57 8 2 3 4 2 2" xfId="45694" xr:uid="{00000000-0005-0000-0000-000015920000}"/>
    <cellStyle name="Normal 57 8 2 3 4 3" xfId="33261" xr:uid="{00000000-0005-0000-0000-000016920000}"/>
    <cellStyle name="Normal 57 8 2 3 5" xfId="12501" xr:uid="{00000000-0005-0000-0000-000017920000}"/>
    <cellStyle name="Normal 57 8 2 3 5 2" xfId="24935" xr:uid="{00000000-0005-0000-0000-000018920000}"/>
    <cellStyle name="Normal 57 8 2 3 5 2 2" xfId="49809" xr:uid="{00000000-0005-0000-0000-000019920000}"/>
    <cellStyle name="Normal 57 8 2 3 5 3" xfId="37376" xr:uid="{00000000-0005-0000-0000-00001A920000}"/>
    <cellStyle name="Normal 57 8 2 3 6" xfId="7563" xr:uid="{00000000-0005-0000-0000-00001B920000}"/>
    <cellStyle name="Normal 57 8 2 3 6 2" xfId="20011" xr:uid="{00000000-0005-0000-0000-00001C920000}"/>
    <cellStyle name="Normal 57 8 2 3 6 2 2" xfId="44885" xr:uid="{00000000-0005-0000-0000-00001D920000}"/>
    <cellStyle name="Normal 57 8 2 3 6 3" xfId="32452" xr:uid="{00000000-0005-0000-0000-00001E920000}"/>
    <cellStyle name="Normal 57 8 2 3 7" xfId="3307" xr:uid="{00000000-0005-0000-0000-00001F920000}"/>
    <cellStyle name="Normal 57 8 2 3 7 2" xfId="15813" xr:uid="{00000000-0005-0000-0000-000020920000}"/>
    <cellStyle name="Normal 57 8 2 3 7 2 2" xfId="40687" xr:uid="{00000000-0005-0000-0000-000021920000}"/>
    <cellStyle name="Normal 57 8 2 3 7 3" xfId="28246" xr:uid="{00000000-0005-0000-0000-000022920000}"/>
    <cellStyle name="Normal 57 8 2 3 8" xfId="14686" xr:uid="{00000000-0005-0000-0000-000023920000}"/>
    <cellStyle name="Normal 57 8 2 3 8 2" xfId="39560" xr:uid="{00000000-0005-0000-0000-000024920000}"/>
    <cellStyle name="Normal 57 8 2 3 9" xfId="27119" xr:uid="{00000000-0005-0000-0000-000025920000}"/>
    <cellStyle name="Normal 57 8 2 4" xfId="2326" xr:uid="{00000000-0005-0000-0000-000026920000}"/>
    <cellStyle name="Normal 57 8 2 4 2" xfId="6350" xr:uid="{00000000-0005-0000-0000-000027920000}"/>
    <cellStyle name="Normal 57 8 2 4 2 2" xfId="11365" xr:uid="{00000000-0005-0000-0000-000028920000}"/>
    <cellStyle name="Normal 57 8 2 4 2 2 2" xfId="23808" xr:uid="{00000000-0005-0000-0000-000029920000}"/>
    <cellStyle name="Normal 57 8 2 4 2 2 2 2" xfId="48682" xr:uid="{00000000-0005-0000-0000-00002A920000}"/>
    <cellStyle name="Normal 57 8 2 4 2 2 3" xfId="36249" xr:uid="{00000000-0005-0000-0000-00002B920000}"/>
    <cellStyle name="Normal 57 8 2 4 2 3" xfId="18801" xr:uid="{00000000-0005-0000-0000-00002C920000}"/>
    <cellStyle name="Normal 57 8 2 4 2 3 2" xfId="43675" xr:uid="{00000000-0005-0000-0000-00002D920000}"/>
    <cellStyle name="Normal 57 8 2 4 2 4" xfId="31242" xr:uid="{00000000-0005-0000-0000-00002E920000}"/>
    <cellStyle name="Normal 57 8 2 4 3" xfId="12819" xr:uid="{00000000-0005-0000-0000-00002F920000}"/>
    <cellStyle name="Normal 57 8 2 4 3 2" xfId="25253" xr:uid="{00000000-0005-0000-0000-000030920000}"/>
    <cellStyle name="Normal 57 8 2 4 3 2 2" xfId="50127" xr:uid="{00000000-0005-0000-0000-000031920000}"/>
    <cellStyle name="Normal 57 8 2 4 3 3" xfId="37694" xr:uid="{00000000-0005-0000-0000-000032920000}"/>
    <cellStyle name="Normal 57 8 2 4 4" xfId="9260" xr:uid="{00000000-0005-0000-0000-000033920000}"/>
    <cellStyle name="Normal 57 8 2 4 4 2" xfId="21703" xr:uid="{00000000-0005-0000-0000-000034920000}"/>
    <cellStyle name="Normal 57 8 2 4 4 2 2" xfId="46577" xr:uid="{00000000-0005-0000-0000-000035920000}"/>
    <cellStyle name="Normal 57 8 2 4 4 3" xfId="34144" xr:uid="{00000000-0005-0000-0000-000036920000}"/>
    <cellStyle name="Normal 57 8 2 4 5" xfId="4242" xr:uid="{00000000-0005-0000-0000-000037920000}"/>
    <cellStyle name="Normal 57 8 2 4 5 2" xfId="16696" xr:uid="{00000000-0005-0000-0000-000038920000}"/>
    <cellStyle name="Normal 57 8 2 4 5 2 2" xfId="41570" xr:uid="{00000000-0005-0000-0000-000039920000}"/>
    <cellStyle name="Normal 57 8 2 4 5 3" xfId="29137" xr:uid="{00000000-0005-0000-0000-00003A920000}"/>
    <cellStyle name="Normal 57 8 2 4 6" xfId="15004" xr:uid="{00000000-0005-0000-0000-00003B920000}"/>
    <cellStyle name="Normal 57 8 2 4 6 2" xfId="39878" xr:uid="{00000000-0005-0000-0000-00003C920000}"/>
    <cellStyle name="Normal 57 8 2 4 7" xfId="27437" xr:uid="{00000000-0005-0000-0000-00003D920000}"/>
    <cellStyle name="Normal 57 8 2 5" xfId="1161" xr:uid="{00000000-0005-0000-0000-00003E920000}"/>
    <cellStyle name="Normal 57 8 2 5 2" xfId="10322" xr:uid="{00000000-0005-0000-0000-00003F920000}"/>
    <cellStyle name="Normal 57 8 2 5 2 2" xfId="22765" xr:uid="{00000000-0005-0000-0000-000040920000}"/>
    <cellStyle name="Normal 57 8 2 5 2 2 2" xfId="47639" xr:uid="{00000000-0005-0000-0000-000041920000}"/>
    <cellStyle name="Normal 57 8 2 5 2 3" xfId="35206" xr:uid="{00000000-0005-0000-0000-000042920000}"/>
    <cellStyle name="Normal 57 8 2 5 3" xfId="5306" xr:uid="{00000000-0005-0000-0000-000043920000}"/>
    <cellStyle name="Normal 57 8 2 5 3 2" xfId="17758" xr:uid="{00000000-0005-0000-0000-000044920000}"/>
    <cellStyle name="Normal 57 8 2 5 3 2 2" xfId="42632" xr:uid="{00000000-0005-0000-0000-000045920000}"/>
    <cellStyle name="Normal 57 8 2 5 3 3" xfId="30199" xr:uid="{00000000-0005-0000-0000-000046920000}"/>
    <cellStyle name="Normal 57 8 2 5 4" xfId="13961" xr:uid="{00000000-0005-0000-0000-000047920000}"/>
    <cellStyle name="Normal 57 8 2 5 4 2" xfId="38835" xr:uid="{00000000-0005-0000-0000-000048920000}"/>
    <cellStyle name="Normal 57 8 2 5 5" xfId="26394" xr:uid="{00000000-0005-0000-0000-000049920000}"/>
    <cellStyle name="Normal 57 8 2 6" xfId="7883" xr:uid="{00000000-0005-0000-0000-00004A920000}"/>
    <cellStyle name="Normal 57 8 2 6 2" xfId="20329" xr:uid="{00000000-0005-0000-0000-00004B920000}"/>
    <cellStyle name="Normal 57 8 2 6 2 2" xfId="45203" xr:uid="{00000000-0005-0000-0000-00004C920000}"/>
    <cellStyle name="Normal 57 8 2 6 3" xfId="32770" xr:uid="{00000000-0005-0000-0000-00004D920000}"/>
    <cellStyle name="Normal 57 8 2 7" xfId="11776" xr:uid="{00000000-0005-0000-0000-00004E920000}"/>
    <cellStyle name="Normal 57 8 2 7 2" xfId="24210" xr:uid="{00000000-0005-0000-0000-00004F920000}"/>
    <cellStyle name="Normal 57 8 2 7 2 2" xfId="49084" xr:uid="{00000000-0005-0000-0000-000050920000}"/>
    <cellStyle name="Normal 57 8 2 7 3" xfId="36651" xr:uid="{00000000-0005-0000-0000-000051920000}"/>
    <cellStyle name="Normal 57 8 2 8" xfId="6853" xr:uid="{00000000-0005-0000-0000-000052920000}"/>
    <cellStyle name="Normal 57 8 2 8 2" xfId="19302" xr:uid="{00000000-0005-0000-0000-000053920000}"/>
    <cellStyle name="Normal 57 8 2 8 2 2" xfId="44176" xr:uid="{00000000-0005-0000-0000-000054920000}"/>
    <cellStyle name="Normal 57 8 2 8 3" xfId="31743" xr:uid="{00000000-0005-0000-0000-000055920000}"/>
    <cellStyle name="Normal 57 8 2 9" xfId="2804" xr:uid="{00000000-0005-0000-0000-000056920000}"/>
    <cellStyle name="Normal 57 8 2 9 2" xfId="15322" xr:uid="{00000000-0005-0000-0000-000057920000}"/>
    <cellStyle name="Normal 57 8 2 9 2 2" xfId="40196" xr:uid="{00000000-0005-0000-0000-000058920000}"/>
    <cellStyle name="Normal 57 8 2 9 3" xfId="27755" xr:uid="{00000000-0005-0000-0000-000059920000}"/>
    <cellStyle name="Normal 57 8 2_Degree data" xfId="2503" xr:uid="{00000000-0005-0000-0000-00005A920000}"/>
    <cellStyle name="Normal 57 8 3" xfId="667" xr:uid="{00000000-0005-0000-0000-00005B920000}"/>
    <cellStyle name="Normal 57 8 3 2" xfId="1537" xr:uid="{00000000-0005-0000-0000-00005C920000}"/>
    <cellStyle name="Normal 57 8 3 2 2" xfId="9160" xr:uid="{00000000-0005-0000-0000-00005D920000}"/>
    <cellStyle name="Normal 57 8 3 2 2 2" xfId="21603" xr:uid="{00000000-0005-0000-0000-00005E920000}"/>
    <cellStyle name="Normal 57 8 3 2 2 2 2" xfId="46477" xr:uid="{00000000-0005-0000-0000-00005F920000}"/>
    <cellStyle name="Normal 57 8 3 2 2 3" xfId="34044" xr:uid="{00000000-0005-0000-0000-000060920000}"/>
    <cellStyle name="Normal 57 8 3 2 3" xfId="4142" xr:uid="{00000000-0005-0000-0000-000061920000}"/>
    <cellStyle name="Normal 57 8 3 2 3 2" xfId="16596" xr:uid="{00000000-0005-0000-0000-000062920000}"/>
    <cellStyle name="Normal 57 8 3 2 3 2 2" xfId="41470" xr:uid="{00000000-0005-0000-0000-000063920000}"/>
    <cellStyle name="Normal 57 8 3 2 3 3" xfId="29037" xr:uid="{00000000-0005-0000-0000-000064920000}"/>
    <cellStyle name="Normal 57 8 3 2 4" xfId="14337" xr:uid="{00000000-0005-0000-0000-000065920000}"/>
    <cellStyle name="Normal 57 8 3 2 4 2" xfId="39211" xr:uid="{00000000-0005-0000-0000-000066920000}"/>
    <cellStyle name="Normal 57 8 3 2 5" xfId="26770" xr:uid="{00000000-0005-0000-0000-000067920000}"/>
    <cellStyle name="Normal 57 8 3 3" xfId="5682" xr:uid="{00000000-0005-0000-0000-000068920000}"/>
    <cellStyle name="Normal 57 8 3 3 2" xfId="10698" xr:uid="{00000000-0005-0000-0000-000069920000}"/>
    <cellStyle name="Normal 57 8 3 3 2 2" xfId="23141" xr:uid="{00000000-0005-0000-0000-00006A920000}"/>
    <cellStyle name="Normal 57 8 3 3 2 2 2" xfId="48015" xr:uid="{00000000-0005-0000-0000-00006B920000}"/>
    <cellStyle name="Normal 57 8 3 3 2 3" xfId="35582" xr:uid="{00000000-0005-0000-0000-00006C920000}"/>
    <cellStyle name="Normal 57 8 3 3 3" xfId="18134" xr:uid="{00000000-0005-0000-0000-00006D920000}"/>
    <cellStyle name="Normal 57 8 3 3 3 2" xfId="43008" xr:uid="{00000000-0005-0000-0000-00006E920000}"/>
    <cellStyle name="Normal 57 8 3 3 4" xfId="30575" xr:uid="{00000000-0005-0000-0000-00006F920000}"/>
    <cellStyle name="Normal 57 8 3 4" xfId="8276" xr:uid="{00000000-0005-0000-0000-000070920000}"/>
    <cellStyle name="Normal 57 8 3 4 2" xfId="20720" xr:uid="{00000000-0005-0000-0000-000071920000}"/>
    <cellStyle name="Normal 57 8 3 4 2 2" xfId="45594" xr:uid="{00000000-0005-0000-0000-000072920000}"/>
    <cellStyle name="Normal 57 8 3 4 3" xfId="33161" xr:uid="{00000000-0005-0000-0000-000073920000}"/>
    <cellStyle name="Normal 57 8 3 5" xfId="12152" xr:uid="{00000000-0005-0000-0000-000074920000}"/>
    <cellStyle name="Normal 57 8 3 5 2" xfId="24586" xr:uid="{00000000-0005-0000-0000-000075920000}"/>
    <cellStyle name="Normal 57 8 3 5 2 2" xfId="49460" xr:uid="{00000000-0005-0000-0000-000076920000}"/>
    <cellStyle name="Normal 57 8 3 5 3" xfId="37027" xr:uid="{00000000-0005-0000-0000-000077920000}"/>
    <cellStyle name="Normal 57 8 3 6" xfId="6753" xr:uid="{00000000-0005-0000-0000-000078920000}"/>
    <cellStyle name="Normal 57 8 3 6 2" xfId="19202" xr:uid="{00000000-0005-0000-0000-000079920000}"/>
    <cellStyle name="Normal 57 8 3 6 2 2" xfId="44076" xr:uid="{00000000-0005-0000-0000-00007A920000}"/>
    <cellStyle name="Normal 57 8 3 6 3" xfId="31643" xr:uid="{00000000-0005-0000-0000-00007B920000}"/>
    <cellStyle name="Normal 57 8 3 7" xfId="3207" xr:uid="{00000000-0005-0000-0000-00007C920000}"/>
    <cellStyle name="Normal 57 8 3 7 2" xfId="15713" xr:uid="{00000000-0005-0000-0000-00007D920000}"/>
    <cellStyle name="Normal 57 8 3 7 2 2" xfId="40587" xr:uid="{00000000-0005-0000-0000-00007E920000}"/>
    <cellStyle name="Normal 57 8 3 7 3" xfId="28146" xr:uid="{00000000-0005-0000-0000-00007F920000}"/>
    <cellStyle name="Normal 57 8 3 8" xfId="13470" xr:uid="{00000000-0005-0000-0000-000080920000}"/>
    <cellStyle name="Normal 57 8 3 8 2" xfId="38344" xr:uid="{00000000-0005-0000-0000-000081920000}"/>
    <cellStyle name="Normal 57 8 3 9" xfId="25903" xr:uid="{00000000-0005-0000-0000-000082920000}"/>
    <cellStyle name="Normal 57 8 4" xfId="1885" xr:uid="{00000000-0005-0000-0000-000083920000}"/>
    <cellStyle name="Normal 57 8 4 2" xfId="4623" xr:uid="{00000000-0005-0000-0000-000084920000}"/>
    <cellStyle name="Normal 57 8 4 2 2" xfId="9641" xr:uid="{00000000-0005-0000-0000-000085920000}"/>
    <cellStyle name="Normal 57 8 4 2 2 2" xfId="22084" xr:uid="{00000000-0005-0000-0000-000086920000}"/>
    <cellStyle name="Normal 57 8 4 2 2 2 2" xfId="46958" xr:uid="{00000000-0005-0000-0000-000087920000}"/>
    <cellStyle name="Normal 57 8 4 2 2 3" xfId="34525" xr:uid="{00000000-0005-0000-0000-000088920000}"/>
    <cellStyle name="Normal 57 8 4 2 3" xfId="17077" xr:uid="{00000000-0005-0000-0000-000089920000}"/>
    <cellStyle name="Normal 57 8 4 2 3 2" xfId="41951" xr:uid="{00000000-0005-0000-0000-00008A920000}"/>
    <cellStyle name="Normal 57 8 4 2 4" xfId="29518" xr:uid="{00000000-0005-0000-0000-00008B920000}"/>
    <cellStyle name="Normal 57 8 4 3" xfId="6031" xr:uid="{00000000-0005-0000-0000-00008C920000}"/>
    <cellStyle name="Normal 57 8 4 3 2" xfId="11046" xr:uid="{00000000-0005-0000-0000-00008D920000}"/>
    <cellStyle name="Normal 57 8 4 3 2 2" xfId="23489" xr:uid="{00000000-0005-0000-0000-00008E920000}"/>
    <cellStyle name="Normal 57 8 4 3 2 2 2" xfId="48363" xr:uid="{00000000-0005-0000-0000-00008F920000}"/>
    <cellStyle name="Normal 57 8 4 3 2 3" xfId="35930" xr:uid="{00000000-0005-0000-0000-000090920000}"/>
    <cellStyle name="Normal 57 8 4 3 3" xfId="18482" xr:uid="{00000000-0005-0000-0000-000091920000}"/>
    <cellStyle name="Normal 57 8 4 3 3 2" xfId="43356" xr:uid="{00000000-0005-0000-0000-000092920000}"/>
    <cellStyle name="Normal 57 8 4 3 4" xfId="30923" xr:uid="{00000000-0005-0000-0000-000093920000}"/>
    <cellStyle name="Normal 57 8 4 4" xfId="8757" xr:uid="{00000000-0005-0000-0000-000094920000}"/>
    <cellStyle name="Normal 57 8 4 4 2" xfId="21201" xr:uid="{00000000-0005-0000-0000-000095920000}"/>
    <cellStyle name="Normal 57 8 4 4 2 2" xfId="46075" xr:uid="{00000000-0005-0000-0000-000096920000}"/>
    <cellStyle name="Normal 57 8 4 4 3" xfId="33642" xr:uid="{00000000-0005-0000-0000-000097920000}"/>
    <cellStyle name="Normal 57 8 4 5" xfId="12500" xr:uid="{00000000-0005-0000-0000-000098920000}"/>
    <cellStyle name="Normal 57 8 4 5 2" xfId="24934" xr:uid="{00000000-0005-0000-0000-000099920000}"/>
    <cellStyle name="Normal 57 8 4 5 2 2" xfId="49808" xr:uid="{00000000-0005-0000-0000-00009A920000}"/>
    <cellStyle name="Normal 57 8 4 5 3" xfId="37375" xr:uid="{00000000-0005-0000-0000-00009B920000}"/>
    <cellStyle name="Normal 57 8 4 6" xfId="7234" xr:uid="{00000000-0005-0000-0000-00009C920000}"/>
    <cellStyle name="Normal 57 8 4 6 2" xfId="19683" xr:uid="{00000000-0005-0000-0000-00009D920000}"/>
    <cellStyle name="Normal 57 8 4 6 2 2" xfId="44557" xr:uid="{00000000-0005-0000-0000-00009E920000}"/>
    <cellStyle name="Normal 57 8 4 6 3" xfId="32124" xr:uid="{00000000-0005-0000-0000-00009F920000}"/>
    <cellStyle name="Normal 57 8 4 7" xfId="3688" xr:uid="{00000000-0005-0000-0000-0000A0920000}"/>
    <cellStyle name="Normal 57 8 4 7 2" xfId="16194" xr:uid="{00000000-0005-0000-0000-0000A1920000}"/>
    <cellStyle name="Normal 57 8 4 7 2 2" xfId="41068" xr:uid="{00000000-0005-0000-0000-0000A2920000}"/>
    <cellStyle name="Normal 57 8 4 7 3" xfId="28627" xr:uid="{00000000-0005-0000-0000-0000A3920000}"/>
    <cellStyle name="Normal 57 8 4 8" xfId="14685" xr:uid="{00000000-0005-0000-0000-0000A4920000}"/>
    <cellStyle name="Normal 57 8 4 8 2" xfId="39559" xr:uid="{00000000-0005-0000-0000-0000A5920000}"/>
    <cellStyle name="Normal 57 8 4 9" xfId="27118" xr:uid="{00000000-0005-0000-0000-0000A6920000}"/>
    <cellStyle name="Normal 57 8 5" xfId="2224" xr:uid="{00000000-0005-0000-0000-0000A7920000}"/>
    <cellStyle name="Normal 57 8 5 2" xfId="4852" xr:uid="{00000000-0005-0000-0000-0000A8920000}"/>
    <cellStyle name="Normal 57 8 5 2 2" xfId="9869" xr:uid="{00000000-0005-0000-0000-0000A9920000}"/>
    <cellStyle name="Normal 57 8 5 2 2 2" xfId="22312" xr:uid="{00000000-0005-0000-0000-0000AA920000}"/>
    <cellStyle name="Normal 57 8 5 2 2 2 2" xfId="47186" xr:uid="{00000000-0005-0000-0000-0000AB920000}"/>
    <cellStyle name="Normal 57 8 5 2 2 3" xfId="34753" xr:uid="{00000000-0005-0000-0000-0000AC920000}"/>
    <cellStyle name="Normal 57 8 5 2 3" xfId="17305" xr:uid="{00000000-0005-0000-0000-0000AD920000}"/>
    <cellStyle name="Normal 57 8 5 2 3 2" xfId="42179" xr:uid="{00000000-0005-0000-0000-0000AE920000}"/>
    <cellStyle name="Normal 57 8 5 2 4" xfId="29746" xr:uid="{00000000-0005-0000-0000-0000AF920000}"/>
    <cellStyle name="Normal 57 8 5 3" xfId="6250" xr:uid="{00000000-0005-0000-0000-0000B0920000}"/>
    <cellStyle name="Normal 57 8 5 3 2" xfId="11265" xr:uid="{00000000-0005-0000-0000-0000B1920000}"/>
    <cellStyle name="Normal 57 8 5 3 2 2" xfId="23708" xr:uid="{00000000-0005-0000-0000-0000B2920000}"/>
    <cellStyle name="Normal 57 8 5 3 2 2 2" xfId="48582" xr:uid="{00000000-0005-0000-0000-0000B3920000}"/>
    <cellStyle name="Normal 57 8 5 3 2 3" xfId="36149" xr:uid="{00000000-0005-0000-0000-0000B4920000}"/>
    <cellStyle name="Normal 57 8 5 3 3" xfId="18701" xr:uid="{00000000-0005-0000-0000-0000B5920000}"/>
    <cellStyle name="Normal 57 8 5 3 3 2" xfId="43575" xr:uid="{00000000-0005-0000-0000-0000B6920000}"/>
    <cellStyle name="Normal 57 8 5 3 4" xfId="31142" xr:uid="{00000000-0005-0000-0000-0000B7920000}"/>
    <cellStyle name="Normal 57 8 5 4" xfId="8057" xr:uid="{00000000-0005-0000-0000-0000B8920000}"/>
    <cellStyle name="Normal 57 8 5 4 2" xfId="20503" xr:uid="{00000000-0005-0000-0000-0000B9920000}"/>
    <cellStyle name="Normal 57 8 5 4 2 2" xfId="45377" xr:uid="{00000000-0005-0000-0000-0000BA920000}"/>
    <cellStyle name="Normal 57 8 5 4 3" xfId="32944" xr:uid="{00000000-0005-0000-0000-0000BB920000}"/>
    <cellStyle name="Normal 57 8 5 5" xfId="12719" xr:uid="{00000000-0005-0000-0000-0000BC920000}"/>
    <cellStyle name="Normal 57 8 5 5 2" xfId="25153" xr:uid="{00000000-0005-0000-0000-0000BD920000}"/>
    <cellStyle name="Normal 57 8 5 5 2 2" xfId="50027" xr:uid="{00000000-0005-0000-0000-0000BE920000}"/>
    <cellStyle name="Normal 57 8 5 5 3" xfId="37594" xr:uid="{00000000-0005-0000-0000-0000BF920000}"/>
    <cellStyle name="Normal 57 8 5 6" xfId="7463" xr:uid="{00000000-0005-0000-0000-0000C0920000}"/>
    <cellStyle name="Normal 57 8 5 6 2" xfId="19911" xr:uid="{00000000-0005-0000-0000-0000C1920000}"/>
    <cellStyle name="Normal 57 8 5 6 2 2" xfId="44785" xr:uid="{00000000-0005-0000-0000-0000C2920000}"/>
    <cellStyle name="Normal 57 8 5 6 3" xfId="32352" xr:uid="{00000000-0005-0000-0000-0000C3920000}"/>
    <cellStyle name="Normal 57 8 5 7" xfId="2986" xr:uid="{00000000-0005-0000-0000-0000C4920000}"/>
    <cellStyle name="Normal 57 8 5 7 2" xfId="15496" xr:uid="{00000000-0005-0000-0000-0000C5920000}"/>
    <cellStyle name="Normal 57 8 5 7 2 2" xfId="40370" xr:uid="{00000000-0005-0000-0000-0000C6920000}"/>
    <cellStyle name="Normal 57 8 5 7 3" xfId="27929" xr:uid="{00000000-0005-0000-0000-0000C7920000}"/>
    <cellStyle name="Normal 57 8 5 8" xfId="14904" xr:uid="{00000000-0005-0000-0000-0000C8920000}"/>
    <cellStyle name="Normal 57 8 5 8 2" xfId="39778" xr:uid="{00000000-0005-0000-0000-0000C9920000}"/>
    <cellStyle name="Normal 57 8 5 9" xfId="27337" xr:uid="{00000000-0005-0000-0000-0000CA920000}"/>
    <cellStyle name="Normal 57 8 6" xfId="1061" xr:uid="{00000000-0005-0000-0000-0000CB920000}"/>
    <cellStyle name="Normal 57 8 6 2" xfId="8943" xr:uid="{00000000-0005-0000-0000-0000CC920000}"/>
    <cellStyle name="Normal 57 8 6 2 2" xfId="21386" xr:uid="{00000000-0005-0000-0000-0000CD920000}"/>
    <cellStyle name="Normal 57 8 6 2 2 2" xfId="46260" xr:uid="{00000000-0005-0000-0000-0000CE920000}"/>
    <cellStyle name="Normal 57 8 6 2 3" xfId="33827" xr:uid="{00000000-0005-0000-0000-0000CF920000}"/>
    <cellStyle name="Normal 57 8 6 3" xfId="3925" xr:uid="{00000000-0005-0000-0000-0000D0920000}"/>
    <cellStyle name="Normal 57 8 6 3 2" xfId="16379" xr:uid="{00000000-0005-0000-0000-0000D1920000}"/>
    <cellStyle name="Normal 57 8 6 3 2 2" xfId="41253" xr:uid="{00000000-0005-0000-0000-0000D2920000}"/>
    <cellStyle name="Normal 57 8 6 3 3" xfId="28820" xr:uid="{00000000-0005-0000-0000-0000D3920000}"/>
    <cellStyle name="Normal 57 8 6 4" xfId="13861" xr:uid="{00000000-0005-0000-0000-0000D4920000}"/>
    <cellStyle name="Normal 57 8 6 4 2" xfId="38735" xr:uid="{00000000-0005-0000-0000-0000D5920000}"/>
    <cellStyle name="Normal 57 8 6 5" xfId="26294" xr:uid="{00000000-0005-0000-0000-0000D6920000}"/>
    <cellStyle name="Normal 57 8 7" xfId="5206" xr:uid="{00000000-0005-0000-0000-0000D7920000}"/>
    <cellStyle name="Normal 57 8 7 2" xfId="10222" xr:uid="{00000000-0005-0000-0000-0000D8920000}"/>
    <cellStyle name="Normal 57 8 7 2 2" xfId="22665" xr:uid="{00000000-0005-0000-0000-0000D9920000}"/>
    <cellStyle name="Normal 57 8 7 2 2 2" xfId="47539" xr:uid="{00000000-0005-0000-0000-0000DA920000}"/>
    <cellStyle name="Normal 57 8 7 2 3" xfId="35106" xr:uid="{00000000-0005-0000-0000-0000DB920000}"/>
    <cellStyle name="Normal 57 8 7 3" xfId="17658" xr:uid="{00000000-0005-0000-0000-0000DC920000}"/>
    <cellStyle name="Normal 57 8 7 3 2" xfId="42532" xr:uid="{00000000-0005-0000-0000-0000DD920000}"/>
    <cellStyle name="Normal 57 8 7 4" xfId="30099" xr:uid="{00000000-0005-0000-0000-0000DE920000}"/>
    <cellStyle name="Normal 57 8 8" xfId="7783" xr:uid="{00000000-0005-0000-0000-0000DF920000}"/>
    <cellStyle name="Normal 57 8 8 2" xfId="20229" xr:uid="{00000000-0005-0000-0000-0000E0920000}"/>
    <cellStyle name="Normal 57 8 8 2 2" xfId="45103" xr:uid="{00000000-0005-0000-0000-0000E1920000}"/>
    <cellStyle name="Normal 57 8 8 3" xfId="32670" xr:uid="{00000000-0005-0000-0000-0000E2920000}"/>
    <cellStyle name="Normal 57 8 9" xfId="11676" xr:uid="{00000000-0005-0000-0000-0000E3920000}"/>
    <cellStyle name="Normal 57 8 9 2" xfId="24110" xr:uid="{00000000-0005-0000-0000-0000E4920000}"/>
    <cellStyle name="Normal 57 8 9 2 2" xfId="48984" xr:uid="{00000000-0005-0000-0000-0000E5920000}"/>
    <cellStyle name="Normal 57 8 9 3" xfId="36551" xr:uid="{00000000-0005-0000-0000-0000E6920000}"/>
    <cellStyle name="Normal 57 8_Degree data" xfId="2502" xr:uid="{00000000-0005-0000-0000-0000E7920000}"/>
    <cellStyle name="Normal 57 9" xfId="244" xr:uid="{00000000-0005-0000-0000-0000E8920000}"/>
    <cellStyle name="Normal 57 9 10" xfId="6584" xr:uid="{00000000-0005-0000-0000-0000E9920000}"/>
    <cellStyle name="Normal 57 9 10 2" xfId="19033" xr:uid="{00000000-0005-0000-0000-0000EA920000}"/>
    <cellStyle name="Normal 57 9 10 2 2" xfId="43907" xr:uid="{00000000-0005-0000-0000-0000EB920000}"/>
    <cellStyle name="Normal 57 9 10 3" xfId="31474" xr:uid="{00000000-0005-0000-0000-0000EC920000}"/>
    <cellStyle name="Normal 57 9 11" xfId="2647" xr:uid="{00000000-0005-0000-0000-0000ED920000}"/>
    <cellStyle name="Normal 57 9 11 2" xfId="15165" xr:uid="{00000000-0005-0000-0000-0000EE920000}"/>
    <cellStyle name="Normal 57 9 11 2 2" xfId="40039" xr:uid="{00000000-0005-0000-0000-0000EF920000}"/>
    <cellStyle name="Normal 57 9 11 3" xfId="27598" xr:uid="{00000000-0005-0000-0000-0000F0920000}"/>
    <cellStyle name="Normal 57 9 12" xfId="13066" xr:uid="{00000000-0005-0000-0000-0000F1920000}"/>
    <cellStyle name="Normal 57 9 12 2" xfId="37940" xr:uid="{00000000-0005-0000-0000-0000F2920000}"/>
    <cellStyle name="Normal 57 9 13" xfId="25499" xr:uid="{00000000-0005-0000-0000-0000F3920000}"/>
    <cellStyle name="Normal 57 9 2" xfId="458" xr:uid="{00000000-0005-0000-0000-0000F4920000}"/>
    <cellStyle name="Normal 57 9 2 10" xfId="13271" xr:uid="{00000000-0005-0000-0000-0000F5920000}"/>
    <cellStyle name="Normal 57 9 2 10 2" xfId="38145" xr:uid="{00000000-0005-0000-0000-0000F6920000}"/>
    <cellStyle name="Normal 57 9 2 11" xfId="25704" xr:uid="{00000000-0005-0000-0000-0000F7920000}"/>
    <cellStyle name="Normal 57 9 2 2" xfId="817" xr:uid="{00000000-0005-0000-0000-0000F8920000}"/>
    <cellStyle name="Normal 57 9 2 2 2" xfId="1540" xr:uid="{00000000-0005-0000-0000-0000F9920000}"/>
    <cellStyle name="Normal 57 9 2 2 2 2" xfId="9644" xr:uid="{00000000-0005-0000-0000-0000FA920000}"/>
    <cellStyle name="Normal 57 9 2 2 2 2 2" xfId="22087" xr:uid="{00000000-0005-0000-0000-0000FB920000}"/>
    <cellStyle name="Normal 57 9 2 2 2 2 2 2" xfId="46961" xr:uid="{00000000-0005-0000-0000-0000FC920000}"/>
    <cellStyle name="Normal 57 9 2 2 2 2 3" xfId="34528" xr:uid="{00000000-0005-0000-0000-0000FD920000}"/>
    <cellStyle name="Normal 57 9 2 2 2 3" xfId="4626" xr:uid="{00000000-0005-0000-0000-0000FE920000}"/>
    <cellStyle name="Normal 57 9 2 2 2 3 2" xfId="17080" xr:uid="{00000000-0005-0000-0000-0000FF920000}"/>
    <cellStyle name="Normal 57 9 2 2 2 3 2 2" xfId="41954" xr:uid="{00000000-0005-0000-0000-000000930000}"/>
    <cellStyle name="Normal 57 9 2 2 2 3 3" xfId="29521" xr:uid="{00000000-0005-0000-0000-000001930000}"/>
    <cellStyle name="Normal 57 9 2 2 2 4" xfId="14340" xr:uid="{00000000-0005-0000-0000-000002930000}"/>
    <cellStyle name="Normal 57 9 2 2 2 4 2" xfId="39214" xr:uid="{00000000-0005-0000-0000-000003930000}"/>
    <cellStyle name="Normal 57 9 2 2 2 5" xfId="26773" xr:uid="{00000000-0005-0000-0000-000004930000}"/>
    <cellStyle name="Normal 57 9 2 2 3" xfId="5685" xr:uid="{00000000-0005-0000-0000-000005930000}"/>
    <cellStyle name="Normal 57 9 2 2 3 2" xfId="10701" xr:uid="{00000000-0005-0000-0000-000006930000}"/>
    <cellStyle name="Normal 57 9 2 2 3 2 2" xfId="23144" xr:uid="{00000000-0005-0000-0000-000007930000}"/>
    <cellStyle name="Normal 57 9 2 2 3 2 2 2" xfId="48018" xr:uid="{00000000-0005-0000-0000-000008930000}"/>
    <cellStyle name="Normal 57 9 2 2 3 2 3" xfId="35585" xr:uid="{00000000-0005-0000-0000-000009930000}"/>
    <cellStyle name="Normal 57 9 2 2 3 3" xfId="18137" xr:uid="{00000000-0005-0000-0000-00000A930000}"/>
    <cellStyle name="Normal 57 9 2 2 3 3 2" xfId="43011" xr:uid="{00000000-0005-0000-0000-00000B930000}"/>
    <cellStyle name="Normal 57 9 2 2 3 4" xfId="30578" xr:uid="{00000000-0005-0000-0000-00000C930000}"/>
    <cellStyle name="Normal 57 9 2 2 4" xfId="8760" xr:uid="{00000000-0005-0000-0000-00000D930000}"/>
    <cellStyle name="Normal 57 9 2 2 4 2" xfId="21204" xr:uid="{00000000-0005-0000-0000-00000E930000}"/>
    <cellStyle name="Normal 57 9 2 2 4 2 2" xfId="46078" xr:uid="{00000000-0005-0000-0000-00000F930000}"/>
    <cellStyle name="Normal 57 9 2 2 4 3" xfId="33645" xr:uid="{00000000-0005-0000-0000-000010930000}"/>
    <cellStyle name="Normal 57 9 2 2 5" xfId="12155" xr:uid="{00000000-0005-0000-0000-000011930000}"/>
    <cellStyle name="Normal 57 9 2 2 5 2" xfId="24589" xr:uid="{00000000-0005-0000-0000-000012930000}"/>
    <cellStyle name="Normal 57 9 2 2 5 2 2" xfId="49463" xr:uid="{00000000-0005-0000-0000-000013930000}"/>
    <cellStyle name="Normal 57 9 2 2 5 3" xfId="37030" xr:uid="{00000000-0005-0000-0000-000014930000}"/>
    <cellStyle name="Normal 57 9 2 2 6" xfId="7237" xr:uid="{00000000-0005-0000-0000-000015930000}"/>
    <cellStyle name="Normal 57 9 2 2 6 2" xfId="19686" xr:uid="{00000000-0005-0000-0000-000016930000}"/>
    <cellStyle name="Normal 57 9 2 2 6 2 2" xfId="44560" xr:uid="{00000000-0005-0000-0000-000017930000}"/>
    <cellStyle name="Normal 57 9 2 2 6 3" xfId="32127" xr:uid="{00000000-0005-0000-0000-000018930000}"/>
    <cellStyle name="Normal 57 9 2 2 7" xfId="3691" xr:uid="{00000000-0005-0000-0000-000019930000}"/>
    <cellStyle name="Normal 57 9 2 2 7 2" xfId="16197" xr:uid="{00000000-0005-0000-0000-00001A930000}"/>
    <cellStyle name="Normal 57 9 2 2 7 2 2" xfId="41071" xr:uid="{00000000-0005-0000-0000-00001B930000}"/>
    <cellStyle name="Normal 57 9 2 2 7 3" xfId="28630" xr:uid="{00000000-0005-0000-0000-00001C930000}"/>
    <cellStyle name="Normal 57 9 2 2 8" xfId="13618" xr:uid="{00000000-0005-0000-0000-00001D930000}"/>
    <cellStyle name="Normal 57 9 2 2 8 2" xfId="38492" xr:uid="{00000000-0005-0000-0000-00001E930000}"/>
    <cellStyle name="Normal 57 9 2 2 9" xfId="26051" xr:uid="{00000000-0005-0000-0000-00001F930000}"/>
    <cellStyle name="Normal 57 9 2 3" xfId="1888" xr:uid="{00000000-0005-0000-0000-000020930000}"/>
    <cellStyle name="Normal 57 9 2 3 2" xfId="5000" xr:uid="{00000000-0005-0000-0000-000021930000}"/>
    <cellStyle name="Normal 57 9 2 3 2 2" xfId="10017" xr:uid="{00000000-0005-0000-0000-000022930000}"/>
    <cellStyle name="Normal 57 9 2 3 2 2 2" xfId="22460" xr:uid="{00000000-0005-0000-0000-000023930000}"/>
    <cellStyle name="Normal 57 9 2 3 2 2 2 2" xfId="47334" xr:uid="{00000000-0005-0000-0000-000024930000}"/>
    <cellStyle name="Normal 57 9 2 3 2 2 3" xfId="34901" xr:uid="{00000000-0005-0000-0000-000025930000}"/>
    <cellStyle name="Normal 57 9 2 3 2 3" xfId="17453" xr:uid="{00000000-0005-0000-0000-000026930000}"/>
    <cellStyle name="Normal 57 9 2 3 2 3 2" xfId="42327" xr:uid="{00000000-0005-0000-0000-000027930000}"/>
    <cellStyle name="Normal 57 9 2 3 2 4" xfId="29894" xr:uid="{00000000-0005-0000-0000-000028930000}"/>
    <cellStyle name="Normal 57 9 2 3 3" xfId="6034" xr:uid="{00000000-0005-0000-0000-000029930000}"/>
    <cellStyle name="Normal 57 9 2 3 3 2" xfId="11049" xr:uid="{00000000-0005-0000-0000-00002A930000}"/>
    <cellStyle name="Normal 57 9 2 3 3 2 2" xfId="23492" xr:uid="{00000000-0005-0000-0000-00002B930000}"/>
    <cellStyle name="Normal 57 9 2 3 3 2 2 2" xfId="48366" xr:uid="{00000000-0005-0000-0000-00002C930000}"/>
    <cellStyle name="Normal 57 9 2 3 3 2 3" xfId="35933" xr:uid="{00000000-0005-0000-0000-00002D930000}"/>
    <cellStyle name="Normal 57 9 2 3 3 3" xfId="18485" xr:uid="{00000000-0005-0000-0000-00002E930000}"/>
    <cellStyle name="Normal 57 9 2 3 3 3 2" xfId="43359" xr:uid="{00000000-0005-0000-0000-00002F930000}"/>
    <cellStyle name="Normal 57 9 2 3 3 4" xfId="30926" xr:uid="{00000000-0005-0000-0000-000030930000}"/>
    <cellStyle name="Normal 57 9 2 3 4" xfId="8424" xr:uid="{00000000-0005-0000-0000-000031930000}"/>
    <cellStyle name="Normal 57 9 2 3 4 2" xfId="20868" xr:uid="{00000000-0005-0000-0000-000032930000}"/>
    <cellStyle name="Normal 57 9 2 3 4 2 2" xfId="45742" xr:uid="{00000000-0005-0000-0000-000033930000}"/>
    <cellStyle name="Normal 57 9 2 3 4 3" xfId="33309" xr:uid="{00000000-0005-0000-0000-000034930000}"/>
    <cellStyle name="Normal 57 9 2 3 5" xfId="12503" xr:uid="{00000000-0005-0000-0000-000035930000}"/>
    <cellStyle name="Normal 57 9 2 3 5 2" xfId="24937" xr:uid="{00000000-0005-0000-0000-000036930000}"/>
    <cellStyle name="Normal 57 9 2 3 5 2 2" xfId="49811" xr:uid="{00000000-0005-0000-0000-000037930000}"/>
    <cellStyle name="Normal 57 9 2 3 5 3" xfId="37378" xr:uid="{00000000-0005-0000-0000-000038930000}"/>
    <cellStyle name="Normal 57 9 2 3 6" xfId="7611" xr:uid="{00000000-0005-0000-0000-000039930000}"/>
    <cellStyle name="Normal 57 9 2 3 6 2" xfId="20059" xr:uid="{00000000-0005-0000-0000-00003A930000}"/>
    <cellStyle name="Normal 57 9 2 3 6 2 2" xfId="44933" xr:uid="{00000000-0005-0000-0000-00003B930000}"/>
    <cellStyle name="Normal 57 9 2 3 6 3" xfId="32500" xr:uid="{00000000-0005-0000-0000-00003C930000}"/>
    <cellStyle name="Normal 57 9 2 3 7" xfId="3355" xr:uid="{00000000-0005-0000-0000-00003D930000}"/>
    <cellStyle name="Normal 57 9 2 3 7 2" xfId="15861" xr:uid="{00000000-0005-0000-0000-00003E930000}"/>
    <cellStyle name="Normal 57 9 2 3 7 2 2" xfId="40735" xr:uid="{00000000-0005-0000-0000-00003F930000}"/>
    <cellStyle name="Normal 57 9 2 3 7 3" xfId="28294" xr:uid="{00000000-0005-0000-0000-000040930000}"/>
    <cellStyle name="Normal 57 9 2 3 8" xfId="14688" xr:uid="{00000000-0005-0000-0000-000041930000}"/>
    <cellStyle name="Normal 57 9 2 3 8 2" xfId="39562" xr:uid="{00000000-0005-0000-0000-000042930000}"/>
    <cellStyle name="Normal 57 9 2 3 9" xfId="27121" xr:uid="{00000000-0005-0000-0000-000043930000}"/>
    <cellStyle name="Normal 57 9 2 4" xfId="2376" xr:uid="{00000000-0005-0000-0000-000044930000}"/>
    <cellStyle name="Normal 57 9 2 4 2" xfId="6398" xr:uid="{00000000-0005-0000-0000-000045930000}"/>
    <cellStyle name="Normal 57 9 2 4 2 2" xfId="11413" xr:uid="{00000000-0005-0000-0000-000046930000}"/>
    <cellStyle name="Normal 57 9 2 4 2 2 2" xfId="23856" xr:uid="{00000000-0005-0000-0000-000047930000}"/>
    <cellStyle name="Normal 57 9 2 4 2 2 2 2" xfId="48730" xr:uid="{00000000-0005-0000-0000-000048930000}"/>
    <cellStyle name="Normal 57 9 2 4 2 2 3" xfId="36297" xr:uid="{00000000-0005-0000-0000-000049930000}"/>
    <cellStyle name="Normal 57 9 2 4 2 3" xfId="18849" xr:uid="{00000000-0005-0000-0000-00004A930000}"/>
    <cellStyle name="Normal 57 9 2 4 2 3 2" xfId="43723" xr:uid="{00000000-0005-0000-0000-00004B930000}"/>
    <cellStyle name="Normal 57 9 2 4 2 4" xfId="31290" xr:uid="{00000000-0005-0000-0000-00004C930000}"/>
    <cellStyle name="Normal 57 9 2 4 3" xfId="12867" xr:uid="{00000000-0005-0000-0000-00004D930000}"/>
    <cellStyle name="Normal 57 9 2 4 3 2" xfId="25301" xr:uid="{00000000-0005-0000-0000-00004E930000}"/>
    <cellStyle name="Normal 57 9 2 4 3 2 2" xfId="50175" xr:uid="{00000000-0005-0000-0000-00004F930000}"/>
    <cellStyle name="Normal 57 9 2 4 3 3" xfId="37742" xr:uid="{00000000-0005-0000-0000-000050930000}"/>
    <cellStyle name="Normal 57 9 2 4 4" xfId="9308" xr:uid="{00000000-0005-0000-0000-000051930000}"/>
    <cellStyle name="Normal 57 9 2 4 4 2" xfId="21751" xr:uid="{00000000-0005-0000-0000-000052930000}"/>
    <cellStyle name="Normal 57 9 2 4 4 2 2" xfId="46625" xr:uid="{00000000-0005-0000-0000-000053930000}"/>
    <cellStyle name="Normal 57 9 2 4 4 3" xfId="34192" xr:uid="{00000000-0005-0000-0000-000054930000}"/>
    <cellStyle name="Normal 57 9 2 4 5" xfId="4290" xr:uid="{00000000-0005-0000-0000-000055930000}"/>
    <cellStyle name="Normal 57 9 2 4 5 2" xfId="16744" xr:uid="{00000000-0005-0000-0000-000056930000}"/>
    <cellStyle name="Normal 57 9 2 4 5 2 2" xfId="41618" xr:uid="{00000000-0005-0000-0000-000057930000}"/>
    <cellStyle name="Normal 57 9 2 4 5 3" xfId="29185" xr:uid="{00000000-0005-0000-0000-000058930000}"/>
    <cellStyle name="Normal 57 9 2 4 6" xfId="15052" xr:uid="{00000000-0005-0000-0000-000059930000}"/>
    <cellStyle name="Normal 57 9 2 4 6 2" xfId="39926" xr:uid="{00000000-0005-0000-0000-00005A930000}"/>
    <cellStyle name="Normal 57 9 2 4 7" xfId="27485" xr:uid="{00000000-0005-0000-0000-00005B930000}"/>
    <cellStyle name="Normal 57 9 2 5" xfId="1209" xr:uid="{00000000-0005-0000-0000-00005C930000}"/>
    <cellStyle name="Normal 57 9 2 5 2" xfId="10370" xr:uid="{00000000-0005-0000-0000-00005D930000}"/>
    <cellStyle name="Normal 57 9 2 5 2 2" xfId="22813" xr:uid="{00000000-0005-0000-0000-00005E930000}"/>
    <cellStyle name="Normal 57 9 2 5 2 2 2" xfId="47687" xr:uid="{00000000-0005-0000-0000-00005F930000}"/>
    <cellStyle name="Normal 57 9 2 5 2 3" xfId="35254" xr:uid="{00000000-0005-0000-0000-000060930000}"/>
    <cellStyle name="Normal 57 9 2 5 3" xfId="5354" xr:uid="{00000000-0005-0000-0000-000061930000}"/>
    <cellStyle name="Normal 57 9 2 5 3 2" xfId="17806" xr:uid="{00000000-0005-0000-0000-000062930000}"/>
    <cellStyle name="Normal 57 9 2 5 3 2 2" xfId="42680" xr:uid="{00000000-0005-0000-0000-000063930000}"/>
    <cellStyle name="Normal 57 9 2 5 3 3" xfId="30247" xr:uid="{00000000-0005-0000-0000-000064930000}"/>
    <cellStyle name="Normal 57 9 2 5 4" xfId="14009" xr:uid="{00000000-0005-0000-0000-000065930000}"/>
    <cellStyle name="Normal 57 9 2 5 4 2" xfId="38883" xr:uid="{00000000-0005-0000-0000-000066930000}"/>
    <cellStyle name="Normal 57 9 2 5 5" xfId="26442" xr:uid="{00000000-0005-0000-0000-000067930000}"/>
    <cellStyle name="Normal 57 9 2 6" xfId="7931" xr:uid="{00000000-0005-0000-0000-000068930000}"/>
    <cellStyle name="Normal 57 9 2 6 2" xfId="20377" xr:uid="{00000000-0005-0000-0000-000069930000}"/>
    <cellStyle name="Normal 57 9 2 6 2 2" xfId="45251" xr:uid="{00000000-0005-0000-0000-00006A930000}"/>
    <cellStyle name="Normal 57 9 2 6 3" xfId="32818" xr:uid="{00000000-0005-0000-0000-00006B930000}"/>
    <cellStyle name="Normal 57 9 2 7" xfId="11824" xr:uid="{00000000-0005-0000-0000-00006C930000}"/>
    <cellStyle name="Normal 57 9 2 7 2" xfId="24258" xr:uid="{00000000-0005-0000-0000-00006D930000}"/>
    <cellStyle name="Normal 57 9 2 7 2 2" xfId="49132" xr:uid="{00000000-0005-0000-0000-00006E930000}"/>
    <cellStyle name="Normal 57 9 2 7 3" xfId="36699" xr:uid="{00000000-0005-0000-0000-00006F930000}"/>
    <cellStyle name="Normal 57 9 2 8" xfId="6901" xr:uid="{00000000-0005-0000-0000-000070930000}"/>
    <cellStyle name="Normal 57 9 2 8 2" xfId="19350" xr:uid="{00000000-0005-0000-0000-000071930000}"/>
    <cellStyle name="Normal 57 9 2 8 2 2" xfId="44224" xr:uid="{00000000-0005-0000-0000-000072930000}"/>
    <cellStyle name="Normal 57 9 2 8 3" xfId="31791" xr:uid="{00000000-0005-0000-0000-000073930000}"/>
    <cellStyle name="Normal 57 9 2 9" xfId="2852" xr:uid="{00000000-0005-0000-0000-000074930000}"/>
    <cellStyle name="Normal 57 9 2 9 2" xfId="15370" xr:uid="{00000000-0005-0000-0000-000075930000}"/>
    <cellStyle name="Normal 57 9 2 9 2 2" xfId="40244" xr:uid="{00000000-0005-0000-0000-000076930000}"/>
    <cellStyle name="Normal 57 9 2 9 3" xfId="27803" xr:uid="{00000000-0005-0000-0000-000077930000}"/>
    <cellStyle name="Normal 57 9 2_Degree data" xfId="2505" xr:uid="{00000000-0005-0000-0000-000078930000}"/>
    <cellStyle name="Normal 57 9 3" xfId="606" xr:uid="{00000000-0005-0000-0000-000079930000}"/>
    <cellStyle name="Normal 57 9 3 2" xfId="1539" xr:uid="{00000000-0005-0000-0000-00007A930000}"/>
    <cellStyle name="Normal 57 9 3 2 2" xfId="9103" xr:uid="{00000000-0005-0000-0000-00007B930000}"/>
    <cellStyle name="Normal 57 9 3 2 2 2" xfId="21546" xr:uid="{00000000-0005-0000-0000-00007C930000}"/>
    <cellStyle name="Normal 57 9 3 2 2 2 2" xfId="46420" xr:uid="{00000000-0005-0000-0000-00007D930000}"/>
    <cellStyle name="Normal 57 9 3 2 2 3" xfId="33987" xr:uid="{00000000-0005-0000-0000-00007E930000}"/>
    <cellStyle name="Normal 57 9 3 2 3" xfId="4085" xr:uid="{00000000-0005-0000-0000-00007F930000}"/>
    <cellStyle name="Normal 57 9 3 2 3 2" xfId="16539" xr:uid="{00000000-0005-0000-0000-000080930000}"/>
    <cellStyle name="Normal 57 9 3 2 3 2 2" xfId="41413" xr:uid="{00000000-0005-0000-0000-000081930000}"/>
    <cellStyle name="Normal 57 9 3 2 3 3" xfId="28980" xr:uid="{00000000-0005-0000-0000-000082930000}"/>
    <cellStyle name="Normal 57 9 3 2 4" xfId="14339" xr:uid="{00000000-0005-0000-0000-000083930000}"/>
    <cellStyle name="Normal 57 9 3 2 4 2" xfId="39213" xr:uid="{00000000-0005-0000-0000-000084930000}"/>
    <cellStyle name="Normal 57 9 3 2 5" xfId="26772" xr:uid="{00000000-0005-0000-0000-000085930000}"/>
    <cellStyle name="Normal 57 9 3 3" xfId="5684" xr:uid="{00000000-0005-0000-0000-000086930000}"/>
    <cellStyle name="Normal 57 9 3 3 2" xfId="10700" xr:uid="{00000000-0005-0000-0000-000087930000}"/>
    <cellStyle name="Normal 57 9 3 3 2 2" xfId="23143" xr:uid="{00000000-0005-0000-0000-000088930000}"/>
    <cellStyle name="Normal 57 9 3 3 2 2 2" xfId="48017" xr:uid="{00000000-0005-0000-0000-000089930000}"/>
    <cellStyle name="Normal 57 9 3 3 2 3" xfId="35584" xr:uid="{00000000-0005-0000-0000-00008A930000}"/>
    <cellStyle name="Normal 57 9 3 3 3" xfId="18136" xr:uid="{00000000-0005-0000-0000-00008B930000}"/>
    <cellStyle name="Normal 57 9 3 3 3 2" xfId="43010" xr:uid="{00000000-0005-0000-0000-00008C930000}"/>
    <cellStyle name="Normal 57 9 3 3 4" xfId="30577" xr:uid="{00000000-0005-0000-0000-00008D930000}"/>
    <cellStyle name="Normal 57 9 3 4" xfId="8219" xr:uid="{00000000-0005-0000-0000-00008E930000}"/>
    <cellStyle name="Normal 57 9 3 4 2" xfId="20663" xr:uid="{00000000-0005-0000-0000-00008F930000}"/>
    <cellStyle name="Normal 57 9 3 4 2 2" xfId="45537" xr:uid="{00000000-0005-0000-0000-000090930000}"/>
    <cellStyle name="Normal 57 9 3 4 3" xfId="33104" xr:uid="{00000000-0005-0000-0000-000091930000}"/>
    <cellStyle name="Normal 57 9 3 5" xfId="12154" xr:uid="{00000000-0005-0000-0000-000092930000}"/>
    <cellStyle name="Normal 57 9 3 5 2" xfId="24588" xr:uid="{00000000-0005-0000-0000-000093930000}"/>
    <cellStyle name="Normal 57 9 3 5 2 2" xfId="49462" xr:uid="{00000000-0005-0000-0000-000094930000}"/>
    <cellStyle name="Normal 57 9 3 5 3" xfId="37029" xr:uid="{00000000-0005-0000-0000-000095930000}"/>
    <cellStyle name="Normal 57 9 3 6" xfId="6696" xr:uid="{00000000-0005-0000-0000-000096930000}"/>
    <cellStyle name="Normal 57 9 3 6 2" xfId="19145" xr:uid="{00000000-0005-0000-0000-000097930000}"/>
    <cellStyle name="Normal 57 9 3 6 2 2" xfId="44019" xr:uid="{00000000-0005-0000-0000-000098930000}"/>
    <cellStyle name="Normal 57 9 3 6 3" xfId="31586" xr:uid="{00000000-0005-0000-0000-000099930000}"/>
    <cellStyle name="Normal 57 9 3 7" xfId="3150" xr:uid="{00000000-0005-0000-0000-00009A930000}"/>
    <cellStyle name="Normal 57 9 3 7 2" xfId="15656" xr:uid="{00000000-0005-0000-0000-00009B930000}"/>
    <cellStyle name="Normal 57 9 3 7 2 2" xfId="40530" xr:uid="{00000000-0005-0000-0000-00009C930000}"/>
    <cellStyle name="Normal 57 9 3 7 3" xfId="28089" xr:uid="{00000000-0005-0000-0000-00009D930000}"/>
    <cellStyle name="Normal 57 9 3 8" xfId="13413" xr:uid="{00000000-0005-0000-0000-00009E930000}"/>
    <cellStyle name="Normal 57 9 3 8 2" xfId="38287" xr:uid="{00000000-0005-0000-0000-00009F930000}"/>
    <cellStyle name="Normal 57 9 3 9" xfId="25846" xr:uid="{00000000-0005-0000-0000-0000A0930000}"/>
    <cellStyle name="Normal 57 9 4" xfId="1887" xr:uid="{00000000-0005-0000-0000-0000A1930000}"/>
    <cellStyle name="Normal 57 9 4 2" xfId="4625" xr:uid="{00000000-0005-0000-0000-0000A2930000}"/>
    <cellStyle name="Normal 57 9 4 2 2" xfId="9643" xr:uid="{00000000-0005-0000-0000-0000A3930000}"/>
    <cellStyle name="Normal 57 9 4 2 2 2" xfId="22086" xr:uid="{00000000-0005-0000-0000-0000A4930000}"/>
    <cellStyle name="Normal 57 9 4 2 2 2 2" xfId="46960" xr:uid="{00000000-0005-0000-0000-0000A5930000}"/>
    <cellStyle name="Normal 57 9 4 2 2 3" xfId="34527" xr:uid="{00000000-0005-0000-0000-0000A6930000}"/>
    <cellStyle name="Normal 57 9 4 2 3" xfId="17079" xr:uid="{00000000-0005-0000-0000-0000A7930000}"/>
    <cellStyle name="Normal 57 9 4 2 3 2" xfId="41953" xr:uid="{00000000-0005-0000-0000-0000A8930000}"/>
    <cellStyle name="Normal 57 9 4 2 4" xfId="29520" xr:uid="{00000000-0005-0000-0000-0000A9930000}"/>
    <cellStyle name="Normal 57 9 4 3" xfId="6033" xr:uid="{00000000-0005-0000-0000-0000AA930000}"/>
    <cellStyle name="Normal 57 9 4 3 2" xfId="11048" xr:uid="{00000000-0005-0000-0000-0000AB930000}"/>
    <cellStyle name="Normal 57 9 4 3 2 2" xfId="23491" xr:uid="{00000000-0005-0000-0000-0000AC930000}"/>
    <cellStyle name="Normal 57 9 4 3 2 2 2" xfId="48365" xr:uid="{00000000-0005-0000-0000-0000AD930000}"/>
    <cellStyle name="Normal 57 9 4 3 2 3" xfId="35932" xr:uid="{00000000-0005-0000-0000-0000AE930000}"/>
    <cellStyle name="Normal 57 9 4 3 3" xfId="18484" xr:uid="{00000000-0005-0000-0000-0000AF930000}"/>
    <cellStyle name="Normal 57 9 4 3 3 2" xfId="43358" xr:uid="{00000000-0005-0000-0000-0000B0930000}"/>
    <cellStyle name="Normal 57 9 4 3 4" xfId="30925" xr:uid="{00000000-0005-0000-0000-0000B1930000}"/>
    <cellStyle name="Normal 57 9 4 4" xfId="8759" xr:uid="{00000000-0005-0000-0000-0000B2930000}"/>
    <cellStyle name="Normal 57 9 4 4 2" xfId="21203" xr:uid="{00000000-0005-0000-0000-0000B3930000}"/>
    <cellStyle name="Normal 57 9 4 4 2 2" xfId="46077" xr:uid="{00000000-0005-0000-0000-0000B4930000}"/>
    <cellStyle name="Normal 57 9 4 4 3" xfId="33644" xr:uid="{00000000-0005-0000-0000-0000B5930000}"/>
    <cellStyle name="Normal 57 9 4 5" xfId="12502" xr:uid="{00000000-0005-0000-0000-0000B6930000}"/>
    <cellStyle name="Normal 57 9 4 5 2" xfId="24936" xr:uid="{00000000-0005-0000-0000-0000B7930000}"/>
    <cellStyle name="Normal 57 9 4 5 2 2" xfId="49810" xr:uid="{00000000-0005-0000-0000-0000B8930000}"/>
    <cellStyle name="Normal 57 9 4 5 3" xfId="37377" xr:uid="{00000000-0005-0000-0000-0000B9930000}"/>
    <cellStyle name="Normal 57 9 4 6" xfId="7236" xr:uid="{00000000-0005-0000-0000-0000BA930000}"/>
    <cellStyle name="Normal 57 9 4 6 2" xfId="19685" xr:uid="{00000000-0005-0000-0000-0000BB930000}"/>
    <cellStyle name="Normal 57 9 4 6 2 2" xfId="44559" xr:uid="{00000000-0005-0000-0000-0000BC930000}"/>
    <cellStyle name="Normal 57 9 4 6 3" xfId="32126" xr:uid="{00000000-0005-0000-0000-0000BD930000}"/>
    <cellStyle name="Normal 57 9 4 7" xfId="3690" xr:uid="{00000000-0005-0000-0000-0000BE930000}"/>
    <cellStyle name="Normal 57 9 4 7 2" xfId="16196" xr:uid="{00000000-0005-0000-0000-0000BF930000}"/>
    <cellStyle name="Normal 57 9 4 7 2 2" xfId="41070" xr:uid="{00000000-0005-0000-0000-0000C0930000}"/>
    <cellStyle name="Normal 57 9 4 7 3" xfId="28629" xr:uid="{00000000-0005-0000-0000-0000C1930000}"/>
    <cellStyle name="Normal 57 9 4 8" xfId="14687" xr:uid="{00000000-0005-0000-0000-0000C2930000}"/>
    <cellStyle name="Normal 57 9 4 8 2" xfId="39561" xr:uid="{00000000-0005-0000-0000-0000C3930000}"/>
    <cellStyle name="Normal 57 9 4 9" xfId="27120" xr:uid="{00000000-0005-0000-0000-0000C4930000}"/>
    <cellStyle name="Normal 57 9 5" xfId="2162" xr:uid="{00000000-0005-0000-0000-0000C5930000}"/>
    <cellStyle name="Normal 57 9 5 2" xfId="4795" xr:uid="{00000000-0005-0000-0000-0000C6930000}"/>
    <cellStyle name="Normal 57 9 5 2 2" xfId="9812" xr:uid="{00000000-0005-0000-0000-0000C7930000}"/>
    <cellStyle name="Normal 57 9 5 2 2 2" xfId="22255" xr:uid="{00000000-0005-0000-0000-0000C8930000}"/>
    <cellStyle name="Normal 57 9 5 2 2 2 2" xfId="47129" xr:uid="{00000000-0005-0000-0000-0000C9930000}"/>
    <cellStyle name="Normal 57 9 5 2 2 3" xfId="34696" xr:uid="{00000000-0005-0000-0000-0000CA930000}"/>
    <cellStyle name="Normal 57 9 5 2 3" xfId="17248" xr:uid="{00000000-0005-0000-0000-0000CB930000}"/>
    <cellStyle name="Normal 57 9 5 2 3 2" xfId="42122" xr:uid="{00000000-0005-0000-0000-0000CC930000}"/>
    <cellStyle name="Normal 57 9 5 2 4" xfId="29689" xr:uid="{00000000-0005-0000-0000-0000CD930000}"/>
    <cellStyle name="Normal 57 9 5 3" xfId="6193" xr:uid="{00000000-0005-0000-0000-0000CE930000}"/>
    <cellStyle name="Normal 57 9 5 3 2" xfId="11208" xr:uid="{00000000-0005-0000-0000-0000CF930000}"/>
    <cellStyle name="Normal 57 9 5 3 2 2" xfId="23651" xr:uid="{00000000-0005-0000-0000-0000D0930000}"/>
    <cellStyle name="Normal 57 9 5 3 2 2 2" xfId="48525" xr:uid="{00000000-0005-0000-0000-0000D1930000}"/>
    <cellStyle name="Normal 57 9 5 3 2 3" xfId="36092" xr:uid="{00000000-0005-0000-0000-0000D2930000}"/>
    <cellStyle name="Normal 57 9 5 3 3" xfId="18644" xr:uid="{00000000-0005-0000-0000-0000D3930000}"/>
    <cellStyle name="Normal 57 9 5 3 3 2" xfId="43518" xr:uid="{00000000-0005-0000-0000-0000D4930000}"/>
    <cellStyle name="Normal 57 9 5 3 4" xfId="31085" xr:uid="{00000000-0005-0000-0000-0000D5930000}"/>
    <cellStyle name="Normal 57 9 5 4" xfId="8105" xr:uid="{00000000-0005-0000-0000-0000D6930000}"/>
    <cellStyle name="Normal 57 9 5 4 2" xfId="20551" xr:uid="{00000000-0005-0000-0000-0000D7930000}"/>
    <cellStyle name="Normal 57 9 5 4 2 2" xfId="45425" xr:uid="{00000000-0005-0000-0000-0000D8930000}"/>
    <cellStyle name="Normal 57 9 5 4 3" xfId="32992" xr:uid="{00000000-0005-0000-0000-0000D9930000}"/>
    <cellStyle name="Normal 57 9 5 5" xfId="12662" xr:uid="{00000000-0005-0000-0000-0000DA930000}"/>
    <cellStyle name="Normal 57 9 5 5 2" xfId="25096" xr:uid="{00000000-0005-0000-0000-0000DB930000}"/>
    <cellStyle name="Normal 57 9 5 5 2 2" xfId="49970" xr:uid="{00000000-0005-0000-0000-0000DC930000}"/>
    <cellStyle name="Normal 57 9 5 5 3" xfId="37537" xr:uid="{00000000-0005-0000-0000-0000DD930000}"/>
    <cellStyle name="Normal 57 9 5 6" xfId="7406" xr:uid="{00000000-0005-0000-0000-0000DE930000}"/>
    <cellStyle name="Normal 57 9 5 6 2" xfId="19854" xr:uid="{00000000-0005-0000-0000-0000DF930000}"/>
    <cellStyle name="Normal 57 9 5 6 2 2" xfId="44728" xr:uid="{00000000-0005-0000-0000-0000E0930000}"/>
    <cellStyle name="Normal 57 9 5 6 3" xfId="32295" xr:uid="{00000000-0005-0000-0000-0000E1930000}"/>
    <cellStyle name="Normal 57 9 5 7" xfId="3035" xr:uid="{00000000-0005-0000-0000-0000E2930000}"/>
    <cellStyle name="Normal 57 9 5 7 2" xfId="15544" xr:uid="{00000000-0005-0000-0000-0000E3930000}"/>
    <cellStyle name="Normal 57 9 5 7 2 2" xfId="40418" xr:uid="{00000000-0005-0000-0000-0000E4930000}"/>
    <cellStyle name="Normal 57 9 5 7 3" xfId="27977" xr:uid="{00000000-0005-0000-0000-0000E5930000}"/>
    <cellStyle name="Normal 57 9 5 8" xfId="14847" xr:uid="{00000000-0005-0000-0000-0000E6930000}"/>
    <cellStyle name="Normal 57 9 5 8 2" xfId="39721" xr:uid="{00000000-0005-0000-0000-0000E7930000}"/>
    <cellStyle name="Normal 57 9 5 9" xfId="27280" xr:uid="{00000000-0005-0000-0000-0000E8930000}"/>
    <cellStyle name="Normal 57 9 6" xfId="1004" xr:uid="{00000000-0005-0000-0000-0000E9930000}"/>
    <cellStyle name="Normal 57 9 6 2" xfId="8991" xr:uid="{00000000-0005-0000-0000-0000EA930000}"/>
    <cellStyle name="Normal 57 9 6 2 2" xfId="21434" xr:uid="{00000000-0005-0000-0000-0000EB930000}"/>
    <cellStyle name="Normal 57 9 6 2 2 2" xfId="46308" xr:uid="{00000000-0005-0000-0000-0000EC930000}"/>
    <cellStyle name="Normal 57 9 6 2 3" xfId="33875" xr:uid="{00000000-0005-0000-0000-0000ED930000}"/>
    <cellStyle name="Normal 57 9 6 3" xfId="3973" xr:uid="{00000000-0005-0000-0000-0000EE930000}"/>
    <cellStyle name="Normal 57 9 6 3 2" xfId="16427" xr:uid="{00000000-0005-0000-0000-0000EF930000}"/>
    <cellStyle name="Normal 57 9 6 3 2 2" xfId="41301" xr:uid="{00000000-0005-0000-0000-0000F0930000}"/>
    <cellStyle name="Normal 57 9 6 3 3" xfId="28868" xr:uid="{00000000-0005-0000-0000-0000F1930000}"/>
    <cellStyle name="Normal 57 9 6 4" xfId="13804" xr:uid="{00000000-0005-0000-0000-0000F2930000}"/>
    <cellStyle name="Normal 57 9 6 4 2" xfId="38678" xr:uid="{00000000-0005-0000-0000-0000F3930000}"/>
    <cellStyle name="Normal 57 9 6 5" xfId="26237" xr:uid="{00000000-0005-0000-0000-0000F4930000}"/>
    <cellStyle name="Normal 57 9 7" xfId="5149" xr:uid="{00000000-0005-0000-0000-0000F5930000}"/>
    <cellStyle name="Normal 57 9 7 2" xfId="10165" xr:uid="{00000000-0005-0000-0000-0000F6930000}"/>
    <cellStyle name="Normal 57 9 7 2 2" xfId="22608" xr:uid="{00000000-0005-0000-0000-0000F7930000}"/>
    <cellStyle name="Normal 57 9 7 2 2 2" xfId="47482" xr:uid="{00000000-0005-0000-0000-0000F8930000}"/>
    <cellStyle name="Normal 57 9 7 2 3" xfId="35049" xr:uid="{00000000-0005-0000-0000-0000F9930000}"/>
    <cellStyle name="Normal 57 9 7 3" xfId="17601" xr:uid="{00000000-0005-0000-0000-0000FA930000}"/>
    <cellStyle name="Normal 57 9 7 3 2" xfId="42475" xr:uid="{00000000-0005-0000-0000-0000FB930000}"/>
    <cellStyle name="Normal 57 9 7 4" xfId="30042" xr:uid="{00000000-0005-0000-0000-0000FC930000}"/>
    <cellStyle name="Normal 57 9 8" xfId="7726" xr:uid="{00000000-0005-0000-0000-0000FD930000}"/>
    <cellStyle name="Normal 57 9 8 2" xfId="20172" xr:uid="{00000000-0005-0000-0000-0000FE930000}"/>
    <cellStyle name="Normal 57 9 8 2 2" xfId="45046" xr:uid="{00000000-0005-0000-0000-0000FF930000}"/>
    <cellStyle name="Normal 57 9 8 3" xfId="32613" xr:uid="{00000000-0005-0000-0000-000000940000}"/>
    <cellStyle name="Normal 57 9 9" xfId="11619" xr:uid="{00000000-0005-0000-0000-000001940000}"/>
    <cellStyle name="Normal 57 9 9 2" xfId="24053" xr:uid="{00000000-0005-0000-0000-000002940000}"/>
    <cellStyle name="Normal 57 9 9 2 2" xfId="48927" xr:uid="{00000000-0005-0000-0000-000003940000}"/>
    <cellStyle name="Normal 57 9 9 3" xfId="36494" xr:uid="{00000000-0005-0000-0000-000004940000}"/>
    <cellStyle name="Normal 57 9_Degree data" xfId="2504" xr:uid="{00000000-0005-0000-0000-000005940000}"/>
    <cellStyle name="Normal 57_Degree data" xfId="2448" xr:uid="{00000000-0005-0000-0000-000006940000}"/>
    <cellStyle name="Normal 58" xfId="73" xr:uid="{00000000-0005-0000-0000-000007940000}"/>
    <cellStyle name="Normal 58 10" xfId="351" xr:uid="{00000000-0005-0000-0000-000008940000}"/>
    <cellStyle name="Normal 58 10 10" xfId="13167" xr:uid="{00000000-0005-0000-0000-000009940000}"/>
    <cellStyle name="Normal 58 10 10 2" xfId="38041" xr:uid="{00000000-0005-0000-0000-00000A940000}"/>
    <cellStyle name="Normal 58 10 11" xfId="25600" xr:uid="{00000000-0005-0000-0000-00000B940000}"/>
    <cellStyle name="Normal 58 10 2" xfId="711" xr:uid="{00000000-0005-0000-0000-00000C940000}"/>
    <cellStyle name="Normal 58 10 2 2" xfId="1542" xr:uid="{00000000-0005-0000-0000-00000D940000}"/>
    <cellStyle name="Normal 58 10 2 2 2" xfId="9646" xr:uid="{00000000-0005-0000-0000-00000E940000}"/>
    <cellStyle name="Normal 58 10 2 2 2 2" xfId="22089" xr:uid="{00000000-0005-0000-0000-00000F940000}"/>
    <cellStyle name="Normal 58 10 2 2 2 2 2" xfId="46963" xr:uid="{00000000-0005-0000-0000-000010940000}"/>
    <cellStyle name="Normal 58 10 2 2 2 3" xfId="34530" xr:uid="{00000000-0005-0000-0000-000011940000}"/>
    <cellStyle name="Normal 58 10 2 2 3" xfId="4628" xr:uid="{00000000-0005-0000-0000-000012940000}"/>
    <cellStyle name="Normal 58 10 2 2 3 2" xfId="17082" xr:uid="{00000000-0005-0000-0000-000013940000}"/>
    <cellStyle name="Normal 58 10 2 2 3 2 2" xfId="41956" xr:uid="{00000000-0005-0000-0000-000014940000}"/>
    <cellStyle name="Normal 58 10 2 2 3 3" xfId="29523" xr:uid="{00000000-0005-0000-0000-000015940000}"/>
    <cellStyle name="Normal 58 10 2 2 4" xfId="14342" xr:uid="{00000000-0005-0000-0000-000016940000}"/>
    <cellStyle name="Normal 58 10 2 2 4 2" xfId="39216" xr:uid="{00000000-0005-0000-0000-000017940000}"/>
    <cellStyle name="Normal 58 10 2 2 5" xfId="26775" xr:uid="{00000000-0005-0000-0000-000018940000}"/>
    <cellStyle name="Normal 58 10 2 3" xfId="5687" xr:uid="{00000000-0005-0000-0000-000019940000}"/>
    <cellStyle name="Normal 58 10 2 3 2" xfId="10703" xr:uid="{00000000-0005-0000-0000-00001A940000}"/>
    <cellStyle name="Normal 58 10 2 3 2 2" xfId="23146" xr:uid="{00000000-0005-0000-0000-00001B940000}"/>
    <cellStyle name="Normal 58 10 2 3 2 2 2" xfId="48020" xr:uid="{00000000-0005-0000-0000-00001C940000}"/>
    <cellStyle name="Normal 58 10 2 3 2 3" xfId="35587" xr:uid="{00000000-0005-0000-0000-00001D940000}"/>
    <cellStyle name="Normal 58 10 2 3 3" xfId="18139" xr:uid="{00000000-0005-0000-0000-00001E940000}"/>
    <cellStyle name="Normal 58 10 2 3 3 2" xfId="43013" xr:uid="{00000000-0005-0000-0000-00001F940000}"/>
    <cellStyle name="Normal 58 10 2 3 4" xfId="30580" xr:uid="{00000000-0005-0000-0000-000020940000}"/>
    <cellStyle name="Normal 58 10 2 4" xfId="8762" xr:uid="{00000000-0005-0000-0000-000021940000}"/>
    <cellStyle name="Normal 58 10 2 4 2" xfId="21206" xr:uid="{00000000-0005-0000-0000-000022940000}"/>
    <cellStyle name="Normal 58 10 2 4 2 2" xfId="46080" xr:uid="{00000000-0005-0000-0000-000023940000}"/>
    <cellStyle name="Normal 58 10 2 4 3" xfId="33647" xr:uid="{00000000-0005-0000-0000-000024940000}"/>
    <cellStyle name="Normal 58 10 2 5" xfId="12157" xr:uid="{00000000-0005-0000-0000-000025940000}"/>
    <cellStyle name="Normal 58 10 2 5 2" xfId="24591" xr:uid="{00000000-0005-0000-0000-000026940000}"/>
    <cellStyle name="Normal 58 10 2 5 2 2" xfId="49465" xr:uid="{00000000-0005-0000-0000-000027940000}"/>
    <cellStyle name="Normal 58 10 2 5 3" xfId="37032" xr:uid="{00000000-0005-0000-0000-000028940000}"/>
    <cellStyle name="Normal 58 10 2 6" xfId="7239" xr:uid="{00000000-0005-0000-0000-000029940000}"/>
    <cellStyle name="Normal 58 10 2 6 2" xfId="19688" xr:uid="{00000000-0005-0000-0000-00002A940000}"/>
    <cellStyle name="Normal 58 10 2 6 2 2" xfId="44562" xr:uid="{00000000-0005-0000-0000-00002B940000}"/>
    <cellStyle name="Normal 58 10 2 6 3" xfId="32129" xr:uid="{00000000-0005-0000-0000-00002C940000}"/>
    <cellStyle name="Normal 58 10 2 7" xfId="3693" xr:uid="{00000000-0005-0000-0000-00002D940000}"/>
    <cellStyle name="Normal 58 10 2 7 2" xfId="16199" xr:uid="{00000000-0005-0000-0000-00002E940000}"/>
    <cellStyle name="Normal 58 10 2 7 2 2" xfId="41073" xr:uid="{00000000-0005-0000-0000-00002F940000}"/>
    <cellStyle name="Normal 58 10 2 7 3" xfId="28632" xr:uid="{00000000-0005-0000-0000-000030940000}"/>
    <cellStyle name="Normal 58 10 2 8" xfId="13514" xr:uid="{00000000-0005-0000-0000-000031940000}"/>
    <cellStyle name="Normal 58 10 2 8 2" xfId="38388" xr:uid="{00000000-0005-0000-0000-000032940000}"/>
    <cellStyle name="Normal 58 10 2 9" xfId="25947" xr:uid="{00000000-0005-0000-0000-000033940000}"/>
    <cellStyle name="Normal 58 10 3" xfId="1890" xr:uid="{00000000-0005-0000-0000-000034940000}"/>
    <cellStyle name="Normal 58 10 3 2" xfId="4896" xr:uid="{00000000-0005-0000-0000-000035940000}"/>
    <cellStyle name="Normal 58 10 3 2 2" xfId="9913" xr:uid="{00000000-0005-0000-0000-000036940000}"/>
    <cellStyle name="Normal 58 10 3 2 2 2" xfId="22356" xr:uid="{00000000-0005-0000-0000-000037940000}"/>
    <cellStyle name="Normal 58 10 3 2 2 2 2" xfId="47230" xr:uid="{00000000-0005-0000-0000-000038940000}"/>
    <cellStyle name="Normal 58 10 3 2 2 3" xfId="34797" xr:uid="{00000000-0005-0000-0000-000039940000}"/>
    <cellStyle name="Normal 58 10 3 2 3" xfId="17349" xr:uid="{00000000-0005-0000-0000-00003A940000}"/>
    <cellStyle name="Normal 58 10 3 2 3 2" xfId="42223" xr:uid="{00000000-0005-0000-0000-00003B940000}"/>
    <cellStyle name="Normal 58 10 3 2 4" xfId="29790" xr:uid="{00000000-0005-0000-0000-00003C940000}"/>
    <cellStyle name="Normal 58 10 3 3" xfId="6036" xr:uid="{00000000-0005-0000-0000-00003D940000}"/>
    <cellStyle name="Normal 58 10 3 3 2" xfId="11051" xr:uid="{00000000-0005-0000-0000-00003E940000}"/>
    <cellStyle name="Normal 58 10 3 3 2 2" xfId="23494" xr:uid="{00000000-0005-0000-0000-00003F940000}"/>
    <cellStyle name="Normal 58 10 3 3 2 2 2" xfId="48368" xr:uid="{00000000-0005-0000-0000-000040940000}"/>
    <cellStyle name="Normal 58 10 3 3 2 3" xfId="35935" xr:uid="{00000000-0005-0000-0000-000041940000}"/>
    <cellStyle name="Normal 58 10 3 3 3" xfId="18487" xr:uid="{00000000-0005-0000-0000-000042940000}"/>
    <cellStyle name="Normal 58 10 3 3 3 2" xfId="43361" xr:uid="{00000000-0005-0000-0000-000043940000}"/>
    <cellStyle name="Normal 58 10 3 3 4" xfId="30928" xr:uid="{00000000-0005-0000-0000-000044940000}"/>
    <cellStyle name="Normal 58 10 3 4" xfId="8320" xr:uid="{00000000-0005-0000-0000-000045940000}"/>
    <cellStyle name="Normal 58 10 3 4 2" xfId="20764" xr:uid="{00000000-0005-0000-0000-000046940000}"/>
    <cellStyle name="Normal 58 10 3 4 2 2" xfId="45638" xr:uid="{00000000-0005-0000-0000-000047940000}"/>
    <cellStyle name="Normal 58 10 3 4 3" xfId="33205" xr:uid="{00000000-0005-0000-0000-000048940000}"/>
    <cellStyle name="Normal 58 10 3 5" xfId="12505" xr:uid="{00000000-0005-0000-0000-000049940000}"/>
    <cellStyle name="Normal 58 10 3 5 2" xfId="24939" xr:uid="{00000000-0005-0000-0000-00004A940000}"/>
    <cellStyle name="Normal 58 10 3 5 2 2" xfId="49813" xr:uid="{00000000-0005-0000-0000-00004B940000}"/>
    <cellStyle name="Normal 58 10 3 5 3" xfId="37380" xr:uid="{00000000-0005-0000-0000-00004C940000}"/>
    <cellStyle name="Normal 58 10 3 6" xfId="7507" xr:uid="{00000000-0005-0000-0000-00004D940000}"/>
    <cellStyle name="Normal 58 10 3 6 2" xfId="19955" xr:uid="{00000000-0005-0000-0000-00004E940000}"/>
    <cellStyle name="Normal 58 10 3 6 2 2" xfId="44829" xr:uid="{00000000-0005-0000-0000-00004F940000}"/>
    <cellStyle name="Normal 58 10 3 6 3" xfId="32396" xr:uid="{00000000-0005-0000-0000-000050940000}"/>
    <cellStyle name="Normal 58 10 3 7" xfId="3251" xr:uid="{00000000-0005-0000-0000-000051940000}"/>
    <cellStyle name="Normal 58 10 3 7 2" xfId="15757" xr:uid="{00000000-0005-0000-0000-000052940000}"/>
    <cellStyle name="Normal 58 10 3 7 2 2" xfId="40631" xr:uid="{00000000-0005-0000-0000-000053940000}"/>
    <cellStyle name="Normal 58 10 3 7 3" xfId="28190" xr:uid="{00000000-0005-0000-0000-000054940000}"/>
    <cellStyle name="Normal 58 10 3 8" xfId="14690" xr:uid="{00000000-0005-0000-0000-000055940000}"/>
    <cellStyle name="Normal 58 10 3 8 2" xfId="39564" xr:uid="{00000000-0005-0000-0000-000056940000}"/>
    <cellStyle name="Normal 58 10 3 9" xfId="27123" xr:uid="{00000000-0005-0000-0000-000057940000}"/>
    <cellStyle name="Normal 58 10 4" xfId="2269" xr:uid="{00000000-0005-0000-0000-000058940000}"/>
    <cellStyle name="Normal 58 10 4 2" xfId="6294" xr:uid="{00000000-0005-0000-0000-000059940000}"/>
    <cellStyle name="Normal 58 10 4 2 2" xfId="11309" xr:uid="{00000000-0005-0000-0000-00005A940000}"/>
    <cellStyle name="Normal 58 10 4 2 2 2" xfId="23752" xr:uid="{00000000-0005-0000-0000-00005B940000}"/>
    <cellStyle name="Normal 58 10 4 2 2 2 2" xfId="48626" xr:uid="{00000000-0005-0000-0000-00005C940000}"/>
    <cellStyle name="Normal 58 10 4 2 2 3" xfId="36193" xr:uid="{00000000-0005-0000-0000-00005D940000}"/>
    <cellStyle name="Normal 58 10 4 2 3" xfId="18745" xr:uid="{00000000-0005-0000-0000-00005E940000}"/>
    <cellStyle name="Normal 58 10 4 2 3 2" xfId="43619" xr:uid="{00000000-0005-0000-0000-00005F940000}"/>
    <cellStyle name="Normal 58 10 4 2 4" xfId="31186" xr:uid="{00000000-0005-0000-0000-000060940000}"/>
    <cellStyle name="Normal 58 10 4 3" xfId="12763" xr:uid="{00000000-0005-0000-0000-000061940000}"/>
    <cellStyle name="Normal 58 10 4 3 2" xfId="25197" xr:uid="{00000000-0005-0000-0000-000062940000}"/>
    <cellStyle name="Normal 58 10 4 3 2 2" xfId="50071" xr:uid="{00000000-0005-0000-0000-000063940000}"/>
    <cellStyle name="Normal 58 10 4 3 3" xfId="37638" xr:uid="{00000000-0005-0000-0000-000064940000}"/>
    <cellStyle name="Normal 58 10 4 4" xfId="9204" xr:uid="{00000000-0005-0000-0000-000065940000}"/>
    <cellStyle name="Normal 58 10 4 4 2" xfId="21647" xr:uid="{00000000-0005-0000-0000-000066940000}"/>
    <cellStyle name="Normal 58 10 4 4 2 2" xfId="46521" xr:uid="{00000000-0005-0000-0000-000067940000}"/>
    <cellStyle name="Normal 58 10 4 4 3" xfId="34088" xr:uid="{00000000-0005-0000-0000-000068940000}"/>
    <cellStyle name="Normal 58 10 4 5" xfId="4186" xr:uid="{00000000-0005-0000-0000-000069940000}"/>
    <cellStyle name="Normal 58 10 4 5 2" xfId="16640" xr:uid="{00000000-0005-0000-0000-00006A940000}"/>
    <cellStyle name="Normal 58 10 4 5 2 2" xfId="41514" xr:uid="{00000000-0005-0000-0000-00006B940000}"/>
    <cellStyle name="Normal 58 10 4 5 3" xfId="29081" xr:uid="{00000000-0005-0000-0000-00006C940000}"/>
    <cellStyle name="Normal 58 10 4 6" xfId="14948" xr:uid="{00000000-0005-0000-0000-00006D940000}"/>
    <cellStyle name="Normal 58 10 4 6 2" xfId="39822" xr:uid="{00000000-0005-0000-0000-00006E940000}"/>
    <cellStyle name="Normal 58 10 4 7" xfId="27381" xr:uid="{00000000-0005-0000-0000-00006F940000}"/>
    <cellStyle name="Normal 58 10 5" xfId="1105" xr:uid="{00000000-0005-0000-0000-000070940000}"/>
    <cellStyle name="Normal 58 10 5 2" xfId="10266" xr:uid="{00000000-0005-0000-0000-000071940000}"/>
    <cellStyle name="Normal 58 10 5 2 2" xfId="22709" xr:uid="{00000000-0005-0000-0000-000072940000}"/>
    <cellStyle name="Normal 58 10 5 2 2 2" xfId="47583" xr:uid="{00000000-0005-0000-0000-000073940000}"/>
    <cellStyle name="Normal 58 10 5 2 3" xfId="35150" xr:uid="{00000000-0005-0000-0000-000074940000}"/>
    <cellStyle name="Normal 58 10 5 3" xfId="5250" xr:uid="{00000000-0005-0000-0000-000075940000}"/>
    <cellStyle name="Normal 58 10 5 3 2" xfId="17702" xr:uid="{00000000-0005-0000-0000-000076940000}"/>
    <cellStyle name="Normal 58 10 5 3 2 2" xfId="42576" xr:uid="{00000000-0005-0000-0000-000077940000}"/>
    <cellStyle name="Normal 58 10 5 3 3" xfId="30143" xr:uid="{00000000-0005-0000-0000-000078940000}"/>
    <cellStyle name="Normal 58 10 5 4" xfId="13905" xr:uid="{00000000-0005-0000-0000-000079940000}"/>
    <cellStyle name="Normal 58 10 5 4 2" xfId="38779" xr:uid="{00000000-0005-0000-0000-00007A940000}"/>
    <cellStyle name="Normal 58 10 5 5" xfId="26338" xr:uid="{00000000-0005-0000-0000-00007B940000}"/>
    <cellStyle name="Normal 58 10 6" xfId="7827" xr:uid="{00000000-0005-0000-0000-00007C940000}"/>
    <cellStyle name="Normal 58 10 6 2" xfId="20273" xr:uid="{00000000-0005-0000-0000-00007D940000}"/>
    <cellStyle name="Normal 58 10 6 2 2" xfId="45147" xr:uid="{00000000-0005-0000-0000-00007E940000}"/>
    <cellStyle name="Normal 58 10 6 3" xfId="32714" xr:uid="{00000000-0005-0000-0000-00007F940000}"/>
    <cellStyle name="Normal 58 10 7" xfId="11720" xr:uid="{00000000-0005-0000-0000-000080940000}"/>
    <cellStyle name="Normal 58 10 7 2" xfId="24154" xr:uid="{00000000-0005-0000-0000-000081940000}"/>
    <cellStyle name="Normal 58 10 7 2 2" xfId="49028" xr:uid="{00000000-0005-0000-0000-000082940000}"/>
    <cellStyle name="Normal 58 10 7 3" xfId="36595" xr:uid="{00000000-0005-0000-0000-000083940000}"/>
    <cellStyle name="Normal 58 10 8" xfId="6797" xr:uid="{00000000-0005-0000-0000-000084940000}"/>
    <cellStyle name="Normal 58 10 8 2" xfId="19246" xr:uid="{00000000-0005-0000-0000-000085940000}"/>
    <cellStyle name="Normal 58 10 8 2 2" xfId="44120" xr:uid="{00000000-0005-0000-0000-000086940000}"/>
    <cellStyle name="Normal 58 10 8 3" xfId="31687" xr:uid="{00000000-0005-0000-0000-000087940000}"/>
    <cellStyle name="Normal 58 10 9" xfId="2748" xr:uid="{00000000-0005-0000-0000-000088940000}"/>
    <cellStyle name="Normal 58 10 9 2" xfId="15266" xr:uid="{00000000-0005-0000-0000-000089940000}"/>
    <cellStyle name="Normal 58 10 9 2 2" xfId="40140" xr:uid="{00000000-0005-0000-0000-00008A940000}"/>
    <cellStyle name="Normal 58 10 9 3" xfId="27699" xr:uid="{00000000-0005-0000-0000-00008B940000}"/>
    <cellStyle name="Normal 58 10_Degree data" xfId="2507" xr:uid="{00000000-0005-0000-0000-00008C940000}"/>
    <cellStyle name="Normal 58 11" xfId="193" xr:uid="{00000000-0005-0000-0000-00008D940000}"/>
    <cellStyle name="Normal 58 11 10" xfId="13023" xr:uid="{00000000-0005-0000-0000-00008E940000}"/>
    <cellStyle name="Normal 58 11 10 2" xfId="37897" xr:uid="{00000000-0005-0000-0000-00008F940000}"/>
    <cellStyle name="Normal 58 11 11" xfId="25456" xr:uid="{00000000-0005-0000-0000-000090940000}"/>
    <cellStyle name="Normal 58 11 2" xfId="560" xr:uid="{00000000-0005-0000-0000-000091940000}"/>
    <cellStyle name="Normal 58 11 2 2" xfId="1543" xr:uid="{00000000-0005-0000-0000-000092940000}"/>
    <cellStyle name="Normal 58 11 2 2 2" xfId="9647" xr:uid="{00000000-0005-0000-0000-000093940000}"/>
    <cellStyle name="Normal 58 11 2 2 2 2" xfId="22090" xr:uid="{00000000-0005-0000-0000-000094940000}"/>
    <cellStyle name="Normal 58 11 2 2 2 2 2" xfId="46964" xr:uid="{00000000-0005-0000-0000-000095940000}"/>
    <cellStyle name="Normal 58 11 2 2 2 3" xfId="34531" xr:uid="{00000000-0005-0000-0000-000096940000}"/>
    <cellStyle name="Normal 58 11 2 2 3" xfId="4629" xr:uid="{00000000-0005-0000-0000-000097940000}"/>
    <cellStyle name="Normal 58 11 2 2 3 2" xfId="17083" xr:uid="{00000000-0005-0000-0000-000098940000}"/>
    <cellStyle name="Normal 58 11 2 2 3 2 2" xfId="41957" xr:uid="{00000000-0005-0000-0000-000099940000}"/>
    <cellStyle name="Normal 58 11 2 2 3 3" xfId="29524" xr:uid="{00000000-0005-0000-0000-00009A940000}"/>
    <cellStyle name="Normal 58 11 2 2 4" xfId="14343" xr:uid="{00000000-0005-0000-0000-00009B940000}"/>
    <cellStyle name="Normal 58 11 2 2 4 2" xfId="39217" xr:uid="{00000000-0005-0000-0000-00009C940000}"/>
    <cellStyle name="Normal 58 11 2 2 5" xfId="26776" xr:uid="{00000000-0005-0000-0000-00009D940000}"/>
    <cellStyle name="Normal 58 11 2 3" xfId="5688" xr:uid="{00000000-0005-0000-0000-00009E940000}"/>
    <cellStyle name="Normal 58 11 2 3 2" xfId="10704" xr:uid="{00000000-0005-0000-0000-00009F940000}"/>
    <cellStyle name="Normal 58 11 2 3 2 2" xfId="23147" xr:uid="{00000000-0005-0000-0000-0000A0940000}"/>
    <cellStyle name="Normal 58 11 2 3 2 2 2" xfId="48021" xr:uid="{00000000-0005-0000-0000-0000A1940000}"/>
    <cellStyle name="Normal 58 11 2 3 2 3" xfId="35588" xr:uid="{00000000-0005-0000-0000-0000A2940000}"/>
    <cellStyle name="Normal 58 11 2 3 3" xfId="18140" xr:uid="{00000000-0005-0000-0000-0000A3940000}"/>
    <cellStyle name="Normal 58 11 2 3 3 2" xfId="43014" xr:uid="{00000000-0005-0000-0000-0000A4940000}"/>
    <cellStyle name="Normal 58 11 2 3 4" xfId="30581" xr:uid="{00000000-0005-0000-0000-0000A5940000}"/>
    <cellStyle name="Normal 58 11 2 4" xfId="8763" xr:uid="{00000000-0005-0000-0000-0000A6940000}"/>
    <cellStyle name="Normal 58 11 2 4 2" xfId="21207" xr:uid="{00000000-0005-0000-0000-0000A7940000}"/>
    <cellStyle name="Normal 58 11 2 4 2 2" xfId="46081" xr:uid="{00000000-0005-0000-0000-0000A8940000}"/>
    <cellStyle name="Normal 58 11 2 4 3" xfId="33648" xr:uid="{00000000-0005-0000-0000-0000A9940000}"/>
    <cellStyle name="Normal 58 11 2 5" xfId="12158" xr:uid="{00000000-0005-0000-0000-0000AA940000}"/>
    <cellStyle name="Normal 58 11 2 5 2" xfId="24592" xr:uid="{00000000-0005-0000-0000-0000AB940000}"/>
    <cellStyle name="Normal 58 11 2 5 2 2" xfId="49466" xr:uid="{00000000-0005-0000-0000-0000AC940000}"/>
    <cellStyle name="Normal 58 11 2 5 3" xfId="37033" xr:uid="{00000000-0005-0000-0000-0000AD940000}"/>
    <cellStyle name="Normal 58 11 2 6" xfId="7240" xr:uid="{00000000-0005-0000-0000-0000AE940000}"/>
    <cellStyle name="Normal 58 11 2 6 2" xfId="19689" xr:uid="{00000000-0005-0000-0000-0000AF940000}"/>
    <cellStyle name="Normal 58 11 2 6 2 2" xfId="44563" xr:uid="{00000000-0005-0000-0000-0000B0940000}"/>
    <cellStyle name="Normal 58 11 2 6 3" xfId="32130" xr:uid="{00000000-0005-0000-0000-0000B1940000}"/>
    <cellStyle name="Normal 58 11 2 7" xfId="3694" xr:uid="{00000000-0005-0000-0000-0000B2940000}"/>
    <cellStyle name="Normal 58 11 2 7 2" xfId="16200" xr:uid="{00000000-0005-0000-0000-0000B3940000}"/>
    <cellStyle name="Normal 58 11 2 7 2 2" xfId="41074" xr:uid="{00000000-0005-0000-0000-0000B4940000}"/>
    <cellStyle name="Normal 58 11 2 7 3" xfId="28633" xr:uid="{00000000-0005-0000-0000-0000B5940000}"/>
    <cellStyle name="Normal 58 11 2 8" xfId="13370" xr:uid="{00000000-0005-0000-0000-0000B6940000}"/>
    <cellStyle name="Normal 58 11 2 8 2" xfId="38244" xr:uid="{00000000-0005-0000-0000-0000B7940000}"/>
    <cellStyle name="Normal 58 11 2 9" xfId="25803" xr:uid="{00000000-0005-0000-0000-0000B8940000}"/>
    <cellStyle name="Normal 58 11 3" xfId="1891" xr:uid="{00000000-0005-0000-0000-0000B9940000}"/>
    <cellStyle name="Normal 58 11 3 2" xfId="4752" xr:uid="{00000000-0005-0000-0000-0000BA940000}"/>
    <cellStyle name="Normal 58 11 3 2 2" xfId="9769" xr:uid="{00000000-0005-0000-0000-0000BB940000}"/>
    <cellStyle name="Normal 58 11 3 2 2 2" xfId="22212" xr:uid="{00000000-0005-0000-0000-0000BC940000}"/>
    <cellStyle name="Normal 58 11 3 2 2 2 2" xfId="47086" xr:uid="{00000000-0005-0000-0000-0000BD940000}"/>
    <cellStyle name="Normal 58 11 3 2 2 3" xfId="34653" xr:uid="{00000000-0005-0000-0000-0000BE940000}"/>
    <cellStyle name="Normal 58 11 3 2 3" xfId="17205" xr:uid="{00000000-0005-0000-0000-0000BF940000}"/>
    <cellStyle name="Normal 58 11 3 2 3 2" xfId="42079" xr:uid="{00000000-0005-0000-0000-0000C0940000}"/>
    <cellStyle name="Normal 58 11 3 2 4" xfId="29646" xr:uid="{00000000-0005-0000-0000-0000C1940000}"/>
    <cellStyle name="Normal 58 11 3 3" xfId="6037" xr:uid="{00000000-0005-0000-0000-0000C2940000}"/>
    <cellStyle name="Normal 58 11 3 3 2" xfId="11052" xr:uid="{00000000-0005-0000-0000-0000C3940000}"/>
    <cellStyle name="Normal 58 11 3 3 2 2" xfId="23495" xr:uid="{00000000-0005-0000-0000-0000C4940000}"/>
    <cellStyle name="Normal 58 11 3 3 2 2 2" xfId="48369" xr:uid="{00000000-0005-0000-0000-0000C5940000}"/>
    <cellStyle name="Normal 58 11 3 3 2 3" xfId="35936" xr:uid="{00000000-0005-0000-0000-0000C6940000}"/>
    <cellStyle name="Normal 58 11 3 3 3" xfId="18488" xr:uid="{00000000-0005-0000-0000-0000C7940000}"/>
    <cellStyle name="Normal 58 11 3 3 3 2" xfId="43362" xr:uid="{00000000-0005-0000-0000-0000C8940000}"/>
    <cellStyle name="Normal 58 11 3 3 4" xfId="30929" xr:uid="{00000000-0005-0000-0000-0000C9940000}"/>
    <cellStyle name="Normal 58 11 3 4" xfId="8878" xr:uid="{00000000-0005-0000-0000-0000CA940000}"/>
    <cellStyle name="Normal 58 11 3 4 2" xfId="21321" xr:uid="{00000000-0005-0000-0000-0000CB940000}"/>
    <cellStyle name="Normal 58 11 3 4 2 2" xfId="46195" xr:uid="{00000000-0005-0000-0000-0000CC940000}"/>
    <cellStyle name="Normal 58 11 3 4 3" xfId="33762" xr:uid="{00000000-0005-0000-0000-0000CD940000}"/>
    <cellStyle name="Normal 58 11 3 5" xfId="12506" xr:uid="{00000000-0005-0000-0000-0000CE940000}"/>
    <cellStyle name="Normal 58 11 3 5 2" xfId="24940" xr:uid="{00000000-0005-0000-0000-0000CF940000}"/>
    <cellStyle name="Normal 58 11 3 5 2 2" xfId="49814" xr:uid="{00000000-0005-0000-0000-0000D0940000}"/>
    <cellStyle name="Normal 58 11 3 5 3" xfId="37381" xr:uid="{00000000-0005-0000-0000-0000D1940000}"/>
    <cellStyle name="Normal 58 11 3 6" xfId="7363" xr:uid="{00000000-0005-0000-0000-0000D2940000}"/>
    <cellStyle name="Normal 58 11 3 6 2" xfId="19811" xr:uid="{00000000-0005-0000-0000-0000D3940000}"/>
    <cellStyle name="Normal 58 11 3 6 2 2" xfId="44685" xr:uid="{00000000-0005-0000-0000-0000D4940000}"/>
    <cellStyle name="Normal 58 11 3 6 3" xfId="32252" xr:uid="{00000000-0005-0000-0000-0000D5940000}"/>
    <cellStyle name="Normal 58 11 3 7" xfId="3860" xr:uid="{00000000-0005-0000-0000-0000D6940000}"/>
    <cellStyle name="Normal 58 11 3 7 2" xfId="16314" xr:uid="{00000000-0005-0000-0000-0000D7940000}"/>
    <cellStyle name="Normal 58 11 3 7 2 2" xfId="41188" xr:uid="{00000000-0005-0000-0000-0000D8940000}"/>
    <cellStyle name="Normal 58 11 3 7 3" xfId="28755" xr:uid="{00000000-0005-0000-0000-0000D9940000}"/>
    <cellStyle name="Normal 58 11 3 8" xfId="14691" xr:uid="{00000000-0005-0000-0000-0000DA940000}"/>
    <cellStyle name="Normal 58 11 3 8 2" xfId="39565" xr:uid="{00000000-0005-0000-0000-0000DB940000}"/>
    <cellStyle name="Normal 58 11 3 9" xfId="27124" xr:uid="{00000000-0005-0000-0000-0000DC940000}"/>
    <cellStyle name="Normal 58 11 4" xfId="2111" xr:uid="{00000000-0005-0000-0000-0000DD940000}"/>
    <cellStyle name="Normal 58 11 4 2" xfId="6150" xr:uid="{00000000-0005-0000-0000-0000DE940000}"/>
    <cellStyle name="Normal 58 11 4 2 2" xfId="11165" xr:uid="{00000000-0005-0000-0000-0000DF940000}"/>
    <cellStyle name="Normal 58 11 4 2 2 2" xfId="23608" xr:uid="{00000000-0005-0000-0000-0000E0940000}"/>
    <cellStyle name="Normal 58 11 4 2 2 2 2" xfId="48482" xr:uid="{00000000-0005-0000-0000-0000E1940000}"/>
    <cellStyle name="Normal 58 11 4 2 2 3" xfId="36049" xr:uid="{00000000-0005-0000-0000-0000E2940000}"/>
    <cellStyle name="Normal 58 11 4 2 3" xfId="18601" xr:uid="{00000000-0005-0000-0000-0000E3940000}"/>
    <cellStyle name="Normal 58 11 4 2 3 2" xfId="43475" xr:uid="{00000000-0005-0000-0000-0000E4940000}"/>
    <cellStyle name="Normal 58 11 4 2 4" xfId="31042" xr:uid="{00000000-0005-0000-0000-0000E5940000}"/>
    <cellStyle name="Normal 58 11 4 3" xfId="12619" xr:uid="{00000000-0005-0000-0000-0000E6940000}"/>
    <cellStyle name="Normal 58 11 4 3 2" xfId="25053" xr:uid="{00000000-0005-0000-0000-0000E7940000}"/>
    <cellStyle name="Normal 58 11 4 3 2 2" xfId="49927" xr:uid="{00000000-0005-0000-0000-0000E8940000}"/>
    <cellStyle name="Normal 58 11 4 3 3" xfId="37494" xr:uid="{00000000-0005-0000-0000-0000E9940000}"/>
    <cellStyle name="Normal 58 11 4 4" xfId="9060" xr:uid="{00000000-0005-0000-0000-0000EA940000}"/>
    <cellStyle name="Normal 58 11 4 4 2" xfId="21503" xr:uid="{00000000-0005-0000-0000-0000EB940000}"/>
    <cellStyle name="Normal 58 11 4 4 2 2" xfId="46377" xr:uid="{00000000-0005-0000-0000-0000EC940000}"/>
    <cellStyle name="Normal 58 11 4 4 3" xfId="33944" xr:uid="{00000000-0005-0000-0000-0000ED940000}"/>
    <cellStyle name="Normal 58 11 4 5" xfId="4042" xr:uid="{00000000-0005-0000-0000-0000EE940000}"/>
    <cellStyle name="Normal 58 11 4 5 2" xfId="16496" xr:uid="{00000000-0005-0000-0000-0000EF940000}"/>
    <cellStyle name="Normal 58 11 4 5 2 2" xfId="41370" xr:uid="{00000000-0005-0000-0000-0000F0940000}"/>
    <cellStyle name="Normal 58 11 4 5 3" xfId="28937" xr:uid="{00000000-0005-0000-0000-0000F1940000}"/>
    <cellStyle name="Normal 58 11 4 6" xfId="14804" xr:uid="{00000000-0005-0000-0000-0000F2940000}"/>
    <cellStyle name="Normal 58 11 4 6 2" xfId="39678" xr:uid="{00000000-0005-0000-0000-0000F3940000}"/>
    <cellStyle name="Normal 58 11 4 7" xfId="27237" xr:uid="{00000000-0005-0000-0000-0000F4940000}"/>
    <cellStyle name="Normal 58 11 5" xfId="961" xr:uid="{00000000-0005-0000-0000-0000F5940000}"/>
    <cellStyle name="Normal 58 11 5 2" xfId="10120" xr:uid="{00000000-0005-0000-0000-0000F6940000}"/>
    <cellStyle name="Normal 58 11 5 2 2" xfId="22563" xr:uid="{00000000-0005-0000-0000-0000F7940000}"/>
    <cellStyle name="Normal 58 11 5 2 2 2" xfId="47437" xr:uid="{00000000-0005-0000-0000-0000F8940000}"/>
    <cellStyle name="Normal 58 11 5 2 3" xfId="35004" xr:uid="{00000000-0005-0000-0000-0000F9940000}"/>
    <cellStyle name="Normal 58 11 5 3" xfId="5104" xr:uid="{00000000-0005-0000-0000-0000FA940000}"/>
    <cellStyle name="Normal 58 11 5 3 2" xfId="17556" xr:uid="{00000000-0005-0000-0000-0000FB940000}"/>
    <cellStyle name="Normal 58 11 5 3 2 2" xfId="42430" xr:uid="{00000000-0005-0000-0000-0000FC940000}"/>
    <cellStyle name="Normal 58 11 5 3 3" xfId="29997" xr:uid="{00000000-0005-0000-0000-0000FD940000}"/>
    <cellStyle name="Normal 58 11 5 4" xfId="13761" xr:uid="{00000000-0005-0000-0000-0000FE940000}"/>
    <cellStyle name="Normal 58 11 5 4 2" xfId="38635" xr:uid="{00000000-0005-0000-0000-0000FF940000}"/>
    <cellStyle name="Normal 58 11 5 5" xfId="26194" xr:uid="{00000000-0005-0000-0000-000000950000}"/>
    <cellStyle name="Normal 58 11 6" xfId="8176" xr:uid="{00000000-0005-0000-0000-000001950000}"/>
    <cellStyle name="Normal 58 11 6 2" xfId="20620" xr:uid="{00000000-0005-0000-0000-000002950000}"/>
    <cellStyle name="Normal 58 11 6 2 2" xfId="45494" xr:uid="{00000000-0005-0000-0000-000003950000}"/>
    <cellStyle name="Normal 58 11 6 3" xfId="33061" xr:uid="{00000000-0005-0000-0000-000004950000}"/>
    <cellStyle name="Normal 58 11 7" xfId="11576" xr:uid="{00000000-0005-0000-0000-000005950000}"/>
    <cellStyle name="Normal 58 11 7 2" xfId="24010" xr:uid="{00000000-0005-0000-0000-000006950000}"/>
    <cellStyle name="Normal 58 11 7 2 2" xfId="48884" xr:uid="{00000000-0005-0000-0000-000007950000}"/>
    <cellStyle name="Normal 58 11 7 3" xfId="36451" xr:uid="{00000000-0005-0000-0000-000008950000}"/>
    <cellStyle name="Normal 58 11 8" xfId="6653" xr:uid="{00000000-0005-0000-0000-000009950000}"/>
    <cellStyle name="Normal 58 11 8 2" xfId="19102" xr:uid="{00000000-0005-0000-0000-00000A950000}"/>
    <cellStyle name="Normal 58 11 8 2 2" xfId="43976" xr:uid="{00000000-0005-0000-0000-00000B950000}"/>
    <cellStyle name="Normal 58 11 8 3" xfId="31543" xr:uid="{00000000-0005-0000-0000-00000C950000}"/>
    <cellStyle name="Normal 58 11 9" xfId="3107" xr:uid="{00000000-0005-0000-0000-00000D950000}"/>
    <cellStyle name="Normal 58 11 9 2" xfId="15613" xr:uid="{00000000-0005-0000-0000-00000E950000}"/>
    <cellStyle name="Normal 58 11 9 2 2" xfId="40487" xr:uid="{00000000-0005-0000-0000-00000F950000}"/>
    <cellStyle name="Normal 58 11 9 3" xfId="28046" xr:uid="{00000000-0005-0000-0000-000010950000}"/>
    <cellStyle name="Normal 58 11_Degree data" xfId="2508" xr:uid="{00000000-0005-0000-0000-000011950000}"/>
    <cellStyle name="Normal 58 12" xfId="533" xr:uid="{00000000-0005-0000-0000-000012950000}"/>
    <cellStyle name="Normal 58 12 2" xfId="1541" xr:uid="{00000000-0005-0000-0000-000013950000}"/>
    <cellStyle name="Normal 58 12 2 2" xfId="9645" xr:uid="{00000000-0005-0000-0000-000014950000}"/>
    <cellStyle name="Normal 58 12 2 2 2" xfId="22088" xr:uid="{00000000-0005-0000-0000-000015950000}"/>
    <cellStyle name="Normal 58 12 2 2 2 2" xfId="46962" xr:uid="{00000000-0005-0000-0000-000016950000}"/>
    <cellStyle name="Normal 58 12 2 2 3" xfId="34529" xr:uid="{00000000-0005-0000-0000-000017950000}"/>
    <cellStyle name="Normal 58 12 2 3" xfId="4627" xr:uid="{00000000-0005-0000-0000-000018950000}"/>
    <cellStyle name="Normal 58 12 2 3 2" xfId="17081" xr:uid="{00000000-0005-0000-0000-000019950000}"/>
    <cellStyle name="Normal 58 12 2 3 2 2" xfId="41955" xr:uid="{00000000-0005-0000-0000-00001A950000}"/>
    <cellStyle name="Normal 58 12 2 3 3" xfId="29522" xr:uid="{00000000-0005-0000-0000-00001B950000}"/>
    <cellStyle name="Normal 58 12 2 4" xfId="14341" xr:uid="{00000000-0005-0000-0000-00001C950000}"/>
    <cellStyle name="Normal 58 12 2 4 2" xfId="39215" xr:uid="{00000000-0005-0000-0000-00001D950000}"/>
    <cellStyle name="Normal 58 12 2 5" xfId="26774" xr:uid="{00000000-0005-0000-0000-00001E950000}"/>
    <cellStyle name="Normal 58 12 3" xfId="5686" xr:uid="{00000000-0005-0000-0000-00001F950000}"/>
    <cellStyle name="Normal 58 12 3 2" xfId="10702" xr:uid="{00000000-0005-0000-0000-000020950000}"/>
    <cellStyle name="Normal 58 12 3 2 2" xfId="23145" xr:uid="{00000000-0005-0000-0000-000021950000}"/>
    <cellStyle name="Normal 58 12 3 2 2 2" xfId="48019" xr:uid="{00000000-0005-0000-0000-000022950000}"/>
    <cellStyle name="Normal 58 12 3 2 3" xfId="35586" xr:uid="{00000000-0005-0000-0000-000023950000}"/>
    <cellStyle name="Normal 58 12 3 3" xfId="18138" xr:uid="{00000000-0005-0000-0000-000024950000}"/>
    <cellStyle name="Normal 58 12 3 3 2" xfId="43012" xr:uid="{00000000-0005-0000-0000-000025950000}"/>
    <cellStyle name="Normal 58 12 3 4" xfId="30579" xr:uid="{00000000-0005-0000-0000-000026950000}"/>
    <cellStyle name="Normal 58 12 4" xfId="8761" xr:uid="{00000000-0005-0000-0000-000027950000}"/>
    <cellStyle name="Normal 58 12 4 2" xfId="21205" xr:uid="{00000000-0005-0000-0000-000028950000}"/>
    <cellStyle name="Normal 58 12 4 2 2" xfId="46079" xr:uid="{00000000-0005-0000-0000-000029950000}"/>
    <cellStyle name="Normal 58 12 4 3" xfId="33646" xr:uid="{00000000-0005-0000-0000-00002A950000}"/>
    <cellStyle name="Normal 58 12 5" xfId="12156" xr:uid="{00000000-0005-0000-0000-00002B950000}"/>
    <cellStyle name="Normal 58 12 5 2" xfId="24590" xr:uid="{00000000-0005-0000-0000-00002C950000}"/>
    <cellStyle name="Normal 58 12 5 2 2" xfId="49464" xr:uid="{00000000-0005-0000-0000-00002D950000}"/>
    <cellStyle name="Normal 58 12 5 3" xfId="37031" xr:uid="{00000000-0005-0000-0000-00002E950000}"/>
    <cellStyle name="Normal 58 12 6" xfId="7238" xr:uid="{00000000-0005-0000-0000-00002F950000}"/>
    <cellStyle name="Normal 58 12 6 2" xfId="19687" xr:uid="{00000000-0005-0000-0000-000030950000}"/>
    <cellStyle name="Normal 58 12 6 2 2" xfId="44561" xr:uid="{00000000-0005-0000-0000-000031950000}"/>
    <cellStyle name="Normal 58 12 6 3" xfId="32128" xr:uid="{00000000-0005-0000-0000-000032950000}"/>
    <cellStyle name="Normal 58 12 7" xfId="3692" xr:uid="{00000000-0005-0000-0000-000033950000}"/>
    <cellStyle name="Normal 58 12 7 2" xfId="16198" xr:uid="{00000000-0005-0000-0000-000034950000}"/>
    <cellStyle name="Normal 58 12 7 2 2" xfId="41072" xr:uid="{00000000-0005-0000-0000-000035950000}"/>
    <cellStyle name="Normal 58 12 7 3" xfId="28631" xr:uid="{00000000-0005-0000-0000-000036950000}"/>
    <cellStyle name="Normal 58 12 8" xfId="13343" xr:uid="{00000000-0005-0000-0000-000037950000}"/>
    <cellStyle name="Normal 58 12 8 2" xfId="38217" xr:uid="{00000000-0005-0000-0000-000038950000}"/>
    <cellStyle name="Normal 58 12 9" xfId="25776" xr:uid="{00000000-0005-0000-0000-000039950000}"/>
    <cellStyle name="Normal 58 13" xfId="1889" xr:uid="{00000000-0005-0000-0000-00003A950000}"/>
    <cellStyle name="Normal 58 13 2" xfId="4725" xr:uid="{00000000-0005-0000-0000-00003B950000}"/>
    <cellStyle name="Normal 58 13 2 2" xfId="9742" xr:uid="{00000000-0005-0000-0000-00003C950000}"/>
    <cellStyle name="Normal 58 13 2 2 2" xfId="22185" xr:uid="{00000000-0005-0000-0000-00003D950000}"/>
    <cellStyle name="Normal 58 13 2 2 2 2" xfId="47059" xr:uid="{00000000-0005-0000-0000-00003E950000}"/>
    <cellStyle name="Normal 58 13 2 2 3" xfId="34626" xr:uid="{00000000-0005-0000-0000-00003F950000}"/>
    <cellStyle name="Normal 58 13 2 3" xfId="17178" xr:uid="{00000000-0005-0000-0000-000040950000}"/>
    <cellStyle name="Normal 58 13 2 3 2" xfId="42052" xr:uid="{00000000-0005-0000-0000-000041950000}"/>
    <cellStyle name="Normal 58 13 2 4" xfId="29619" xr:uid="{00000000-0005-0000-0000-000042950000}"/>
    <cellStyle name="Normal 58 13 3" xfId="6035" xr:uid="{00000000-0005-0000-0000-000043950000}"/>
    <cellStyle name="Normal 58 13 3 2" xfId="11050" xr:uid="{00000000-0005-0000-0000-000044950000}"/>
    <cellStyle name="Normal 58 13 3 2 2" xfId="23493" xr:uid="{00000000-0005-0000-0000-000045950000}"/>
    <cellStyle name="Normal 58 13 3 2 2 2" xfId="48367" xr:uid="{00000000-0005-0000-0000-000046950000}"/>
    <cellStyle name="Normal 58 13 3 2 3" xfId="35934" xr:uid="{00000000-0005-0000-0000-000047950000}"/>
    <cellStyle name="Normal 58 13 3 3" xfId="18486" xr:uid="{00000000-0005-0000-0000-000048950000}"/>
    <cellStyle name="Normal 58 13 3 3 2" xfId="43360" xr:uid="{00000000-0005-0000-0000-000049950000}"/>
    <cellStyle name="Normal 58 13 3 4" xfId="30927" xr:uid="{00000000-0005-0000-0000-00004A950000}"/>
    <cellStyle name="Normal 58 13 4" xfId="8000" xr:uid="{00000000-0005-0000-0000-00004B950000}"/>
    <cellStyle name="Normal 58 13 4 2" xfId="20446" xr:uid="{00000000-0005-0000-0000-00004C950000}"/>
    <cellStyle name="Normal 58 13 4 2 2" xfId="45320" xr:uid="{00000000-0005-0000-0000-00004D950000}"/>
    <cellStyle name="Normal 58 13 4 3" xfId="32887" xr:uid="{00000000-0005-0000-0000-00004E950000}"/>
    <cellStyle name="Normal 58 13 5" xfId="12504" xr:uid="{00000000-0005-0000-0000-00004F950000}"/>
    <cellStyle name="Normal 58 13 5 2" xfId="24938" xr:uid="{00000000-0005-0000-0000-000050950000}"/>
    <cellStyle name="Normal 58 13 5 2 2" xfId="49812" xr:uid="{00000000-0005-0000-0000-000051950000}"/>
    <cellStyle name="Normal 58 13 5 3" xfId="37379" xr:uid="{00000000-0005-0000-0000-000052950000}"/>
    <cellStyle name="Normal 58 13 6" xfId="7336" xr:uid="{00000000-0005-0000-0000-000053950000}"/>
    <cellStyle name="Normal 58 13 6 2" xfId="19784" xr:uid="{00000000-0005-0000-0000-000054950000}"/>
    <cellStyle name="Normal 58 13 6 2 2" xfId="44658" xr:uid="{00000000-0005-0000-0000-000055950000}"/>
    <cellStyle name="Normal 58 13 6 3" xfId="32225" xr:uid="{00000000-0005-0000-0000-000056950000}"/>
    <cellStyle name="Normal 58 13 7" xfId="2921" xr:uid="{00000000-0005-0000-0000-000057950000}"/>
    <cellStyle name="Normal 58 13 7 2" xfId="15439" xr:uid="{00000000-0005-0000-0000-000058950000}"/>
    <cellStyle name="Normal 58 13 7 2 2" xfId="40313" xr:uid="{00000000-0005-0000-0000-000059950000}"/>
    <cellStyle name="Normal 58 13 7 3" xfId="27872" xr:uid="{00000000-0005-0000-0000-00005A950000}"/>
    <cellStyle name="Normal 58 13 8" xfId="14689" xr:uid="{00000000-0005-0000-0000-00005B950000}"/>
    <cellStyle name="Normal 58 13 8 2" xfId="39563" xr:uid="{00000000-0005-0000-0000-00005C950000}"/>
    <cellStyle name="Normal 58 13 9" xfId="27122" xr:uid="{00000000-0005-0000-0000-00005D950000}"/>
    <cellStyle name="Normal 58 14" xfId="2043" xr:uid="{00000000-0005-0000-0000-00005E950000}"/>
    <cellStyle name="Normal 58 14 2" xfId="6123" xr:uid="{00000000-0005-0000-0000-00005F950000}"/>
    <cellStyle name="Normal 58 14 2 2" xfId="11138" xr:uid="{00000000-0005-0000-0000-000060950000}"/>
    <cellStyle name="Normal 58 14 2 2 2" xfId="23581" xr:uid="{00000000-0005-0000-0000-000061950000}"/>
    <cellStyle name="Normal 58 14 2 2 2 2" xfId="48455" xr:uid="{00000000-0005-0000-0000-000062950000}"/>
    <cellStyle name="Normal 58 14 2 2 3" xfId="36022" xr:uid="{00000000-0005-0000-0000-000063950000}"/>
    <cellStyle name="Normal 58 14 2 3" xfId="18574" xr:uid="{00000000-0005-0000-0000-000064950000}"/>
    <cellStyle name="Normal 58 14 2 3 2" xfId="43448" xr:uid="{00000000-0005-0000-0000-000065950000}"/>
    <cellStyle name="Normal 58 14 2 4" xfId="31015" xr:uid="{00000000-0005-0000-0000-000066950000}"/>
    <cellStyle name="Normal 58 14 3" xfId="12592" xr:uid="{00000000-0005-0000-0000-000067950000}"/>
    <cellStyle name="Normal 58 14 3 2" xfId="25026" xr:uid="{00000000-0005-0000-0000-000068950000}"/>
    <cellStyle name="Normal 58 14 3 2 2" xfId="49900" xr:uid="{00000000-0005-0000-0000-000069950000}"/>
    <cellStyle name="Normal 58 14 3 3" xfId="37467" xr:uid="{00000000-0005-0000-0000-00006A950000}"/>
    <cellStyle name="Normal 58 14 4" xfId="8886" xr:uid="{00000000-0005-0000-0000-00006B950000}"/>
    <cellStyle name="Normal 58 14 4 2" xfId="21329" xr:uid="{00000000-0005-0000-0000-00006C950000}"/>
    <cellStyle name="Normal 58 14 4 2 2" xfId="46203" xr:uid="{00000000-0005-0000-0000-00006D950000}"/>
    <cellStyle name="Normal 58 14 4 3" xfId="33770" xr:uid="{00000000-0005-0000-0000-00006E950000}"/>
    <cellStyle name="Normal 58 14 5" xfId="3868" xr:uid="{00000000-0005-0000-0000-00006F950000}"/>
    <cellStyle name="Normal 58 14 5 2" xfId="16322" xr:uid="{00000000-0005-0000-0000-000070950000}"/>
    <cellStyle name="Normal 58 14 5 2 2" xfId="41196" xr:uid="{00000000-0005-0000-0000-000071950000}"/>
    <cellStyle name="Normal 58 14 5 3" xfId="28763" xr:uid="{00000000-0005-0000-0000-000072950000}"/>
    <cellStyle name="Normal 58 14 6" xfId="14777" xr:uid="{00000000-0005-0000-0000-000073950000}"/>
    <cellStyle name="Normal 58 14 6 2" xfId="39651" xr:uid="{00000000-0005-0000-0000-000074950000}"/>
    <cellStyle name="Normal 58 14 7" xfId="27210" xr:uid="{00000000-0005-0000-0000-000075950000}"/>
    <cellStyle name="Normal 58 15" xfId="934" xr:uid="{00000000-0005-0000-0000-000076950000}"/>
    <cellStyle name="Normal 58 15 2" xfId="11549" xr:uid="{00000000-0005-0000-0000-000077950000}"/>
    <cellStyle name="Normal 58 15 2 2" xfId="23983" xr:uid="{00000000-0005-0000-0000-000078950000}"/>
    <cellStyle name="Normal 58 15 2 2 2" xfId="48857" xr:uid="{00000000-0005-0000-0000-000079950000}"/>
    <cellStyle name="Normal 58 15 2 3" xfId="36424" xr:uid="{00000000-0005-0000-0000-00007A950000}"/>
    <cellStyle name="Normal 58 15 3" xfId="10093" xr:uid="{00000000-0005-0000-0000-00007B950000}"/>
    <cellStyle name="Normal 58 15 3 2" xfId="22536" xr:uid="{00000000-0005-0000-0000-00007C950000}"/>
    <cellStyle name="Normal 58 15 3 2 2" xfId="47410" xr:uid="{00000000-0005-0000-0000-00007D950000}"/>
    <cellStyle name="Normal 58 15 3 3" xfId="34977" xr:uid="{00000000-0005-0000-0000-00007E950000}"/>
    <cellStyle name="Normal 58 15 4" xfId="5077" xr:uid="{00000000-0005-0000-0000-00007F950000}"/>
    <cellStyle name="Normal 58 15 4 2" xfId="17529" xr:uid="{00000000-0005-0000-0000-000080950000}"/>
    <cellStyle name="Normal 58 15 4 2 2" xfId="42403" xr:uid="{00000000-0005-0000-0000-000081950000}"/>
    <cellStyle name="Normal 58 15 4 3" xfId="29970" xr:uid="{00000000-0005-0000-0000-000082950000}"/>
    <cellStyle name="Normal 58 15 5" xfId="13734" xr:uid="{00000000-0005-0000-0000-000083950000}"/>
    <cellStyle name="Normal 58 15 5 2" xfId="38608" xr:uid="{00000000-0005-0000-0000-000084950000}"/>
    <cellStyle name="Normal 58 15 6" xfId="26167" xr:uid="{00000000-0005-0000-0000-000085950000}"/>
    <cellStyle name="Normal 58 16" xfId="894" xr:uid="{00000000-0005-0000-0000-000086950000}"/>
    <cellStyle name="Normal 58 16 2" xfId="7683" xr:uid="{00000000-0005-0000-0000-000087950000}"/>
    <cellStyle name="Normal 58 16 2 2" xfId="20129" xr:uid="{00000000-0005-0000-0000-000088950000}"/>
    <cellStyle name="Normal 58 16 2 2 2" xfId="45003" xr:uid="{00000000-0005-0000-0000-000089950000}"/>
    <cellStyle name="Normal 58 16 2 3" xfId="32570" xr:uid="{00000000-0005-0000-0000-00008A950000}"/>
    <cellStyle name="Normal 58 16 3" xfId="13694" xr:uid="{00000000-0005-0000-0000-00008B950000}"/>
    <cellStyle name="Normal 58 16 3 2" xfId="38568" xr:uid="{00000000-0005-0000-0000-00008C950000}"/>
    <cellStyle name="Normal 58 16 4" xfId="26127" xr:uid="{00000000-0005-0000-0000-00008D950000}"/>
    <cellStyle name="Normal 58 17" xfId="11509" xr:uid="{00000000-0005-0000-0000-00008E950000}"/>
    <cellStyle name="Normal 58 17 2" xfId="23943" xr:uid="{00000000-0005-0000-0000-00008F950000}"/>
    <cellStyle name="Normal 58 17 2 2" xfId="48817" xr:uid="{00000000-0005-0000-0000-000090950000}"/>
    <cellStyle name="Normal 58 17 3" xfId="36384" xr:uid="{00000000-0005-0000-0000-000091950000}"/>
    <cellStyle name="Normal 58 18" xfId="6480" xr:uid="{00000000-0005-0000-0000-000092950000}"/>
    <cellStyle name="Normal 58 18 2" xfId="18929" xr:uid="{00000000-0005-0000-0000-000093950000}"/>
    <cellStyle name="Normal 58 18 2 2" xfId="43803" xr:uid="{00000000-0005-0000-0000-000094950000}"/>
    <cellStyle name="Normal 58 18 3" xfId="31370" xr:uid="{00000000-0005-0000-0000-000095950000}"/>
    <cellStyle name="Normal 58 19" xfId="2600" xr:uid="{00000000-0005-0000-0000-000096950000}"/>
    <cellStyle name="Normal 58 19 2" xfId="15122" xr:uid="{00000000-0005-0000-0000-000097950000}"/>
    <cellStyle name="Normal 58 19 2 2" xfId="39996" xr:uid="{00000000-0005-0000-0000-000098950000}"/>
    <cellStyle name="Normal 58 19 3" xfId="27555" xr:uid="{00000000-0005-0000-0000-000099950000}"/>
    <cellStyle name="Normal 58 2" xfId="72" xr:uid="{00000000-0005-0000-0000-00009A950000}"/>
    <cellStyle name="Normal 58 2 2" xfId="13" xr:uid="{00000000-0005-0000-0000-00009B950000}"/>
    <cellStyle name="Normal 58 20" xfId="12942" xr:uid="{00000000-0005-0000-0000-00009C950000}"/>
    <cellStyle name="Normal 58 20 2" xfId="37816" xr:uid="{00000000-0005-0000-0000-00009D950000}"/>
    <cellStyle name="Normal 58 21" xfId="25375" xr:uid="{00000000-0005-0000-0000-00009E950000}"/>
    <cellStyle name="Normal 58 3" xfId="122" xr:uid="{00000000-0005-0000-0000-00009F950000}"/>
    <cellStyle name="Normal 58 3 10" xfId="946" xr:uid="{00000000-0005-0000-0000-0000A0950000}"/>
    <cellStyle name="Normal 58 3 10 2" xfId="11561" xr:uid="{00000000-0005-0000-0000-0000A1950000}"/>
    <cellStyle name="Normal 58 3 10 2 2" xfId="23995" xr:uid="{00000000-0005-0000-0000-0000A2950000}"/>
    <cellStyle name="Normal 58 3 10 2 2 2" xfId="48869" xr:uid="{00000000-0005-0000-0000-0000A3950000}"/>
    <cellStyle name="Normal 58 3 10 2 3" xfId="36436" xr:uid="{00000000-0005-0000-0000-0000A4950000}"/>
    <cellStyle name="Normal 58 3 10 3" xfId="10105" xr:uid="{00000000-0005-0000-0000-0000A5950000}"/>
    <cellStyle name="Normal 58 3 10 3 2" xfId="22548" xr:uid="{00000000-0005-0000-0000-0000A6950000}"/>
    <cellStyle name="Normal 58 3 10 3 2 2" xfId="47422" xr:uid="{00000000-0005-0000-0000-0000A7950000}"/>
    <cellStyle name="Normal 58 3 10 3 3" xfId="34989" xr:uid="{00000000-0005-0000-0000-0000A8950000}"/>
    <cellStyle name="Normal 58 3 10 4" xfId="5089" xr:uid="{00000000-0005-0000-0000-0000A9950000}"/>
    <cellStyle name="Normal 58 3 10 4 2" xfId="17541" xr:uid="{00000000-0005-0000-0000-0000AA950000}"/>
    <cellStyle name="Normal 58 3 10 4 2 2" xfId="42415" xr:uid="{00000000-0005-0000-0000-0000AB950000}"/>
    <cellStyle name="Normal 58 3 10 4 3" xfId="29982" xr:uid="{00000000-0005-0000-0000-0000AC950000}"/>
    <cellStyle name="Normal 58 3 10 5" xfId="13746" xr:uid="{00000000-0005-0000-0000-0000AD950000}"/>
    <cellStyle name="Normal 58 3 10 5 2" xfId="38620" xr:uid="{00000000-0005-0000-0000-0000AE950000}"/>
    <cellStyle name="Normal 58 3 10 6" xfId="26179" xr:uid="{00000000-0005-0000-0000-0000AF950000}"/>
    <cellStyle name="Normal 58 3 11" xfId="916" xr:uid="{00000000-0005-0000-0000-0000B0950000}"/>
    <cellStyle name="Normal 58 3 11 2" xfId="7688" xr:uid="{00000000-0005-0000-0000-0000B1950000}"/>
    <cellStyle name="Normal 58 3 11 2 2" xfId="20134" xr:uid="{00000000-0005-0000-0000-0000B2950000}"/>
    <cellStyle name="Normal 58 3 11 2 2 2" xfId="45008" xr:uid="{00000000-0005-0000-0000-0000B3950000}"/>
    <cellStyle name="Normal 58 3 11 2 3" xfId="32575" xr:uid="{00000000-0005-0000-0000-0000B4950000}"/>
    <cellStyle name="Normal 58 3 11 3" xfId="13716" xr:uid="{00000000-0005-0000-0000-0000B5950000}"/>
    <cellStyle name="Normal 58 3 11 3 2" xfId="38590" xr:uid="{00000000-0005-0000-0000-0000B6950000}"/>
    <cellStyle name="Normal 58 3 11 4" xfId="26149" xr:uid="{00000000-0005-0000-0000-0000B7950000}"/>
    <cellStyle name="Normal 58 3 12" xfId="11531" xr:uid="{00000000-0005-0000-0000-0000B8950000}"/>
    <cellStyle name="Normal 58 3 12 2" xfId="23965" xr:uid="{00000000-0005-0000-0000-0000B9950000}"/>
    <cellStyle name="Normal 58 3 12 2 2" xfId="48839" xr:uid="{00000000-0005-0000-0000-0000BA950000}"/>
    <cellStyle name="Normal 58 3 12 3" xfId="36406" xr:uid="{00000000-0005-0000-0000-0000BB950000}"/>
    <cellStyle name="Normal 58 3 13" xfId="6493" xr:uid="{00000000-0005-0000-0000-0000BC950000}"/>
    <cellStyle name="Normal 58 3 13 2" xfId="18942" xr:uid="{00000000-0005-0000-0000-0000BD950000}"/>
    <cellStyle name="Normal 58 3 13 2 2" xfId="43816" xr:uid="{00000000-0005-0000-0000-0000BE950000}"/>
    <cellStyle name="Normal 58 3 13 3" xfId="31383" xr:uid="{00000000-0005-0000-0000-0000BF950000}"/>
    <cellStyle name="Normal 58 3 14" xfId="2607" xr:uid="{00000000-0005-0000-0000-0000C0950000}"/>
    <cellStyle name="Normal 58 3 14 2" xfId="15127" xr:uid="{00000000-0005-0000-0000-0000C1950000}"/>
    <cellStyle name="Normal 58 3 14 2 2" xfId="40001" xr:uid="{00000000-0005-0000-0000-0000C2950000}"/>
    <cellStyle name="Normal 58 3 14 3" xfId="27560" xr:uid="{00000000-0005-0000-0000-0000C3950000}"/>
    <cellStyle name="Normal 58 3 15" xfId="12954" xr:uid="{00000000-0005-0000-0000-0000C4950000}"/>
    <cellStyle name="Normal 58 3 15 2" xfId="37828" xr:uid="{00000000-0005-0000-0000-0000C5950000}"/>
    <cellStyle name="Normal 58 3 16" xfId="25387" xr:uid="{00000000-0005-0000-0000-0000C6950000}"/>
    <cellStyle name="Normal 58 3 2" xfId="148" xr:uid="{00000000-0005-0000-0000-0000C7950000}"/>
    <cellStyle name="Normal 58 3 2 10" xfId="7713" xr:uid="{00000000-0005-0000-0000-0000C8950000}"/>
    <cellStyle name="Normal 58 3 2 10 2" xfId="20159" xr:uid="{00000000-0005-0000-0000-0000C9950000}"/>
    <cellStyle name="Normal 58 3 2 10 2 2" xfId="45033" xr:uid="{00000000-0005-0000-0000-0000CA950000}"/>
    <cellStyle name="Normal 58 3 2 10 3" xfId="32600" xr:uid="{00000000-0005-0000-0000-0000CB950000}"/>
    <cellStyle name="Normal 58 3 2 11" xfId="11606" xr:uid="{00000000-0005-0000-0000-0000CC950000}"/>
    <cellStyle name="Normal 58 3 2 11 2" xfId="24040" xr:uid="{00000000-0005-0000-0000-0000CD950000}"/>
    <cellStyle name="Normal 58 3 2 11 2 2" xfId="48914" xr:uid="{00000000-0005-0000-0000-0000CE950000}"/>
    <cellStyle name="Normal 58 3 2 11 3" xfId="36481" xr:uid="{00000000-0005-0000-0000-0000CF950000}"/>
    <cellStyle name="Normal 58 3 2 12" xfId="6523" xr:uid="{00000000-0005-0000-0000-0000D0950000}"/>
    <cellStyle name="Normal 58 3 2 12 2" xfId="18972" xr:uid="{00000000-0005-0000-0000-0000D1950000}"/>
    <cellStyle name="Normal 58 3 2 12 2 2" xfId="43846" xr:uid="{00000000-0005-0000-0000-0000D2950000}"/>
    <cellStyle name="Normal 58 3 2 12 3" xfId="31413" xr:uid="{00000000-0005-0000-0000-0000D3950000}"/>
    <cellStyle name="Normal 58 3 2 13" xfId="2634" xr:uid="{00000000-0005-0000-0000-0000D4950000}"/>
    <cellStyle name="Normal 58 3 2 13 2" xfId="15152" xr:uid="{00000000-0005-0000-0000-0000D5950000}"/>
    <cellStyle name="Normal 58 3 2 13 2 2" xfId="40026" xr:uid="{00000000-0005-0000-0000-0000D6950000}"/>
    <cellStyle name="Normal 58 3 2 13 3" xfId="27585" xr:uid="{00000000-0005-0000-0000-0000D7950000}"/>
    <cellStyle name="Normal 58 3 2 14" xfId="12978" xr:uid="{00000000-0005-0000-0000-0000D8950000}"/>
    <cellStyle name="Normal 58 3 2 14 2" xfId="37852" xr:uid="{00000000-0005-0000-0000-0000D9950000}"/>
    <cellStyle name="Normal 58 3 2 15" xfId="25411" xr:uid="{00000000-0005-0000-0000-0000DA950000}"/>
    <cellStyle name="Normal 58 3 2 2" xfId="292" xr:uid="{00000000-0005-0000-0000-0000DB950000}"/>
    <cellStyle name="Normal 58 3 2 2 10" xfId="6627" xr:uid="{00000000-0005-0000-0000-0000DC950000}"/>
    <cellStyle name="Normal 58 3 2 2 10 2" xfId="19076" xr:uid="{00000000-0005-0000-0000-0000DD950000}"/>
    <cellStyle name="Normal 58 3 2 2 10 2 2" xfId="43950" xr:uid="{00000000-0005-0000-0000-0000DE950000}"/>
    <cellStyle name="Normal 58 3 2 2 10 3" xfId="31517" xr:uid="{00000000-0005-0000-0000-0000DF950000}"/>
    <cellStyle name="Normal 58 3 2 2 11" xfId="2691" xr:uid="{00000000-0005-0000-0000-0000E0950000}"/>
    <cellStyle name="Normal 58 3 2 2 11 2" xfId="15209" xr:uid="{00000000-0005-0000-0000-0000E1950000}"/>
    <cellStyle name="Normal 58 3 2 2 11 2 2" xfId="40083" xr:uid="{00000000-0005-0000-0000-0000E2950000}"/>
    <cellStyle name="Normal 58 3 2 2 11 3" xfId="27642" xr:uid="{00000000-0005-0000-0000-0000E3950000}"/>
    <cellStyle name="Normal 58 3 2 2 12" xfId="13110" xr:uid="{00000000-0005-0000-0000-0000E4950000}"/>
    <cellStyle name="Normal 58 3 2 2 12 2" xfId="37984" xr:uid="{00000000-0005-0000-0000-0000E5950000}"/>
    <cellStyle name="Normal 58 3 2 2 13" xfId="25543" xr:uid="{00000000-0005-0000-0000-0000E6950000}"/>
    <cellStyle name="Normal 58 3 2 2 2" xfId="501" xr:uid="{00000000-0005-0000-0000-0000E7950000}"/>
    <cellStyle name="Normal 58 3 2 2 2 10" xfId="13314" xr:uid="{00000000-0005-0000-0000-0000E8950000}"/>
    <cellStyle name="Normal 58 3 2 2 2 10 2" xfId="38188" xr:uid="{00000000-0005-0000-0000-0000E9950000}"/>
    <cellStyle name="Normal 58 3 2 2 2 11" xfId="25747" xr:uid="{00000000-0005-0000-0000-0000EA950000}"/>
    <cellStyle name="Normal 58 3 2 2 2 2" xfId="860" xr:uid="{00000000-0005-0000-0000-0000EB950000}"/>
    <cellStyle name="Normal 58 3 2 2 2 2 2" xfId="1547" xr:uid="{00000000-0005-0000-0000-0000EC950000}"/>
    <cellStyle name="Normal 58 3 2 2 2 2 2 2" xfId="9651" xr:uid="{00000000-0005-0000-0000-0000ED950000}"/>
    <cellStyle name="Normal 58 3 2 2 2 2 2 2 2" xfId="22094" xr:uid="{00000000-0005-0000-0000-0000EE950000}"/>
    <cellStyle name="Normal 58 3 2 2 2 2 2 2 2 2" xfId="46968" xr:uid="{00000000-0005-0000-0000-0000EF950000}"/>
    <cellStyle name="Normal 58 3 2 2 2 2 2 2 3" xfId="34535" xr:uid="{00000000-0005-0000-0000-0000F0950000}"/>
    <cellStyle name="Normal 58 3 2 2 2 2 2 3" xfId="4633" xr:uid="{00000000-0005-0000-0000-0000F1950000}"/>
    <cellStyle name="Normal 58 3 2 2 2 2 2 3 2" xfId="17087" xr:uid="{00000000-0005-0000-0000-0000F2950000}"/>
    <cellStyle name="Normal 58 3 2 2 2 2 2 3 2 2" xfId="41961" xr:uid="{00000000-0005-0000-0000-0000F3950000}"/>
    <cellStyle name="Normal 58 3 2 2 2 2 2 3 3" xfId="29528" xr:uid="{00000000-0005-0000-0000-0000F4950000}"/>
    <cellStyle name="Normal 58 3 2 2 2 2 2 4" xfId="14347" xr:uid="{00000000-0005-0000-0000-0000F5950000}"/>
    <cellStyle name="Normal 58 3 2 2 2 2 2 4 2" xfId="39221" xr:uid="{00000000-0005-0000-0000-0000F6950000}"/>
    <cellStyle name="Normal 58 3 2 2 2 2 2 5" xfId="26780" xr:uid="{00000000-0005-0000-0000-0000F7950000}"/>
    <cellStyle name="Normal 58 3 2 2 2 2 3" xfId="5692" xr:uid="{00000000-0005-0000-0000-0000F8950000}"/>
    <cellStyle name="Normal 58 3 2 2 2 2 3 2" xfId="10708" xr:uid="{00000000-0005-0000-0000-0000F9950000}"/>
    <cellStyle name="Normal 58 3 2 2 2 2 3 2 2" xfId="23151" xr:uid="{00000000-0005-0000-0000-0000FA950000}"/>
    <cellStyle name="Normal 58 3 2 2 2 2 3 2 2 2" xfId="48025" xr:uid="{00000000-0005-0000-0000-0000FB950000}"/>
    <cellStyle name="Normal 58 3 2 2 2 2 3 2 3" xfId="35592" xr:uid="{00000000-0005-0000-0000-0000FC950000}"/>
    <cellStyle name="Normal 58 3 2 2 2 2 3 3" xfId="18144" xr:uid="{00000000-0005-0000-0000-0000FD950000}"/>
    <cellStyle name="Normal 58 3 2 2 2 2 3 3 2" xfId="43018" xr:uid="{00000000-0005-0000-0000-0000FE950000}"/>
    <cellStyle name="Normal 58 3 2 2 2 2 3 4" xfId="30585" xr:uid="{00000000-0005-0000-0000-0000FF950000}"/>
    <cellStyle name="Normal 58 3 2 2 2 2 4" xfId="8767" xr:uid="{00000000-0005-0000-0000-000000960000}"/>
    <cellStyle name="Normal 58 3 2 2 2 2 4 2" xfId="21211" xr:uid="{00000000-0005-0000-0000-000001960000}"/>
    <cellStyle name="Normal 58 3 2 2 2 2 4 2 2" xfId="46085" xr:uid="{00000000-0005-0000-0000-000002960000}"/>
    <cellStyle name="Normal 58 3 2 2 2 2 4 3" xfId="33652" xr:uid="{00000000-0005-0000-0000-000003960000}"/>
    <cellStyle name="Normal 58 3 2 2 2 2 5" xfId="12162" xr:uid="{00000000-0005-0000-0000-000004960000}"/>
    <cellStyle name="Normal 58 3 2 2 2 2 5 2" xfId="24596" xr:uid="{00000000-0005-0000-0000-000005960000}"/>
    <cellStyle name="Normal 58 3 2 2 2 2 5 2 2" xfId="49470" xr:uid="{00000000-0005-0000-0000-000006960000}"/>
    <cellStyle name="Normal 58 3 2 2 2 2 5 3" xfId="37037" xr:uid="{00000000-0005-0000-0000-000007960000}"/>
    <cellStyle name="Normal 58 3 2 2 2 2 6" xfId="7244" xr:uid="{00000000-0005-0000-0000-000008960000}"/>
    <cellStyle name="Normal 58 3 2 2 2 2 6 2" xfId="19693" xr:uid="{00000000-0005-0000-0000-000009960000}"/>
    <cellStyle name="Normal 58 3 2 2 2 2 6 2 2" xfId="44567" xr:uid="{00000000-0005-0000-0000-00000A960000}"/>
    <cellStyle name="Normal 58 3 2 2 2 2 6 3" xfId="32134" xr:uid="{00000000-0005-0000-0000-00000B960000}"/>
    <cellStyle name="Normal 58 3 2 2 2 2 7" xfId="3698" xr:uid="{00000000-0005-0000-0000-00000C960000}"/>
    <cellStyle name="Normal 58 3 2 2 2 2 7 2" xfId="16204" xr:uid="{00000000-0005-0000-0000-00000D960000}"/>
    <cellStyle name="Normal 58 3 2 2 2 2 7 2 2" xfId="41078" xr:uid="{00000000-0005-0000-0000-00000E960000}"/>
    <cellStyle name="Normal 58 3 2 2 2 2 7 3" xfId="28637" xr:uid="{00000000-0005-0000-0000-00000F960000}"/>
    <cellStyle name="Normal 58 3 2 2 2 2 8" xfId="13661" xr:uid="{00000000-0005-0000-0000-000010960000}"/>
    <cellStyle name="Normal 58 3 2 2 2 2 8 2" xfId="38535" xr:uid="{00000000-0005-0000-0000-000011960000}"/>
    <cellStyle name="Normal 58 3 2 2 2 2 9" xfId="26094" xr:uid="{00000000-0005-0000-0000-000012960000}"/>
    <cellStyle name="Normal 58 3 2 2 2 3" xfId="1895" xr:uid="{00000000-0005-0000-0000-000013960000}"/>
    <cellStyle name="Normal 58 3 2 2 2 3 2" xfId="5043" xr:uid="{00000000-0005-0000-0000-000014960000}"/>
    <cellStyle name="Normal 58 3 2 2 2 3 2 2" xfId="10060" xr:uid="{00000000-0005-0000-0000-000015960000}"/>
    <cellStyle name="Normal 58 3 2 2 2 3 2 2 2" xfId="22503" xr:uid="{00000000-0005-0000-0000-000016960000}"/>
    <cellStyle name="Normal 58 3 2 2 2 3 2 2 2 2" xfId="47377" xr:uid="{00000000-0005-0000-0000-000017960000}"/>
    <cellStyle name="Normal 58 3 2 2 2 3 2 2 3" xfId="34944" xr:uid="{00000000-0005-0000-0000-000018960000}"/>
    <cellStyle name="Normal 58 3 2 2 2 3 2 3" xfId="17496" xr:uid="{00000000-0005-0000-0000-000019960000}"/>
    <cellStyle name="Normal 58 3 2 2 2 3 2 3 2" xfId="42370" xr:uid="{00000000-0005-0000-0000-00001A960000}"/>
    <cellStyle name="Normal 58 3 2 2 2 3 2 4" xfId="29937" xr:uid="{00000000-0005-0000-0000-00001B960000}"/>
    <cellStyle name="Normal 58 3 2 2 2 3 3" xfId="6041" xr:uid="{00000000-0005-0000-0000-00001C960000}"/>
    <cellStyle name="Normal 58 3 2 2 2 3 3 2" xfId="11056" xr:uid="{00000000-0005-0000-0000-00001D960000}"/>
    <cellStyle name="Normal 58 3 2 2 2 3 3 2 2" xfId="23499" xr:uid="{00000000-0005-0000-0000-00001E960000}"/>
    <cellStyle name="Normal 58 3 2 2 2 3 3 2 2 2" xfId="48373" xr:uid="{00000000-0005-0000-0000-00001F960000}"/>
    <cellStyle name="Normal 58 3 2 2 2 3 3 2 3" xfId="35940" xr:uid="{00000000-0005-0000-0000-000020960000}"/>
    <cellStyle name="Normal 58 3 2 2 2 3 3 3" xfId="18492" xr:uid="{00000000-0005-0000-0000-000021960000}"/>
    <cellStyle name="Normal 58 3 2 2 2 3 3 3 2" xfId="43366" xr:uid="{00000000-0005-0000-0000-000022960000}"/>
    <cellStyle name="Normal 58 3 2 2 2 3 3 4" xfId="30933" xr:uid="{00000000-0005-0000-0000-000023960000}"/>
    <cellStyle name="Normal 58 3 2 2 2 3 4" xfId="8467" xr:uid="{00000000-0005-0000-0000-000024960000}"/>
    <cellStyle name="Normal 58 3 2 2 2 3 4 2" xfId="20911" xr:uid="{00000000-0005-0000-0000-000025960000}"/>
    <cellStyle name="Normal 58 3 2 2 2 3 4 2 2" xfId="45785" xr:uid="{00000000-0005-0000-0000-000026960000}"/>
    <cellStyle name="Normal 58 3 2 2 2 3 4 3" xfId="33352" xr:uid="{00000000-0005-0000-0000-000027960000}"/>
    <cellStyle name="Normal 58 3 2 2 2 3 5" xfId="12510" xr:uid="{00000000-0005-0000-0000-000028960000}"/>
    <cellStyle name="Normal 58 3 2 2 2 3 5 2" xfId="24944" xr:uid="{00000000-0005-0000-0000-000029960000}"/>
    <cellStyle name="Normal 58 3 2 2 2 3 5 2 2" xfId="49818" xr:uid="{00000000-0005-0000-0000-00002A960000}"/>
    <cellStyle name="Normal 58 3 2 2 2 3 5 3" xfId="37385" xr:uid="{00000000-0005-0000-0000-00002B960000}"/>
    <cellStyle name="Normal 58 3 2 2 2 3 6" xfId="7654" xr:uid="{00000000-0005-0000-0000-00002C960000}"/>
    <cellStyle name="Normal 58 3 2 2 2 3 6 2" xfId="20102" xr:uid="{00000000-0005-0000-0000-00002D960000}"/>
    <cellStyle name="Normal 58 3 2 2 2 3 6 2 2" xfId="44976" xr:uid="{00000000-0005-0000-0000-00002E960000}"/>
    <cellStyle name="Normal 58 3 2 2 2 3 6 3" xfId="32543" xr:uid="{00000000-0005-0000-0000-00002F960000}"/>
    <cellStyle name="Normal 58 3 2 2 2 3 7" xfId="3398" xr:uid="{00000000-0005-0000-0000-000030960000}"/>
    <cellStyle name="Normal 58 3 2 2 2 3 7 2" xfId="15904" xr:uid="{00000000-0005-0000-0000-000031960000}"/>
    <cellStyle name="Normal 58 3 2 2 2 3 7 2 2" xfId="40778" xr:uid="{00000000-0005-0000-0000-000032960000}"/>
    <cellStyle name="Normal 58 3 2 2 2 3 7 3" xfId="28337" xr:uid="{00000000-0005-0000-0000-000033960000}"/>
    <cellStyle name="Normal 58 3 2 2 2 3 8" xfId="14695" xr:uid="{00000000-0005-0000-0000-000034960000}"/>
    <cellStyle name="Normal 58 3 2 2 2 3 8 2" xfId="39569" xr:uid="{00000000-0005-0000-0000-000035960000}"/>
    <cellStyle name="Normal 58 3 2 2 2 3 9" xfId="27128" xr:uid="{00000000-0005-0000-0000-000036960000}"/>
    <cellStyle name="Normal 58 3 2 2 2 4" xfId="2419" xr:uid="{00000000-0005-0000-0000-000037960000}"/>
    <cellStyle name="Normal 58 3 2 2 2 4 2" xfId="6441" xr:uid="{00000000-0005-0000-0000-000038960000}"/>
    <cellStyle name="Normal 58 3 2 2 2 4 2 2" xfId="11456" xr:uid="{00000000-0005-0000-0000-000039960000}"/>
    <cellStyle name="Normal 58 3 2 2 2 4 2 2 2" xfId="23899" xr:uid="{00000000-0005-0000-0000-00003A960000}"/>
    <cellStyle name="Normal 58 3 2 2 2 4 2 2 2 2" xfId="48773" xr:uid="{00000000-0005-0000-0000-00003B960000}"/>
    <cellStyle name="Normal 58 3 2 2 2 4 2 2 3" xfId="36340" xr:uid="{00000000-0005-0000-0000-00003C960000}"/>
    <cellStyle name="Normal 58 3 2 2 2 4 2 3" xfId="18892" xr:uid="{00000000-0005-0000-0000-00003D960000}"/>
    <cellStyle name="Normal 58 3 2 2 2 4 2 3 2" xfId="43766" xr:uid="{00000000-0005-0000-0000-00003E960000}"/>
    <cellStyle name="Normal 58 3 2 2 2 4 2 4" xfId="31333" xr:uid="{00000000-0005-0000-0000-00003F960000}"/>
    <cellStyle name="Normal 58 3 2 2 2 4 3" xfId="12910" xr:uid="{00000000-0005-0000-0000-000040960000}"/>
    <cellStyle name="Normal 58 3 2 2 2 4 3 2" xfId="25344" xr:uid="{00000000-0005-0000-0000-000041960000}"/>
    <cellStyle name="Normal 58 3 2 2 2 4 3 2 2" xfId="50218" xr:uid="{00000000-0005-0000-0000-000042960000}"/>
    <cellStyle name="Normal 58 3 2 2 2 4 3 3" xfId="37785" xr:uid="{00000000-0005-0000-0000-000043960000}"/>
    <cellStyle name="Normal 58 3 2 2 2 4 4" xfId="9351" xr:uid="{00000000-0005-0000-0000-000044960000}"/>
    <cellStyle name="Normal 58 3 2 2 2 4 4 2" xfId="21794" xr:uid="{00000000-0005-0000-0000-000045960000}"/>
    <cellStyle name="Normal 58 3 2 2 2 4 4 2 2" xfId="46668" xr:uid="{00000000-0005-0000-0000-000046960000}"/>
    <cellStyle name="Normal 58 3 2 2 2 4 4 3" xfId="34235" xr:uid="{00000000-0005-0000-0000-000047960000}"/>
    <cellStyle name="Normal 58 3 2 2 2 4 5" xfId="4333" xr:uid="{00000000-0005-0000-0000-000048960000}"/>
    <cellStyle name="Normal 58 3 2 2 2 4 5 2" xfId="16787" xr:uid="{00000000-0005-0000-0000-000049960000}"/>
    <cellStyle name="Normal 58 3 2 2 2 4 5 2 2" xfId="41661" xr:uid="{00000000-0005-0000-0000-00004A960000}"/>
    <cellStyle name="Normal 58 3 2 2 2 4 5 3" xfId="29228" xr:uid="{00000000-0005-0000-0000-00004B960000}"/>
    <cellStyle name="Normal 58 3 2 2 2 4 6" xfId="15095" xr:uid="{00000000-0005-0000-0000-00004C960000}"/>
    <cellStyle name="Normal 58 3 2 2 2 4 6 2" xfId="39969" xr:uid="{00000000-0005-0000-0000-00004D960000}"/>
    <cellStyle name="Normal 58 3 2 2 2 4 7" xfId="27528" xr:uid="{00000000-0005-0000-0000-00004E960000}"/>
    <cellStyle name="Normal 58 3 2 2 2 5" xfId="1252" xr:uid="{00000000-0005-0000-0000-00004F960000}"/>
    <cellStyle name="Normal 58 3 2 2 2 5 2" xfId="10413" xr:uid="{00000000-0005-0000-0000-000050960000}"/>
    <cellStyle name="Normal 58 3 2 2 2 5 2 2" xfId="22856" xr:uid="{00000000-0005-0000-0000-000051960000}"/>
    <cellStyle name="Normal 58 3 2 2 2 5 2 2 2" xfId="47730" xr:uid="{00000000-0005-0000-0000-000052960000}"/>
    <cellStyle name="Normal 58 3 2 2 2 5 2 3" xfId="35297" xr:uid="{00000000-0005-0000-0000-000053960000}"/>
    <cellStyle name="Normal 58 3 2 2 2 5 3" xfId="5397" xr:uid="{00000000-0005-0000-0000-000054960000}"/>
    <cellStyle name="Normal 58 3 2 2 2 5 3 2" xfId="17849" xr:uid="{00000000-0005-0000-0000-000055960000}"/>
    <cellStyle name="Normal 58 3 2 2 2 5 3 2 2" xfId="42723" xr:uid="{00000000-0005-0000-0000-000056960000}"/>
    <cellStyle name="Normal 58 3 2 2 2 5 3 3" xfId="30290" xr:uid="{00000000-0005-0000-0000-000057960000}"/>
    <cellStyle name="Normal 58 3 2 2 2 5 4" xfId="14052" xr:uid="{00000000-0005-0000-0000-000058960000}"/>
    <cellStyle name="Normal 58 3 2 2 2 5 4 2" xfId="38926" xr:uid="{00000000-0005-0000-0000-000059960000}"/>
    <cellStyle name="Normal 58 3 2 2 2 5 5" xfId="26485" xr:uid="{00000000-0005-0000-0000-00005A960000}"/>
    <cellStyle name="Normal 58 3 2 2 2 6" xfId="7974" xr:uid="{00000000-0005-0000-0000-00005B960000}"/>
    <cellStyle name="Normal 58 3 2 2 2 6 2" xfId="20420" xr:uid="{00000000-0005-0000-0000-00005C960000}"/>
    <cellStyle name="Normal 58 3 2 2 2 6 2 2" xfId="45294" xr:uid="{00000000-0005-0000-0000-00005D960000}"/>
    <cellStyle name="Normal 58 3 2 2 2 6 3" xfId="32861" xr:uid="{00000000-0005-0000-0000-00005E960000}"/>
    <cellStyle name="Normal 58 3 2 2 2 7" xfId="11867" xr:uid="{00000000-0005-0000-0000-00005F960000}"/>
    <cellStyle name="Normal 58 3 2 2 2 7 2" xfId="24301" xr:uid="{00000000-0005-0000-0000-000060960000}"/>
    <cellStyle name="Normal 58 3 2 2 2 7 2 2" xfId="49175" xr:uid="{00000000-0005-0000-0000-000061960000}"/>
    <cellStyle name="Normal 58 3 2 2 2 7 3" xfId="36742" xr:uid="{00000000-0005-0000-0000-000062960000}"/>
    <cellStyle name="Normal 58 3 2 2 2 8" xfId="6944" xr:uid="{00000000-0005-0000-0000-000063960000}"/>
    <cellStyle name="Normal 58 3 2 2 2 8 2" xfId="19393" xr:uid="{00000000-0005-0000-0000-000064960000}"/>
    <cellStyle name="Normal 58 3 2 2 2 8 2 2" xfId="44267" xr:uid="{00000000-0005-0000-0000-000065960000}"/>
    <cellStyle name="Normal 58 3 2 2 2 8 3" xfId="31834" xr:uid="{00000000-0005-0000-0000-000066960000}"/>
    <cellStyle name="Normal 58 3 2 2 2 9" xfId="2895" xr:uid="{00000000-0005-0000-0000-000067960000}"/>
    <cellStyle name="Normal 58 3 2 2 2 9 2" xfId="15413" xr:uid="{00000000-0005-0000-0000-000068960000}"/>
    <cellStyle name="Normal 58 3 2 2 2 9 2 2" xfId="40287" xr:uid="{00000000-0005-0000-0000-000069960000}"/>
    <cellStyle name="Normal 58 3 2 2 2 9 3" xfId="27846" xr:uid="{00000000-0005-0000-0000-00006A960000}"/>
    <cellStyle name="Normal 58 3 2 2 2_Degree data" xfId="2512" xr:uid="{00000000-0005-0000-0000-00006B960000}"/>
    <cellStyle name="Normal 58 3 2 2 3" xfId="653" xr:uid="{00000000-0005-0000-0000-00006C960000}"/>
    <cellStyle name="Normal 58 3 2 2 3 2" xfId="1546" xr:uid="{00000000-0005-0000-0000-00006D960000}"/>
    <cellStyle name="Normal 58 3 2 2 3 2 2" xfId="9147" xr:uid="{00000000-0005-0000-0000-00006E960000}"/>
    <cellStyle name="Normal 58 3 2 2 3 2 2 2" xfId="21590" xr:uid="{00000000-0005-0000-0000-00006F960000}"/>
    <cellStyle name="Normal 58 3 2 2 3 2 2 2 2" xfId="46464" xr:uid="{00000000-0005-0000-0000-000070960000}"/>
    <cellStyle name="Normal 58 3 2 2 3 2 2 3" xfId="34031" xr:uid="{00000000-0005-0000-0000-000071960000}"/>
    <cellStyle name="Normal 58 3 2 2 3 2 3" xfId="4129" xr:uid="{00000000-0005-0000-0000-000072960000}"/>
    <cellStyle name="Normal 58 3 2 2 3 2 3 2" xfId="16583" xr:uid="{00000000-0005-0000-0000-000073960000}"/>
    <cellStyle name="Normal 58 3 2 2 3 2 3 2 2" xfId="41457" xr:uid="{00000000-0005-0000-0000-000074960000}"/>
    <cellStyle name="Normal 58 3 2 2 3 2 3 3" xfId="29024" xr:uid="{00000000-0005-0000-0000-000075960000}"/>
    <cellStyle name="Normal 58 3 2 2 3 2 4" xfId="14346" xr:uid="{00000000-0005-0000-0000-000076960000}"/>
    <cellStyle name="Normal 58 3 2 2 3 2 4 2" xfId="39220" xr:uid="{00000000-0005-0000-0000-000077960000}"/>
    <cellStyle name="Normal 58 3 2 2 3 2 5" xfId="26779" xr:uid="{00000000-0005-0000-0000-000078960000}"/>
    <cellStyle name="Normal 58 3 2 2 3 3" xfId="5691" xr:uid="{00000000-0005-0000-0000-000079960000}"/>
    <cellStyle name="Normal 58 3 2 2 3 3 2" xfId="10707" xr:uid="{00000000-0005-0000-0000-00007A960000}"/>
    <cellStyle name="Normal 58 3 2 2 3 3 2 2" xfId="23150" xr:uid="{00000000-0005-0000-0000-00007B960000}"/>
    <cellStyle name="Normal 58 3 2 2 3 3 2 2 2" xfId="48024" xr:uid="{00000000-0005-0000-0000-00007C960000}"/>
    <cellStyle name="Normal 58 3 2 2 3 3 2 3" xfId="35591" xr:uid="{00000000-0005-0000-0000-00007D960000}"/>
    <cellStyle name="Normal 58 3 2 2 3 3 3" xfId="18143" xr:uid="{00000000-0005-0000-0000-00007E960000}"/>
    <cellStyle name="Normal 58 3 2 2 3 3 3 2" xfId="43017" xr:uid="{00000000-0005-0000-0000-00007F960000}"/>
    <cellStyle name="Normal 58 3 2 2 3 3 4" xfId="30584" xr:uid="{00000000-0005-0000-0000-000080960000}"/>
    <cellStyle name="Normal 58 3 2 2 3 4" xfId="8263" xr:uid="{00000000-0005-0000-0000-000081960000}"/>
    <cellStyle name="Normal 58 3 2 2 3 4 2" xfId="20707" xr:uid="{00000000-0005-0000-0000-000082960000}"/>
    <cellStyle name="Normal 58 3 2 2 3 4 2 2" xfId="45581" xr:uid="{00000000-0005-0000-0000-000083960000}"/>
    <cellStyle name="Normal 58 3 2 2 3 4 3" xfId="33148" xr:uid="{00000000-0005-0000-0000-000084960000}"/>
    <cellStyle name="Normal 58 3 2 2 3 5" xfId="12161" xr:uid="{00000000-0005-0000-0000-000085960000}"/>
    <cellStyle name="Normal 58 3 2 2 3 5 2" xfId="24595" xr:uid="{00000000-0005-0000-0000-000086960000}"/>
    <cellStyle name="Normal 58 3 2 2 3 5 2 2" xfId="49469" xr:uid="{00000000-0005-0000-0000-000087960000}"/>
    <cellStyle name="Normal 58 3 2 2 3 5 3" xfId="37036" xr:uid="{00000000-0005-0000-0000-000088960000}"/>
    <cellStyle name="Normal 58 3 2 2 3 6" xfId="6740" xr:uid="{00000000-0005-0000-0000-000089960000}"/>
    <cellStyle name="Normal 58 3 2 2 3 6 2" xfId="19189" xr:uid="{00000000-0005-0000-0000-00008A960000}"/>
    <cellStyle name="Normal 58 3 2 2 3 6 2 2" xfId="44063" xr:uid="{00000000-0005-0000-0000-00008B960000}"/>
    <cellStyle name="Normal 58 3 2 2 3 6 3" xfId="31630" xr:uid="{00000000-0005-0000-0000-00008C960000}"/>
    <cellStyle name="Normal 58 3 2 2 3 7" xfId="3194" xr:uid="{00000000-0005-0000-0000-00008D960000}"/>
    <cellStyle name="Normal 58 3 2 2 3 7 2" xfId="15700" xr:uid="{00000000-0005-0000-0000-00008E960000}"/>
    <cellStyle name="Normal 58 3 2 2 3 7 2 2" xfId="40574" xr:uid="{00000000-0005-0000-0000-00008F960000}"/>
    <cellStyle name="Normal 58 3 2 2 3 7 3" xfId="28133" xr:uid="{00000000-0005-0000-0000-000090960000}"/>
    <cellStyle name="Normal 58 3 2 2 3 8" xfId="13457" xr:uid="{00000000-0005-0000-0000-000091960000}"/>
    <cellStyle name="Normal 58 3 2 2 3 8 2" xfId="38331" xr:uid="{00000000-0005-0000-0000-000092960000}"/>
    <cellStyle name="Normal 58 3 2 2 3 9" xfId="25890" xr:uid="{00000000-0005-0000-0000-000093960000}"/>
    <cellStyle name="Normal 58 3 2 2 4" xfId="1894" xr:uid="{00000000-0005-0000-0000-000094960000}"/>
    <cellStyle name="Normal 58 3 2 2 4 2" xfId="4632" xr:uid="{00000000-0005-0000-0000-000095960000}"/>
    <cellStyle name="Normal 58 3 2 2 4 2 2" xfId="9650" xr:uid="{00000000-0005-0000-0000-000096960000}"/>
    <cellStyle name="Normal 58 3 2 2 4 2 2 2" xfId="22093" xr:uid="{00000000-0005-0000-0000-000097960000}"/>
    <cellStyle name="Normal 58 3 2 2 4 2 2 2 2" xfId="46967" xr:uid="{00000000-0005-0000-0000-000098960000}"/>
    <cellStyle name="Normal 58 3 2 2 4 2 2 3" xfId="34534" xr:uid="{00000000-0005-0000-0000-000099960000}"/>
    <cellStyle name="Normal 58 3 2 2 4 2 3" xfId="17086" xr:uid="{00000000-0005-0000-0000-00009A960000}"/>
    <cellStyle name="Normal 58 3 2 2 4 2 3 2" xfId="41960" xr:uid="{00000000-0005-0000-0000-00009B960000}"/>
    <cellStyle name="Normal 58 3 2 2 4 2 4" xfId="29527" xr:uid="{00000000-0005-0000-0000-00009C960000}"/>
    <cellStyle name="Normal 58 3 2 2 4 3" xfId="6040" xr:uid="{00000000-0005-0000-0000-00009D960000}"/>
    <cellStyle name="Normal 58 3 2 2 4 3 2" xfId="11055" xr:uid="{00000000-0005-0000-0000-00009E960000}"/>
    <cellStyle name="Normal 58 3 2 2 4 3 2 2" xfId="23498" xr:uid="{00000000-0005-0000-0000-00009F960000}"/>
    <cellStyle name="Normal 58 3 2 2 4 3 2 2 2" xfId="48372" xr:uid="{00000000-0005-0000-0000-0000A0960000}"/>
    <cellStyle name="Normal 58 3 2 2 4 3 2 3" xfId="35939" xr:uid="{00000000-0005-0000-0000-0000A1960000}"/>
    <cellStyle name="Normal 58 3 2 2 4 3 3" xfId="18491" xr:uid="{00000000-0005-0000-0000-0000A2960000}"/>
    <cellStyle name="Normal 58 3 2 2 4 3 3 2" xfId="43365" xr:uid="{00000000-0005-0000-0000-0000A3960000}"/>
    <cellStyle name="Normal 58 3 2 2 4 3 4" xfId="30932" xr:uid="{00000000-0005-0000-0000-0000A4960000}"/>
    <cellStyle name="Normal 58 3 2 2 4 4" xfId="8766" xr:uid="{00000000-0005-0000-0000-0000A5960000}"/>
    <cellStyle name="Normal 58 3 2 2 4 4 2" xfId="21210" xr:uid="{00000000-0005-0000-0000-0000A6960000}"/>
    <cellStyle name="Normal 58 3 2 2 4 4 2 2" xfId="46084" xr:uid="{00000000-0005-0000-0000-0000A7960000}"/>
    <cellStyle name="Normal 58 3 2 2 4 4 3" xfId="33651" xr:uid="{00000000-0005-0000-0000-0000A8960000}"/>
    <cellStyle name="Normal 58 3 2 2 4 5" xfId="12509" xr:uid="{00000000-0005-0000-0000-0000A9960000}"/>
    <cellStyle name="Normal 58 3 2 2 4 5 2" xfId="24943" xr:uid="{00000000-0005-0000-0000-0000AA960000}"/>
    <cellStyle name="Normal 58 3 2 2 4 5 2 2" xfId="49817" xr:uid="{00000000-0005-0000-0000-0000AB960000}"/>
    <cellStyle name="Normal 58 3 2 2 4 5 3" xfId="37384" xr:uid="{00000000-0005-0000-0000-0000AC960000}"/>
    <cellStyle name="Normal 58 3 2 2 4 6" xfId="7243" xr:uid="{00000000-0005-0000-0000-0000AD960000}"/>
    <cellStyle name="Normal 58 3 2 2 4 6 2" xfId="19692" xr:uid="{00000000-0005-0000-0000-0000AE960000}"/>
    <cellStyle name="Normal 58 3 2 2 4 6 2 2" xfId="44566" xr:uid="{00000000-0005-0000-0000-0000AF960000}"/>
    <cellStyle name="Normal 58 3 2 2 4 6 3" xfId="32133" xr:uid="{00000000-0005-0000-0000-0000B0960000}"/>
    <cellStyle name="Normal 58 3 2 2 4 7" xfId="3697" xr:uid="{00000000-0005-0000-0000-0000B1960000}"/>
    <cellStyle name="Normal 58 3 2 2 4 7 2" xfId="16203" xr:uid="{00000000-0005-0000-0000-0000B2960000}"/>
    <cellStyle name="Normal 58 3 2 2 4 7 2 2" xfId="41077" xr:uid="{00000000-0005-0000-0000-0000B3960000}"/>
    <cellStyle name="Normal 58 3 2 2 4 7 3" xfId="28636" xr:uid="{00000000-0005-0000-0000-0000B4960000}"/>
    <cellStyle name="Normal 58 3 2 2 4 8" xfId="14694" xr:uid="{00000000-0005-0000-0000-0000B5960000}"/>
    <cellStyle name="Normal 58 3 2 2 4 8 2" xfId="39568" xr:uid="{00000000-0005-0000-0000-0000B6960000}"/>
    <cellStyle name="Normal 58 3 2 2 4 9" xfId="27127" xr:uid="{00000000-0005-0000-0000-0000B7960000}"/>
    <cellStyle name="Normal 58 3 2 2 5" xfId="2210" xr:uid="{00000000-0005-0000-0000-0000B8960000}"/>
    <cellStyle name="Normal 58 3 2 2 5 2" xfId="4839" xr:uid="{00000000-0005-0000-0000-0000B9960000}"/>
    <cellStyle name="Normal 58 3 2 2 5 2 2" xfId="9856" xr:uid="{00000000-0005-0000-0000-0000BA960000}"/>
    <cellStyle name="Normal 58 3 2 2 5 2 2 2" xfId="22299" xr:uid="{00000000-0005-0000-0000-0000BB960000}"/>
    <cellStyle name="Normal 58 3 2 2 5 2 2 2 2" xfId="47173" xr:uid="{00000000-0005-0000-0000-0000BC960000}"/>
    <cellStyle name="Normal 58 3 2 2 5 2 2 3" xfId="34740" xr:uid="{00000000-0005-0000-0000-0000BD960000}"/>
    <cellStyle name="Normal 58 3 2 2 5 2 3" xfId="17292" xr:uid="{00000000-0005-0000-0000-0000BE960000}"/>
    <cellStyle name="Normal 58 3 2 2 5 2 3 2" xfId="42166" xr:uid="{00000000-0005-0000-0000-0000BF960000}"/>
    <cellStyle name="Normal 58 3 2 2 5 2 4" xfId="29733" xr:uid="{00000000-0005-0000-0000-0000C0960000}"/>
    <cellStyle name="Normal 58 3 2 2 5 3" xfId="6237" xr:uid="{00000000-0005-0000-0000-0000C1960000}"/>
    <cellStyle name="Normal 58 3 2 2 5 3 2" xfId="11252" xr:uid="{00000000-0005-0000-0000-0000C2960000}"/>
    <cellStyle name="Normal 58 3 2 2 5 3 2 2" xfId="23695" xr:uid="{00000000-0005-0000-0000-0000C3960000}"/>
    <cellStyle name="Normal 58 3 2 2 5 3 2 2 2" xfId="48569" xr:uid="{00000000-0005-0000-0000-0000C4960000}"/>
    <cellStyle name="Normal 58 3 2 2 5 3 2 3" xfId="36136" xr:uid="{00000000-0005-0000-0000-0000C5960000}"/>
    <cellStyle name="Normal 58 3 2 2 5 3 3" xfId="18688" xr:uid="{00000000-0005-0000-0000-0000C6960000}"/>
    <cellStyle name="Normal 58 3 2 2 5 3 3 2" xfId="43562" xr:uid="{00000000-0005-0000-0000-0000C7960000}"/>
    <cellStyle name="Normal 58 3 2 2 5 3 4" xfId="31129" xr:uid="{00000000-0005-0000-0000-0000C8960000}"/>
    <cellStyle name="Normal 58 3 2 2 5 4" xfId="8148" xr:uid="{00000000-0005-0000-0000-0000C9960000}"/>
    <cellStyle name="Normal 58 3 2 2 5 4 2" xfId="20594" xr:uid="{00000000-0005-0000-0000-0000CA960000}"/>
    <cellStyle name="Normal 58 3 2 2 5 4 2 2" xfId="45468" xr:uid="{00000000-0005-0000-0000-0000CB960000}"/>
    <cellStyle name="Normal 58 3 2 2 5 4 3" xfId="33035" xr:uid="{00000000-0005-0000-0000-0000CC960000}"/>
    <cellStyle name="Normal 58 3 2 2 5 5" xfId="12706" xr:uid="{00000000-0005-0000-0000-0000CD960000}"/>
    <cellStyle name="Normal 58 3 2 2 5 5 2" xfId="25140" xr:uid="{00000000-0005-0000-0000-0000CE960000}"/>
    <cellStyle name="Normal 58 3 2 2 5 5 2 2" xfId="50014" xr:uid="{00000000-0005-0000-0000-0000CF960000}"/>
    <cellStyle name="Normal 58 3 2 2 5 5 3" xfId="37581" xr:uid="{00000000-0005-0000-0000-0000D0960000}"/>
    <cellStyle name="Normal 58 3 2 2 5 6" xfId="7450" xr:uid="{00000000-0005-0000-0000-0000D1960000}"/>
    <cellStyle name="Normal 58 3 2 2 5 6 2" xfId="19898" xr:uid="{00000000-0005-0000-0000-0000D2960000}"/>
    <cellStyle name="Normal 58 3 2 2 5 6 2 2" xfId="44772" xr:uid="{00000000-0005-0000-0000-0000D3960000}"/>
    <cellStyle name="Normal 58 3 2 2 5 6 3" xfId="32339" xr:uid="{00000000-0005-0000-0000-0000D4960000}"/>
    <cellStyle name="Normal 58 3 2 2 5 7" xfId="3078" xr:uid="{00000000-0005-0000-0000-0000D5960000}"/>
    <cellStyle name="Normal 58 3 2 2 5 7 2" xfId="15587" xr:uid="{00000000-0005-0000-0000-0000D6960000}"/>
    <cellStyle name="Normal 58 3 2 2 5 7 2 2" xfId="40461" xr:uid="{00000000-0005-0000-0000-0000D7960000}"/>
    <cellStyle name="Normal 58 3 2 2 5 7 3" xfId="28020" xr:uid="{00000000-0005-0000-0000-0000D8960000}"/>
    <cellStyle name="Normal 58 3 2 2 5 8" xfId="14891" xr:uid="{00000000-0005-0000-0000-0000D9960000}"/>
    <cellStyle name="Normal 58 3 2 2 5 8 2" xfId="39765" xr:uid="{00000000-0005-0000-0000-0000DA960000}"/>
    <cellStyle name="Normal 58 3 2 2 5 9" xfId="27324" xr:uid="{00000000-0005-0000-0000-0000DB960000}"/>
    <cellStyle name="Normal 58 3 2 2 6" xfId="1048" xr:uid="{00000000-0005-0000-0000-0000DC960000}"/>
    <cellStyle name="Normal 58 3 2 2 6 2" xfId="9034" xr:uid="{00000000-0005-0000-0000-0000DD960000}"/>
    <cellStyle name="Normal 58 3 2 2 6 2 2" xfId="21477" xr:uid="{00000000-0005-0000-0000-0000DE960000}"/>
    <cellStyle name="Normal 58 3 2 2 6 2 2 2" xfId="46351" xr:uid="{00000000-0005-0000-0000-0000DF960000}"/>
    <cellStyle name="Normal 58 3 2 2 6 2 3" xfId="33918" xr:uid="{00000000-0005-0000-0000-0000E0960000}"/>
    <cellStyle name="Normal 58 3 2 2 6 3" xfId="4016" xr:uid="{00000000-0005-0000-0000-0000E1960000}"/>
    <cellStyle name="Normal 58 3 2 2 6 3 2" xfId="16470" xr:uid="{00000000-0005-0000-0000-0000E2960000}"/>
    <cellStyle name="Normal 58 3 2 2 6 3 2 2" xfId="41344" xr:uid="{00000000-0005-0000-0000-0000E3960000}"/>
    <cellStyle name="Normal 58 3 2 2 6 3 3" xfId="28911" xr:uid="{00000000-0005-0000-0000-0000E4960000}"/>
    <cellStyle name="Normal 58 3 2 2 6 4" xfId="13848" xr:uid="{00000000-0005-0000-0000-0000E5960000}"/>
    <cellStyle name="Normal 58 3 2 2 6 4 2" xfId="38722" xr:uid="{00000000-0005-0000-0000-0000E6960000}"/>
    <cellStyle name="Normal 58 3 2 2 6 5" xfId="26281" xr:uid="{00000000-0005-0000-0000-0000E7960000}"/>
    <cellStyle name="Normal 58 3 2 2 7" xfId="5193" xr:uid="{00000000-0005-0000-0000-0000E8960000}"/>
    <cellStyle name="Normal 58 3 2 2 7 2" xfId="10209" xr:uid="{00000000-0005-0000-0000-0000E9960000}"/>
    <cellStyle name="Normal 58 3 2 2 7 2 2" xfId="22652" xr:uid="{00000000-0005-0000-0000-0000EA960000}"/>
    <cellStyle name="Normal 58 3 2 2 7 2 2 2" xfId="47526" xr:uid="{00000000-0005-0000-0000-0000EB960000}"/>
    <cellStyle name="Normal 58 3 2 2 7 2 3" xfId="35093" xr:uid="{00000000-0005-0000-0000-0000EC960000}"/>
    <cellStyle name="Normal 58 3 2 2 7 3" xfId="17645" xr:uid="{00000000-0005-0000-0000-0000ED960000}"/>
    <cellStyle name="Normal 58 3 2 2 7 3 2" xfId="42519" xr:uid="{00000000-0005-0000-0000-0000EE960000}"/>
    <cellStyle name="Normal 58 3 2 2 7 4" xfId="30086" xr:uid="{00000000-0005-0000-0000-0000EF960000}"/>
    <cellStyle name="Normal 58 3 2 2 8" xfId="7770" xr:uid="{00000000-0005-0000-0000-0000F0960000}"/>
    <cellStyle name="Normal 58 3 2 2 8 2" xfId="20216" xr:uid="{00000000-0005-0000-0000-0000F1960000}"/>
    <cellStyle name="Normal 58 3 2 2 8 2 2" xfId="45090" xr:uid="{00000000-0005-0000-0000-0000F2960000}"/>
    <cellStyle name="Normal 58 3 2 2 8 3" xfId="32657" xr:uid="{00000000-0005-0000-0000-0000F3960000}"/>
    <cellStyle name="Normal 58 3 2 2 9" xfId="11663" xr:uid="{00000000-0005-0000-0000-0000F4960000}"/>
    <cellStyle name="Normal 58 3 2 2 9 2" xfId="24097" xr:uid="{00000000-0005-0000-0000-0000F5960000}"/>
    <cellStyle name="Normal 58 3 2 2 9 2 2" xfId="48971" xr:uid="{00000000-0005-0000-0000-0000F6960000}"/>
    <cellStyle name="Normal 58 3 2 2 9 3" xfId="36538" xr:uid="{00000000-0005-0000-0000-0000F7960000}"/>
    <cellStyle name="Normal 58 3 2 2_Degree data" xfId="2511" xr:uid="{00000000-0005-0000-0000-0000F8960000}"/>
    <cellStyle name="Normal 58 3 2 3" xfId="457" xr:uid="{00000000-0005-0000-0000-0000F9960000}"/>
    <cellStyle name="Normal 58 3 2 3 10" xfId="2851" xr:uid="{00000000-0005-0000-0000-0000FA960000}"/>
    <cellStyle name="Normal 58 3 2 3 10 2" xfId="15369" xr:uid="{00000000-0005-0000-0000-0000FB960000}"/>
    <cellStyle name="Normal 58 3 2 3 10 2 2" xfId="40243" xr:uid="{00000000-0005-0000-0000-0000FC960000}"/>
    <cellStyle name="Normal 58 3 2 3 10 3" xfId="27802" xr:uid="{00000000-0005-0000-0000-0000FD960000}"/>
    <cellStyle name="Normal 58 3 2 3 11" xfId="13270" xr:uid="{00000000-0005-0000-0000-0000FE960000}"/>
    <cellStyle name="Normal 58 3 2 3 11 2" xfId="38144" xr:uid="{00000000-0005-0000-0000-0000FF960000}"/>
    <cellStyle name="Normal 58 3 2 3 12" xfId="25703" xr:uid="{00000000-0005-0000-0000-000000970000}"/>
    <cellStyle name="Normal 58 3 2 3 2" xfId="816" xr:uid="{00000000-0005-0000-0000-000001970000}"/>
    <cellStyle name="Normal 58 3 2 3 2 2" xfId="1548" xr:uid="{00000000-0005-0000-0000-000002970000}"/>
    <cellStyle name="Normal 58 3 2 3 2 2 2" xfId="9307" xr:uid="{00000000-0005-0000-0000-000003970000}"/>
    <cellStyle name="Normal 58 3 2 3 2 2 2 2" xfId="21750" xr:uid="{00000000-0005-0000-0000-000004970000}"/>
    <cellStyle name="Normal 58 3 2 3 2 2 2 2 2" xfId="46624" xr:uid="{00000000-0005-0000-0000-000005970000}"/>
    <cellStyle name="Normal 58 3 2 3 2 2 2 3" xfId="34191" xr:uid="{00000000-0005-0000-0000-000006970000}"/>
    <cellStyle name="Normal 58 3 2 3 2 2 3" xfId="4289" xr:uid="{00000000-0005-0000-0000-000007970000}"/>
    <cellStyle name="Normal 58 3 2 3 2 2 3 2" xfId="16743" xr:uid="{00000000-0005-0000-0000-000008970000}"/>
    <cellStyle name="Normal 58 3 2 3 2 2 3 2 2" xfId="41617" xr:uid="{00000000-0005-0000-0000-000009970000}"/>
    <cellStyle name="Normal 58 3 2 3 2 2 3 3" xfId="29184" xr:uid="{00000000-0005-0000-0000-00000A970000}"/>
    <cellStyle name="Normal 58 3 2 3 2 2 4" xfId="14348" xr:uid="{00000000-0005-0000-0000-00000B970000}"/>
    <cellStyle name="Normal 58 3 2 3 2 2 4 2" xfId="39222" xr:uid="{00000000-0005-0000-0000-00000C970000}"/>
    <cellStyle name="Normal 58 3 2 3 2 2 5" xfId="26781" xr:uid="{00000000-0005-0000-0000-00000D970000}"/>
    <cellStyle name="Normal 58 3 2 3 2 3" xfId="5693" xr:uid="{00000000-0005-0000-0000-00000E970000}"/>
    <cellStyle name="Normal 58 3 2 3 2 3 2" xfId="10709" xr:uid="{00000000-0005-0000-0000-00000F970000}"/>
    <cellStyle name="Normal 58 3 2 3 2 3 2 2" xfId="23152" xr:uid="{00000000-0005-0000-0000-000010970000}"/>
    <cellStyle name="Normal 58 3 2 3 2 3 2 2 2" xfId="48026" xr:uid="{00000000-0005-0000-0000-000011970000}"/>
    <cellStyle name="Normal 58 3 2 3 2 3 2 3" xfId="35593" xr:uid="{00000000-0005-0000-0000-000012970000}"/>
    <cellStyle name="Normal 58 3 2 3 2 3 3" xfId="18145" xr:uid="{00000000-0005-0000-0000-000013970000}"/>
    <cellStyle name="Normal 58 3 2 3 2 3 3 2" xfId="43019" xr:uid="{00000000-0005-0000-0000-000014970000}"/>
    <cellStyle name="Normal 58 3 2 3 2 3 4" xfId="30586" xr:uid="{00000000-0005-0000-0000-000015970000}"/>
    <cellStyle name="Normal 58 3 2 3 2 4" xfId="8423" xr:uid="{00000000-0005-0000-0000-000016970000}"/>
    <cellStyle name="Normal 58 3 2 3 2 4 2" xfId="20867" xr:uid="{00000000-0005-0000-0000-000017970000}"/>
    <cellStyle name="Normal 58 3 2 3 2 4 2 2" xfId="45741" xr:uid="{00000000-0005-0000-0000-000018970000}"/>
    <cellStyle name="Normal 58 3 2 3 2 4 3" xfId="33308" xr:uid="{00000000-0005-0000-0000-000019970000}"/>
    <cellStyle name="Normal 58 3 2 3 2 5" xfId="12163" xr:uid="{00000000-0005-0000-0000-00001A970000}"/>
    <cellStyle name="Normal 58 3 2 3 2 5 2" xfId="24597" xr:uid="{00000000-0005-0000-0000-00001B970000}"/>
    <cellStyle name="Normal 58 3 2 3 2 5 2 2" xfId="49471" xr:uid="{00000000-0005-0000-0000-00001C970000}"/>
    <cellStyle name="Normal 58 3 2 3 2 5 3" xfId="37038" xr:uid="{00000000-0005-0000-0000-00001D970000}"/>
    <cellStyle name="Normal 58 3 2 3 2 6" xfId="6900" xr:uid="{00000000-0005-0000-0000-00001E970000}"/>
    <cellStyle name="Normal 58 3 2 3 2 6 2" xfId="19349" xr:uid="{00000000-0005-0000-0000-00001F970000}"/>
    <cellStyle name="Normal 58 3 2 3 2 6 2 2" xfId="44223" xr:uid="{00000000-0005-0000-0000-000020970000}"/>
    <cellStyle name="Normal 58 3 2 3 2 6 3" xfId="31790" xr:uid="{00000000-0005-0000-0000-000021970000}"/>
    <cellStyle name="Normal 58 3 2 3 2 7" xfId="3354" xr:uid="{00000000-0005-0000-0000-000022970000}"/>
    <cellStyle name="Normal 58 3 2 3 2 7 2" xfId="15860" xr:uid="{00000000-0005-0000-0000-000023970000}"/>
    <cellStyle name="Normal 58 3 2 3 2 7 2 2" xfId="40734" xr:uid="{00000000-0005-0000-0000-000024970000}"/>
    <cellStyle name="Normal 58 3 2 3 2 7 3" xfId="28293" xr:uid="{00000000-0005-0000-0000-000025970000}"/>
    <cellStyle name="Normal 58 3 2 3 2 8" xfId="13617" xr:uid="{00000000-0005-0000-0000-000026970000}"/>
    <cellStyle name="Normal 58 3 2 3 2 8 2" xfId="38491" xr:uid="{00000000-0005-0000-0000-000027970000}"/>
    <cellStyle name="Normal 58 3 2 3 2 9" xfId="26050" xr:uid="{00000000-0005-0000-0000-000028970000}"/>
    <cellStyle name="Normal 58 3 2 3 3" xfId="1896" xr:uid="{00000000-0005-0000-0000-000029970000}"/>
    <cellStyle name="Normal 58 3 2 3 3 2" xfId="4634" xr:uid="{00000000-0005-0000-0000-00002A970000}"/>
    <cellStyle name="Normal 58 3 2 3 3 2 2" xfId="9652" xr:uid="{00000000-0005-0000-0000-00002B970000}"/>
    <cellStyle name="Normal 58 3 2 3 3 2 2 2" xfId="22095" xr:uid="{00000000-0005-0000-0000-00002C970000}"/>
    <cellStyle name="Normal 58 3 2 3 3 2 2 2 2" xfId="46969" xr:uid="{00000000-0005-0000-0000-00002D970000}"/>
    <cellStyle name="Normal 58 3 2 3 3 2 2 3" xfId="34536" xr:uid="{00000000-0005-0000-0000-00002E970000}"/>
    <cellStyle name="Normal 58 3 2 3 3 2 3" xfId="17088" xr:uid="{00000000-0005-0000-0000-00002F970000}"/>
    <cellStyle name="Normal 58 3 2 3 3 2 3 2" xfId="41962" xr:uid="{00000000-0005-0000-0000-000030970000}"/>
    <cellStyle name="Normal 58 3 2 3 3 2 4" xfId="29529" xr:uid="{00000000-0005-0000-0000-000031970000}"/>
    <cellStyle name="Normal 58 3 2 3 3 3" xfId="6042" xr:uid="{00000000-0005-0000-0000-000032970000}"/>
    <cellStyle name="Normal 58 3 2 3 3 3 2" xfId="11057" xr:uid="{00000000-0005-0000-0000-000033970000}"/>
    <cellStyle name="Normal 58 3 2 3 3 3 2 2" xfId="23500" xr:uid="{00000000-0005-0000-0000-000034970000}"/>
    <cellStyle name="Normal 58 3 2 3 3 3 2 2 2" xfId="48374" xr:uid="{00000000-0005-0000-0000-000035970000}"/>
    <cellStyle name="Normal 58 3 2 3 3 3 2 3" xfId="35941" xr:uid="{00000000-0005-0000-0000-000036970000}"/>
    <cellStyle name="Normal 58 3 2 3 3 3 3" xfId="18493" xr:uid="{00000000-0005-0000-0000-000037970000}"/>
    <cellStyle name="Normal 58 3 2 3 3 3 3 2" xfId="43367" xr:uid="{00000000-0005-0000-0000-000038970000}"/>
    <cellStyle name="Normal 58 3 2 3 3 3 4" xfId="30934" xr:uid="{00000000-0005-0000-0000-000039970000}"/>
    <cellStyle name="Normal 58 3 2 3 3 4" xfId="8768" xr:uid="{00000000-0005-0000-0000-00003A970000}"/>
    <cellStyle name="Normal 58 3 2 3 3 4 2" xfId="21212" xr:uid="{00000000-0005-0000-0000-00003B970000}"/>
    <cellStyle name="Normal 58 3 2 3 3 4 2 2" xfId="46086" xr:uid="{00000000-0005-0000-0000-00003C970000}"/>
    <cellStyle name="Normal 58 3 2 3 3 4 3" xfId="33653" xr:uid="{00000000-0005-0000-0000-00003D970000}"/>
    <cellStyle name="Normal 58 3 2 3 3 5" xfId="12511" xr:uid="{00000000-0005-0000-0000-00003E970000}"/>
    <cellStyle name="Normal 58 3 2 3 3 5 2" xfId="24945" xr:uid="{00000000-0005-0000-0000-00003F970000}"/>
    <cellStyle name="Normal 58 3 2 3 3 5 2 2" xfId="49819" xr:uid="{00000000-0005-0000-0000-000040970000}"/>
    <cellStyle name="Normal 58 3 2 3 3 5 3" xfId="37386" xr:uid="{00000000-0005-0000-0000-000041970000}"/>
    <cellStyle name="Normal 58 3 2 3 3 6" xfId="7245" xr:uid="{00000000-0005-0000-0000-000042970000}"/>
    <cellStyle name="Normal 58 3 2 3 3 6 2" xfId="19694" xr:uid="{00000000-0005-0000-0000-000043970000}"/>
    <cellStyle name="Normal 58 3 2 3 3 6 2 2" xfId="44568" xr:uid="{00000000-0005-0000-0000-000044970000}"/>
    <cellStyle name="Normal 58 3 2 3 3 6 3" xfId="32135" xr:uid="{00000000-0005-0000-0000-000045970000}"/>
    <cellStyle name="Normal 58 3 2 3 3 7" xfId="3699" xr:uid="{00000000-0005-0000-0000-000046970000}"/>
    <cellStyle name="Normal 58 3 2 3 3 7 2" xfId="16205" xr:uid="{00000000-0005-0000-0000-000047970000}"/>
    <cellStyle name="Normal 58 3 2 3 3 7 2 2" xfId="41079" xr:uid="{00000000-0005-0000-0000-000048970000}"/>
    <cellStyle name="Normal 58 3 2 3 3 7 3" xfId="28638" xr:uid="{00000000-0005-0000-0000-000049970000}"/>
    <cellStyle name="Normal 58 3 2 3 3 8" xfId="14696" xr:uid="{00000000-0005-0000-0000-00004A970000}"/>
    <cellStyle name="Normal 58 3 2 3 3 8 2" xfId="39570" xr:uid="{00000000-0005-0000-0000-00004B970000}"/>
    <cellStyle name="Normal 58 3 2 3 3 9" xfId="27129" xr:uid="{00000000-0005-0000-0000-00004C970000}"/>
    <cellStyle name="Normal 58 3 2 3 4" xfId="2375" xr:uid="{00000000-0005-0000-0000-00004D970000}"/>
    <cellStyle name="Normal 58 3 2 3 4 2" xfId="4999" xr:uid="{00000000-0005-0000-0000-00004E970000}"/>
    <cellStyle name="Normal 58 3 2 3 4 2 2" xfId="10016" xr:uid="{00000000-0005-0000-0000-00004F970000}"/>
    <cellStyle name="Normal 58 3 2 3 4 2 2 2" xfId="22459" xr:uid="{00000000-0005-0000-0000-000050970000}"/>
    <cellStyle name="Normal 58 3 2 3 4 2 2 2 2" xfId="47333" xr:uid="{00000000-0005-0000-0000-000051970000}"/>
    <cellStyle name="Normal 58 3 2 3 4 2 2 3" xfId="34900" xr:uid="{00000000-0005-0000-0000-000052970000}"/>
    <cellStyle name="Normal 58 3 2 3 4 2 3" xfId="17452" xr:uid="{00000000-0005-0000-0000-000053970000}"/>
    <cellStyle name="Normal 58 3 2 3 4 2 3 2" xfId="42326" xr:uid="{00000000-0005-0000-0000-000054970000}"/>
    <cellStyle name="Normal 58 3 2 3 4 2 4" xfId="29893" xr:uid="{00000000-0005-0000-0000-000055970000}"/>
    <cellStyle name="Normal 58 3 2 3 4 3" xfId="6397" xr:uid="{00000000-0005-0000-0000-000056970000}"/>
    <cellStyle name="Normal 58 3 2 3 4 3 2" xfId="11412" xr:uid="{00000000-0005-0000-0000-000057970000}"/>
    <cellStyle name="Normal 58 3 2 3 4 3 2 2" xfId="23855" xr:uid="{00000000-0005-0000-0000-000058970000}"/>
    <cellStyle name="Normal 58 3 2 3 4 3 2 2 2" xfId="48729" xr:uid="{00000000-0005-0000-0000-000059970000}"/>
    <cellStyle name="Normal 58 3 2 3 4 3 2 3" xfId="36296" xr:uid="{00000000-0005-0000-0000-00005A970000}"/>
    <cellStyle name="Normal 58 3 2 3 4 3 3" xfId="18848" xr:uid="{00000000-0005-0000-0000-00005B970000}"/>
    <cellStyle name="Normal 58 3 2 3 4 3 3 2" xfId="43722" xr:uid="{00000000-0005-0000-0000-00005C970000}"/>
    <cellStyle name="Normal 58 3 2 3 4 3 4" xfId="31289" xr:uid="{00000000-0005-0000-0000-00005D970000}"/>
    <cellStyle name="Normal 58 3 2 3 4 4" xfId="8104" xr:uid="{00000000-0005-0000-0000-00005E970000}"/>
    <cellStyle name="Normal 58 3 2 3 4 4 2" xfId="20550" xr:uid="{00000000-0005-0000-0000-00005F970000}"/>
    <cellStyle name="Normal 58 3 2 3 4 4 2 2" xfId="45424" xr:uid="{00000000-0005-0000-0000-000060970000}"/>
    <cellStyle name="Normal 58 3 2 3 4 4 3" xfId="32991" xr:uid="{00000000-0005-0000-0000-000061970000}"/>
    <cellStyle name="Normal 58 3 2 3 4 5" xfId="12866" xr:uid="{00000000-0005-0000-0000-000062970000}"/>
    <cellStyle name="Normal 58 3 2 3 4 5 2" xfId="25300" xr:uid="{00000000-0005-0000-0000-000063970000}"/>
    <cellStyle name="Normal 58 3 2 3 4 5 2 2" xfId="50174" xr:uid="{00000000-0005-0000-0000-000064970000}"/>
    <cellStyle name="Normal 58 3 2 3 4 5 3" xfId="37741" xr:uid="{00000000-0005-0000-0000-000065970000}"/>
    <cellStyle name="Normal 58 3 2 3 4 6" xfId="7610" xr:uid="{00000000-0005-0000-0000-000066970000}"/>
    <cellStyle name="Normal 58 3 2 3 4 6 2" xfId="20058" xr:uid="{00000000-0005-0000-0000-000067970000}"/>
    <cellStyle name="Normal 58 3 2 3 4 6 2 2" xfId="44932" xr:uid="{00000000-0005-0000-0000-000068970000}"/>
    <cellStyle name="Normal 58 3 2 3 4 6 3" xfId="32499" xr:uid="{00000000-0005-0000-0000-000069970000}"/>
    <cellStyle name="Normal 58 3 2 3 4 7" xfId="3034" xr:uid="{00000000-0005-0000-0000-00006A970000}"/>
    <cellStyle name="Normal 58 3 2 3 4 7 2" xfId="15543" xr:uid="{00000000-0005-0000-0000-00006B970000}"/>
    <cellStyle name="Normal 58 3 2 3 4 7 2 2" xfId="40417" xr:uid="{00000000-0005-0000-0000-00006C970000}"/>
    <cellStyle name="Normal 58 3 2 3 4 7 3" xfId="27976" xr:uid="{00000000-0005-0000-0000-00006D970000}"/>
    <cellStyle name="Normal 58 3 2 3 4 8" xfId="15051" xr:uid="{00000000-0005-0000-0000-00006E970000}"/>
    <cellStyle name="Normal 58 3 2 3 4 8 2" xfId="39925" xr:uid="{00000000-0005-0000-0000-00006F970000}"/>
    <cellStyle name="Normal 58 3 2 3 4 9" xfId="27484" xr:uid="{00000000-0005-0000-0000-000070970000}"/>
    <cellStyle name="Normal 58 3 2 3 5" xfId="1208" xr:uid="{00000000-0005-0000-0000-000071970000}"/>
    <cellStyle name="Normal 58 3 2 3 5 2" xfId="8990" xr:uid="{00000000-0005-0000-0000-000072970000}"/>
    <cellStyle name="Normal 58 3 2 3 5 2 2" xfId="21433" xr:uid="{00000000-0005-0000-0000-000073970000}"/>
    <cellStyle name="Normal 58 3 2 3 5 2 2 2" xfId="46307" xr:uid="{00000000-0005-0000-0000-000074970000}"/>
    <cellStyle name="Normal 58 3 2 3 5 2 3" xfId="33874" xr:uid="{00000000-0005-0000-0000-000075970000}"/>
    <cellStyle name="Normal 58 3 2 3 5 3" xfId="3972" xr:uid="{00000000-0005-0000-0000-000076970000}"/>
    <cellStyle name="Normal 58 3 2 3 5 3 2" xfId="16426" xr:uid="{00000000-0005-0000-0000-000077970000}"/>
    <cellStyle name="Normal 58 3 2 3 5 3 2 2" xfId="41300" xr:uid="{00000000-0005-0000-0000-000078970000}"/>
    <cellStyle name="Normal 58 3 2 3 5 3 3" xfId="28867" xr:uid="{00000000-0005-0000-0000-000079970000}"/>
    <cellStyle name="Normal 58 3 2 3 5 4" xfId="14008" xr:uid="{00000000-0005-0000-0000-00007A970000}"/>
    <cellStyle name="Normal 58 3 2 3 5 4 2" xfId="38882" xr:uid="{00000000-0005-0000-0000-00007B970000}"/>
    <cellStyle name="Normal 58 3 2 3 5 5" xfId="26441" xr:uid="{00000000-0005-0000-0000-00007C970000}"/>
    <cellStyle name="Normal 58 3 2 3 6" xfId="5353" xr:uid="{00000000-0005-0000-0000-00007D970000}"/>
    <cellStyle name="Normal 58 3 2 3 6 2" xfId="10369" xr:uid="{00000000-0005-0000-0000-00007E970000}"/>
    <cellStyle name="Normal 58 3 2 3 6 2 2" xfId="22812" xr:uid="{00000000-0005-0000-0000-00007F970000}"/>
    <cellStyle name="Normal 58 3 2 3 6 2 2 2" xfId="47686" xr:uid="{00000000-0005-0000-0000-000080970000}"/>
    <cellStyle name="Normal 58 3 2 3 6 2 3" xfId="35253" xr:uid="{00000000-0005-0000-0000-000081970000}"/>
    <cellStyle name="Normal 58 3 2 3 6 3" xfId="17805" xr:uid="{00000000-0005-0000-0000-000082970000}"/>
    <cellStyle name="Normal 58 3 2 3 6 3 2" xfId="42679" xr:uid="{00000000-0005-0000-0000-000083970000}"/>
    <cellStyle name="Normal 58 3 2 3 6 4" xfId="30246" xr:uid="{00000000-0005-0000-0000-000084970000}"/>
    <cellStyle name="Normal 58 3 2 3 7" xfId="7930" xr:uid="{00000000-0005-0000-0000-000085970000}"/>
    <cellStyle name="Normal 58 3 2 3 7 2" xfId="20376" xr:uid="{00000000-0005-0000-0000-000086970000}"/>
    <cellStyle name="Normal 58 3 2 3 7 2 2" xfId="45250" xr:uid="{00000000-0005-0000-0000-000087970000}"/>
    <cellStyle name="Normal 58 3 2 3 7 3" xfId="32817" xr:uid="{00000000-0005-0000-0000-000088970000}"/>
    <cellStyle name="Normal 58 3 2 3 8" xfId="11823" xr:uid="{00000000-0005-0000-0000-000089970000}"/>
    <cellStyle name="Normal 58 3 2 3 8 2" xfId="24257" xr:uid="{00000000-0005-0000-0000-00008A970000}"/>
    <cellStyle name="Normal 58 3 2 3 8 2 2" xfId="49131" xr:uid="{00000000-0005-0000-0000-00008B970000}"/>
    <cellStyle name="Normal 58 3 2 3 8 3" xfId="36698" xr:uid="{00000000-0005-0000-0000-00008C970000}"/>
    <cellStyle name="Normal 58 3 2 3 9" xfId="6583" xr:uid="{00000000-0005-0000-0000-00008D970000}"/>
    <cellStyle name="Normal 58 3 2 3 9 2" xfId="19032" xr:uid="{00000000-0005-0000-0000-00008E970000}"/>
    <cellStyle name="Normal 58 3 2 3 9 2 2" xfId="43906" xr:uid="{00000000-0005-0000-0000-00008F970000}"/>
    <cellStyle name="Normal 58 3 2 3 9 3" xfId="31473" xr:uid="{00000000-0005-0000-0000-000090970000}"/>
    <cellStyle name="Normal 58 3 2 3_Degree data" xfId="2513" xr:uid="{00000000-0005-0000-0000-000091970000}"/>
    <cellStyle name="Normal 58 3 2 4" xfId="394" xr:uid="{00000000-0005-0000-0000-000092970000}"/>
    <cellStyle name="Normal 58 3 2 4 10" xfId="13210" xr:uid="{00000000-0005-0000-0000-000093970000}"/>
    <cellStyle name="Normal 58 3 2 4 10 2" xfId="38084" xr:uid="{00000000-0005-0000-0000-000094970000}"/>
    <cellStyle name="Normal 58 3 2 4 11" xfId="25643" xr:uid="{00000000-0005-0000-0000-000095970000}"/>
    <cellStyle name="Normal 58 3 2 4 2" xfId="754" xr:uid="{00000000-0005-0000-0000-000096970000}"/>
    <cellStyle name="Normal 58 3 2 4 2 2" xfId="1549" xr:uid="{00000000-0005-0000-0000-000097970000}"/>
    <cellStyle name="Normal 58 3 2 4 2 2 2" xfId="9653" xr:uid="{00000000-0005-0000-0000-000098970000}"/>
    <cellStyle name="Normal 58 3 2 4 2 2 2 2" xfId="22096" xr:uid="{00000000-0005-0000-0000-000099970000}"/>
    <cellStyle name="Normal 58 3 2 4 2 2 2 2 2" xfId="46970" xr:uid="{00000000-0005-0000-0000-00009A970000}"/>
    <cellStyle name="Normal 58 3 2 4 2 2 2 3" xfId="34537" xr:uid="{00000000-0005-0000-0000-00009B970000}"/>
    <cellStyle name="Normal 58 3 2 4 2 2 3" xfId="4635" xr:uid="{00000000-0005-0000-0000-00009C970000}"/>
    <cellStyle name="Normal 58 3 2 4 2 2 3 2" xfId="17089" xr:uid="{00000000-0005-0000-0000-00009D970000}"/>
    <cellStyle name="Normal 58 3 2 4 2 2 3 2 2" xfId="41963" xr:uid="{00000000-0005-0000-0000-00009E970000}"/>
    <cellStyle name="Normal 58 3 2 4 2 2 3 3" xfId="29530" xr:uid="{00000000-0005-0000-0000-00009F970000}"/>
    <cellStyle name="Normal 58 3 2 4 2 2 4" xfId="14349" xr:uid="{00000000-0005-0000-0000-0000A0970000}"/>
    <cellStyle name="Normal 58 3 2 4 2 2 4 2" xfId="39223" xr:uid="{00000000-0005-0000-0000-0000A1970000}"/>
    <cellStyle name="Normal 58 3 2 4 2 2 5" xfId="26782" xr:uid="{00000000-0005-0000-0000-0000A2970000}"/>
    <cellStyle name="Normal 58 3 2 4 2 3" xfId="5694" xr:uid="{00000000-0005-0000-0000-0000A3970000}"/>
    <cellStyle name="Normal 58 3 2 4 2 3 2" xfId="10710" xr:uid="{00000000-0005-0000-0000-0000A4970000}"/>
    <cellStyle name="Normal 58 3 2 4 2 3 2 2" xfId="23153" xr:uid="{00000000-0005-0000-0000-0000A5970000}"/>
    <cellStyle name="Normal 58 3 2 4 2 3 2 2 2" xfId="48027" xr:uid="{00000000-0005-0000-0000-0000A6970000}"/>
    <cellStyle name="Normal 58 3 2 4 2 3 2 3" xfId="35594" xr:uid="{00000000-0005-0000-0000-0000A7970000}"/>
    <cellStyle name="Normal 58 3 2 4 2 3 3" xfId="18146" xr:uid="{00000000-0005-0000-0000-0000A8970000}"/>
    <cellStyle name="Normal 58 3 2 4 2 3 3 2" xfId="43020" xr:uid="{00000000-0005-0000-0000-0000A9970000}"/>
    <cellStyle name="Normal 58 3 2 4 2 3 4" xfId="30587" xr:uid="{00000000-0005-0000-0000-0000AA970000}"/>
    <cellStyle name="Normal 58 3 2 4 2 4" xfId="8769" xr:uid="{00000000-0005-0000-0000-0000AB970000}"/>
    <cellStyle name="Normal 58 3 2 4 2 4 2" xfId="21213" xr:uid="{00000000-0005-0000-0000-0000AC970000}"/>
    <cellStyle name="Normal 58 3 2 4 2 4 2 2" xfId="46087" xr:uid="{00000000-0005-0000-0000-0000AD970000}"/>
    <cellStyle name="Normal 58 3 2 4 2 4 3" xfId="33654" xr:uid="{00000000-0005-0000-0000-0000AE970000}"/>
    <cellStyle name="Normal 58 3 2 4 2 5" xfId="12164" xr:uid="{00000000-0005-0000-0000-0000AF970000}"/>
    <cellStyle name="Normal 58 3 2 4 2 5 2" xfId="24598" xr:uid="{00000000-0005-0000-0000-0000B0970000}"/>
    <cellStyle name="Normal 58 3 2 4 2 5 2 2" xfId="49472" xr:uid="{00000000-0005-0000-0000-0000B1970000}"/>
    <cellStyle name="Normal 58 3 2 4 2 5 3" xfId="37039" xr:uid="{00000000-0005-0000-0000-0000B2970000}"/>
    <cellStyle name="Normal 58 3 2 4 2 6" xfId="7246" xr:uid="{00000000-0005-0000-0000-0000B3970000}"/>
    <cellStyle name="Normal 58 3 2 4 2 6 2" xfId="19695" xr:uid="{00000000-0005-0000-0000-0000B4970000}"/>
    <cellStyle name="Normal 58 3 2 4 2 6 2 2" xfId="44569" xr:uid="{00000000-0005-0000-0000-0000B5970000}"/>
    <cellStyle name="Normal 58 3 2 4 2 6 3" xfId="32136" xr:uid="{00000000-0005-0000-0000-0000B6970000}"/>
    <cellStyle name="Normal 58 3 2 4 2 7" xfId="3700" xr:uid="{00000000-0005-0000-0000-0000B7970000}"/>
    <cellStyle name="Normal 58 3 2 4 2 7 2" xfId="16206" xr:uid="{00000000-0005-0000-0000-0000B8970000}"/>
    <cellStyle name="Normal 58 3 2 4 2 7 2 2" xfId="41080" xr:uid="{00000000-0005-0000-0000-0000B9970000}"/>
    <cellStyle name="Normal 58 3 2 4 2 7 3" xfId="28639" xr:uid="{00000000-0005-0000-0000-0000BA970000}"/>
    <cellStyle name="Normal 58 3 2 4 2 8" xfId="13557" xr:uid="{00000000-0005-0000-0000-0000BB970000}"/>
    <cellStyle name="Normal 58 3 2 4 2 8 2" xfId="38431" xr:uid="{00000000-0005-0000-0000-0000BC970000}"/>
    <cellStyle name="Normal 58 3 2 4 2 9" xfId="25990" xr:uid="{00000000-0005-0000-0000-0000BD970000}"/>
    <cellStyle name="Normal 58 3 2 4 3" xfId="1897" xr:uid="{00000000-0005-0000-0000-0000BE970000}"/>
    <cellStyle name="Normal 58 3 2 4 3 2" xfId="4939" xr:uid="{00000000-0005-0000-0000-0000BF970000}"/>
    <cellStyle name="Normal 58 3 2 4 3 2 2" xfId="9956" xr:uid="{00000000-0005-0000-0000-0000C0970000}"/>
    <cellStyle name="Normal 58 3 2 4 3 2 2 2" xfId="22399" xr:uid="{00000000-0005-0000-0000-0000C1970000}"/>
    <cellStyle name="Normal 58 3 2 4 3 2 2 2 2" xfId="47273" xr:uid="{00000000-0005-0000-0000-0000C2970000}"/>
    <cellStyle name="Normal 58 3 2 4 3 2 2 3" xfId="34840" xr:uid="{00000000-0005-0000-0000-0000C3970000}"/>
    <cellStyle name="Normal 58 3 2 4 3 2 3" xfId="17392" xr:uid="{00000000-0005-0000-0000-0000C4970000}"/>
    <cellStyle name="Normal 58 3 2 4 3 2 3 2" xfId="42266" xr:uid="{00000000-0005-0000-0000-0000C5970000}"/>
    <cellStyle name="Normal 58 3 2 4 3 2 4" xfId="29833" xr:uid="{00000000-0005-0000-0000-0000C6970000}"/>
    <cellStyle name="Normal 58 3 2 4 3 3" xfId="6043" xr:uid="{00000000-0005-0000-0000-0000C7970000}"/>
    <cellStyle name="Normal 58 3 2 4 3 3 2" xfId="11058" xr:uid="{00000000-0005-0000-0000-0000C8970000}"/>
    <cellStyle name="Normal 58 3 2 4 3 3 2 2" xfId="23501" xr:uid="{00000000-0005-0000-0000-0000C9970000}"/>
    <cellStyle name="Normal 58 3 2 4 3 3 2 2 2" xfId="48375" xr:uid="{00000000-0005-0000-0000-0000CA970000}"/>
    <cellStyle name="Normal 58 3 2 4 3 3 2 3" xfId="35942" xr:uid="{00000000-0005-0000-0000-0000CB970000}"/>
    <cellStyle name="Normal 58 3 2 4 3 3 3" xfId="18494" xr:uid="{00000000-0005-0000-0000-0000CC970000}"/>
    <cellStyle name="Normal 58 3 2 4 3 3 3 2" xfId="43368" xr:uid="{00000000-0005-0000-0000-0000CD970000}"/>
    <cellStyle name="Normal 58 3 2 4 3 3 4" xfId="30935" xr:uid="{00000000-0005-0000-0000-0000CE970000}"/>
    <cellStyle name="Normal 58 3 2 4 3 4" xfId="8363" xr:uid="{00000000-0005-0000-0000-0000CF970000}"/>
    <cellStyle name="Normal 58 3 2 4 3 4 2" xfId="20807" xr:uid="{00000000-0005-0000-0000-0000D0970000}"/>
    <cellStyle name="Normal 58 3 2 4 3 4 2 2" xfId="45681" xr:uid="{00000000-0005-0000-0000-0000D1970000}"/>
    <cellStyle name="Normal 58 3 2 4 3 4 3" xfId="33248" xr:uid="{00000000-0005-0000-0000-0000D2970000}"/>
    <cellStyle name="Normal 58 3 2 4 3 5" xfId="12512" xr:uid="{00000000-0005-0000-0000-0000D3970000}"/>
    <cellStyle name="Normal 58 3 2 4 3 5 2" xfId="24946" xr:uid="{00000000-0005-0000-0000-0000D4970000}"/>
    <cellStyle name="Normal 58 3 2 4 3 5 2 2" xfId="49820" xr:uid="{00000000-0005-0000-0000-0000D5970000}"/>
    <cellStyle name="Normal 58 3 2 4 3 5 3" xfId="37387" xr:uid="{00000000-0005-0000-0000-0000D6970000}"/>
    <cellStyle name="Normal 58 3 2 4 3 6" xfId="7550" xr:uid="{00000000-0005-0000-0000-0000D7970000}"/>
    <cellStyle name="Normal 58 3 2 4 3 6 2" xfId="19998" xr:uid="{00000000-0005-0000-0000-0000D8970000}"/>
    <cellStyle name="Normal 58 3 2 4 3 6 2 2" xfId="44872" xr:uid="{00000000-0005-0000-0000-0000D9970000}"/>
    <cellStyle name="Normal 58 3 2 4 3 6 3" xfId="32439" xr:uid="{00000000-0005-0000-0000-0000DA970000}"/>
    <cellStyle name="Normal 58 3 2 4 3 7" xfId="3294" xr:uid="{00000000-0005-0000-0000-0000DB970000}"/>
    <cellStyle name="Normal 58 3 2 4 3 7 2" xfId="15800" xr:uid="{00000000-0005-0000-0000-0000DC970000}"/>
    <cellStyle name="Normal 58 3 2 4 3 7 2 2" xfId="40674" xr:uid="{00000000-0005-0000-0000-0000DD970000}"/>
    <cellStyle name="Normal 58 3 2 4 3 7 3" xfId="28233" xr:uid="{00000000-0005-0000-0000-0000DE970000}"/>
    <cellStyle name="Normal 58 3 2 4 3 8" xfId="14697" xr:uid="{00000000-0005-0000-0000-0000DF970000}"/>
    <cellStyle name="Normal 58 3 2 4 3 8 2" xfId="39571" xr:uid="{00000000-0005-0000-0000-0000E0970000}"/>
    <cellStyle name="Normal 58 3 2 4 3 9" xfId="27130" xr:uid="{00000000-0005-0000-0000-0000E1970000}"/>
    <cellStyle name="Normal 58 3 2 4 4" xfId="2312" xr:uid="{00000000-0005-0000-0000-0000E2970000}"/>
    <cellStyle name="Normal 58 3 2 4 4 2" xfId="6337" xr:uid="{00000000-0005-0000-0000-0000E3970000}"/>
    <cellStyle name="Normal 58 3 2 4 4 2 2" xfId="11352" xr:uid="{00000000-0005-0000-0000-0000E4970000}"/>
    <cellStyle name="Normal 58 3 2 4 4 2 2 2" xfId="23795" xr:uid="{00000000-0005-0000-0000-0000E5970000}"/>
    <cellStyle name="Normal 58 3 2 4 4 2 2 2 2" xfId="48669" xr:uid="{00000000-0005-0000-0000-0000E6970000}"/>
    <cellStyle name="Normal 58 3 2 4 4 2 2 3" xfId="36236" xr:uid="{00000000-0005-0000-0000-0000E7970000}"/>
    <cellStyle name="Normal 58 3 2 4 4 2 3" xfId="18788" xr:uid="{00000000-0005-0000-0000-0000E8970000}"/>
    <cellStyle name="Normal 58 3 2 4 4 2 3 2" xfId="43662" xr:uid="{00000000-0005-0000-0000-0000E9970000}"/>
    <cellStyle name="Normal 58 3 2 4 4 2 4" xfId="31229" xr:uid="{00000000-0005-0000-0000-0000EA970000}"/>
    <cellStyle name="Normal 58 3 2 4 4 3" xfId="12806" xr:uid="{00000000-0005-0000-0000-0000EB970000}"/>
    <cellStyle name="Normal 58 3 2 4 4 3 2" xfId="25240" xr:uid="{00000000-0005-0000-0000-0000EC970000}"/>
    <cellStyle name="Normal 58 3 2 4 4 3 2 2" xfId="50114" xr:uid="{00000000-0005-0000-0000-0000ED970000}"/>
    <cellStyle name="Normal 58 3 2 4 4 3 3" xfId="37681" xr:uid="{00000000-0005-0000-0000-0000EE970000}"/>
    <cellStyle name="Normal 58 3 2 4 4 4" xfId="9247" xr:uid="{00000000-0005-0000-0000-0000EF970000}"/>
    <cellStyle name="Normal 58 3 2 4 4 4 2" xfId="21690" xr:uid="{00000000-0005-0000-0000-0000F0970000}"/>
    <cellStyle name="Normal 58 3 2 4 4 4 2 2" xfId="46564" xr:uid="{00000000-0005-0000-0000-0000F1970000}"/>
    <cellStyle name="Normal 58 3 2 4 4 4 3" xfId="34131" xr:uid="{00000000-0005-0000-0000-0000F2970000}"/>
    <cellStyle name="Normal 58 3 2 4 4 5" xfId="4229" xr:uid="{00000000-0005-0000-0000-0000F3970000}"/>
    <cellStyle name="Normal 58 3 2 4 4 5 2" xfId="16683" xr:uid="{00000000-0005-0000-0000-0000F4970000}"/>
    <cellStyle name="Normal 58 3 2 4 4 5 2 2" xfId="41557" xr:uid="{00000000-0005-0000-0000-0000F5970000}"/>
    <cellStyle name="Normal 58 3 2 4 4 5 3" xfId="29124" xr:uid="{00000000-0005-0000-0000-0000F6970000}"/>
    <cellStyle name="Normal 58 3 2 4 4 6" xfId="14991" xr:uid="{00000000-0005-0000-0000-0000F7970000}"/>
    <cellStyle name="Normal 58 3 2 4 4 6 2" xfId="39865" xr:uid="{00000000-0005-0000-0000-0000F8970000}"/>
    <cellStyle name="Normal 58 3 2 4 4 7" xfId="27424" xr:uid="{00000000-0005-0000-0000-0000F9970000}"/>
    <cellStyle name="Normal 58 3 2 4 5" xfId="1148" xr:uid="{00000000-0005-0000-0000-0000FA970000}"/>
    <cellStyle name="Normal 58 3 2 4 5 2" xfId="10309" xr:uid="{00000000-0005-0000-0000-0000FB970000}"/>
    <cellStyle name="Normal 58 3 2 4 5 2 2" xfId="22752" xr:uid="{00000000-0005-0000-0000-0000FC970000}"/>
    <cellStyle name="Normal 58 3 2 4 5 2 2 2" xfId="47626" xr:uid="{00000000-0005-0000-0000-0000FD970000}"/>
    <cellStyle name="Normal 58 3 2 4 5 2 3" xfId="35193" xr:uid="{00000000-0005-0000-0000-0000FE970000}"/>
    <cellStyle name="Normal 58 3 2 4 5 3" xfId="5293" xr:uid="{00000000-0005-0000-0000-0000FF970000}"/>
    <cellStyle name="Normal 58 3 2 4 5 3 2" xfId="17745" xr:uid="{00000000-0005-0000-0000-000000980000}"/>
    <cellStyle name="Normal 58 3 2 4 5 3 2 2" xfId="42619" xr:uid="{00000000-0005-0000-0000-000001980000}"/>
    <cellStyle name="Normal 58 3 2 4 5 3 3" xfId="30186" xr:uid="{00000000-0005-0000-0000-000002980000}"/>
    <cellStyle name="Normal 58 3 2 4 5 4" xfId="13948" xr:uid="{00000000-0005-0000-0000-000003980000}"/>
    <cellStyle name="Normal 58 3 2 4 5 4 2" xfId="38822" xr:uid="{00000000-0005-0000-0000-000004980000}"/>
    <cellStyle name="Normal 58 3 2 4 5 5" xfId="26381" xr:uid="{00000000-0005-0000-0000-000005980000}"/>
    <cellStyle name="Normal 58 3 2 4 6" xfId="7870" xr:uid="{00000000-0005-0000-0000-000006980000}"/>
    <cellStyle name="Normal 58 3 2 4 6 2" xfId="20316" xr:uid="{00000000-0005-0000-0000-000007980000}"/>
    <cellStyle name="Normal 58 3 2 4 6 2 2" xfId="45190" xr:uid="{00000000-0005-0000-0000-000008980000}"/>
    <cellStyle name="Normal 58 3 2 4 6 3" xfId="32757" xr:uid="{00000000-0005-0000-0000-000009980000}"/>
    <cellStyle name="Normal 58 3 2 4 7" xfId="11763" xr:uid="{00000000-0005-0000-0000-00000A980000}"/>
    <cellStyle name="Normal 58 3 2 4 7 2" xfId="24197" xr:uid="{00000000-0005-0000-0000-00000B980000}"/>
    <cellStyle name="Normal 58 3 2 4 7 2 2" xfId="49071" xr:uid="{00000000-0005-0000-0000-00000C980000}"/>
    <cellStyle name="Normal 58 3 2 4 7 3" xfId="36638" xr:uid="{00000000-0005-0000-0000-00000D980000}"/>
    <cellStyle name="Normal 58 3 2 4 8" xfId="6840" xr:uid="{00000000-0005-0000-0000-00000E980000}"/>
    <cellStyle name="Normal 58 3 2 4 8 2" xfId="19289" xr:uid="{00000000-0005-0000-0000-00000F980000}"/>
    <cellStyle name="Normal 58 3 2 4 8 2 2" xfId="44163" xr:uid="{00000000-0005-0000-0000-000010980000}"/>
    <cellStyle name="Normal 58 3 2 4 8 3" xfId="31730" xr:uid="{00000000-0005-0000-0000-000011980000}"/>
    <cellStyle name="Normal 58 3 2 4 9" xfId="2791" xr:uid="{00000000-0005-0000-0000-000012980000}"/>
    <cellStyle name="Normal 58 3 2 4 9 2" xfId="15309" xr:uid="{00000000-0005-0000-0000-000013980000}"/>
    <cellStyle name="Normal 58 3 2 4 9 2 2" xfId="40183" xr:uid="{00000000-0005-0000-0000-000014980000}"/>
    <cellStyle name="Normal 58 3 2 4 9 3" xfId="27742" xr:uid="{00000000-0005-0000-0000-000015980000}"/>
    <cellStyle name="Normal 58 3 2 4_Degree data" xfId="2514" xr:uid="{00000000-0005-0000-0000-000016980000}"/>
    <cellStyle name="Normal 58 3 2 5" xfId="227" xr:uid="{00000000-0005-0000-0000-000017980000}"/>
    <cellStyle name="Normal 58 3 2 5 2" xfId="1545" xr:uid="{00000000-0005-0000-0000-000018980000}"/>
    <cellStyle name="Normal 58 3 2 5 2 2" xfId="9090" xr:uid="{00000000-0005-0000-0000-000019980000}"/>
    <cellStyle name="Normal 58 3 2 5 2 2 2" xfId="21533" xr:uid="{00000000-0005-0000-0000-00001A980000}"/>
    <cellStyle name="Normal 58 3 2 5 2 2 2 2" xfId="46407" xr:uid="{00000000-0005-0000-0000-00001B980000}"/>
    <cellStyle name="Normal 58 3 2 5 2 2 3" xfId="33974" xr:uid="{00000000-0005-0000-0000-00001C980000}"/>
    <cellStyle name="Normal 58 3 2 5 2 3" xfId="4072" xr:uid="{00000000-0005-0000-0000-00001D980000}"/>
    <cellStyle name="Normal 58 3 2 5 2 3 2" xfId="16526" xr:uid="{00000000-0005-0000-0000-00001E980000}"/>
    <cellStyle name="Normal 58 3 2 5 2 3 2 2" xfId="41400" xr:uid="{00000000-0005-0000-0000-00001F980000}"/>
    <cellStyle name="Normal 58 3 2 5 2 3 3" xfId="28967" xr:uid="{00000000-0005-0000-0000-000020980000}"/>
    <cellStyle name="Normal 58 3 2 5 2 4" xfId="14345" xr:uid="{00000000-0005-0000-0000-000021980000}"/>
    <cellStyle name="Normal 58 3 2 5 2 4 2" xfId="39219" xr:uid="{00000000-0005-0000-0000-000022980000}"/>
    <cellStyle name="Normal 58 3 2 5 2 5" xfId="26778" xr:uid="{00000000-0005-0000-0000-000023980000}"/>
    <cellStyle name="Normal 58 3 2 5 3" xfId="5690" xr:uid="{00000000-0005-0000-0000-000024980000}"/>
    <cellStyle name="Normal 58 3 2 5 3 2" xfId="10706" xr:uid="{00000000-0005-0000-0000-000025980000}"/>
    <cellStyle name="Normal 58 3 2 5 3 2 2" xfId="23149" xr:uid="{00000000-0005-0000-0000-000026980000}"/>
    <cellStyle name="Normal 58 3 2 5 3 2 2 2" xfId="48023" xr:uid="{00000000-0005-0000-0000-000027980000}"/>
    <cellStyle name="Normal 58 3 2 5 3 2 3" xfId="35590" xr:uid="{00000000-0005-0000-0000-000028980000}"/>
    <cellStyle name="Normal 58 3 2 5 3 3" xfId="18142" xr:uid="{00000000-0005-0000-0000-000029980000}"/>
    <cellStyle name="Normal 58 3 2 5 3 3 2" xfId="43016" xr:uid="{00000000-0005-0000-0000-00002A980000}"/>
    <cellStyle name="Normal 58 3 2 5 3 4" xfId="30583" xr:uid="{00000000-0005-0000-0000-00002B980000}"/>
    <cellStyle name="Normal 58 3 2 5 4" xfId="8206" xr:uid="{00000000-0005-0000-0000-00002C980000}"/>
    <cellStyle name="Normal 58 3 2 5 4 2" xfId="20650" xr:uid="{00000000-0005-0000-0000-00002D980000}"/>
    <cellStyle name="Normal 58 3 2 5 4 2 2" xfId="45524" xr:uid="{00000000-0005-0000-0000-00002E980000}"/>
    <cellStyle name="Normal 58 3 2 5 4 3" xfId="33091" xr:uid="{00000000-0005-0000-0000-00002F980000}"/>
    <cellStyle name="Normal 58 3 2 5 5" xfId="12160" xr:uid="{00000000-0005-0000-0000-000030980000}"/>
    <cellStyle name="Normal 58 3 2 5 5 2" xfId="24594" xr:uid="{00000000-0005-0000-0000-000031980000}"/>
    <cellStyle name="Normal 58 3 2 5 5 2 2" xfId="49468" xr:uid="{00000000-0005-0000-0000-000032980000}"/>
    <cellStyle name="Normal 58 3 2 5 5 3" xfId="37035" xr:uid="{00000000-0005-0000-0000-000033980000}"/>
    <cellStyle name="Normal 58 3 2 5 6" xfId="6683" xr:uid="{00000000-0005-0000-0000-000034980000}"/>
    <cellStyle name="Normal 58 3 2 5 6 2" xfId="19132" xr:uid="{00000000-0005-0000-0000-000035980000}"/>
    <cellStyle name="Normal 58 3 2 5 6 2 2" xfId="44006" xr:uid="{00000000-0005-0000-0000-000036980000}"/>
    <cellStyle name="Normal 58 3 2 5 6 3" xfId="31573" xr:uid="{00000000-0005-0000-0000-000037980000}"/>
    <cellStyle name="Normal 58 3 2 5 7" xfId="3137" xr:uid="{00000000-0005-0000-0000-000038980000}"/>
    <cellStyle name="Normal 58 3 2 5 7 2" xfId="15643" xr:uid="{00000000-0005-0000-0000-000039980000}"/>
    <cellStyle name="Normal 58 3 2 5 7 2 2" xfId="40517" xr:uid="{00000000-0005-0000-0000-00003A980000}"/>
    <cellStyle name="Normal 58 3 2 5 7 3" xfId="28076" xr:uid="{00000000-0005-0000-0000-00003B980000}"/>
    <cellStyle name="Normal 58 3 2 5 8" xfId="13053" xr:uid="{00000000-0005-0000-0000-00003C980000}"/>
    <cellStyle name="Normal 58 3 2 5 8 2" xfId="37927" xr:uid="{00000000-0005-0000-0000-00003D980000}"/>
    <cellStyle name="Normal 58 3 2 5 9" xfId="25486" xr:uid="{00000000-0005-0000-0000-00003E980000}"/>
    <cellStyle name="Normal 58 3 2 6" xfId="591" xr:uid="{00000000-0005-0000-0000-00003F980000}"/>
    <cellStyle name="Normal 58 3 2 6 2" xfId="1893" xr:uid="{00000000-0005-0000-0000-000040980000}"/>
    <cellStyle name="Normal 58 3 2 6 2 2" xfId="9649" xr:uid="{00000000-0005-0000-0000-000041980000}"/>
    <cellStyle name="Normal 58 3 2 6 2 2 2" xfId="22092" xr:uid="{00000000-0005-0000-0000-000042980000}"/>
    <cellStyle name="Normal 58 3 2 6 2 2 2 2" xfId="46966" xr:uid="{00000000-0005-0000-0000-000043980000}"/>
    <cellStyle name="Normal 58 3 2 6 2 2 3" xfId="34533" xr:uid="{00000000-0005-0000-0000-000044980000}"/>
    <cellStyle name="Normal 58 3 2 6 2 3" xfId="4631" xr:uid="{00000000-0005-0000-0000-000045980000}"/>
    <cellStyle name="Normal 58 3 2 6 2 3 2" xfId="17085" xr:uid="{00000000-0005-0000-0000-000046980000}"/>
    <cellStyle name="Normal 58 3 2 6 2 3 2 2" xfId="41959" xr:uid="{00000000-0005-0000-0000-000047980000}"/>
    <cellStyle name="Normal 58 3 2 6 2 3 3" xfId="29526" xr:uid="{00000000-0005-0000-0000-000048980000}"/>
    <cellStyle name="Normal 58 3 2 6 2 4" xfId="14693" xr:uid="{00000000-0005-0000-0000-000049980000}"/>
    <cellStyle name="Normal 58 3 2 6 2 4 2" xfId="39567" xr:uid="{00000000-0005-0000-0000-00004A980000}"/>
    <cellStyle name="Normal 58 3 2 6 2 5" xfId="27126" xr:uid="{00000000-0005-0000-0000-00004B980000}"/>
    <cellStyle name="Normal 58 3 2 6 3" xfId="6039" xr:uid="{00000000-0005-0000-0000-00004C980000}"/>
    <cellStyle name="Normal 58 3 2 6 3 2" xfId="11054" xr:uid="{00000000-0005-0000-0000-00004D980000}"/>
    <cellStyle name="Normal 58 3 2 6 3 2 2" xfId="23497" xr:uid="{00000000-0005-0000-0000-00004E980000}"/>
    <cellStyle name="Normal 58 3 2 6 3 2 2 2" xfId="48371" xr:uid="{00000000-0005-0000-0000-00004F980000}"/>
    <cellStyle name="Normal 58 3 2 6 3 2 3" xfId="35938" xr:uid="{00000000-0005-0000-0000-000050980000}"/>
    <cellStyle name="Normal 58 3 2 6 3 3" xfId="18490" xr:uid="{00000000-0005-0000-0000-000051980000}"/>
    <cellStyle name="Normal 58 3 2 6 3 3 2" xfId="43364" xr:uid="{00000000-0005-0000-0000-000052980000}"/>
    <cellStyle name="Normal 58 3 2 6 3 4" xfId="30931" xr:uid="{00000000-0005-0000-0000-000053980000}"/>
    <cellStyle name="Normal 58 3 2 6 4" xfId="8765" xr:uid="{00000000-0005-0000-0000-000054980000}"/>
    <cellStyle name="Normal 58 3 2 6 4 2" xfId="21209" xr:uid="{00000000-0005-0000-0000-000055980000}"/>
    <cellStyle name="Normal 58 3 2 6 4 2 2" xfId="46083" xr:uid="{00000000-0005-0000-0000-000056980000}"/>
    <cellStyle name="Normal 58 3 2 6 4 3" xfId="33650" xr:uid="{00000000-0005-0000-0000-000057980000}"/>
    <cellStyle name="Normal 58 3 2 6 5" xfId="12508" xr:uid="{00000000-0005-0000-0000-000058980000}"/>
    <cellStyle name="Normal 58 3 2 6 5 2" xfId="24942" xr:uid="{00000000-0005-0000-0000-000059980000}"/>
    <cellStyle name="Normal 58 3 2 6 5 2 2" xfId="49816" xr:uid="{00000000-0005-0000-0000-00005A980000}"/>
    <cellStyle name="Normal 58 3 2 6 5 3" xfId="37383" xr:uid="{00000000-0005-0000-0000-00005B980000}"/>
    <cellStyle name="Normal 58 3 2 6 6" xfId="7242" xr:uid="{00000000-0005-0000-0000-00005C980000}"/>
    <cellStyle name="Normal 58 3 2 6 6 2" xfId="19691" xr:uid="{00000000-0005-0000-0000-00005D980000}"/>
    <cellStyle name="Normal 58 3 2 6 6 2 2" xfId="44565" xr:uid="{00000000-0005-0000-0000-00005E980000}"/>
    <cellStyle name="Normal 58 3 2 6 6 3" xfId="32132" xr:uid="{00000000-0005-0000-0000-00005F980000}"/>
    <cellStyle name="Normal 58 3 2 6 7" xfId="3696" xr:uid="{00000000-0005-0000-0000-000060980000}"/>
    <cellStyle name="Normal 58 3 2 6 7 2" xfId="16202" xr:uid="{00000000-0005-0000-0000-000061980000}"/>
    <cellStyle name="Normal 58 3 2 6 7 2 2" xfId="41076" xr:uid="{00000000-0005-0000-0000-000062980000}"/>
    <cellStyle name="Normal 58 3 2 6 7 3" xfId="28635" xr:uid="{00000000-0005-0000-0000-000063980000}"/>
    <cellStyle name="Normal 58 3 2 6 8" xfId="13400" xr:uid="{00000000-0005-0000-0000-000064980000}"/>
    <cellStyle name="Normal 58 3 2 6 8 2" xfId="38274" xr:uid="{00000000-0005-0000-0000-000065980000}"/>
    <cellStyle name="Normal 58 3 2 6 9" xfId="25833" xr:uid="{00000000-0005-0000-0000-000066980000}"/>
    <cellStyle name="Normal 58 3 2 7" xfId="2145" xr:uid="{00000000-0005-0000-0000-000067980000}"/>
    <cellStyle name="Normal 58 3 2 7 2" xfId="4782" xr:uid="{00000000-0005-0000-0000-000068980000}"/>
    <cellStyle name="Normal 58 3 2 7 2 2" xfId="9799" xr:uid="{00000000-0005-0000-0000-000069980000}"/>
    <cellStyle name="Normal 58 3 2 7 2 2 2" xfId="22242" xr:uid="{00000000-0005-0000-0000-00006A980000}"/>
    <cellStyle name="Normal 58 3 2 7 2 2 2 2" xfId="47116" xr:uid="{00000000-0005-0000-0000-00006B980000}"/>
    <cellStyle name="Normal 58 3 2 7 2 2 3" xfId="34683" xr:uid="{00000000-0005-0000-0000-00006C980000}"/>
    <cellStyle name="Normal 58 3 2 7 2 3" xfId="17235" xr:uid="{00000000-0005-0000-0000-00006D980000}"/>
    <cellStyle name="Normal 58 3 2 7 2 3 2" xfId="42109" xr:uid="{00000000-0005-0000-0000-00006E980000}"/>
    <cellStyle name="Normal 58 3 2 7 2 4" xfId="29676" xr:uid="{00000000-0005-0000-0000-00006F980000}"/>
    <cellStyle name="Normal 58 3 2 7 3" xfId="6180" xr:uid="{00000000-0005-0000-0000-000070980000}"/>
    <cellStyle name="Normal 58 3 2 7 3 2" xfId="11195" xr:uid="{00000000-0005-0000-0000-000071980000}"/>
    <cellStyle name="Normal 58 3 2 7 3 2 2" xfId="23638" xr:uid="{00000000-0005-0000-0000-000072980000}"/>
    <cellStyle name="Normal 58 3 2 7 3 2 2 2" xfId="48512" xr:uid="{00000000-0005-0000-0000-000073980000}"/>
    <cellStyle name="Normal 58 3 2 7 3 2 3" xfId="36079" xr:uid="{00000000-0005-0000-0000-000074980000}"/>
    <cellStyle name="Normal 58 3 2 7 3 3" xfId="18631" xr:uid="{00000000-0005-0000-0000-000075980000}"/>
    <cellStyle name="Normal 58 3 2 7 3 3 2" xfId="43505" xr:uid="{00000000-0005-0000-0000-000076980000}"/>
    <cellStyle name="Normal 58 3 2 7 3 4" xfId="31072" xr:uid="{00000000-0005-0000-0000-000077980000}"/>
    <cellStyle name="Normal 58 3 2 7 4" xfId="8044" xr:uid="{00000000-0005-0000-0000-000078980000}"/>
    <cellStyle name="Normal 58 3 2 7 4 2" xfId="20490" xr:uid="{00000000-0005-0000-0000-000079980000}"/>
    <cellStyle name="Normal 58 3 2 7 4 2 2" xfId="45364" xr:uid="{00000000-0005-0000-0000-00007A980000}"/>
    <cellStyle name="Normal 58 3 2 7 4 3" xfId="32931" xr:uid="{00000000-0005-0000-0000-00007B980000}"/>
    <cellStyle name="Normal 58 3 2 7 5" xfId="12649" xr:uid="{00000000-0005-0000-0000-00007C980000}"/>
    <cellStyle name="Normal 58 3 2 7 5 2" xfId="25083" xr:uid="{00000000-0005-0000-0000-00007D980000}"/>
    <cellStyle name="Normal 58 3 2 7 5 2 2" xfId="49957" xr:uid="{00000000-0005-0000-0000-00007E980000}"/>
    <cellStyle name="Normal 58 3 2 7 5 3" xfId="37524" xr:uid="{00000000-0005-0000-0000-00007F980000}"/>
    <cellStyle name="Normal 58 3 2 7 6" xfId="7393" xr:uid="{00000000-0005-0000-0000-000080980000}"/>
    <cellStyle name="Normal 58 3 2 7 6 2" xfId="19841" xr:uid="{00000000-0005-0000-0000-000081980000}"/>
    <cellStyle name="Normal 58 3 2 7 6 2 2" xfId="44715" xr:uid="{00000000-0005-0000-0000-000082980000}"/>
    <cellStyle name="Normal 58 3 2 7 6 3" xfId="32282" xr:uid="{00000000-0005-0000-0000-000083980000}"/>
    <cellStyle name="Normal 58 3 2 7 7" xfId="2971" xr:uid="{00000000-0005-0000-0000-000084980000}"/>
    <cellStyle name="Normal 58 3 2 7 7 2" xfId="15483" xr:uid="{00000000-0005-0000-0000-000085980000}"/>
    <cellStyle name="Normal 58 3 2 7 7 2 2" xfId="40357" xr:uid="{00000000-0005-0000-0000-000086980000}"/>
    <cellStyle name="Normal 58 3 2 7 7 3" xfId="27916" xr:uid="{00000000-0005-0000-0000-000087980000}"/>
    <cellStyle name="Normal 58 3 2 7 8" xfId="14834" xr:uid="{00000000-0005-0000-0000-000088980000}"/>
    <cellStyle name="Normal 58 3 2 7 8 2" xfId="39708" xr:uid="{00000000-0005-0000-0000-000089980000}"/>
    <cellStyle name="Normal 58 3 2 7 9" xfId="27267" xr:uid="{00000000-0005-0000-0000-00008A980000}"/>
    <cellStyle name="Normal 58 3 2 8" xfId="991" xr:uid="{00000000-0005-0000-0000-00008B980000}"/>
    <cellStyle name="Normal 58 3 2 8 2" xfId="8930" xr:uid="{00000000-0005-0000-0000-00008C980000}"/>
    <cellStyle name="Normal 58 3 2 8 2 2" xfId="21373" xr:uid="{00000000-0005-0000-0000-00008D980000}"/>
    <cellStyle name="Normal 58 3 2 8 2 2 2" xfId="46247" xr:uid="{00000000-0005-0000-0000-00008E980000}"/>
    <cellStyle name="Normal 58 3 2 8 2 3" xfId="33814" xr:uid="{00000000-0005-0000-0000-00008F980000}"/>
    <cellStyle name="Normal 58 3 2 8 3" xfId="3912" xr:uid="{00000000-0005-0000-0000-000090980000}"/>
    <cellStyle name="Normal 58 3 2 8 3 2" xfId="16366" xr:uid="{00000000-0005-0000-0000-000091980000}"/>
    <cellStyle name="Normal 58 3 2 8 3 2 2" xfId="41240" xr:uid="{00000000-0005-0000-0000-000092980000}"/>
    <cellStyle name="Normal 58 3 2 8 3 3" xfId="28807" xr:uid="{00000000-0005-0000-0000-000093980000}"/>
    <cellStyle name="Normal 58 3 2 8 4" xfId="13791" xr:uid="{00000000-0005-0000-0000-000094980000}"/>
    <cellStyle name="Normal 58 3 2 8 4 2" xfId="38665" xr:uid="{00000000-0005-0000-0000-000095980000}"/>
    <cellStyle name="Normal 58 3 2 8 5" xfId="26224" xr:uid="{00000000-0005-0000-0000-000096980000}"/>
    <cellStyle name="Normal 58 3 2 9" xfId="5134" xr:uid="{00000000-0005-0000-0000-000097980000}"/>
    <cellStyle name="Normal 58 3 2 9 2" xfId="10150" xr:uid="{00000000-0005-0000-0000-000098980000}"/>
    <cellStyle name="Normal 58 3 2 9 2 2" xfId="22593" xr:uid="{00000000-0005-0000-0000-000099980000}"/>
    <cellStyle name="Normal 58 3 2 9 2 2 2" xfId="47467" xr:uid="{00000000-0005-0000-0000-00009A980000}"/>
    <cellStyle name="Normal 58 3 2 9 2 3" xfId="35034" xr:uid="{00000000-0005-0000-0000-00009B980000}"/>
    <cellStyle name="Normal 58 3 2 9 3" xfId="17586" xr:uid="{00000000-0005-0000-0000-00009C980000}"/>
    <cellStyle name="Normal 58 3 2 9 3 2" xfId="42460" xr:uid="{00000000-0005-0000-0000-00009D980000}"/>
    <cellStyle name="Normal 58 3 2 9 4" xfId="30027" xr:uid="{00000000-0005-0000-0000-00009E980000}"/>
    <cellStyle name="Normal 58 3 2_Degree data" xfId="2510" xr:uid="{00000000-0005-0000-0000-00009F980000}"/>
    <cellStyle name="Normal 58 3 3" xfId="178" xr:uid="{00000000-0005-0000-0000-0000A0980000}"/>
    <cellStyle name="Normal 58 3 3 10" xfId="6566" xr:uid="{00000000-0005-0000-0000-0000A1980000}"/>
    <cellStyle name="Normal 58 3 3 10 2" xfId="19015" xr:uid="{00000000-0005-0000-0000-0000A2980000}"/>
    <cellStyle name="Normal 58 3 3 10 2 2" xfId="43889" xr:uid="{00000000-0005-0000-0000-0000A3980000}"/>
    <cellStyle name="Normal 58 3 3 10 3" xfId="31456" xr:uid="{00000000-0005-0000-0000-0000A4980000}"/>
    <cellStyle name="Normal 58 3 3 11" xfId="2734" xr:uid="{00000000-0005-0000-0000-0000A5980000}"/>
    <cellStyle name="Normal 58 3 3 11 2" xfId="15252" xr:uid="{00000000-0005-0000-0000-0000A6980000}"/>
    <cellStyle name="Normal 58 3 3 11 2 2" xfId="40126" xr:uid="{00000000-0005-0000-0000-0000A7980000}"/>
    <cellStyle name="Normal 58 3 3 11 3" xfId="27685" xr:uid="{00000000-0005-0000-0000-0000A8980000}"/>
    <cellStyle name="Normal 58 3 3 12" xfId="13008" xr:uid="{00000000-0005-0000-0000-0000A9980000}"/>
    <cellStyle name="Normal 58 3 3 12 2" xfId="37882" xr:uid="{00000000-0005-0000-0000-0000AA980000}"/>
    <cellStyle name="Normal 58 3 3 13" xfId="25441" xr:uid="{00000000-0005-0000-0000-0000AB980000}"/>
    <cellStyle name="Normal 58 3 3 2" xfId="439" xr:uid="{00000000-0005-0000-0000-0000AC980000}"/>
    <cellStyle name="Normal 58 3 3 2 10" xfId="13253" xr:uid="{00000000-0005-0000-0000-0000AD980000}"/>
    <cellStyle name="Normal 58 3 3 2 10 2" xfId="38127" xr:uid="{00000000-0005-0000-0000-0000AE980000}"/>
    <cellStyle name="Normal 58 3 3 2 11" xfId="25686" xr:uid="{00000000-0005-0000-0000-0000AF980000}"/>
    <cellStyle name="Normal 58 3 3 2 2" xfId="799" xr:uid="{00000000-0005-0000-0000-0000B0980000}"/>
    <cellStyle name="Normal 58 3 3 2 2 2" xfId="1551" xr:uid="{00000000-0005-0000-0000-0000B1980000}"/>
    <cellStyle name="Normal 58 3 3 2 2 2 2" xfId="9655" xr:uid="{00000000-0005-0000-0000-0000B2980000}"/>
    <cellStyle name="Normal 58 3 3 2 2 2 2 2" xfId="22098" xr:uid="{00000000-0005-0000-0000-0000B3980000}"/>
    <cellStyle name="Normal 58 3 3 2 2 2 2 2 2" xfId="46972" xr:uid="{00000000-0005-0000-0000-0000B4980000}"/>
    <cellStyle name="Normal 58 3 3 2 2 2 2 3" xfId="34539" xr:uid="{00000000-0005-0000-0000-0000B5980000}"/>
    <cellStyle name="Normal 58 3 3 2 2 2 3" xfId="4637" xr:uid="{00000000-0005-0000-0000-0000B6980000}"/>
    <cellStyle name="Normal 58 3 3 2 2 2 3 2" xfId="17091" xr:uid="{00000000-0005-0000-0000-0000B7980000}"/>
    <cellStyle name="Normal 58 3 3 2 2 2 3 2 2" xfId="41965" xr:uid="{00000000-0005-0000-0000-0000B8980000}"/>
    <cellStyle name="Normal 58 3 3 2 2 2 3 3" xfId="29532" xr:uid="{00000000-0005-0000-0000-0000B9980000}"/>
    <cellStyle name="Normal 58 3 3 2 2 2 4" xfId="14351" xr:uid="{00000000-0005-0000-0000-0000BA980000}"/>
    <cellStyle name="Normal 58 3 3 2 2 2 4 2" xfId="39225" xr:uid="{00000000-0005-0000-0000-0000BB980000}"/>
    <cellStyle name="Normal 58 3 3 2 2 2 5" xfId="26784" xr:uid="{00000000-0005-0000-0000-0000BC980000}"/>
    <cellStyle name="Normal 58 3 3 2 2 3" xfId="5696" xr:uid="{00000000-0005-0000-0000-0000BD980000}"/>
    <cellStyle name="Normal 58 3 3 2 2 3 2" xfId="10712" xr:uid="{00000000-0005-0000-0000-0000BE980000}"/>
    <cellStyle name="Normal 58 3 3 2 2 3 2 2" xfId="23155" xr:uid="{00000000-0005-0000-0000-0000BF980000}"/>
    <cellStyle name="Normal 58 3 3 2 2 3 2 2 2" xfId="48029" xr:uid="{00000000-0005-0000-0000-0000C0980000}"/>
    <cellStyle name="Normal 58 3 3 2 2 3 2 3" xfId="35596" xr:uid="{00000000-0005-0000-0000-0000C1980000}"/>
    <cellStyle name="Normal 58 3 3 2 2 3 3" xfId="18148" xr:uid="{00000000-0005-0000-0000-0000C2980000}"/>
    <cellStyle name="Normal 58 3 3 2 2 3 3 2" xfId="43022" xr:uid="{00000000-0005-0000-0000-0000C3980000}"/>
    <cellStyle name="Normal 58 3 3 2 2 3 4" xfId="30589" xr:uid="{00000000-0005-0000-0000-0000C4980000}"/>
    <cellStyle name="Normal 58 3 3 2 2 4" xfId="8771" xr:uid="{00000000-0005-0000-0000-0000C5980000}"/>
    <cellStyle name="Normal 58 3 3 2 2 4 2" xfId="21215" xr:uid="{00000000-0005-0000-0000-0000C6980000}"/>
    <cellStyle name="Normal 58 3 3 2 2 4 2 2" xfId="46089" xr:uid="{00000000-0005-0000-0000-0000C7980000}"/>
    <cellStyle name="Normal 58 3 3 2 2 4 3" xfId="33656" xr:uid="{00000000-0005-0000-0000-0000C8980000}"/>
    <cellStyle name="Normal 58 3 3 2 2 5" xfId="12166" xr:uid="{00000000-0005-0000-0000-0000C9980000}"/>
    <cellStyle name="Normal 58 3 3 2 2 5 2" xfId="24600" xr:uid="{00000000-0005-0000-0000-0000CA980000}"/>
    <cellStyle name="Normal 58 3 3 2 2 5 2 2" xfId="49474" xr:uid="{00000000-0005-0000-0000-0000CB980000}"/>
    <cellStyle name="Normal 58 3 3 2 2 5 3" xfId="37041" xr:uid="{00000000-0005-0000-0000-0000CC980000}"/>
    <cellStyle name="Normal 58 3 3 2 2 6" xfId="7248" xr:uid="{00000000-0005-0000-0000-0000CD980000}"/>
    <cellStyle name="Normal 58 3 3 2 2 6 2" xfId="19697" xr:uid="{00000000-0005-0000-0000-0000CE980000}"/>
    <cellStyle name="Normal 58 3 3 2 2 6 2 2" xfId="44571" xr:uid="{00000000-0005-0000-0000-0000CF980000}"/>
    <cellStyle name="Normal 58 3 3 2 2 6 3" xfId="32138" xr:uid="{00000000-0005-0000-0000-0000D0980000}"/>
    <cellStyle name="Normal 58 3 3 2 2 7" xfId="3702" xr:uid="{00000000-0005-0000-0000-0000D1980000}"/>
    <cellStyle name="Normal 58 3 3 2 2 7 2" xfId="16208" xr:uid="{00000000-0005-0000-0000-0000D2980000}"/>
    <cellStyle name="Normal 58 3 3 2 2 7 2 2" xfId="41082" xr:uid="{00000000-0005-0000-0000-0000D3980000}"/>
    <cellStyle name="Normal 58 3 3 2 2 7 3" xfId="28641" xr:uid="{00000000-0005-0000-0000-0000D4980000}"/>
    <cellStyle name="Normal 58 3 3 2 2 8" xfId="13600" xr:uid="{00000000-0005-0000-0000-0000D5980000}"/>
    <cellStyle name="Normal 58 3 3 2 2 8 2" xfId="38474" xr:uid="{00000000-0005-0000-0000-0000D6980000}"/>
    <cellStyle name="Normal 58 3 3 2 2 9" xfId="26033" xr:uid="{00000000-0005-0000-0000-0000D7980000}"/>
    <cellStyle name="Normal 58 3 3 2 3" xfId="1899" xr:uid="{00000000-0005-0000-0000-0000D8980000}"/>
    <cellStyle name="Normal 58 3 3 2 3 2" xfId="4982" xr:uid="{00000000-0005-0000-0000-0000D9980000}"/>
    <cellStyle name="Normal 58 3 3 2 3 2 2" xfId="9999" xr:uid="{00000000-0005-0000-0000-0000DA980000}"/>
    <cellStyle name="Normal 58 3 3 2 3 2 2 2" xfId="22442" xr:uid="{00000000-0005-0000-0000-0000DB980000}"/>
    <cellStyle name="Normal 58 3 3 2 3 2 2 2 2" xfId="47316" xr:uid="{00000000-0005-0000-0000-0000DC980000}"/>
    <cellStyle name="Normal 58 3 3 2 3 2 2 3" xfId="34883" xr:uid="{00000000-0005-0000-0000-0000DD980000}"/>
    <cellStyle name="Normal 58 3 3 2 3 2 3" xfId="17435" xr:uid="{00000000-0005-0000-0000-0000DE980000}"/>
    <cellStyle name="Normal 58 3 3 2 3 2 3 2" xfId="42309" xr:uid="{00000000-0005-0000-0000-0000DF980000}"/>
    <cellStyle name="Normal 58 3 3 2 3 2 4" xfId="29876" xr:uid="{00000000-0005-0000-0000-0000E0980000}"/>
    <cellStyle name="Normal 58 3 3 2 3 3" xfId="6045" xr:uid="{00000000-0005-0000-0000-0000E1980000}"/>
    <cellStyle name="Normal 58 3 3 2 3 3 2" xfId="11060" xr:uid="{00000000-0005-0000-0000-0000E2980000}"/>
    <cellStyle name="Normal 58 3 3 2 3 3 2 2" xfId="23503" xr:uid="{00000000-0005-0000-0000-0000E3980000}"/>
    <cellStyle name="Normal 58 3 3 2 3 3 2 2 2" xfId="48377" xr:uid="{00000000-0005-0000-0000-0000E4980000}"/>
    <cellStyle name="Normal 58 3 3 2 3 3 2 3" xfId="35944" xr:uid="{00000000-0005-0000-0000-0000E5980000}"/>
    <cellStyle name="Normal 58 3 3 2 3 3 3" xfId="18496" xr:uid="{00000000-0005-0000-0000-0000E6980000}"/>
    <cellStyle name="Normal 58 3 3 2 3 3 3 2" xfId="43370" xr:uid="{00000000-0005-0000-0000-0000E7980000}"/>
    <cellStyle name="Normal 58 3 3 2 3 3 4" xfId="30937" xr:uid="{00000000-0005-0000-0000-0000E8980000}"/>
    <cellStyle name="Normal 58 3 3 2 3 4" xfId="8406" xr:uid="{00000000-0005-0000-0000-0000E9980000}"/>
    <cellStyle name="Normal 58 3 3 2 3 4 2" xfId="20850" xr:uid="{00000000-0005-0000-0000-0000EA980000}"/>
    <cellStyle name="Normal 58 3 3 2 3 4 2 2" xfId="45724" xr:uid="{00000000-0005-0000-0000-0000EB980000}"/>
    <cellStyle name="Normal 58 3 3 2 3 4 3" xfId="33291" xr:uid="{00000000-0005-0000-0000-0000EC980000}"/>
    <cellStyle name="Normal 58 3 3 2 3 5" xfId="12514" xr:uid="{00000000-0005-0000-0000-0000ED980000}"/>
    <cellStyle name="Normal 58 3 3 2 3 5 2" xfId="24948" xr:uid="{00000000-0005-0000-0000-0000EE980000}"/>
    <cellStyle name="Normal 58 3 3 2 3 5 2 2" xfId="49822" xr:uid="{00000000-0005-0000-0000-0000EF980000}"/>
    <cellStyle name="Normal 58 3 3 2 3 5 3" xfId="37389" xr:uid="{00000000-0005-0000-0000-0000F0980000}"/>
    <cellStyle name="Normal 58 3 3 2 3 6" xfId="7593" xr:uid="{00000000-0005-0000-0000-0000F1980000}"/>
    <cellStyle name="Normal 58 3 3 2 3 6 2" xfId="20041" xr:uid="{00000000-0005-0000-0000-0000F2980000}"/>
    <cellStyle name="Normal 58 3 3 2 3 6 2 2" xfId="44915" xr:uid="{00000000-0005-0000-0000-0000F3980000}"/>
    <cellStyle name="Normal 58 3 3 2 3 6 3" xfId="32482" xr:uid="{00000000-0005-0000-0000-0000F4980000}"/>
    <cellStyle name="Normal 58 3 3 2 3 7" xfId="3337" xr:uid="{00000000-0005-0000-0000-0000F5980000}"/>
    <cellStyle name="Normal 58 3 3 2 3 7 2" xfId="15843" xr:uid="{00000000-0005-0000-0000-0000F6980000}"/>
    <cellStyle name="Normal 58 3 3 2 3 7 2 2" xfId="40717" xr:uid="{00000000-0005-0000-0000-0000F7980000}"/>
    <cellStyle name="Normal 58 3 3 2 3 7 3" xfId="28276" xr:uid="{00000000-0005-0000-0000-0000F8980000}"/>
    <cellStyle name="Normal 58 3 3 2 3 8" xfId="14699" xr:uid="{00000000-0005-0000-0000-0000F9980000}"/>
    <cellStyle name="Normal 58 3 3 2 3 8 2" xfId="39573" xr:uid="{00000000-0005-0000-0000-0000FA980000}"/>
    <cellStyle name="Normal 58 3 3 2 3 9" xfId="27132" xr:uid="{00000000-0005-0000-0000-0000FB980000}"/>
    <cellStyle name="Normal 58 3 3 2 4" xfId="2357" xr:uid="{00000000-0005-0000-0000-0000FC980000}"/>
    <cellStyle name="Normal 58 3 3 2 4 2" xfId="6380" xr:uid="{00000000-0005-0000-0000-0000FD980000}"/>
    <cellStyle name="Normal 58 3 3 2 4 2 2" xfId="11395" xr:uid="{00000000-0005-0000-0000-0000FE980000}"/>
    <cellStyle name="Normal 58 3 3 2 4 2 2 2" xfId="23838" xr:uid="{00000000-0005-0000-0000-0000FF980000}"/>
    <cellStyle name="Normal 58 3 3 2 4 2 2 2 2" xfId="48712" xr:uid="{00000000-0005-0000-0000-000000990000}"/>
    <cellStyle name="Normal 58 3 3 2 4 2 2 3" xfId="36279" xr:uid="{00000000-0005-0000-0000-000001990000}"/>
    <cellStyle name="Normal 58 3 3 2 4 2 3" xfId="18831" xr:uid="{00000000-0005-0000-0000-000002990000}"/>
    <cellStyle name="Normal 58 3 3 2 4 2 3 2" xfId="43705" xr:uid="{00000000-0005-0000-0000-000003990000}"/>
    <cellStyle name="Normal 58 3 3 2 4 2 4" xfId="31272" xr:uid="{00000000-0005-0000-0000-000004990000}"/>
    <cellStyle name="Normal 58 3 3 2 4 3" xfId="12849" xr:uid="{00000000-0005-0000-0000-000005990000}"/>
    <cellStyle name="Normal 58 3 3 2 4 3 2" xfId="25283" xr:uid="{00000000-0005-0000-0000-000006990000}"/>
    <cellStyle name="Normal 58 3 3 2 4 3 2 2" xfId="50157" xr:uid="{00000000-0005-0000-0000-000007990000}"/>
    <cellStyle name="Normal 58 3 3 2 4 3 3" xfId="37724" xr:uid="{00000000-0005-0000-0000-000008990000}"/>
    <cellStyle name="Normal 58 3 3 2 4 4" xfId="9290" xr:uid="{00000000-0005-0000-0000-000009990000}"/>
    <cellStyle name="Normal 58 3 3 2 4 4 2" xfId="21733" xr:uid="{00000000-0005-0000-0000-00000A990000}"/>
    <cellStyle name="Normal 58 3 3 2 4 4 2 2" xfId="46607" xr:uid="{00000000-0005-0000-0000-00000B990000}"/>
    <cellStyle name="Normal 58 3 3 2 4 4 3" xfId="34174" xr:uid="{00000000-0005-0000-0000-00000C990000}"/>
    <cellStyle name="Normal 58 3 3 2 4 5" xfId="4272" xr:uid="{00000000-0005-0000-0000-00000D990000}"/>
    <cellStyle name="Normal 58 3 3 2 4 5 2" xfId="16726" xr:uid="{00000000-0005-0000-0000-00000E990000}"/>
    <cellStyle name="Normal 58 3 3 2 4 5 2 2" xfId="41600" xr:uid="{00000000-0005-0000-0000-00000F990000}"/>
    <cellStyle name="Normal 58 3 3 2 4 5 3" xfId="29167" xr:uid="{00000000-0005-0000-0000-000010990000}"/>
    <cellStyle name="Normal 58 3 3 2 4 6" xfId="15034" xr:uid="{00000000-0005-0000-0000-000011990000}"/>
    <cellStyle name="Normal 58 3 3 2 4 6 2" xfId="39908" xr:uid="{00000000-0005-0000-0000-000012990000}"/>
    <cellStyle name="Normal 58 3 3 2 4 7" xfId="27467" xr:uid="{00000000-0005-0000-0000-000013990000}"/>
    <cellStyle name="Normal 58 3 3 2 5" xfId="1191" xr:uid="{00000000-0005-0000-0000-000014990000}"/>
    <cellStyle name="Normal 58 3 3 2 5 2" xfId="10352" xr:uid="{00000000-0005-0000-0000-000015990000}"/>
    <cellStyle name="Normal 58 3 3 2 5 2 2" xfId="22795" xr:uid="{00000000-0005-0000-0000-000016990000}"/>
    <cellStyle name="Normal 58 3 3 2 5 2 2 2" xfId="47669" xr:uid="{00000000-0005-0000-0000-000017990000}"/>
    <cellStyle name="Normal 58 3 3 2 5 2 3" xfId="35236" xr:uid="{00000000-0005-0000-0000-000018990000}"/>
    <cellStyle name="Normal 58 3 3 2 5 3" xfId="5336" xr:uid="{00000000-0005-0000-0000-000019990000}"/>
    <cellStyle name="Normal 58 3 3 2 5 3 2" xfId="17788" xr:uid="{00000000-0005-0000-0000-00001A990000}"/>
    <cellStyle name="Normal 58 3 3 2 5 3 2 2" xfId="42662" xr:uid="{00000000-0005-0000-0000-00001B990000}"/>
    <cellStyle name="Normal 58 3 3 2 5 3 3" xfId="30229" xr:uid="{00000000-0005-0000-0000-00001C990000}"/>
    <cellStyle name="Normal 58 3 3 2 5 4" xfId="13991" xr:uid="{00000000-0005-0000-0000-00001D990000}"/>
    <cellStyle name="Normal 58 3 3 2 5 4 2" xfId="38865" xr:uid="{00000000-0005-0000-0000-00001E990000}"/>
    <cellStyle name="Normal 58 3 3 2 5 5" xfId="26424" xr:uid="{00000000-0005-0000-0000-00001F990000}"/>
    <cellStyle name="Normal 58 3 3 2 6" xfId="7913" xr:uid="{00000000-0005-0000-0000-000020990000}"/>
    <cellStyle name="Normal 58 3 3 2 6 2" xfId="20359" xr:uid="{00000000-0005-0000-0000-000021990000}"/>
    <cellStyle name="Normal 58 3 3 2 6 2 2" xfId="45233" xr:uid="{00000000-0005-0000-0000-000022990000}"/>
    <cellStyle name="Normal 58 3 3 2 6 3" xfId="32800" xr:uid="{00000000-0005-0000-0000-000023990000}"/>
    <cellStyle name="Normal 58 3 3 2 7" xfId="11806" xr:uid="{00000000-0005-0000-0000-000024990000}"/>
    <cellStyle name="Normal 58 3 3 2 7 2" xfId="24240" xr:uid="{00000000-0005-0000-0000-000025990000}"/>
    <cellStyle name="Normal 58 3 3 2 7 2 2" xfId="49114" xr:uid="{00000000-0005-0000-0000-000026990000}"/>
    <cellStyle name="Normal 58 3 3 2 7 3" xfId="36681" xr:uid="{00000000-0005-0000-0000-000027990000}"/>
    <cellStyle name="Normal 58 3 3 2 8" xfId="6883" xr:uid="{00000000-0005-0000-0000-000028990000}"/>
    <cellStyle name="Normal 58 3 3 2 8 2" xfId="19332" xr:uid="{00000000-0005-0000-0000-000029990000}"/>
    <cellStyle name="Normal 58 3 3 2 8 2 2" xfId="44206" xr:uid="{00000000-0005-0000-0000-00002A990000}"/>
    <cellStyle name="Normal 58 3 3 2 8 3" xfId="31773" xr:uid="{00000000-0005-0000-0000-00002B990000}"/>
    <cellStyle name="Normal 58 3 3 2 9" xfId="2834" xr:uid="{00000000-0005-0000-0000-00002C990000}"/>
    <cellStyle name="Normal 58 3 3 2 9 2" xfId="15352" xr:uid="{00000000-0005-0000-0000-00002D990000}"/>
    <cellStyle name="Normal 58 3 3 2 9 2 2" xfId="40226" xr:uid="{00000000-0005-0000-0000-00002E990000}"/>
    <cellStyle name="Normal 58 3 3 2 9 3" xfId="27785" xr:uid="{00000000-0005-0000-0000-00002F990000}"/>
    <cellStyle name="Normal 58 3 3 2_Degree data" xfId="2516" xr:uid="{00000000-0005-0000-0000-000030990000}"/>
    <cellStyle name="Normal 58 3 3 3" xfId="337" xr:uid="{00000000-0005-0000-0000-000031990000}"/>
    <cellStyle name="Normal 58 3 3 3 2" xfId="1550" xr:uid="{00000000-0005-0000-0000-000032990000}"/>
    <cellStyle name="Normal 58 3 3 3 2 2" xfId="9190" xr:uid="{00000000-0005-0000-0000-000033990000}"/>
    <cellStyle name="Normal 58 3 3 3 2 2 2" xfId="21633" xr:uid="{00000000-0005-0000-0000-000034990000}"/>
    <cellStyle name="Normal 58 3 3 3 2 2 2 2" xfId="46507" xr:uid="{00000000-0005-0000-0000-000035990000}"/>
    <cellStyle name="Normal 58 3 3 3 2 2 3" xfId="34074" xr:uid="{00000000-0005-0000-0000-000036990000}"/>
    <cellStyle name="Normal 58 3 3 3 2 3" xfId="4172" xr:uid="{00000000-0005-0000-0000-000037990000}"/>
    <cellStyle name="Normal 58 3 3 3 2 3 2" xfId="16626" xr:uid="{00000000-0005-0000-0000-000038990000}"/>
    <cellStyle name="Normal 58 3 3 3 2 3 2 2" xfId="41500" xr:uid="{00000000-0005-0000-0000-000039990000}"/>
    <cellStyle name="Normal 58 3 3 3 2 3 3" xfId="29067" xr:uid="{00000000-0005-0000-0000-00003A990000}"/>
    <cellStyle name="Normal 58 3 3 3 2 4" xfId="14350" xr:uid="{00000000-0005-0000-0000-00003B990000}"/>
    <cellStyle name="Normal 58 3 3 3 2 4 2" xfId="39224" xr:uid="{00000000-0005-0000-0000-00003C990000}"/>
    <cellStyle name="Normal 58 3 3 3 2 5" xfId="26783" xr:uid="{00000000-0005-0000-0000-00003D990000}"/>
    <cellStyle name="Normal 58 3 3 3 3" xfId="5695" xr:uid="{00000000-0005-0000-0000-00003E990000}"/>
    <cellStyle name="Normal 58 3 3 3 3 2" xfId="10711" xr:uid="{00000000-0005-0000-0000-00003F990000}"/>
    <cellStyle name="Normal 58 3 3 3 3 2 2" xfId="23154" xr:uid="{00000000-0005-0000-0000-000040990000}"/>
    <cellStyle name="Normal 58 3 3 3 3 2 2 2" xfId="48028" xr:uid="{00000000-0005-0000-0000-000041990000}"/>
    <cellStyle name="Normal 58 3 3 3 3 2 3" xfId="35595" xr:uid="{00000000-0005-0000-0000-000042990000}"/>
    <cellStyle name="Normal 58 3 3 3 3 3" xfId="18147" xr:uid="{00000000-0005-0000-0000-000043990000}"/>
    <cellStyle name="Normal 58 3 3 3 3 3 2" xfId="43021" xr:uid="{00000000-0005-0000-0000-000044990000}"/>
    <cellStyle name="Normal 58 3 3 3 3 4" xfId="30588" xr:uid="{00000000-0005-0000-0000-000045990000}"/>
    <cellStyle name="Normal 58 3 3 3 4" xfId="8306" xr:uid="{00000000-0005-0000-0000-000046990000}"/>
    <cellStyle name="Normal 58 3 3 3 4 2" xfId="20750" xr:uid="{00000000-0005-0000-0000-000047990000}"/>
    <cellStyle name="Normal 58 3 3 3 4 2 2" xfId="45624" xr:uid="{00000000-0005-0000-0000-000048990000}"/>
    <cellStyle name="Normal 58 3 3 3 4 3" xfId="33191" xr:uid="{00000000-0005-0000-0000-000049990000}"/>
    <cellStyle name="Normal 58 3 3 3 5" xfId="12165" xr:uid="{00000000-0005-0000-0000-00004A990000}"/>
    <cellStyle name="Normal 58 3 3 3 5 2" xfId="24599" xr:uid="{00000000-0005-0000-0000-00004B990000}"/>
    <cellStyle name="Normal 58 3 3 3 5 2 2" xfId="49473" xr:uid="{00000000-0005-0000-0000-00004C990000}"/>
    <cellStyle name="Normal 58 3 3 3 5 3" xfId="37040" xr:uid="{00000000-0005-0000-0000-00004D990000}"/>
    <cellStyle name="Normal 58 3 3 3 6" xfId="6783" xr:uid="{00000000-0005-0000-0000-00004E990000}"/>
    <cellStyle name="Normal 58 3 3 3 6 2" xfId="19232" xr:uid="{00000000-0005-0000-0000-00004F990000}"/>
    <cellStyle name="Normal 58 3 3 3 6 2 2" xfId="44106" xr:uid="{00000000-0005-0000-0000-000050990000}"/>
    <cellStyle name="Normal 58 3 3 3 6 3" xfId="31673" xr:uid="{00000000-0005-0000-0000-000051990000}"/>
    <cellStyle name="Normal 58 3 3 3 7" xfId="3237" xr:uid="{00000000-0005-0000-0000-000052990000}"/>
    <cellStyle name="Normal 58 3 3 3 7 2" xfId="15743" xr:uid="{00000000-0005-0000-0000-000053990000}"/>
    <cellStyle name="Normal 58 3 3 3 7 2 2" xfId="40617" xr:uid="{00000000-0005-0000-0000-000054990000}"/>
    <cellStyle name="Normal 58 3 3 3 7 3" xfId="28176" xr:uid="{00000000-0005-0000-0000-000055990000}"/>
    <cellStyle name="Normal 58 3 3 3 8" xfId="13153" xr:uid="{00000000-0005-0000-0000-000056990000}"/>
    <cellStyle name="Normal 58 3 3 3 8 2" xfId="38027" xr:uid="{00000000-0005-0000-0000-000057990000}"/>
    <cellStyle name="Normal 58 3 3 3 9" xfId="25586" xr:uid="{00000000-0005-0000-0000-000058990000}"/>
    <cellStyle name="Normal 58 3 3 4" xfId="697" xr:uid="{00000000-0005-0000-0000-000059990000}"/>
    <cellStyle name="Normal 58 3 3 4 2" xfId="1898" xr:uid="{00000000-0005-0000-0000-00005A990000}"/>
    <cellStyle name="Normal 58 3 3 4 2 2" xfId="9654" xr:uid="{00000000-0005-0000-0000-00005B990000}"/>
    <cellStyle name="Normal 58 3 3 4 2 2 2" xfId="22097" xr:uid="{00000000-0005-0000-0000-00005C990000}"/>
    <cellStyle name="Normal 58 3 3 4 2 2 2 2" xfId="46971" xr:uid="{00000000-0005-0000-0000-00005D990000}"/>
    <cellStyle name="Normal 58 3 3 4 2 2 3" xfId="34538" xr:uid="{00000000-0005-0000-0000-00005E990000}"/>
    <cellStyle name="Normal 58 3 3 4 2 3" xfId="4636" xr:uid="{00000000-0005-0000-0000-00005F990000}"/>
    <cellStyle name="Normal 58 3 3 4 2 3 2" xfId="17090" xr:uid="{00000000-0005-0000-0000-000060990000}"/>
    <cellStyle name="Normal 58 3 3 4 2 3 2 2" xfId="41964" xr:uid="{00000000-0005-0000-0000-000061990000}"/>
    <cellStyle name="Normal 58 3 3 4 2 3 3" xfId="29531" xr:uid="{00000000-0005-0000-0000-000062990000}"/>
    <cellStyle name="Normal 58 3 3 4 2 4" xfId="14698" xr:uid="{00000000-0005-0000-0000-000063990000}"/>
    <cellStyle name="Normal 58 3 3 4 2 4 2" xfId="39572" xr:uid="{00000000-0005-0000-0000-000064990000}"/>
    <cellStyle name="Normal 58 3 3 4 2 5" xfId="27131" xr:uid="{00000000-0005-0000-0000-000065990000}"/>
    <cellStyle name="Normal 58 3 3 4 3" xfId="6044" xr:uid="{00000000-0005-0000-0000-000066990000}"/>
    <cellStyle name="Normal 58 3 3 4 3 2" xfId="11059" xr:uid="{00000000-0005-0000-0000-000067990000}"/>
    <cellStyle name="Normal 58 3 3 4 3 2 2" xfId="23502" xr:uid="{00000000-0005-0000-0000-000068990000}"/>
    <cellStyle name="Normal 58 3 3 4 3 2 2 2" xfId="48376" xr:uid="{00000000-0005-0000-0000-000069990000}"/>
    <cellStyle name="Normal 58 3 3 4 3 2 3" xfId="35943" xr:uid="{00000000-0005-0000-0000-00006A990000}"/>
    <cellStyle name="Normal 58 3 3 4 3 3" xfId="18495" xr:uid="{00000000-0005-0000-0000-00006B990000}"/>
    <cellStyle name="Normal 58 3 3 4 3 3 2" xfId="43369" xr:uid="{00000000-0005-0000-0000-00006C990000}"/>
    <cellStyle name="Normal 58 3 3 4 3 4" xfId="30936" xr:uid="{00000000-0005-0000-0000-00006D990000}"/>
    <cellStyle name="Normal 58 3 3 4 4" xfId="8770" xr:uid="{00000000-0005-0000-0000-00006E990000}"/>
    <cellStyle name="Normal 58 3 3 4 4 2" xfId="21214" xr:uid="{00000000-0005-0000-0000-00006F990000}"/>
    <cellStyle name="Normal 58 3 3 4 4 2 2" xfId="46088" xr:uid="{00000000-0005-0000-0000-000070990000}"/>
    <cellStyle name="Normal 58 3 3 4 4 3" xfId="33655" xr:uid="{00000000-0005-0000-0000-000071990000}"/>
    <cellStyle name="Normal 58 3 3 4 5" xfId="12513" xr:uid="{00000000-0005-0000-0000-000072990000}"/>
    <cellStyle name="Normal 58 3 3 4 5 2" xfId="24947" xr:uid="{00000000-0005-0000-0000-000073990000}"/>
    <cellStyle name="Normal 58 3 3 4 5 2 2" xfId="49821" xr:uid="{00000000-0005-0000-0000-000074990000}"/>
    <cellStyle name="Normal 58 3 3 4 5 3" xfId="37388" xr:uid="{00000000-0005-0000-0000-000075990000}"/>
    <cellStyle name="Normal 58 3 3 4 6" xfId="7247" xr:uid="{00000000-0005-0000-0000-000076990000}"/>
    <cellStyle name="Normal 58 3 3 4 6 2" xfId="19696" xr:uid="{00000000-0005-0000-0000-000077990000}"/>
    <cellStyle name="Normal 58 3 3 4 6 2 2" xfId="44570" xr:uid="{00000000-0005-0000-0000-000078990000}"/>
    <cellStyle name="Normal 58 3 3 4 6 3" xfId="32137" xr:uid="{00000000-0005-0000-0000-000079990000}"/>
    <cellStyle name="Normal 58 3 3 4 7" xfId="3701" xr:uid="{00000000-0005-0000-0000-00007A990000}"/>
    <cellStyle name="Normal 58 3 3 4 7 2" xfId="16207" xr:uid="{00000000-0005-0000-0000-00007B990000}"/>
    <cellStyle name="Normal 58 3 3 4 7 2 2" xfId="41081" xr:uid="{00000000-0005-0000-0000-00007C990000}"/>
    <cellStyle name="Normal 58 3 3 4 7 3" xfId="28640" xr:uid="{00000000-0005-0000-0000-00007D990000}"/>
    <cellStyle name="Normal 58 3 3 4 8" xfId="13500" xr:uid="{00000000-0005-0000-0000-00007E990000}"/>
    <cellStyle name="Normal 58 3 3 4 8 2" xfId="38374" xr:uid="{00000000-0005-0000-0000-00007F990000}"/>
    <cellStyle name="Normal 58 3 3 4 9" xfId="25933" xr:uid="{00000000-0005-0000-0000-000080990000}"/>
    <cellStyle name="Normal 58 3 3 5" xfId="2255" xr:uid="{00000000-0005-0000-0000-000081990000}"/>
    <cellStyle name="Normal 58 3 3 5 2" xfId="4882" xr:uid="{00000000-0005-0000-0000-000082990000}"/>
    <cellStyle name="Normal 58 3 3 5 2 2" xfId="9899" xr:uid="{00000000-0005-0000-0000-000083990000}"/>
    <cellStyle name="Normal 58 3 3 5 2 2 2" xfId="22342" xr:uid="{00000000-0005-0000-0000-000084990000}"/>
    <cellStyle name="Normal 58 3 3 5 2 2 2 2" xfId="47216" xr:uid="{00000000-0005-0000-0000-000085990000}"/>
    <cellStyle name="Normal 58 3 3 5 2 2 3" xfId="34783" xr:uid="{00000000-0005-0000-0000-000086990000}"/>
    <cellStyle name="Normal 58 3 3 5 2 3" xfId="17335" xr:uid="{00000000-0005-0000-0000-000087990000}"/>
    <cellStyle name="Normal 58 3 3 5 2 3 2" xfId="42209" xr:uid="{00000000-0005-0000-0000-000088990000}"/>
    <cellStyle name="Normal 58 3 3 5 2 4" xfId="29776" xr:uid="{00000000-0005-0000-0000-000089990000}"/>
    <cellStyle name="Normal 58 3 3 5 3" xfId="6280" xr:uid="{00000000-0005-0000-0000-00008A990000}"/>
    <cellStyle name="Normal 58 3 3 5 3 2" xfId="11295" xr:uid="{00000000-0005-0000-0000-00008B990000}"/>
    <cellStyle name="Normal 58 3 3 5 3 2 2" xfId="23738" xr:uid="{00000000-0005-0000-0000-00008C990000}"/>
    <cellStyle name="Normal 58 3 3 5 3 2 2 2" xfId="48612" xr:uid="{00000000-0005-0000-0000-00008D990000}"/>
    <cellStyle name="Normal 58 3 3 5 3 2 3" xfId="36179" xr:uid="{00000000-0005-0000-0000-00008E990000}"/>
    <cellStyle name="Normal 58 3 3 5 3 3" xfId="18731" xr:uid="{00000000-0005-0000-0000-00008F990000}"/>
    <cellStyle name="Normal 58 3 3 5 3 3 2" xfId="43605" xr:uid="{00000000-0005-0000-0000-000090990000}"/>
    <cellStyle name="Normal 58 3 3 5 3 4" xfId="31172" xr:uid="{00000000-0005-0000-0000-000091990000}"/>
    <cellStyle name="Normal 58 3 3 5 4" xfId="8087" xr:uid="{00000000-0005-0000-0000-000092990000}"/>
    <cellStyle name="Normal 58 3 3 5 4 2" xfId="20533" xr:uid="{00000000-0005-0000-0000-000093990000}"/>
    <cellStyle name="Normal 58 3 3 5 4 2 2" xfId="45407" xr:uid="{00000000-0005-0000-0000-000094990000}"/>
    <cellStyle name="Normal 58 3 3 5 4 3" xfId="32974" xr:uid="{00000000-0005-0000-0000-000095990000}"/>
    <cellStyle name="Normal 58 3 3 5 5" xfId="12749" xr:uid="{00000000-0005-0000-0000-000096990000}"/>
    <cellStyle name="Normal 58 3 3 5 5 2" xfId="25183" xr:uid="{00000000-0005-0000-0000-000097990000}"/>
    <cellStyle name="Normal 58 3 3 5 5 2 2" xfId="50057" xr:uid="{00000000-0005-0000-0000-000098990000}"/>
    <cellStyle name="Normal 58 3 3 5 5 3" xfId="37624" xr:uid="{00000000-0005-0000-0000-000099990000}"/>
    <cellStyle name="Normal 58 3 3 5 6" xfId="7493" xr:uid="{00000000-0005-0000-0000-00009A990000}"/>
    <cellStyle name="Normal 58 3 3 5 6 2" xfId="19941" xr:uid="{00000000-0005-0000-0000-00009B990000}"/>
    <cellStyle name="Normal 58 3 3 5 6 2 2" xfId="44815" xr:uid="{00000000-0005-0000-0000-00009C990000}"/>
    <cellStyle name="Normal 58 3 3 5 6 3" xfId="32382" xr:uid="{00000000-0005-0000-0000-00009D990000}"/>
    <cellStyle name="Normal 58 3 3 5 7" xfId="3017" xr:uid="{00000000-0005-0000-0000-00009E990000}"/>
    <cellStyle name="Normal 58 3 3 5 7 2" xfId="15526" xr:uid="{00000000-0005-0000-0000-00009F990000}"/>
    <cellStyle name="Normal 58 3 3 5 7 2 2" xfId="40400" xr:uid="{00000000-0005-0000-0000-0000A0990000}"/>
    <cellStyle name="Normal 58 3 3 5 7 3" xfId="27959" xr:uid="{00000000-0005-0000-0000-0000A1990000}"/>
    <cellStyle name="Normal 58 3 3 5 8" xfId="14934" xr:uid="{00000000-0005-0000-0000-0000A2990000}"/>
    <cellStyle name="Normal 58 3 3 5 8 2" xfId="39808" xr:uid="{00000000-0005-0000-0000-0000A3990000}"/>
    <cellStyle name="Normal 58 3 3 5 9" xfId="27367" xr:uid="{00000000-0005-0000-0000-0000A4990000}"/>
    <cellStyle name="Normal 58 3 3 6" xfId="1091" xr:uid="{00000000-0005-0000-0000-0000A5990000}"/>
    <cellStyle name="Normal 58 3 3 6 2" xfId="8973" xr:uid="{00000000-0005-0000-0000-0000A6990000}"/>
    <cellStyle name="Normal 58 3 3 6 2 2" xfId="21416" xr:uid="{00000000-0005-0000-0000-0000A7990000}"/>
    <cellStyle name="Normal 58 3 3 6 2 2 2" xfId="46290" xr:uid="{00000000-0005-0000-0000-0000A8990000}"/>
    <cellStyle name="Normal 58 3 3 6 2 3" xfId="33857" xr:uid="{00000000-0005-0000-0000-0000A9990000}"/>
    <cellStyle name="Normal 58 3 3 6 3" xfId="3955" xr:uid="{00000000-0005-0000-0000-0000AA990000}"/>
    <cellStyle name="Normal 58 3 3 6 3 2" xfId="16409" xr:uid="{00000000-0005-0000-0000-0000AB990000}"/>
    <cellStyle name="Normal 58 3 3 6 3 2 2" xfId="41283" xr:uid="{00000000-0005-0000-0000-0000AC990000}"/>
    <cellStyle name="Normal 58 3 3 6 3 3" xfId="28850" xr:uid="{00000000-0005-0000-0000-0000AD990000}"/>
    <cellStyle name="Normal 58 3 3 6 4" xfId="13891" xr:uid="{00000000-0005-0000-0000-0000AE990000}"/>
    <cellStyle name="Normal 58 3 3 6 4 2" xfId="38765" xr:uid="{00000000-0005-0000-0000-0000AF990000}"/>
    <cellStyle name="Normal 58 3 3 6 5" xfId="26324" xr:uid="{00000000-0005-0000-0000-0000B0990000}"/>
    <cellStyle name="Normal 58 3 3 7" xfId="5236" xr:uid="{00000000-0005-0000-0000-0000B1990000}"/>
    <cellStyle name="Normal 58 3 3 7 2" xfId="10252" xr:uid="{00000000-0005-0000-0000-0000B2990000}"/>
    <cellStyle name="Normal 58 3 3 7 2 2" xfId="22695" xr:uid="{00000000-0005-0000-0000-0000B3990000}"/>
    <cellStyle name="Normal 58 3 3 7 2 2 2" xfId="47569" xr:uid="{00000000-0005-0000-0000-0000B4990000}"/>
    <cellStyle name="Normal 58 3 3 7 2 3" xfId="35136" xr:uid="{00000000-0005-0000-0000-0000B5990000}"/>
    <cellStyle name="Normal 58 3 3 7 3" xfId="17688" xr:uid="{00000000-0005-0000-0000-0000B6990000}"/>
    <cellStyle name="Normal 58 3 3 7 3 2" xfId="42562" xr:uid="{00000000-0005-0000-0000-0000B7990000}"/>
    <cellStyle name="Normal 58 3 3 7 4" xfId="30129" xr:uid="{00000000-0005-0000-0000-0000B8990000}"/>
    <cellStyle name="Normal 58 3 3 8" xfId="7813" xr:uid="{00000000-0005-0000-0000-0000B9990000}"/>
    <cellStyle name="Normal 58 3 3 8 2" xfId="20259" xr:uid="{00000000-0005-0000-0000-0000BA990000}"/>
    <cellStyle name="Normal 58 3 3 8 2 2" xfId="45133" xr:uid="{00000000-0005-0000-0000-0000BB990000}"/>
    <cellStyle name="Normal 58 3 3 8 3" xfId="32700" xr:uid="{00000000-0005-0000-0000-0000BC990000}"/>
    <cellStyle name="Normal 58 3 3 9" xfId="11706" xr:uid="{00000000-0005-0000-0000-0000BD990000}"/>
    <cellStyle name="Normal 58 3 3 9 2" xfId="24140" xr:uid="{00000000-0005-0000-0000-0000BE990000}"/>
    <cellStyle name="Normal 58 3 3 9 2 2" xfId="49014" xr:uid="{00000000-0005-0000-0000-0000BF990000}"/>
    <cellStyle name="Normal 58 3 3 9 3" xfId="36581" xr:uid="{00000000-0005-0000-0000-0000C0990000}"/>
    <cellStyle name="Normal 58 3 3_Degree data" xfId="2515" xr:uid="{00000000-0005-0000-0000-0000C1990000}"/>
    <cellStyle name="Normal 58 3 4" xfId="258" xr:uid="{00000000-0005-0000-0000-0000C2990000}"/>
    <cellStyle name="Normal 58 3 4 10" xfId="6598" xr:uid="{00000000-0005-0000-0000-0000C3990000}"/>
    <cellStyle name="Normal 58 3 4 10 2" xfId="19047" xr:uid="{00000000-0005-0000-0000-0000C4990000}"/>
    <cellStyle name="Normal 58 3 4 10 2 2" xfId="43921" xr:uid="{00000000-0005-0000-0000-0000C5990000}"/>
    <cellStyle name="Normal 58 3 4 10 3" xfId="31488" xr:uid="{00000000-0005-0000-0000-0000C6990000}"/>
    <cellStyle name="Normal 58 3 4 11" xfId="2661" xr:uid="{00000000-0005-0000-0000-0000C7990000}"/>
    <cellStyle name="Normal 58 3 4 11 2" xfId="15179" xr:uid="{00000000-0005-0000-0000-0000C8990000}"/>
    <cellStyle name="Normal 58 3 4 11 2 2" xfId="40053" xr:uid="{00000000-0005-0000-0000-0000C9990000}"/>
    <cellStyle name="Normal 58 3 4 11 3" xfId="27612" xr:uid="{00000000-0005-0000-0000-0000CA990000}"/>
    <cellStyle name="Normal 58 3 4 12" xfId="13080" xr:uid="{00000000-0005-0000-0000-0000CB990000}"/>
    <cellStyle name="Normal 58 3 4 12 2" xfId="37954" xr:uid="{00000000-0005-0000-0000-0000CC990000}"/>
    <cellStyle name="Normal 58 3 4 13" xfId="25513" xr:uid="{00000000-0005-0000-0000-0000CD990000}"/>
    <cellStyle name="Normal 58 3 4 2" xfId="472" xr:uid="{00000000-0005-0000-0000-0000CE990000}"/>
    <cellStyle name="Normal 58 3 4 2 10" xfId="13285" xr:uid="{00000000-0005-0000-0000-0000CF990000}"/>
    <cellStyle name="Normal 58 3 4 2 10 2" xfId="38159" xr:uid="{00000000-0005-0000-0000-0000D0990000}"/>
    <cellStyle name="Normal 58 3 4 2 11" xfId="25718" xr:uid="{00000000-0005-0000-0000-0000D1990000}"/>
    <cellStyle name="Normal 58 3 4 2 2" xfId="831" xr:uid="{00000000-0005-0000-0000-0000D2990000}"/>
    <cellStyle name="Normal 58 3 4 2 2 2" xfId="1553" xr:uid="{00000000-0005-0000-0000-0000D3990000}"/>
    <cellStyle name="Normal 58 3 4 2 2 2 2" xfId="9657" xr:uid="{00000000-0005-0000-0000-0000D4990000}"/>
    <cellStyle name="Normal 58 3 4 2 2 2 2 2" xfId="22100" xr:uid="{00000000-0005-0000-0000-0000D5990000}"/>
    <cellStyle name="Normal 58 3 4 2 2 2 2 2 2" xfId="46974" xr:uid="{00000000-0005-0000-0000-0000D6990000}"/>
    <cellStyle name="Normal 58 3 4 2 2 2 2 3" xfId="34541" xr:uid="{00000000-0005-0000-0000-0000D7990000}"/>
    <cellStyle name="Normal 58 3 4 2 2 2 3" xfId="4639" xr:uid="{00000000-0005-0000-0000-0000D8990000}"/>
    <cellStyle name="Normal 58 3 4 2 2 2 3 2" xfId="17093" xr:uid="{00000000-0005-0000-0000-0000D9990000}"/>
    <cellStyle name="Normal 58 3 4 2 2 2 3 2 2" xfId="41967" xr:uid="{00000000-0005-0000-0000-0000DA990000}"/>
    <cellStyle name="Normal 58 3 4 2 2 2 3 3" xfId="29534" xr:uid="{00000000-0005-0000-0000-0000DB990000}"/>
    <cellStyle name="Normal 58 3 4 2 2 2 4" xfId="14353" xr:uid="{00000000-0005-0000-0000-0000DC990000}"/>
    <cellStyle name="Normal 58 3 4 2 2 2 4 2" xfId="39227" xr:uid="{00000000-0005-0000-0000-0000DD990000}"/>
    <cellStyle name="Normal 58 3 4 2 2 2 5" xfId="26786" xr:uid="{00000000-0005-0000-0000-0000DE990000}"/>
    <cellStyle name="Normal 58 3 4 2 2 3" xfId="5698" xr:uid="{00000000-0005-0000-0000-0000DF990000}"/>
    <cellStyle name="Normal 58 3 4 2 2 3 2" xfId="10714" xr:uid="{00000000-0005-0000-0000-0000E0990000}"/>
    <cellStyle name="Normal 58 3 4 2 2 3 2 2" xfId="23157" xr:uid="{00000000-0005-0000-0000-0000E1990000}"/>
    <cellStyle name="Normal 58 3 4 2 2 3 2 2 2" xfId="48031" xr:uid="{00000000-0005-0000-0000-0000E2990000}"/>
    <cellStyle name="Normal 58 3 4 2 2 3 2 3" xfId="35598" xr:uid="{00000000-0005-0000-0000-0000E3990000}"/>
    <cellStyle name="Normal 58 3 4 2 2 3 3" xfId="18150" xr:uid="{00000000-0005-0000-0000-0000E4990000}"/>
    <cellStyle name="Normal 58 3 4 2 2 3 3 2" xfId="43024" xr:uid="{00000000-0005-0000-0000-0000E5990000}"/>
    <cellStyle name="Normal 58 3 4 2 2 3 4" xfId="30591" xr:uid="{00000000-0005-0000-0000-0000E6990000}"/>
    <cellStyle name="Normal 58 3 4 2 2 4" xfId="8773" xr:uid="{00000000-0005-0000-0000-0000E7990000}"/>
    <cellStyle name="Normal 58 3 4 2 2 4 2" xfId="21217" xr:uid="{00000000-0005-0000-0000-0000E8990000}"/>
    <cellStyle name="Normal 58 3 4 2 2 4 2 2" xfId="46091" xr:uid="{00000000-0005-0000-0000-0000E9990000}"/>
    <cellStyle name="Normal 58 3 4 2 2 4 3" xfId="33658" xr:uid="{00000000-0005-0000-0000-0000EA990000}"/>
    <cellStyle name="Normal 58 3 4 2 2 5" xfId="12168" xr:uid="{00000000-0005-0000-0000-0000EB990000}"/>
    <cellStyle name="Normal 58 3 4 2 2 5 2" xfId="24602" xr:uid="{00000000-0005-0000-0000-0000EC990000}"/>
    <cellStyle name="Normal 58 3 4 2 2 5 2 2" xfId="49476" xr:uid="{00000000-0005-0000-0000-0000ED990000}"/>
    <cellStyle name="Normal 58 3 4 2 2 5 3" xfId="37043" xr:uid="{00000000-0005-0000-0000-0000EE990000}"/>
    <cellStyle name="Normal 58 3 4 2 2 6" xfId="7250" xr:uid="{00000000-0005-0000-0000-0000EF990000}"/>
    <cellStyle name="Normal 58 3 4 2 2 6 2" xfId="19699" xr:uid="{00000000-0005-0000-0000-0000F0990000}"/>
    <cellStyle name="Normal 58 3 4 2 2 6 2 2" xfId="44573" xr:uid="{00000000-0005-0000-0000-0000F1990000}"/>
    <cellStyle name="Normal 58 3 4 2 2 6 3" xfId="32140" xr:uid="{00000000-0005-0000-0000-0000F2990000}"/>
    <cellStyle name="Normal 58 3 4 2 2 7" xfId="3704" xr:uid="{00000000-0005-0000-0000-0000F3990000}"/>
    <cellStyle name="Normal 58 3 4 2 2 7 2" xfId="16210" xr:uid="{00000000-0005-0000-0000-0000F4990000}"/>
    <cellStyle name="Normal 58 3 4 2 2 7 2 2" xfId="41084" xr:uid="{00000000-0005-0000-0000-0000F5990000}"/>
    <cellStyle name="Normal 58 3 4 2 2 7 3" xfId="28643" xr:uid="{00000000-0005-0000-0000-0000F6990000}"/>
    <cellStyle name="Normal 58 3 4 2 2 8" xfId="13632" xr:uid="{00000000-0005-0000-0000-0000F7990000}"/>
    <cellStyle name="Normal 58 3 4 2 2 8 2" xfId="38506" xr:uid="{00000000-0005-0000-0000-0000F8990000}"/>
    <cellStyle name="Normal 58 3 4 2 2 9" xfId="26065" xr:uid="{00000000-0005-0000-0000-0000F9990000}"/>
    <cellStyle name="Normal 58 3 4 2 3" xfId="1901" xr:uid="{00000000-0005-0000-0000-0000FA990000}"/>
    <cellStyle name="Normal 58 3 4 2 3 2" xfId="5014" xr:uid="{00000000-0005-0000-0000-0000FB990000}"/>
    <cellStyle name="Normal 58 3 4 2 3 2 2" xfId="10031" xr:uid="{00000000-0005-0000-0000-0000FC990000}"/>
    <cellStyle name="Normal 58 3 4 2 3 2 2 2" xfId="22474" xr:uid="{00000000-0005-0000-0000-0000FD990000}"/>
    <cellStyle name="Normal 58 3 4 2 3 2 2 2 2" xfId="47348" xr:uid="{00000000-0005-0000-0000-0000FE990000}"/>
    <cellStyle name="Normal 58 3 4 2 3 2 2 3" xfId="34915" xr:uid="{00000000-0005-0000-0000-0000FF990000}"/>
    <cellStyle name="Normal 58 3 4 2 3 2 3" xfId="17467" xr:uid="{00000000-0005-0000-0000-0000009A0000}"/>
    <cellStyle name="Normal 58 3 4 2 3 2 3 2" xfId="42341" xr:uid="{00000000-0005-0000-0000-0000019A0000}"/>
    <cellStyle name="Normal 58 3 4 2 3 2 4" xfId="29908" xr:uid="{00000000-0005-0000-0000-0000029A0000}"/>
    <cellStyle name="Normal 58 3 4 2 3 3" xfId="6047" xr:uid="{00000000-0005-0000-0000-0000039A0000}"/>
    <cellStyle name="Normal 58 3 4 2 3 3 2" xfId="11062" xr:uid="{00000000-0005-0000-0000-0000049A0000}"/>
    <cellStyle name="Normal 58 3 4 2 3 3 2 2" xfId="23505" xr:uid="{00000000-0005-0000-0000-0000059A0000}"/>
    <cellStyle name="Normal 58 3 4 2 3 3 2 2 2" xfId="48379" xr:uid="{00000000-0005-0000-0000-0000069A0000}"/>
    <cellStyle name="Normal 58 3 4 2 3 3 2 3" xfId="35946" xr:uid="{00000000-0005-0000-0000-0000079A0000}"/>
    <cellStyle name="Normal 58 3 4 2 3 3 3" xfId="18498" xr:uid="{00000000-0005-0000-0000-0000089A0000}"/>
    <cellStyle name="Normal 58 3 4 2 3 3 3 2" xfId="43372" xr:uid="{00000000-0005-0000-0000-0000099A0000}"/>
    <cellStyle name="Normal 58 3 4 2 3 3 4" xfId="30939" xr:uid="{00000000-0005-0000-0000-00000A9A0000}"/>
    <cellStyle name="Normal 58 3 4 2 3 4" xfId="8438" xr:uid="{00000000-0005-0000-0000-00000B9A0000}"/>
    <cellStyle name="Normal 58 3 4 2 3 4 2" xfId="20882" xr:uid="{00000000-0005-0000-0000-00000C9A0000}"/>
    <cellStyle name="Normal 58 3 4 2 3 4 2 2" xfId="45756" xr:uid="{00000000-0005-0000-0000-00000D9A0000}"/>
    <cellStyle name="Normal 58 3 4 2 3 4 3" xfId="33323" xr:uid="{00000000-0005-0000-0000-00000E9A0000}"/>
    <cellStyle name="Normal 58 3 4 2 3 5" xfId="12516" xr:uid="{00000000-0005-0000-0000-00000F9A0000}"/>
    <cellStyle name="Normal 58 3 4 2 3 5 2" xfId="24950" xr:uid="{00000000-0005-0000-0000-0000109A0000}"/>
    <cellStyle name="Normal 58 3 4 2 3 5 2 2" xfId="49824" xr:uid="{00000000-0005-0000-0000-0000119A0000}"/>
    <cellStyle name="Normal 58 3 4 2 3 5 3" xfId="37391" xr:uid="{00000000-0005-0000-0000-0000129A0000}"/>
    <cellStyle name="Normal 58 3 4 2 3 6" xfId="7625" xr:uid="{00000000-0005-0000-0000-0000139A0000}"/>
    <cellStyle name="Normal 58 3 4 2 3 6 2" xfId="20073" xr:uid="{00000000-0005-0000-0000-0000149A0000}"/>
    <cellStyle name="Normal 58 3 4 2 3 6 2 2" xfId="44947" xr:uid="{00000000-0005-0000-0000-0000159A0000}"/>
    <cellStyle name="Normal 58 3 4 2 3 6 3" xfId="32514" xr:uid="{00000000-0005-0000-0000-0000169A0000}"/>
    <cellStyle name="Normal 58 3 4 2 3 7" xfId="3369" xr:uid="{00000000-0005-0000-0000-0000179A0000}"/>
    <cellStyle name="Normal 58 3 4 2 3 7 2" xfId="15875" xr:uid="{00000000-0005-0000-0000-0000189A0000}"/>
    <cellStyle name="Normal 58 3 4 2 3 7 2 2" xfId="40749" xr:uid="{00000000-0005-0000-0000-0000199A0000}"/>
    <cellStyle name="Normal 58 3 4 2 3 7 3" xfId="28308" xr:uid="{00000000-0005-0000-0000-00001A9A0000}"/>
    <cellStyle name="Normal 58 3 4 2 3 8" xfId="14701" xr:uid="{00000000-0005-0000-0000-00001B9A0000}"/>
    <cellStyle name="Normal 58 3 4 2 3 8 2" xfId="39575" xr:uid="{00000000-0005-0000-0000-00001C9A0000}"/>
    <cellStyle name="Normal 58 3 4 2 3 9" xfId="27134" xr:uid="{00000000-0005-0000-0000-00001D9A0000}"/>
    <cellStyle name="Normal 58 3 4 2 4" xfId="2390" xr:uid="{00000000-0005-0000-0000-00001E9A0000}"/>
    <cellStyle name="Normal 58 3 4 2 4 2" xfId="6412" xr:uid="{00000000-0005-0000-0000-00001F9A0000}"/>
    <cellStyle name="Normal 58 3 4 2 4 2 2" xfId="11427" xr:uid="{00000000-0005-0000-0000-0000209A0000}"/>
    <cellStyle name="Normal 58 3 4 2 4 2 2 2" xfId="23870" xr:uid="{00000000-0005-0000-0000-0000219A0000}"/>
    <cellStyle name="Normal 58 3 4 2 4 2 2 2 2" xfId="48744" xr:uid="{00000000-0005-0000-0000-0000229A0000}"/>
    <cellStyle name="Normal 58 3 4 2 4 2 2 3" xfId="36311" xr:uid="{00000000-0005-0000-0000-0000239A0000}"/>
    <cellStyle name="Normal 58 3 4 2 4 2 3" xfId="18863" xr:uid="{00000000-0005-0000-0000-0000249A0000}"/>
    <cellStyle name="Normal 58 3 4 2 4 2 3 2" xfId="43737" xr:uid="{00000000-0005-0000-0000-0000259A0000}"/>
    <cellStyle name="Normal 58 3 4 2 4 2 4" xfId="31304" xr:uid="{00000000-0005-0000-0000-0000269A0000}"/>
    <cellStyle name="Normal 58 3 4 2 4 3" xfId="12881" xr:uid="{00000000-0005-0000-0000-0000279A0000}"/>
    <cellStyle name="Normal 58 3 4 2 4 3 2" xfId="25315" xr:uid="{00000000-0005-0000-0000-0000289A0000}"/>
    <cellStyle name="Normal 58 3 4 2 4 3 2 2" xfId="50189" xr:uid="{00000000-0005-0000-0000-0000299A0000}"/>
    <cellStyle name="Normal 58 3 4 2 4 3 3" xfId="37756" xr:uid="{00000000-0005-0000-0000-00002A9A0000}"/>
    <cellStyle name="Normal 58 3 4 2 4 4" xfId="9322" xr:uid="{00000000-0005-0000-0000-00002B9A0000}"/>
    <cellStyle name="Normal 58 3 4 2 4 4 2" xfId="21765" xr:uid="{00000000-0005-0000-0000-00002C9A0000}"/>
    <cellStyle name="Normal 58 3 4 2 4 4 2 2" xfId="46639" xr:uid="{00000000-0005-0000-0000-00002D9A0000}"/>
    <cellStyle name="Normal 58 3 4 2 4 4 3" xfId="34206" xr:uid="{00000000-0005-0000-0000-00002E9A0000}"/>
    <cellStyle name="Normal 58 3 4 2 4 5" xfId="4304" xr:uid="{00000000-0005-0000-0000-00002F9A0000}"/>
    <cellStyle name="Normal 58 3 4 2 4 5 2" xfId="16758" xr:uid="{00000000-0005-0000-0000-0000309A0000}"/>
    <cellStyle name="Normal 58 3 4 2 4 5 2 2" xfId="41632" xr:uid="{00000000-0005-0000-0000-0000319A0000}"/>
    <cellStyle name="Normal 58 3 4 2 4 5 3" xfId="29199" xr:uid="{00000000-0005-0000-0000-0000329A0000}"/>
    <cellStyle name="Normal 58 3 4 2 4 6" xfId="15066" xr:uid="{00000000-0005-0000-0000-0000339A0000}"/>
    <cellStyle name="Normal 58 3 4 2 4 6 2" xfId="39940" xr:uid="{00000000-0005-0000-0000-0000349A0000}"/>
    <cellStyle name="Normal 58 3 4 2 4 7" xfId="27499" xr:uid="{00000000-0005-0000-0000-0000359A0000}"/>
    <cellStyle name="Normal 58 3 4 2 5" xfId="1223" xr:uid="{00000000-0005-0000-0000-0000369A0000}"/>
    <cellStyle name="Normal 58 3 4 2 5 2" xfId="10384" xr:uid="{00000000-0005-0000-0000-0000379A0000}"/>
    <cellStyle name="Normal 58 3 4 2 5 2 2" xfId="22827" xr:uid="{00000000-0005-0000-0000-0000389A0000}"/>
    <cellStyle name="Normal 58 3 4 2 5 2 2 2" xfId="47701" xr:uid="{00000000-0005-0000-0000-0000399A0000}"/>
    <cellStyle name="Normal 58 3 4 2 5 2 3" xfId="35268" xr:uid="{00000000-0005-0000-0000-00003A9A0000}"/>
    <cellStyle name="Normal 58 3 4 2 5 3" xfId="5368" xr:uid="{00000000-0005-0000-0000-00003B9A0000}"/>
    <cellStyle name="Normal 58 3 4 2 5 3 2" xfId="17820" xr:uid="{00000000-0005-0000-0000-00003C9A0000}"/>
    <cellStyle name="Normal 58 3 4 2 5 3 2 2" xfId="42694" xr:uid="{00000000-0005-0000-0000-00003D9A0000}"/>
    <cellStyle name="Normal 58 3 4 2 5 3 3" xfId="30261" xr:uid="{00000000-0005-0000-0000-00003E9A0000}"/>
    <cellStyle name="Normal 58 3 4 2 5 4" xfId="14023" xr:uid="{00000000-0005-0000-0000-00003F9A0000}"/>
    <cellStyle name="Normal 58 3 4 2 5 4 2" xfId="38897" xr:uid="{00000000-0005-0000-0000-0000409A0000}"/>
    <cellStyle name="Normal 58 3 4 2 5 5" xfId="26456" xr:uid="{00000000-0005-0000-0000-0000419A0000}"/>
    <cellStyle name="Normal 58 3 4 2 6" xfId="7945" xr:uid="{00000000-0005-0000-0000-0000429A0000}"/>
    <cellStyle name="Normal 58 3 4 2 6 2" xfId="20391" xr:uid="{00000000-0005-0000-0000-0000439A0000}"/>
    <cellStyle name="Normal 58 3 4 2 6 2 2" xfId="45265" xr:uid="{00000000-0005-0000-0000-0000449A0000}"/>
    <cellStyle name="Normal 58 3 4 2 6 3" xfId="32832" xr:uid="{00000000-0005-0000-0000-0000459A0000}"/>
    <cellStyle name="Normal 58 3 4 2 7" xfId="11838" xr:uid="{00000000-0005-0000-0000-0000469A0000}"/>
    <cellStyle name="Normal 58 3 4 2 7 2" xfId="24272" xr:uid="{00000000-0005-0000-0000-0000479A0000}"/>
    <cellStyle name="Normal 58 3 4 2 7 2 2" xfId="49146" xr:uid="{00000000-0005-0000-0000-0000489A0000}"/>
    <cellStyle name="Normal 58 3 4 2 7 3" xfId="36713" xr:uid="{00000000-0005-0000-0000-0000499A0000}"/>
    <cellStyle name="Normal 58 3 4 2 8" xfId="6915" xr:uid="{00000000-0005-0000-0000-00004A9A0000}"/>
    <cellStyle name="Normal 58 3 4 2 8 2" xfId="19364" xr:uid="{00000000-0005-0000-0000-00004B9A0000}"/>
    <cellStyle name="Normal 58 3 4 2 8 2 2" xfId="44238" xr:uid="{00000000-0005-0000-0000-00004C9A0000}"/>
    <cellStyle name="Normal 58 3 4 2 8 3" xfId="31805" xr:uid="{00000000-0005-0000-0000-00004D9A0000}"/>
    <cellStyle name="Normal 58 3 4 2 9" xfId="2866" xr:uid="{00000000-0005-0000-0000-00004E9A0000}"/>
    <cellStyle name="Normal 58 3 4 2 9 2" xfId="15384" xr:uid="{00000000-0005-0000-0000-00004F9A0000}"/>
    <cellStyle name="Normal 58 3 4 2 9 2 2" xfId="40258" xr:uid="{00000000-0005-0000-0000-0000509A0000}"/>
    <cellStyle name="Normal 58 3 4 2 9 3" xfId="27817" xr:uid="{00000000-0005-0000-0000-0000519A0000}"/>
    <cellStyle name="Normal 58 3 4 2_Degree data" xfId="2518" xr:uid="{00000000-0005-0000-0000-0000529A0000}"/>
    <cellStyle name="Normal 58 3 4 3" xfId="620" xr:uid="{00000000-0005-0000-0000-0000539A0000}"/>
    <cellStyle name="Normal 58 3 4 3 2" xfId="1552" xr:uid="{00000000-0005-0000-0000-0000549A0000}"/>
    <cellStyle name="Normal 58 3 4 3 2 2" xfId="9117" xr:uid="{00000000-0005-0000-0000-0000559A0000}"/>
    <cellStyle name="Normal 58 3 4 3 2 2 2" xfId="21560" xr:uid="{00000000-0005-0000-0000-0000569A0000}"/>
    <cellStyle name="Normal 58 3 4 3 2 2 2 2" xfId="46434" xr:uid="{00000000-0005-0000-0000-0000579A0000}"/>
    <cellStyle name="Normal 58 3 4 3 2 2 3" xfId="34001" xr:uid="{00000000-0005-0000-0000-0000589A0000}"/>
    <cellStyle name="Normal 58 3 4 3 2 3" xfId="4099" xr:uid="{00000000-0005-0000-0000-0000599A0000}"/>
    <cellStyle name="Normal 58 3 4 3 2 3 2" xfId="16553" xr:uid="{00000000-0005-0000-0000-00005A9A0000}"/>
    <cellStyle name="Normal 58 3 4 3 2 3 2 2" xfId="41427" xr:uid="{00000000-0005-0000-0000-00005B9A0000}"/>
    <cellStyle name="Normal 58 3 4 3 2 3 3" xfId="28994" xr:uid="{00000000-0005-0000-0000-00005C9A0000}"/>
    <cellStyle name="Normal 58 3 4 3 2 4" xfId="14352" xr:uid="{00000000-0005-0000-0000-00005D9A0000}"/>
    <cellStyle name="Normal 58 3 4 3 2 4 2" xfId="39226" xr:uid="{00000000-0005-0000-0000-00005E9A0000}"/>
    <cellStyle name="Normal 58 3 4 3 2 5" xfId="26785" xr:uid="{00000000-0005-0000-0000-00005F9A0000}"/>
    <cellStyle name="Normal 58 3 4 3 3" xfId="5697" xr:uid="{00000000-0005-0000-0000-0000609A0000}"/>
    <cellStyle name="Normal 58 3 4 3 3 2" xfId="10713" xr:uid="{00000000-0005-0000-0000-0000619A0000}"/>
    <cellStyle name="Normal 58 3 4 3 3 2 2" xfId="23156" xr:uid="{00000000-0005-0000-0000-0000629A0000}"/>
    <cellStyle name="Normal 58 3 4 3 3 2 2 2" xfId="48030" xr:uid="{00000000-0005-0000-0000-0000639A0000}"/>
    <cellStyle name="Normal 58 3 4 3 3 2 3" xfId="35597" xr:uid="{00000000-0005-0000-0000-0000649A0000}"/>
    <cellStyle name="Normal 58 3 4 3 3 3" xfId="18149" xr:uid="{00000000-0005-0000-0000-0000659A0000}"/>
    <cellStyle name="Normal 58 3 4 3 3 3 2" xfId="43023" xr:uid="{00000000-0005-0000-0000-0000669A0000}"/>
    <cellStyle name="Normal 58 3 4 3 3 4" xfId="30590" xr:uid="{00000000-0005-0000-0000-0000679A0000}"/>
    <cellStyle name="Normal 58 3 4 3 4" xfId="8233" xr:uid="{00000000-0005-0000-0000-0000689A0000}"/>
    <cellStyle name="Normal 58 3 4 3 4 2" xfId="20677" xr:uid="{00000000-0005-0000-0000-0000699A0000}"/>
    <cellStyle name="Normal 58 3 4 3 4 2 2" xfId="45551" xr:uid="{00000000-0005-0000-0000-00006A9A0000}"/>
    <cellStyle name="Normal 58 3 4 3 4 3" xfId="33118" xr:uid="{00000000-0005-0000-0000-00006B9A0000}"/>
    <cellStyle name="Normal 58 3 4 3 5" xfId="12167" xr:uid="{00000000-0005-0000-0000-00006C9A0000}"/>
    <cellStyle name="Normal 58 3 4 3 5 2" xfId="24601" xr:uid="{00000000-0005-0000-0000-00006D9A0000}"/>
    <cellStyle name="Normal 58 3 4 3 5 2 2" xfId="49475" xr:uid="{00000000-0005-0000-0000-00006E9A0000}"/>
    <cellStyle name="Normal 58 3 4 3 5 3" xfId="37042" xr:uid="{00000000-0005-0000-0000-00006F9A0000}"/>
    <cellStyle name="Normal 58 3 4 3 6" xfId="6710" xr:uid="{00000000-0005-0000-0000-0000709A0000}"/>
    <cellStyle name="Normal 58 3 4 3 6 2" xfId="19159" xr:uid="{00000000-0005-0000-0000-0000719A0000}"/>
    <cellStyle name="Normal 58 3 4 3 6 2 2" xfId="44033" xr:uid="{00000000-0005-0000-0000-0000729A0000}"/>
    <cellStyle name="Normal 58 3 4 3 6 3" xfId="31600" xr:uid="{00000000-0005-0000-0000-0000739A0000}"/>
    <cellStyle name="Normal 58 3 4 3 7" xfId="3164" xr:uid="{00000000-0005-0000-0000-0000749A0000}"/>
    <cellStyle name="Normal 58 3 4 3 7 2" xfId="15670" xr:uid="{00000000-0005-0000-0000-0000759A0000}"/>
    <cellStyle name="Normal 58 3 4 3 7 2 2" xfId="40544" xr:uid="{00000000-0005-0000-0000-0000769A0000}"/>
    <cellStyle name="Normal 58 3 4 3 7 3" xfId="28103" xr:uid="{00000000-0005-0000-0000-0000779A0000}"/>
    <cellStyle name="Normal 58 3 4 3 8" xfId="13427" xr:uid="{00000000-0005-0000-0000-0000789A0000}"/>
    <cellStyle name="Normal 58 3 4 3 8 2" xfId="38301" xr:uid="{00000000-0005-0000-0000-0000799A0000}"/>
    <cellStyle name="Normal 58 3 4 3 9" xfId="25860" xr:uid="{00000000-0005-0000-0000-00007A9A0000}"/>
    <cellStyle name="Normal 58 3 4 4" xfId="1900" xr:uid="{00000000-0005-0000-0000-00007B9A0000}"/>
    <cellStyle name="Normal 58 3 4 4 2" xfId="4638" xr:uid="{00000000-0005-0000-0000-00007C9A0000}"/>
    <cellStyle name="Normal 58 3 4 4 2 2" xfId="9656" xr:uid="{00000000-0005-0000-0000-00007D9A0000}"/>
    <cellStyle name="Normal 58 3 4 4 2 2 2" xfId="22099" xr:uid="{00000000-0005-0000-0000-00007E9A0000}"/>
    <cellStyle name="Normal 58 3 4 4 2 2 2 2" xfId="46973" xr:uid="{00000000-0005-0000-0000-00007F9A0000}"/>
    <cellStyle name="Normal 58 3 4 4 2 2 3" xfId="34540" xr:uid="{00000000-0005-0000-0000-0000809A0000}"/>
    <cellStyle name="Normal 58 3 4 4 2 3" xfId="17092" xr:uid="{00000000-0005-0000-0000-0000819A0000}"/>
    <cellStyle name="Normal 58 3 4 4 2 3 2" xfId="41966" xr:uid="{00000000-0005-0000-0000-0000829A0000}"/>
    <cellStyle name="Normal 58 3 4 4 2 4" xfId="29533" xr:uid="{00000000-0005-0000-0000-0000839A0000}"/>
    <cellStyle name="Normal 58 3 4 4 3" xfId="6046" xr:uid="{00000000-0005-0000-0000-0000849A0000}"/>
    <cellStyle name="Normal 58 3 4 4 3 2" xfId="11061" xr:uid="{00000000-0005-0000-0000-0000859A0000}"/>
    <cellStyle name="Normal 58 3 4 4 3 2 2" xfId="23504" xr:uid="{00000000-0005-0000-0000-0000869A0000}"/>
    <cellStyle name="Normal 58 3 4 4 3 2 2 2" xfId="48378" xr:uid="{00000000-0005-0000-0000-0000879A0000}"/>
    <cellStyle name="Normal 58 3 4 4 3 2 3" xfId="35945" xr:uid="{00000000-0005-0000-0000-0000889A0000}"/>
    <cellStyle name="Normal 58 3 4 4 3 3" xfId="18497" xr:uid="{00000000-0005-0000-0000-0000899A0000}"/>
    <cellStyle name="Normal 58 3 4 4 3 3 2" xfId="43371" xr:uid="{00000000-0005-0000-0000-00008A9A0000}"/>
    <cellStyle name="Normal 58 3 4 4 3 4" xfId="30938" xr:uid="{00000000-0005-0000-0000-00008B9A0000}"/>
    <cellStyle name="Normal 58 3 4 4 4" xfId="8772" xr:uid="{00000000-0005-0000-0000-00008C9A0000}"/>
    <cellStyle name="Normal 58 3 4 4 4 2" xfId="21216" xr:uid="{00000000-0005-0000-0000-00008D9A0000}"/>
    <cellStyle name="Normal 58 3 4 4 4 2 2" xfId="46090" xr:uid="{00000000-0005-0000-0000-00008E9A0000}"/>
    <cellStyle name="Normal 58 3 4 4 4 3" xfId="33657" xr:uid="{00000000-0005-0000-0000-00008F9A0000}"/>
    <cellStyle name="Normal 58 3 4 4 5" xfId="12515" xr:uid="{00000000-0005-0000-0000-0000909A0000}"/>
    <cellStyle name="Normal 58 3 4 4 5 2" xfId="24949" xr:uid="{00000000-0005-0000-0000-0000919A0000}"/>
    <cellStyle name="Normal 58 3 4 4 5 2 2" xfId="49823" xr:uid="{00000000-0005-0000-0000-0000929A0000}"/>
    <cellStyle name="Normal 58 3 4 4 5 3" xfId="37390" xr:uid="{00000000-0005-0000-0000-0000939A0000}"/>
    <cellStyle name="Normal 58 3 4 4 6" xfId="7249" xr:uid="{00000000-0005-0000-0000-0000949A0000}"/>
    <cellStyle name="Normal 58 3 4 4 6 2" xfId="19698" xr:uid="{00000000-0005-0000-0000-0000959A0000}"/>
    <cellStyle name="Normal 58 3 4 4 6 2 2" xfId="44572" xr:uid="{00000000-0005-0000-0000-0000969A0000}"/>
    <cellStyle name="Normal 58 3 4 4 6 3" xfId="32139" xr:uid="{00000000-0005-0000-0000-0000979A0000}"/>
    <cellStyle name="Normal 58 3 4 4 7" xfId="3703" xr:uid="{00000000-0005-0000-0000-0000989A0000}"/>
    <cellStyle name="Normal 58 3 4 4 7 2" xfId="16209" xr:uid="{00000000-0005-0000-0000-0000999A0000}"/>
    <cellStyle name="Normal 58 3 4 4 7 2 2" xfId="41083" xr:uid="{00000000-0005-0000-0000-00009A9A0000}"/>
    <cellStyle name="Normal 58 3 4 4 7 3" xfId="28642" xr:uid="{00000000-0005-0000-0000-00009B9A0000}"/>
    <cellStyle name="Normal 58 3 4 4 8" xfId="14700" xr:uid="{00000000-0005-0000-0000-00009C9A0000}"/>
    <cellStyle name="Normal 58 3 4 4 8 2" xfId="39574" xr:uid="{00000000-0005-0000-0000-00009D9A0000}"/>
    <cellStyle name="Normal 58 3 4 4 9" xfId="27133" xr:uid="{00000000-0005-0000-0000-00009E9A0000}"/>
    <cellStyle name="Normal 58 3 4 5" xfId="2176" xr:uid="{00000000-0005-0000-0000-00009F9A0000}"/>
    <cellStyle name="Normal 58 3 4 5 2" xfId="4809" xr:uid="{00000000-0005-0000-0000-0000A09A0000}"/>
    <cellStyle name="Normal 58 3 4 5 2 2" xfId="9826" xr:uid="{00000000-0005-0000-0000-0000A19A0000}"/>
    <cellStyle name="Normal 58 3 4 5 2 2 2" xfId="22269" xr:uid="{00000000-0005-0000-0000-0000A29A0000}"/>
    <cellStyle name="Normal 58 3 4 5 2 2 2 2" xfId="47143" xr:uid="{00000000-0005-0000-0000-0000A39A0000}"/>
    <cellStyle name="Normal 58 3 4 5 2 2 3" xfId="34710" xr:uid="{00000000-0005-0000-0000-0000A49A0000}"/>
    <cellStyle name="Normal 58 3 4 5 2 3" xfId="17262" xr:uid="{00000000-0005-0000-0000-0000A59A0000}"/>
    <cellStyle name="Normal 58 3 4 5 2 3 2" xfId="42136" xr:uid="{00000000-0005-0000-0000-0000A69A0000}"/>
    <cellStyle name="Normal 58 3 4 5 2 4" xfId="29703" xr:uid="{00000000-0005-0000-0000-0000A79A0000}"/>
    <cellStyle name="Normal 58 3 4 5 3" xfId="6207" xr:uid="{00000000-0005-0000-0000-0000A89A0000}"/>
    <cellStyle name="Normal 58 3 4 5 3 2" xfId="11222" xr:uid="{00000000-0005-0000-0000-0000A99A0000}"/>
    <cellStyle name="Normal 58 3 4 5 3 2 2" xfId="23665" xr:uid="{00000000-0005-0000-0000-0000AA9A0000}"/>
    <cellStyle name="Normal 58 3 4 5 3 2 2 2" xfId="48539" xr:uid="{00000000-0005-0000-0000-0000AB9A0000}"/>
    <cellStyle name="Normal 58 3 4 5 3 2 3" xfId="36106" xr:uid="{00000000-0005-0000-0000-0000AC9A0000}"/>
    <cellStyle name="Normal 58 3 4 5 3 3" xfId="18658" xr:uid="{00000000-0005-0000-0000-0000AD9A0000}"/>
    <cellStyle name="Normal 58 3 4 5 3 3 2" xfId="43532" xr:uid="{00000000-0005-0000-0000-0000AE9A0000}"/>
    <cellStyle name="Normal 58 3 4 5 3 4" xfId="31099" xr:uid="{00000000-0005-0000-0000-0000AF9A0000}"/>
    <cellStyle name="Normal 58 3 4 5 4" xfId="8119" xr:uid="{00000000-0005-0000-0000-0000B09A0000}"/>
    <cellStyle name="Normal 58 3 4 5 4 2" xfId="20565" xr:uid="{00000000-0005-0000-0000-0000B19A0000}"/>
    <cellStyle name="Normal 58 3 4 5 4 2 2" xfId="45439" xr:uid="{00000000-0005-0000-0000-0000B29A0000}"/>
    <cellStyle name="Normal 58 3 4 5 4 3" xfId="33006" xr:uid="{00000000-0005-0000-0000-0000B39A0000}"/>
    <cellStyle name="Normal 58 3 4 5 5" xfId="12676" xr:uid="{00000000-0005-0000-0000-0000B49A0000}"/>
    <cellStyle name="Normal 58 3 4 5 5 2" xfId="25110" xr:uid="{00000000-0005-0000-0000-0000B59A0000}"/>
    <cellStyle name="Normal 58 3 4 5 5 2 2" xfId="49984" xr:uid="{00000000-0005-0000-0000-0000B69A0000}"/>
    <cellStyle name="Normal 58 3 4 5 5 3" xfId="37551" xr:uid="{00000000-0005-0000-0000-0000B79A0000}"/>
    <cellStyle name="Normal 58 3 4 5 6" xfId="7420" xr:uid="{00000000-0005-0000-0000-0000B89A0000}"/>
    <cellStyle name="Normal 58 3 4 5 6 2" xfId="19868" xr:uid="{00000000-0005-0000-0000-0000B99A0000}"/>
    <cellStyle name="Normal 58 3 4 5 6 2 2" xfId="44742" xr:uid="{00000000-0005-0000-0000-0000BA9A0000}"/>
    <cellStyle name="Normal 58 3 4 5 6 3" xfId="32309" xr:uid="{00000000-0005-0000-0000-0000BB9A0000}"/>
    <cellStyle name="Normal 58 3 4 5 7" xfId="3049" xr:uid="{00000000-0005-0000-0000-0000BC9A0000}"/>
    <cellStyle name="Normal 58 3 4 5 7 2" xfId="15558" xr:uid="{00000000-0005-0000-0000-0000BD9A0000}"/>
    <cellStyle name="Normal 58 3 4 5 7 2 2" xfId="40432" xr:uid="{00000000-0005-0000-0000-0000BE9A0000}"/>
    <cellStyle name="Normal 58 3 4 5 7 3" xfId="27991" xr:uid="{00000000-0005-0000-0000-0000BF9A0000}"/>
    <cellStyle name="Normal 58 3 4 5 8" xfId="14861" xr:uid="{00000000-0005-0000-0000-0000C09A0000}"/>
    <cellStyle name="Normal 58 3 4 5 8 2" xfId="39735" xr:uid="{00000000-0005-0000-0000-0000C19A0000}"/>
    <cellStyle name="Normal 58 3 4 5 9" xfId="27294" xr:uid="{00000000-0005-0000-0000-0000C29A0000}"/>
    <cellStyle name="Normal 58 3 4 6" xfId="1018" xr:uid="{00000000-0005-0000-0000-0000C39A0000}"/>
    <cellStyle name="Normal 58 3 4 6 2" xfId="9005" xr:uid="{00000000-0005-0000-0000-0000C49A0000}"/>
    <cellStyle name="Normal 58 3 4 6 2 2" xfId="21448" xr:uid="{00000000-0005-0000-0000-0000C59A0000}"/>
    <cellStyle name="Normal 58 3 4 6 2 2 2" xfId="46322" xr:uid="{00000000-0005-0000-0000-0000C69A0000}"/>
    <cellStyle name="Normal 58 3 4 6 2 3" xfId="33889" xr:uid="{00000000-0005-0000-0000-0000C79A0000}"/>
    <cellStyle name="Normal 58 3 4 6 3" xfId="3987" xr:uid="{00000000-0005-0000-0000-0000C89A0000}"/>
    <cellStyle name="Normal 58 3 4 6 3 2" xfId="16441" xr:uid="{00000000-0005-0000-0000-0000C99A0000}"/>
    <cellStyle name="Normal 58 3 4 6 3 2 2" xfId="41315" xr:uid="{00000000-0005-0000-0000-0000CA9A0000}"/>
    <cellStyle name="Normal 58 3 4 6 3 3" xfId="28882" xr:uid="{00000000-0005-0000-0000-0000CB9A0000}"/>
    <cellStyle name="Normal 58 3 4 6 4" xfId="13818" xr:uid="{00000000-0005-0000-0000-0000CC9A0000}"/>
    <cellStyle name="Normal 58 3 4 6 4 2" xfId="38692" xr:uid="{00000000-0005-0000-0000-0000CD9A0000}"/>
    <cellStyle name="Normal 58 3 4 6 5" xfId="26251" xr:uid="{00000000-0005-0000-0000-0000CE9A0000}"/>
    <cellStyle name="Normal 58 3 4 7" xfId="5163" xr:uid="{00000000-0005-0000-0000-0000CF9A0000}"/>
    <cellStyle name="Normal 58 3 4 7 2" xfId="10179" xr:uid="{00000000-0005-0000-0000-0000D09A0000}"/>
    <cellStyle name="Normal 58 3 4 7 2 2" xfId="22622" xr:uid="{00000000-0005-0000-0000-0000D19A0000}"/>
    <cellStyle name="Normal 58 3 4 7 2 2 2" xfId="47496" xr:uid="{00000000-0005-0000-0000-0000D29A0000}"/>
    <cellStyle name="Normal 58 3 4 7 2 3" xfId="35063" xr:uid="{00000000-0005-0000-0000-0000D39A0000}"/>
    <cellStyle name="Normal 58 3 4 7 3" xfId="17615" xr:uid="{00000000-0005-0000-0000-0000D49A0000}"/>
    <cellStyle name="Normal 58 3 4 7 3 2" xfId="42489" xr:uid="{00000000-0005-0000-0000-0000D59A0000}"/>
    <cellStyle name="Normal 58 3 4 7 4" xfId="30056" xr:uid="{00000000-0005-0000-0000-0000D69A0000}"/>
    <cellStyle name="Normal 58 3 4 8" xfId="7740" xr:uid="{00000000-0005-0000-0000-0000D79A0000}"/>
    <cellStyle name="Normal 58 3 4 8 2" xfId="20186" xr:uid="{00000000-0005-0000-0000-0000D89A0000}"/>
    <cellStyle name="Normal 58 3 4 8 2 2" xfId="45060" xr:uid="{00000000-0005-0000-0000-0000D99A0000}"/>
    <cellStyle name="Normal 58 3 4 8 3" xfId="32627" xr:uid="{00000000-0005-0000-0000-0000DA9A0000}"/>
    <cellStyle name="Normal 58 3 4 9" xfId="11633" xr:uid="{00000000-0005-0000-0000-0000DB9A0000}"/>
    <cellStyle name="Normal 58 3 4 9 2" xfId="24067" xr:uid="{00000000-0005-0000-0000-0000DC9A0000}"/>
    <cellStyle name="Normal 58 3 4 9 2 2" xfId="48941" xr:uid="{00000000-0005-0000-0000-0000DD9A0000}"/>
    <cellStyle name="Normal 58 3 4 9 3" xfId="36508" xr:uid="{00000000-0005-0000-0000-0000DE9A0000}"/>
    <cellStyle name="Normal 58 3 4_Degree data" xfId="2517" xr:uid="{00000000-0005-0000-0000-0000DF9A0000}"/>
    <cellStyle name="Normal 58 3 5" xfId="364" xr:uid="{00000000-0005-0000-0000-0000E09A0000}"/>
    <cellStyle name="Normal 58 3 5 10" xfId="13180" xr:uid="{00000000-0005-0000-0000-0000E19A0000}"/>
    <cellStyle name="Normal 58 3 5 10 2" xfId="38054" xr:uid="{00000000-0005-0000-0000-0000E29A0000}"/>
    <cellStyle name="Normal 58 3 5 11" xfId="25613" xr:uid="{00000000-0005-0000-0000-0000E39A0000}"/>
    <cellStyle name="Normal 58 3 5 2" xfId="724" xr:uid="{00000000-0005-0000-0000-0000E49A0000}"/>
    <cellStyle name="Normal 58 3 5 2 2" xfId="1554" xr:uid="{00000000-0005-0000-0000-0000E59A0000}"/>
    <cellStyle name="Normal 58 3 5 2 2 2" xfId="9658" xr:uid="{00000000-0005-0000-0000-0000E69A0000}"/>
    <cellStyle name="Normal 58 3 5 2 2 2 2" xfId="22101" xr:uid="{00000000-0005-0000-0000-0000E79A0000}"/>
    <cellStyle name="Normal 58 3 5 2 2 2 2 2" xfId="46975" xr:uid="{00000000-0005-0000-0000-0000E89A0000}"/>
    <cellStyle name="Normal 58 3 5 2 2 2 3" xfId="34542" xr:uid="{00000000-0005-0000-0000-0000E99A0000}"/>
    <cellStyle name="Normal 58 3 5 2 2 3" xfId="4640" xr:uid="{00000000-0005-0000-0000-0000EA9A0000}"/>
    <cellStyle name="Normal 58 3 5 2 2 3 2" xfId="17094" xr:uid="{00000000-0005-0000-0000-0000EB9A0000}"/>
    <cellStyle name="Normal 58 3 5 2 2 3 2 2" xfId="41968" xr:uid="{00000000-0005-0000-0000-0000EC9A0000}"/>
    <cellStyle name="Normal 58 3 5 2 2 3 3" xfId="29535" xr:uid="{00000000-0005-0000-0000-0000ED9A0000}"/>
    <cellStyle name="Normal 58 3 5 2 2 4" xfId="14354" xr:uid="{00000000-0005-0000-0000-0000EE9A0000}"/>
    <cellStyle name="Normal 58 3 5 2 2 4 2" xfId="39228" xr:uid="{00000000-0005-0000-0000-0000EF9A0000}"/>
    <cellStyle name="Normal 58 3 5 2 2 5" xfId="26787" xr:uid="{00000000-0005-0000-0000-0000F09A0000}"/>
    <cellStyle name="Normal 58 3 5 2 3" xfId="5699" xr:uid="{00000000-0005-0000-0000-0000F19A0000}"/>
    <cellStyle name="Normal 58 3 5 2 3 2" xfId="10715" xr:uid="{00000000-0005-0000-0000-0000F29A0000}"/>
    <cellStyle name="Normal 58 3 5 2 3 2 2" xfId="23158" xr:uid="{00000000-0005-0000-0000-0000F39A0000}"/>
    <cellStyle name="Normal 58 3 5 2 3 2 2 2" xfId="48032" xr:uid="{00000000-0005-0000-0000-0000F49A0000}"/>
    <cellStyle name="Normal 58 3 5 2 3 2 3" xfId="35599" xr:uid="{00000000-0005-0000-0000-0000F59A0000}"/>
    <cellStyle name="Normal 58 3 5 2 3 3" xfId="18151" xr:uid="{00000000-0005-0000-0000-0000F69A0000}"/>
    <cellStyle name="Normal 58 3 5 2 3 3 2" xfId="43025" xr:uid="{00000000-0005-0000-0000-0000F79A0000}"/>
    <cellStyle name="Normal 58 3 5 2 3 4" xfId="30592" xr:uid="{00000000-0005-0000-0000-0000F89A0000}"/>
    <cellStyle name="Normal 58 3 5 2 4" xfId="8774" xr:uid="{00000000-0005-0000-0000-0000F99A0000}"/>
    <cellStyle name="Normal 58 3 5 2 4 2" xfId="21218" xr:uid="{00000000-0005-0000-0000-0000FA9A0000}"/>
    <cellStyle name="Normal 58 3 5 2 4 2 2" xfId="46092" xr:uid="{00000000-0005-0000-0000-0000FB9A0000}"/>
    <cellStyle name="Normal 58 3 5 2 4 3" xfId="33659" xr:uid="{00000000-0005-0000-0000-0000FC9A0000}"/>
    <cellStyle name="Normal 58 3 5 2 5" xfId="12169" xr:uid="{00000000-0005-0000-0000-0000FD9A0000}"/>
    <cellStyle name="Normal 58 3 5 2 5 2" xfId="24603" xr:uid="{00000000-0005-0000-0000-0000FE9A0000}"/>
    <cellStyle name="Normal 58 3 5 2 5 2 2" xfId="49477" xr:uid="{00000000-0005-0000-0000-0000FF9A0000}"/>
    <cellStyle name="Normal 58 3 5 2 5 3" xfId="37044" xr:uid="{00000000-0005-0000-0000-0000009B0000}"/>
    <cellStyle name="Normal 58 3 5 2 6" xfId="7251" xr:uid="{00000000-0005-0000-0000-0000019B0000}"/>
    <cellStyle name="Normal 58 3 5 2 6 2" xfId="19700" xr:uid="{00000000-0005-0000-0000-0000029B0000}"/>
    <cellStyle name="Normal 58 3 5 2 6 2 2" xfId="44574" xr:uid="{00000000-0005-0000-0000-0000039B0000}"/>
    <cellStyle name="Normal 58 3 5 2 6 3" xfId="32141" xr:uid="{00000000-0005-0000-0000-0000049B0000}"/>
    <cellStyle name="Normal 58 3 5 2 7" xfId="3705" xr:uid="{00000000-0005-0000-0000-0000059B0000}"/>
    <cellStyle name="Normal 58 3 5 2 7 2" xfId="16211" xr:uid="{00000000-0005-0000-0000-0000069B0000}"/>
    <cellStyle name="Normal 58 3 5 2 7 2 2" xfId="41085" xr:uid="{00000000-0005-0000-0000-0000079B0000}"/>
    <cellStyle name="Normal 58 3 5 2 7 3" xfId="28644" xr:uid="{00000000-0005-0000-0000-0000089B0000}"/>
    <cellStyle name="Normal 58 3 5 2 8" xfId="13527" xr:uid="{00000000-0005-0000-0000-0000099B0000}"/>
    <cellStyle name="Normal 58 3 5 2 8 2" xfId="38401" xr:uid="{00000000-0005-0000-0000-00000A9B0000}"/>
    <cellStyle name="Normal 58 3 5 2 9" xfId="25960" xr:uid="{00000000-0005-0000-0000-00000B9B0000}"/>
    <cellStyle name="Normal 58 3 5 3" xfId="1902" xr:uid="{00000000-0005-0000-0000-00000C9B0000}"/>
    <cellStyle name="Normal 58 3 5 3 2" xfId="4909" xr:uid="{00000000-0005-0000-0000-00000D9B0000}"/>
    <cellStyle name="Normal 58 3 5 3 2 2" xfId="9926" xr:uid="{00000000-0005-0000-0000-00000E9B0000}"/>
    <cellStyle name="Normal 58 3 5 3 2 2 2" xfId="22369" xr:uid="{00000000-0005-0000-0000-00000F9B0000}"/>
    <cellStyle name="Normal 58 3 5 3 2 2 2 2" xfId="47243" xr:uid="{00000000-0005-0000-0000-0000109B0000}"/>
    <cellStyle name="Normal 58 3 5 3 2 2 3" xfId="34810" xr:uid="{00000000-0005-0000-0000-0000119B0000}"/>
    <cellStyle name="Normal 58 3 5 3 2 3" xfId="17362" xr:uid="{00000000-0005-0000-0000-0000129B0000}"/>
    <cellStyle name="Normal 58 3 5 3 2 3 2" xfId="42236" xr:uid="{00000000-0005-0000-0000-0000139B0000}"/>
    <cellStyle name="Normal 58 3 5 3 2 4" xfId="29803" xr:uid="{00000000-0005-0000-0000-0000149B0000}"/>
    <cellStyle name="Normal 58 3 5 3 3" xfId="6048" xr:uid="{00000000-0005-0000-0000-0000159B0000}"/>
    <cellStyle name="Normal 58 3 5 3 3 2" xfId="11063" xr:uid="{00000000-0005-0000-0000-0000169B0000}"/>
    <cellStyle name="Normal 58 3 5 3 3 2 2" xfId="23506" xr:uid="{00000000-0005-0000-0000-0000179B0000}"/>
    <cellStyle name="Normal 58 3 5 3 3 2 2 2" xfId="48380" xr:uid="{00000000-0005-0000-0000-0000189B0000}"/>
    <cellStyle name="Normal 58 3 5 3 3 2 3" xfId="35947" xr:uid="{00000000-0005-0000-0000-0000199B0000}"/>
    <cellStyle name="Normal 58 3 5 3 3 3" xfId="18499" xr:uid="{00000000-0005-0000-0000-00001A9B0000}"/>
    <cellStyle name="Normal 58 3 5 3 3 3 2" xfId="43373" xr:uid="{00000000-0005-0000-0000-00001B9B0000}"/>
    <cellStyle name="Normal 58 3 5 3 3 4" xfId="30940" xr:uid="{00000000-0005-0000-0000-00001C9B0000}"/>
    <cellStyle name="Normal 58 3 5 3 4" xfId="8333" xr:uid="{00000000-0005-0000-0000-00001D9B0000}"/>
    <cellStyle name="Normal 58 3 5 3 4 2" xfId="20777" xr:uid="{00000000-0005-0000-0000-00001E9B0000}"/>
    <cellStyle name="Normal 58 3 5 3 4 2 2" xfId="45651" xr:uid="{00000000-0005-0000-0000-00001F9B0000}"/>
    <cellStyle name="Normal 58 3 5 3 4 3" xfId="33218" xr:uid="{00000000-0005-0000-0000-0000209B0000}"/>
    <cellStyle name="Normal 58 3 5 3 5" xfId="12517" xr:uid="{00000000-0005-0000-0000-0000219B0000}"/>
    <cellStyle name="Normal 58 3 5 3 5 2" xfId="24951" xr:uid="{00000000-0005-0000-0000-0000229B0000}"/>
    <cellStyle name="Normal 58 3 5 3 5 2 2" xfId="49825" xr:uid="{00000000-0005-0000-0000-0000239B0000}"/>
    <cellStyle name="Normal 58 3 5 3 5 3" xfId="37392" xr:uid="{00000000-0005-0000-0000-0000249B0000}"/>
    <cellStyle name="Normal 58 3 5 3 6" xfId="7520" xr:uid="{00000000-0005-0000-0000-0000259B0000}"/>
    <cellStyle name="Normal 58 3 5 3 6 2" xfId="19968" xr:uid="{00000000-0005-0000-0000-0000269B0000}"/>
    <cellStyle name="Normal 58 3 5 3 6 2 2" xfId="44842" xr:uid="{00000000-0005-0000-0000-0000279B0000}"/>
    <cellStyle name="Normal 58 3 5 3 6 3" xfId="32409" xr:uid="{00000000-0005-0000-0000-0000289B0000}"/>
    <cellStyle name="Normal 58 3 5 3 7" xfId="3264" xr:uid="{00000000-0005-0000-0000-0000299B0000}"/>
    <cellStyle name="Normal 58 3 5 3 7 2" xfId="15770" xr:uid="{00000000-0005-0000-0000-00002A9B0000}"/>
    <cellStyle name="Normal 58 3 5 3 7 2 2" xfId="40644" xr:uid="{00000000-0005-0000-0000-00002B9B0000}"/>
    <cellStyle name="Normal 58 3 5 3 7 3" xfId="28203" xr:uid="{00000000-0005-0000-0000-00002C9B0000}"/>
    <cellStyle name="Normal 58 3 5 3 8" xfId="14702" xr:uid="{00000000-0005-0000-0000-00002D9B0000}"/>
    <cellStyle name="Normal 58 3 5 3 8 2" xfId="39576" xr:uid="{00000000-0005-0000-0000-00002E9B0000}"/>
    <cellStyle name="Normal 58 3 5 3 9" xfId="27135" xr:uid="{00000000-0005-0000-0000-00002F9B0000}"/>
    <cellStyle name="Normal 58 3 5 4" xfId="2282" xr:uid="{00000000-0005-0000-0000-0000309B0000}"/>
    <cellStyle name="Normal 58 3 5 4 2" xfId="6307" xr:uid="{00000000-0005-0000-0000-0000319B0000}"/>
    <cellStyle name="Normal 58 3 5 4 2 2" xfId="11322" xr:uid="{00000000-0005-0000-0000-0000329B0000}"/>
    <cellStyle name="Normal 58 3 5 4 2 2 2" xfId="23765" xr:uid="{00000000-0005-0000-0000-0000339B0000}"/>
    <cellStyle name="Normal 58 3 5 4 2 2 2 2" xfId="48639" xr:uid="{00000000-0005-0000-0000-0000349B0000}"/>
    <cellStyle name="Normal 58 3 5 4 2 2 3" xfId="36206" xr:uid="{00000000-0005-0000-0000-0000359B0000}"/>
    <cellStyle name="Normal 58 3 5 4 2 3" xfId="18758" xr:uid="{00000000-0005-0000-0000-0000369B0000}"/>
    <cellStyle name="Normal 58 3 5 4 2 3 2" xfId="43632" xr:uid="{00000000-0005-0000-0000-0000379B0000}"/>
    <cellStyle name="Normal 58 3 5 4 2 4" xfId="31199" xr:uid="{00000000-0005-0000-0000-0000389B0000}"/>
    <cellStyle name="Normal 58 3 5 4 3" xfId="12776" xr:uid="{00000000-0005-0000-0000-0000399B0000}"/>
    <cellStyle name="Normal 58 3 5 4 3 2" xfId="25210" xr:uid="{00000000-0005-0000-0000-00003A9B0000}"/>
    <cellStyle name="Normal 58 3 5 4 3 2 2" xfId="50084" xr:uid="{00000000-0005-0000-0000-00003B9B0000}"/>
    <cellStyle name="Normal 58 3 5 4 3 3" xfId="37651" xr:uid="{00000000-0005-0000-0000-00003C9B0000}"/>
    <cellStyle name="Normal 58 3 5 4 4" xfId="9217" xr:uid="{00000000-0005-0000-0000-00003D9B0000}"/>
    <cellStyle name="Normal 58 3 5 4 4 2" xfId="21660" xr:uid="{00000000-0005-0000-0000-00003E9B0000}"/>
    <cellStyle name="Normal 58 3 5 4 4 2 2" xfId="46534" xr:uid="{00000000-0005-0000-0000-00003F9B0000}"/>
    <cellStyle name="Normal 58 3 5 4 4 3" xfId="34101" xr:uid="{00000000-0005-0000-0000-0000409B0000}"/>
    <cellStyle name="Normal 58 3 5 4 5" xfId="4199" xr:uid="{00000000-0005-0000-0000-0000419B0000}"/>
    <cellStyle name="Normal 58 3 5 4 5 2" xfId="16653" xr:uid="{00000000-0005-0000-0000-0000429B0000}"/>
    <cellStyle name="Normal 58 3 5 4 5 2 2" xfId="41527" xr:uid="{00000000-0005-0000-0000-0000439B0000}"/>
    <cellStyle name="Normal 58 3 5 4 5 3" xfId="29094" xr:uid="{00000000-0005-0000-0000-0000449B0000}"/>
    <cellStyle name="Normal 58 3 5 4 6" xfId="14961" xr:uid="{00000000-0005-0000-0000-0000459B0000}"/>
    <cellStyle name="Normal 58 3 5 4 6 2" xfId="39835" xr:uid="{00000000-0005-0000-0000-0000469B0000}"/>
    <cellStyle name="Normal 58 3 5 4 7" xfId="27394" xr:uid="{00000000-0005-0000-0000-0000479B0000}"/>
    <cellStyle name="Normal 58 3 5 5" xfId="1118" xr:uid="{00000000-0005-0000-0000-0000489B0000}"/>
    <cellStyle name="Normal 58 3 5 5 2" xfId="10279" xr:uid="{00000000-0005-0000-0000-0000499B0000}"/>
    <cellStyle name="Normal 58 3 5 5 2 2" xfId="22722" xr:uid="{00000000-0005-0000-0000-00004A9B0000}"/>
    <cellStyle name="Normal 58 3 5 5 2 2 2" xfId="47596" xr:uid="{00000000-0005-0000-0000-00004B9B0000}"/>
    <cellStyle name="Normal 58 3 5 5 2 3" xfId="35163" xr:uid="{00000000-0005-0000-0000-00004C9B0000}"/>
    <cellStyle name="Normal 58 3 5 5 3" xfId="5263" xr:uid="{00000000-0005-0000-0000-00004D9B0000}"/>
    <cellStyle name="Normal 58 3 5 5 3 2" xfId="17715" xr:uid="{00000000-0005-0000-0000-00004E9B0000}"/>
    <cellStyle name="Normal 58 3 5 5 3 2 2" xfId="42589" xr:uid="{00000000-0005-0000-0000-00004F9B0000}"/>
    <cellStyle name="Normal 58 3 5 5 3 3" xfId="30156" xr:uid="{00000000-0005-0000-0000-0000509B0000}"/>
    <cellStyle name="Normal 58 3 5 5 4" xfId="13918" xr:uid="{00000000-0005-0000-0000-0000519B0000}"/>
    <cellStyle name="Normal 58 3 5 5 4 2" xfId="38792" xr:uid="{00000000-0005-0000-0000-0000529B0000}"/>
    <cellStyle name="Normal 58 3 5 5 5" xfId="26351" xr:uid="{00000000-0005-0000-0000-0000539B0000}"/>
    <cellStyle name="Normal 58 3 5 6" xfId="7840" xr:uid="{00000000-0005-0000-0000-0000549B0000}"/>
    <cellStyle name="Normal 58 3 5 6 2" xfId="20286" xr:uid="{00000000-0005-0000-0000-0000559B0000}"/>
    <cellStyle name="Normal 58 3 5 6 2 2" xfId="45160" xr:uid="{00000000-0005-0000-0000-0000569B0000}"/>
    <cellStyle name="Normal 58 3 5 6 3" xfId="32727" xr:uid="{00000000-0005-0000-0000-0000579B0000}"/>
    <cellStyle name="Normal 58 3 5 7" xfId="11733" xr:uid="{00000000-0005-0000-0000-0000589B0000}"/>
    <cellStyle name="Normal 58 3 5 7 2" xfId="24167" xr:uid="{00000000-0005-0000-0000-0000599B0000}"/>
    <cellStyle name="Normal 58 3 5 7 2 2" xfId="49041" xr:uid="{00000000-0005-0000-0000-00005A9B0000}"/>
    <cellStyle name="Normal 58 3 5 7 3" xfId="36608" xr:uid="{00000000-0005-0000-0000-00005B9B0000}"/>
    <cellStyle name="Normal 58 3 5 8" xfId="6810" xr:uid="{00000000-0005-0000-0000-00005C9B0000}"/>
    <cellStyle name="Normal 58 3 5 8 2" xfId="19259" xr:uid="{00000000-0005-0000-0000-00005D9B0000}"/>
    <cellStyle name="Normal 58 3 5 8 2 2" xfId="44133" xr:uid="{00000000-0005-0000-0000-00005E9B0000}"/>
    <cellStyle name="Normal 58 3 5 8 3" xfId="31700" xr:uid="{00000000-0005-0000-0000-00005F9B0000}"/>
    <cellStyle name="Normal 58 3 5 9" xfId="2761" xr:uid="{00000000-0005-0000-0000-0000609B0000}"/>
    <cellStyle name="Normal 58 3 5 9 2" xfId="15279" xr:uid="{00000000-0005-0000-0000-0000619B0000}"/>
    <cellStyle name="Normal 58 3 5 9 2 2" xfId="40153" xr:uid="{00000000-0005-0000-0000-0000629B0000}"/>
    <cellStyle name="Normal 58 3 5 9 3" xfId="27712" xr:uid="{00000000-0005-0000-0000-0000639B0000}"/>
    <cellStyle name="Normal 58 3 5_Degree data" xfId="2519" xr:uid="{00000000-0005-0000-0000-0000649B0000}"/>
    <cellStyle name="Normal 58 3 6" xfId="198" xr:uid="{00000000-0005-0000-0000-0000659B0000}"/>
    <cellStyle name="Normal 58 3 6 10" xfId="13028" xr:uid="{00000000-0005-0000-0000-0000669B0000}"/>
    <cellStyle name="Normal 58 3 6 10 2" xfId="37902" xr:uid="{00000000-0005-0000-0000-0000679B0000}"/>
    <cellStyle name="Normal 58 3 6 11" xfId="25461" xr:uid="{00000000-0005-0000-0000-0000689B0000}"/>
    <cellStyle name="Normal 58 3 6 2" xfId="565" xr:uid="{00000000-0005-0000-0000-0000699B0000}"/>
    <cellStyle name="Normal 58 3 6 2 2" xfId="1555" xr:uid="{00000000-0005-0000-0000-00006A9B0000}"/>
    <cellStyle name="Normal 58 3 6 2 2 2" xfId="9659" xr:uid="{00000000-0005-0000-0000-00006B9B0000}"/>
    <cellStyle name="Normal 58 3 6 2 2 2 2" xfId="22102" xr:uid="{00000000-0005-0000-0000-00006C9B0000}"/>
    <cellStyle name="Normal 58 3 6 2 2 2 2 2" xfId="46976" xr:uid="{00000000-0005-0000-0000-00006D9B0000}"/>
    <cellStyle name="Normal 58 3 6 2 2 2 3" xfId="34543" xr:uid="{00000000-0005-0000-0000-00006E9B0000}"/>
    <cellStyle name="Normal 58 3 6 2 2 3" xfId="4641" xr:uid="{00000000-0005-0000-0000-00006F9B0000}"/>
    <cellStyle name="Normal 58 3 6 2 2 3 2" xfId="17095" xr:uid="{00000000-0005-0000-0000-0000709B0000}"/>
    <cellStyle name="Normal 58 3 6 2 2 3 2 2" xfId="41969" xr:uid="{00000000-0005-0000-0000-0000719B0000}"/>
    <cellStyle name="Normal 58 3 6 2 2 3 3" xfId="29536" xr:uid="{00000000-0005-0000-0000-0000729B0000}"/>
    <cellStyle name="Normal 58 3 6 2 2 4" xfId="14355" xr:uid="{00000000-0005-0000-0000-0000739B0000}"/>
    <cellStyle name="Normal 58 3 6 2 2 4 2" xfId="39229" xr:uid="{00000000-0005-0000-0000-0000749B0000}"/>
    <cellStyle name="Normal 58 3 6 2 2 5" xfId="26788" xr:uid="{00000000-0005-0000-0000-0000759B0000}"/>
    <cellStyle name="Normal 58 3 6 2 3" xfId="5700" xr:uid="{00000000-0005-0000-0000-0000769B0000}"/>
    <cellStyle name="Normal 58 3 6 2 3 2" xfId="10716" xr:uid="{00000000-0005-0000-0000-0000779B0000}"/>
    <cellStyle name="Normal 58 3 6 2 3 2 2" xfId="23159" xr:uid="{00000000-0005-0000-0000-0000789B0000}"/>
    <cellStyle name="Normal 58 3 6 2 3 2 2 2" xfId="48033" xr:uid="{00000000-0005-0000-0000-0000799B0000}"/>
    <cellStyle name="Normal 58 3 6 2 3 2 3" xfId="35600" xr:uid="{00000000-0005-0000-0000-00007A9B0000}"/>
    <cellStyle name="Normal 58 3 6 2 3 3" xfId="18152" xr:uid="{00000000-0005-0000-0000-00007B9B0000}"/>
    <cellStyle name="Normal 58 3 6 2 3 3 2" xfId="43026" xr:uid="{00000000-0005-0000-0000-00007C9B0000}"/>
    <cellStyle name="Normal 58 3 6 2 3 4" xfId="30593" xr:uid="{00000000-0005-0000-0000-00007D9B0000}"/>
    <cellStyle name="Normal 58 3 6 2 4" xfId="8775" xr:uid="{00000000-0005-0000-0000-00007E9B0000}"/>
    <cellStyle name="Normal 58 3 6 2 4 2" xfId="21219" xr:uid="{00000000-0005-0000-0000-00007F9B0000}"/>
    <cellStyle name="Normal 58 3 6 2 4 2 2" xfId="46093" xr:uid="{00000000-0005-0000-0000-0000809B0000}"/>
    <cellStyle name="Normal 58 3 6 2 4 3" xfId="33660" xr:uid="{00000000-0005-0000-0000-0000819B0000}"/>
    <cellStyle name="Normal 58 3 6 2 5" xfId="12170" xr:uid="{00000000-0005-0000-0000-0000829B0000}"/>
    <cellStyle name="Normal 58 3 6 2 5 2" xfId="24604" xr:uid="{00000000-0005-0000-0000-0000839B0000}"/>
    <cellStyle name="Normal 58 3 6 2 5 2 2" xfId="49478" xr:uid="{00000000-0005-0000-0000-0000849B0000}"/>
    <cellStyle name="Normal 58 3 6 2 5 3" xfId="37045" xr:uid="{00000000-0005-0000-0000-0000859B0000}"/>
    <cellStyle name="Normal 58 3 6 2 6" xfId="7252" xr:uid="{00000000-0005-0000-0000-0000869B0000}"/>
    <cellStyle name="Normal 58 3 6 2 6 2" xfId="19701" xr:uid="{00000000-0005-0000-0000-0000879B0000}"/>
    <cellStyle name="Normal 58 3 6 2 6 2 2" xfId="44575" xr:uid="{00000000-0005-0000-0000-0000889B0000}"/>
    <cellStyle name="Normal 58 3 6 2 6 3" xfId="32142" xr:uid="{00000000-0005-0000-0000-0000899B0000}"/>
    <cellStyle name="Normal 58 3 6 2 7" xfId="3706" xr:uid="{00000000-0005-0000-0000-00008A9B0000}"/>
    <cellStyle name="Normal 58 3 6 2 7 2" xfId="16212" xr:uid="{00000000-0005-0000-0000-00008B9B0000}"/>
    <cellStyle name="Normal 58 3 6 2 7 2 2" xfId="41086" xr:uid="{00000000-0005-0000-0000-00008C9B0000}"/>
    <cellStyle name="Normal 58 3 6 2 7 3" xfId="28645" xr:uid="{00000000-0005-0000-0000-00008D9B0000}"/>
    <cellStyle name="Normal 58 3 6 2 8" xfId="13375" xr:uid="{00000000-0005-0000-0000-00008E9B0000}"/>
    <cellStyle name="Normal 58 3 6 2 8 2" xfId="38249" xr:uid="{00000000-0005-0000-0000-00008F9B0000}"/>
    <cellStyle name="Normal 58 3 6 2 9" xfId="25808" xr:uid="{00000000-0005-0000-0000-0000909B0000}"/>
    <cellStyle name="Normal 58 3 6 3" xfId="1903" xr:uid="{00000000-0005-0000-0000-0000919B0000}"/>
    <cellStyle name="Normal 58 3 6 3 2" xfId="4757" xr:uid="{00000000-0005-0000-0000-0000929B0000}"/>
    <cellStyle name="Normal 58 3 6 3 2 2" xfId="9774" xr:uid="{00000000-0005-0000-0000-0000939B0000}"/>
    <cellStyle name="Normal 58 3 6 3 2 2 2" xfId="22217" xr:uid="{00000000-0005-0000-0000-0000949B0000}"/>
    <cellStyle name="Normal 58 3 6 3 2 2 2 2" xfId="47091" xr:uid="{00000000-0005-0000-0000-0000959B0000}"/>
    <cellStyle name="Normal 58 3 6 3 2 2 3" xfId="34658" xr:uid="{00000000-0005-0000-0000-0000969B0000}"/>
    <cellStyle name="Normal 58 3 6 3 2 3" xfId="17210" xr:uid="{00000000-0005-0000-0000-0000979B0000}"/>
    <cellStyle name="Normal 58 3 6 3 2 3 2" xfId="42084" xr:uid="{00000000-0005-0000-0000-0000989B0000}"/>
    <cellStyle name="Normal 58 3 6 3 2 4" xfId="29651" xr:uid="{00000000-0005-0000-0000-0000999B0000}"/>
    <cellStyle name="Normal 58 3 6 3 3" xfId="6049" xr:uid="{00000000-0005-0000-0000-00009A9B0000}"/>
    <cellStyle name="Normal 58 3 6 3 3 2" xfId="11064" xr:uid="{00000000-0005-0000-0000-00009B9B0000}"/>
    <cellStyle name="Normal 58 3 6 3 3 2 2" xfId="23507" xr:uid="{00000000-0005-0000-0000-00009C9B0000}"/>
    <cellStyle name="Normal 58 3 6 3 3 2 2 2" xfId="48381" xr:uid="{00000000-0005-0000-0000-00009D9B0000}"/>
    <cellStyle name="Normal 58 3 6 3 3 2 3" xfId="35948" xr:uid="{00000000-0005-0000-0000-00009E9B0000}"/>
    <cellStyle name="Normal 58 3 6 3 3 3" xfId="18500" xr:uid="{00000000-0005-0000-0000-00009F9B0000}"/>
    <cellStyle name="Normal 58 3 6 3 3 3 2" xfId="43374" xr:uid="{00000000-0005-0000-0000-0000A09B0000}"/>
    <cellStyle name="Normal 58 3 6 3 3 4" xfId="30941" xr:uid="{00000000-0005-0000-0000-0000A19B0000}"/>
    <cellStyle name="Normal 58 3 6 3 4" xfId="8879" xr:uid="{00000000-0005-0000-0000-0000A29B0000}"/>
    <cellStyle name="Normal 58 3 6 3 4 2" xfId="21322" xr:uid="{00000000-0005-0000-0000-0000A39B0000}"/>
    <cellStyle name="Normal 58 3 6 3 4 2 2" xfId="46196" xr:uid="{00000000-0005-0000-0000-0000A49B0000}"/>
    <cellStyle name="Normal 58 3 6 3 4 3" xfId="33763" xr:uid="{00000000-0005-0000-0000-0000A59B0000}"/>
    <cellStyle name="Normal 58 3 6 3 5" xfId="12518" xr:uid="{00000000-0005-0000-0000-0000A69B0000}"/>
    <cellStyle name="Normal 58 3 6 3 5 2" xfId="24952" xr:uid="{00000000-0005-0000-0000-0000A79B0000}"/>
    <cellStyle name="Normal 58 3 6 3 5 2 2" xfId="49826" xr:uid="{00000000-0005-0000-0000-0000A89B0000}"/>
    <cellStyle name="Normal 58 3 6 3 5 3" xfId="37393" xr:uid="{00000000-0005-0000-0000-0000A99B0000}"/>
    <cellStyle name="Normal 58 3 6 3 6" xfId="7368" xr:uid="{00000000-0005-0000-0000-0000AA9B0000}"/>
    <cellStyle name="Normal 58 3 6 3 6 2" xfId="19816" xr:uid="{00000000-0005-0000-0000-0000AB9B0000}"/>
    <cellStyle name="Normal 58 3 6 3 6 2 2" xfId="44690" xr:uid="{00000000-0005-0000-0000-0000AC9B0000}"/>
    <cellStyle name="Normal 58 3 6 3 6 3" xfId="32257" xr:uid="{00000000-0005-0000-0000-0000AD9B0000}"/>
    <cellStyle name="Normal 58 3 6 3 7" xfId="3861" xr:uid="{00000000-0005-0000-0000-0000AE9B0000}"/>
    <cellStyle name="Normal 58 3 6 3 7 2" xfId="16315" xr:uid="{00000000-0005-0000-0000-0000AF9B0000}"/>
    <cellStyle name="Normal 58 3 6 3 7 2 2" xfId="41189" xr:uid="{00000000-0005-0000-0000-0000B09B0000}"/>
    <cellStyle name="Normal 58 3 6 3 7 3" xfId="28756" xr:uid="{00000000-0005-0000-0000-0000B19B0000}"/>
    <cellStyle name="Normal 58 3 6 3 8" xfId="14703" xr:uid="{00000000-0005-0000-0000-0000B29B0000}"/>
    <cellStyle name="Normal 58 3 6 3 8 2" xfId="39577" xr:uid="{00000000-0005-0000-0000-0000B39B0000}"/>
    <cellStyle name="Normal 58 3 6 3 9" xfId="27136" xr:uid="{00000000-0005-0000-0000-0000B49B0000}"/>
    <cellStyle name="Normal 58 3 6 4" xfId="2116" xr:uid="{00000000-0005-0000-0000-0000B59B0000}"/>
    <cellStyle name="Normal 58 3 6 4 2" xfId="6155" xr:uid="{00000000-0005-0000-0000-0000B69B0000}"/>
    <cellStyle name="Normal 58 3 6 4 2 2" xfId="11170" xr:uid="{00000000-0005-0000-0000-0000B79B0000}"/>
    <cellStyle name="Normal 58 3 6 4 2 2 2" xfId="23613" xr:uid="{00000000-0005-0000-0000-0000B89B0000}"/>
    <cellStyle name="Normal 58 3 6 4 2 2 2 2" xfId="48487" xr:uid="{00000000-0005-0000-0000-0000B99B0000}"/>
    <cellStyle name="Normal 58 3 6 4 2 2 3" xfId="36054" xr:uid="{00000000-0005-0000-0000-0000BA9B0000}"/>
    <cellStyle name="Normal 58 3 6 4 2 3" xfId="18606" xr:uid="{00000000-0005-0000-0000-0000BB9B0000}"/>
    <cellStyle name="Normal 58 3 6 4 2 3 2" xfId="43480" xr:uid="{00000000-0005-0000-0000-0000BC9B0000}"/>
    <cellStyle name="Normal 58 3 6 4 2 4" xfId="31047" xr:uid="{00000000-0005-0000-0000-0000BD9B0000}"/>
    <cellStyle name="Normal 58 3 6 4 3" xfId="12624" xr:uid="{00000000-0005-0000-0000-0000BE9B0000}"/>
    <cellStyle name="Normal 58 3 6 4 3 2" xfId="25058" xr:uid="{00000000-0005-0000-0000-0000BF9B0000}"/>
    <cellStyle name="Normal 58 3 6 4 3 2 2" xfId="49932" xr:uid="{00000000-0005-0000-0000-0000C09B0000}"/>
    <cellStyle name="Normal 58 3 6 4 3 3" xfId="37499" xr:uid="{00000000-0005-0000-0000-0000C19B0000}"/>
    <cellStyle name="Normal 58 3 6 4 4" xfId="9065" xr:uid="{00000000-0005-0000-0000-0000C29B0000}"/>
    <cellStyle name="Normal 58 3 6 4 4 2" xfId="21508" xr:uid="{00000000-0005-0000-0000-0000C39B0000}"/>
    <cellStyle name="Normal 58 3 6 4 4 2 2" xfId="46382" xr:uid="{00000000-0005-0000-0000-0000C49B0000}"/>
    <cellStyle name="Normal 58 3 6 4 4 3" xfId="33949" xr:uid="{00000000-0005-0000-0000-0000C59B0000}"/>
    <cellStyle name="Normal 58 3 6 4 5" xfId="4047" xr:uid="{00000000-0005-0000-0000-0000C69B0000}"/>
    <cellStyle name="Normal 58 3 6 4 5 2" xfId="16501" xr:uid="{00000000-0005-0000-0000-0000C79B0000}"/>
    <cellStyle name="Normal 58 3 6 4 5 2 2" xfId="41375" xr:uid="{00000000-0005-0000-0000-0000C89B0000}"/>
    <cellStyle name="Normal 58 3 6 4 5 3" xfId="28942" xr:uid="{00000000-0005-0000-0000-0000C99B0000}"/>
    <cellStyle name="Normal 58 3 6 4 6" xfId="14809" xr:uid="{00000000-0005-0000-0000-0000CA9B0000}"/>
    <cellStyle name="Normal 58 3 6 4 6 2" xfId="39683" xr:uid="{00000000-0005-0000-0000-0000CB9B0000}"/>
    <cellStyle name="Normal 58 3 6 4 7" xfId="27242" xr:uid="{00000000-0005-0000-0000-0000CC9B0000}"/>
    <cellStyle name="Normal 58 3 6 5" xfId="966" xr:uid="{00000000-0005-0000-0000-0000CD9B0000}"/>
    <cellStyle name="Normal 58 3 6 5 2" xfId="10125" xr:uid="{00000000-0005-0000-0000-0000CE9B0000}"/>
    <cellStyle name="Normal 58 3 6 5 2 2" xfId="22568" xr:uid="{00000000-0005-0000-0000-0000CF9B0000}"/>
    <cellStyle name="Normal 58 3 6 5 2 2 2" xfId="47442" xr:uid="{00000000-0005-0000-0000-0000D09B0000}"/>
    <cellStyle name="Normal 58 3 6 5 2 3" xfId="35009" xr:uid="{00000000-0005-0000-0000-0000D19B0000}"/>
    <cellStyle name="Normal 58 3 6 5 3" xfId="5109" xr:uid="{00000000-0005-0000-0000-0000D29B0000}"/>
    <cellStyle name="Normal 58 3 6 5 3 2" xfId="17561" xr:uid="{00000000-0005-0000-0000-0000D39B0000}"/>
    <cellStyle name="Normal 58 3 6 5 3 2 2" xfId="42435" xr:uid="{00000000-0005-0000-0000-0000D49B0000}"/>
    <cellStyle name="Normal 58 3 6 5 3 3" xfId="30002" xr:uid="{00000000-0005-0000-0000-0000D59B0000}"/>
    <cellStyle name="Normal 58 3 6 5 4" xfId="13766" xr:uid="{00000000-0005-0000-0000-0000D69B0000}"/>
    <cellStyle name="Normal 58 3 6 5 4 2" xfId="38640" xr:uid="{00000000-0005-0000-0000-0000D79B0000}"/>
    <cellStyle name="Normal 58 3 6 5 5" xfId="26199" xr:uid="{00000000-0005-0000-0000-0000D89B0000}"/>
    <cellStyle name="Normal 58 3 6 6" xfId="8181" xr:uid="{00000000-0005-0000-0000-0000D99B0000}"/>
    <cellStyle name="Normal 58 3 6 6 2" xfId="20625" xr:uid="{00000000-0005-0000-0000-0000DA9B0000}"/>
    <cellStyle name="Normal 58 3 6 6 2 2" xfId="45499" xr:uid="{00000000-0005-0000-0000-0000DB9B0000}"/>
    <cellStyle name="Normal 58 3 6 6 3" xfId="33066" xr:uid="{00000000-0005-0000-0000-0000DC9B0000}"/>
    <cellStyle name="Normal 58 3 6 7" xfId="11581" xr:uid="{00000000-0005-0000-0000-0000DD9B0000}"/>
    <cellStyle name="Normal 58 3 6 7 2" xfId="24015" xr:uid="{00000000-0005-0000-0000-0000DE9B0000}"/>
    <cellStyle name="Normal 58 3 6 7 2 2" xfId="48889" xr:uid="{00000000-0005-0000-0000-0000DF9B0000}"/>
    <cellStyle name="Normal 58 3 6 7 3" xfId="36456" xr:uid="{00000000-0005-0000-0000-0000E09B0000}"/>
    <cellStyle name="Normal 58 3 6 8" xfId="6658" xr:uid="{00000000-0005-0000-0000-0000E19B0000}"/>
    <cellStyle name="Normal 58 3 6 8 2" xfId="19107" xr:uid="{00000000-0005-0000-0000-0000E29B0000}"/>
    <cellStyle name="Normal 58 3 6 8 2 2" xfId="43981" xr:uid="{00000000-0005-0000-0000-0000E39B0000}"/>
    <cellStyle name="Normal 58 3 6 8 3" xfId="31548" xr:uid="{00000000-0005-0000-0000-0000E49B0000}"/>
    <cellStyle name="Normal 58 3 6 9" xfId="3112" xr:uid="{00000000-0005-0000-0000-0000E59B0000}"/>
    <cellStyle name="Normal 58 3 6 9 2" xfId="15618" xr:uid="{00000000-0005-0000-0000-0000E69B0000}"/>
    <cellStyle name="Normal 58 3 6 9 2 2" xfId="40492" xr:uid="{00000000-0005-0000-0000-0000E79B0000}"/>
    <cellStyle name="Normal 58 3 6 9 3" xfId="28051" xr:uid="{00000000-0005-0000-0000-0000E89B0000}"/>
    <cellStyle name="Normal 58 3 6_Degree data" xfId="2520" xr:uid="{00000000-0005-0000-0000-0000E99B0000}"/>
    <cellStyle name="Normal 58 3 7" xfId="545" xr:uid="{00000000-0005-0000-0000-0000EA9B0000}"/>
    <cellStyle name="Normal 58 3 7 2" xfId="1544" xr:uid="{00000000-0005-0000-0000-0000EB9B0000}"/>
    <cellStyle name="Normal 58 3 7 2 2" xfId="9648" xr:uid="{00000000-0005-0000-0000-0000EC9B0000}"/>
    <cellStyle name="Normal 58 3 7 2 2 2" xfId="22091" xr:uid="{00000000-0005-0000-0000-0000ED9B0000}"/>
    <cellStyle name="Normal 58 3 7 2 2 2 2" xfId="46965" xr:uid="{00000000-0005-0000-0000-0000EE9B0000}"/>
    <cellStyle name="Normal 58 3 7 2 2 3" xfId="34532" xr:uid="{00000000-0005-0000-0000-0000EF9B0000}"/>
    <cellStyle name="Normal 58 3 7 2 3" xfId="4630" xr:uid="{00000000-0005-0000-0000-0000F09B0000}"/>
    <cellStyle name="Normal 58 3 7 2 3 2" xfId="17084" xr:uid="{00000000-0005-0000-0000-0000F19B0000}"/>
    <cellStyle name="Normal 58 3 7 2 3 2 2" xfId="41958" xr:uid="{00000000-0005-0000-0000-0000F29B0000}"/>
    <cellStyle name="Normal 58 3 7 2 3 3" xfId="29525" xr:uid="{00000000-0005-0000-0000-0000F39B0000}"/>
    <cellStyle name="Normal 58 3 7 2 4" xfId="14344" xr:uid="{00000000-0005-0000-0000-0000F49B0000}"/>
    <cellStyle name="Normal 58 3 7 2 4 2" xfId="39218" xr:uid="{00000000-0005-0000-0000-0000F59B0000}"/>
    <cellStyle name="Normal 58 3 7 2 5" xfId="26777" xr:uid="{00000000-0005-0000-0000-0000F69B0000}"/>
    <cellStyle name="Normal 58 3 7 3" xfId="5689" xr:uid="{00000000-0005-0000-0000-0000F79B0000}"/>
    <cellStyle name="Normal 58 3 7 3 2" xfId="10705" xr:uid="{00000000-0005-0000-0000-0000F89B0000}"/>
    <cellStyle name="Normal 58 3 7 3 2 2" xfId="23148" xr:uid="{00000000-0005-0000-0000-0000F99B0000}"/>
    <cellStyle name="Normal 58 3 7 3 2 2 2" xfId="48022" xr:uid="{00000000-0005-0000-0000-0000FA9B0000}"/>
    <cellStyle name="Normal 58 3 7 3 2 3" xfId="35589" xr:uid="{00000000-0005-0000-0000-0000FB9B0000}"/>
    <cellStyle name="Normal 58 3 7 3 3" xfId="18141" xr:uid="{00000000-0005-0000-0000-0000FC9B0000}"/>
    <cellStyle name="Normal 58 3 7 3 3 2" xfId="43015" xr:uid="{00000000-0005-0000-0000-0000FD9B0000}"/>
    <cellStyle name="Normal 58 3 7 3 4" xfId="30582" xr:uid="{00000000-0005-0000-0000-0000FE9B0000}"/>
    <cellStyle name="Normal 58 3 7 4" xfId="8764" xr:uid="{00000000-0005-0000-0000-0000FF9B0000}"/>
    <cellStyle name="Normal 58 3 7 4 2" xfId="21208" xr:uid="{00000000-0005-0000-0000-0000009C0000}"/>
    <cellStyle name="Normal 58 3 7 4 2 2" xfId="46082" xr:uid="{00000000-0005-0000-0000-0000019C0000}"/>
    <cellStyle name="Normal 58 3 7 4 3" xfId="33649" xr:uid="{00000000-0005-0000-0000-0000029C0000}"/>
    <cellStyle name="Normal 58 3 7 5" xfId="12159" xr:uid="{00000000-0005-0000-0000-0000039C0000}"/>
    <cellStyle name="Normal 58 3 7 5 2" xfId="24593" xr:uid="{00000000-0005-0000-0000-0000049C0000}"/>
    <cellStyle name="Normal 58 3 7 5 2 2" xfId="49467" xr:uid="{00000000-0005-0000-0000-0000059C0000}"/>
    <cellStyle name="Normal 58 3 7 5 3" xfId="37034" xr:uid="{00000000-0005-0000-0000-0000069C0000}"/>
    <cellStyle name="Normal 58 3 7 6" xfId="7241" xr:uid="{00000000-0005-0000-0000-0000079C0000}"/>
    <cellStyle name="Normal 58 3 7 6 2" xfId="19690" xr:uid="{00000000-0005-0000-0000-0000089C0000}"/>
    <cellStyle name="Normal 58 3 7 6 2 2" xfId="44564" xr:uid="{00000000-0005-0000-0000-0000099C0000}"/>
    <cellStyle name="Normal 58 3 7 6 3" xfId="32131" xr:uid="{00000000-0005-0000-0000-00000A9C0000}"/>
    <cellStyle name="Normal 58 3 7 7" xfId="3695" xr:uid="{00000000-0005-0000-0000-00000B9C0000}"/>
    <cellStyle name="Normal 58 3 7 7 2" xfId="16201" xr:uid="{00000000-0005-0000-0000-00000C9C0000}"/>
    <cellStyle name="Normal 58 3 7 7 2 2" xfId="41075" xr:uid="{00000000-0005-0000-0000-00000D9C0000}"/>
    <cellStyle name="Normal 58 3 7 7 3" xfId="28634" xr:uid="{00000000-0005-0000-0000-00000E9C0000}"/>
    <cellStyle name="Normal 58 3 7 8" xfId="13355" xr:uid="{00000000-0005-0000-0000-00000F9C0000}"/>
    <cellStyle name="Normal 58 3 7 8 2" xfId="38229" xr:uid="{00000000-0005-0000-0000-0000109C0000}"/>
    <cellStyle name="Normal 58 3 7 9" xfId="25788" xr:uid="{00000000-0005-0000-0000-0000119C0000}"/>
    <cellStyle name="Normal 58 3 8" xfId="1892" xr:uid="{00000000-0005-0000-0000-0000129C0000}"/>
    <cellStyle name="Normal 58 3 8 2" xfId="4737" xr:uid="{00000000-0005-0000-0000-0000139C0000}"/>
    <cellStyle name="Normal 58 3 8 2 2" xfId="9754" xr:uid="{00000000-0005-0000-0000-0000149C0000}"/>
    <cellStyle name="Normal 58 3 8 2 2 2" xfId="22197" xr:uid="{00000000-0005-0000-0000-0000159C0000}"/>
    <cellStyle name="Normal 58 3 8 2 2 2 2" xfId="47071" xr:uid="{00000000-0005-0000-0000-0000169C0000}"/>
    <cellStyle name="Normal 58 3 8 2 2 3" xfId="34638" xr:uid="{00000000-0005-0000-0000-0000179C0000}"/>
    <cellStyle name="Normal 58 3 8 2 3" xfId="17190" xr:uid="{00000000-0005-0000-0000-0000189C0000}"/>
    <cellStyle name="Normal 58 3 8 2 3 2" xfId="42064" xr:uid="{00000000-0005-0000-0000-0000199C0000}"/>
    <cellStyle name="Normal 58 3 8 2 4" xfId="29631" xr:uid="{00000000-0005-0000-0000-00001A9C0000}"/>
    <cellStyle name="Normal 58 3 8 3" xfId="6038" xr:uid="{00000000-0005-0000-0000-00001B9C0000}"/>
    <cellStyle name="Normal 58 3 8 3 2" xfId="11053" xr:uid="{00000000-0005-0000-0000-00001C9C0000}"/>
    <cellStyle name="Normal 58 3 8 3 2 2" xfId="23496" xr:uid="{00000000-0005-0000-0000-00001D9C0000}"/>
    <cellStyle name="Normal 58 3 8 3 2 2 2" xfId="48370" xr:uid="{00000000-0005-0000-0000-00001E9C0000}"/>
    <cellStyle name="Normal 58 3 8 3 2 3" xfId="35937" xr:uid="{00000000-0005-0000-0000-00001F9C0000}"/>
    <cellStyle name="Normal 58 3 8 3 3" xfId="18489" xr:uid="{00000000-0005-0000-0000-0000209C0000}"/>
    <cellStyle name="Normal 58 3 8 3 3 2" xfId="43363" xr:uid="{00000000-0005-0000-0000-0000219C0000}"/>
    <cellStyle name="Normal 58 3 8 3 4" xfId="30930" xr:uid="{00000000-0005-0000-0000-0000229C0000}"/>
    <cellStyle name="Normal 58 3 8 4" xfId="8013" xr:uid="{00000000-0005-0000-0000-0000239C0000}"/>
    <cellStyle name="Normal 58 3 8 4 2" xfId="20459" xr:uid="{00000000-0005-0000-0000-0000249C0000}"/>
    <cellStyle name="Normal 58 3 8 4 2 2" xfId="45333" xr:uid="{00000000-0005-0000-0000-0000259C0000}"/>
    <cellStyle name="Normal 58 3 8 4 3" xfId="32900" xr:uid="{00000000-0005-0000-0000-0000269C0000}"/>
    <cellStyle name="Normal 58 3 8 5" xfId="12507" xr:uid="{00000000-0005-0000-0000-0000279C0000}"/>
    <cellStyle name="Normal 58 3 8 5 2" xfId="24941" xr:uid="{00000000-0005-0000-0000-0000289C0000}"/>
    <cellStyle name="Normal 58 3 8 5 2 2" xfId="49815" xr:uid="{00000000-0005-0000-0000-0000299C0000}"/>
    <cellStyle name="Normal 58 3 8 5 3" xfId="37382" xr:uid="{00000000-0005-0000-0000-00002A9C0000}"/>
    <cellStyle name="Normal 58 3 8 6" xfId="7348" xr:uid="{00000000-0005-0000-0000-00002B9C0000}"/>
    <cellStyle name="Normal 58 3 8 6 2" xfId="19796" xr:uid="{00000000-0005-0000-0000-00002C9C0000}"/>
    <cellStyle name="Normal 58 3 8 6 2 2" xfId="44670" xr:uid="{00000000-0005-0000-0000-00002D9C0000}"/>
    <cellStyle name="Normal 58 3 8 6 3" xfId="32237" xr:uid="{00000000-0005-0000-0000-00002E9C0000}"/>
    <cellStyle name="Normal 58 3 8 7" xfId="2937" xr:uid="{00000000-0005-0000-0000-00002F9C0000}"/>
    <cellStyle name="Normal 58 3 8 7 2" xfId="15452" xr:uid="{00000000-0005-0000-0000-0000309C0000}"/>
    <cellStyle name="Normal 58 3 8 7 2 2" xfId="40326" xr:uid="{00000000-0005-0000-0000-0000319C0000}"/>
    <cellStyle name="Normal 58 3 8 7 3" xfId="27885" xr:uid="{00000000-0005-0000-0000-0000329C0000}"/>
    <cellStyle name="Normal 58 3 8 8" xfId="14692" xr:uid="{00000000-0005-0000-0000-0000339C0000}"/>
    <cellStyle name="Normal 58 3 8 8 2" xfId="39566" xr:uid="{00000000-0005-0000-0000-0000349C0000}"/>
    <cellStyle name="Normal 58 3 8 9" xfId="27125" xr:uid="{00000000-0005-0000-0000-0000359C0000}"/>
    <cellStyle name="Normal 58 3 9" xfId="2094" xr:uid="{00000000-0005-0000-0000-0000369C0000}"/>
    <cellStyle name="Normal 58 3 9 2" xfId="6135" xr:uid="{00000000-0005-0000-0000-0000379C0000}"/>
    <cellStyle name="Normal 58 3 9 2 2" xfId="11150" xr:uid="{00000000-0005-0000-0000-0000389C0000}"/>
    <cellStyle name="Normal 58 3 9 2 2 2" xfId="23593" xr:uid="{00000000-0005-0000-0000-0000399C0000}"/>
    <cellStyle name="Normal 58 3 9 2 2 2 2" xfId="48467" xr:uid="{00000000-0005-0000-0000-00003A9C0000}"/>
    <cellStyle name="Normal 58 3 9 2 2 3" xfId="36034" xr:uid="{00000000-0005-0000-0000-00003B9C0000}"/>
    <cellStyle name="Normal 58 3 9 2 3" xfId="18586" xr:uid="{00000000-0005-0000-0000-00003C9C0000}"/>
    <cellStyle name="Normal 58 3 9 2 3 2" xfId="43460" xr:uid="{00000000-0005-0000-0000-00003D9C0000}"/>
    <cellStyle name="Normal 58 3 9 2 4" xfId="31027" xr:uid="{00000000-0005-0000-0000-00003E9C0000}"/>
    <cellStyle name="Normal 58 3 9 3" xfId="12604" xr:uid="{00000000-0005-0000-0000-00003F9C0000}"/>
    <cellStyle name="Normal 58 3 9 3 2" xfId="25038" xr:uid="{00000000-0005-0000-0000-0000409C0000}"/>
    <cellStyle name="Normal 58 3 9 3 2 2" xfId="49912" xr:uid="{00000000-0005-0000-0000-0000419C0000}"/>
    <cellStyle name="Normal 58 3 9 3 3" xfId="37479" xr:uid="{00000000-0005-0000-0000-0000429C0000}"/>
    <cellStyle name="Normal 58 3 9 4" xfId="8899" xr:uid="{00000000-0005-0000-0000-0000439C0000}"/>
    <cellStyle name="Normal 58 3 9 4 2" xfId="21342" xr:uid="{00000000-0005-0000-0000-0000449C0000}"/>
    <cellStyle name="Normal 58 3 9 4 2 2" xfId="46216" xr:uid="{00000000-0005-0000-0000-0000459C0000}"/>
    <cellStyle name="Normal 58 3 9 4 3" xfId="33783" xr:uid="{00000000-0005-0000-0000-0000469C0000}"/>
    <cellStyle name="Normal 58 3 9 5" xfId="3881" xr:uid="{00000000-0005-0000-0000-0000479C0000}"/>
    <cellStyle name="Normal 58 3 9 5 2" xfId="16335" xr:uid="{00000000-0005-0000-0000-0000489C0000}"/>
    <cellStyle name="Normal 58 3 9 5 2 2" xfId="41209" xr:uid="{00000000-0005-0000-0000-0000499C0000}"/>
    <cellStyle name="Normal 58 3 9 5 3" xfId="28776" xr:uid="{00000000-0005-0000-0000-00004A9C0000}"/>
    <cellStyle name="Normal 58 3 9 6" xfId="14789" xr:uid="{00000000-0005-0000-0000-00004B9C0000}"/>
    <cellStyle name="Normal 58 3 9 6 2" xfId="39663" xr:uid="{00000000-0005-0000-0000-00004C9C0000}"/>
    <cellStyle name="Normal 58 3 9 7" xfId="27222" xr:uid="{00000000-0005-0000-0000-00004D9C0000}"/>
    <cellStyle name="Normal 58 3_Degree data" xfId="2509" xr:uid="{00000000-0005-0000-0000-00004E9C0000}"/>
    <cellStyle name="Normal 58 4" xfId="93" xr:uid="{00000000-0005-0000-0000-00004F9C0000}"/>
    <cellStyle name="Normal 58 4 10" xfId="941" xr:uid="{00000000-0005-0000-0000-0000509C0000}"/>
    <cellStyle name="Normal 58 4 10 2" xfId="11556" xr:uid="{00000000-0005-0000-0000-0000519C0000}"/>
    <cellStyle name="Normal 58 4 10 2 2" xfId="23990" xr:uid="{00000000-0005-0000-0000-0000529C0000}"/>
    <cellStyle name="Normal 58 4 10 2 2 2" xfId="48864" xr:uid="{00000000-0005-0000-0000-0000539C0000}"/>
    <cellStyle name="Normal 58 4 10 2 3" xfId="36431" xr:uid="{00000000-0005-0000-0000-0000549C0000}"/>
    <cellStyle name="Normal 58 4 10 3" xfId="10100" xr:uid="{00000000-0005-0000-0000-0000559C0000}"/>
    <cellStyle name="Normal 58 4 10 3 2" xfId="22543" xr:uid="{00000000-0005-0000-0000-0000569C0000}"/>
    <cellStyle name="Normal 58 4 10 3 2 2" xfId="47417" xr:uid="{00000000-0005-0000-0000-0000579C0000}"/>
    <cellStyle name="Normal 58 4 10 3 3" xfId="34984" xr:uid="{00000000-0005-0000-0000-0000589C0000}"/>
    <cellStyle name="Normal 58 4 10 4" xfId="5084" xr:uid="{00000000-0005-0000-0000-0000599C0000}"/>
    <cellStyle name="Normal 58 4 10 4 2" xfId="17536" xr:uid="{00000000-0005-0000-0000-00005A9C0000}"/>
    <cellStyle name="Normal 58 4 10 4 2 2" xfId="42410" xr:uid="{00000000-0005-0000-0000-00005B9C0000}"/>
    <cellStyle name="Normal 58 4 10 4 3" xfId="29977" xr:uid="{00000000-0005-0000-0000-00005C9C0000}"/>
    <cellStyle name="Normal 58 4 10 5" xfId="13741" xr:uid="{00000000-0005-0000-0000-00005D9C0000}"/>
    <cellStyle name="Normal 58 4 10 5 2" xfId="38615" xr:uid="{00000000-0005-0000-0000-00005E9C0000}"/>
    <cellStyle name="Normal 58 4 10 6" xfId="26174" xr:uid="{00000000-0005-0000-0000-00005F9C0000}"/>
    <cellStyle name="Normal 58 4 11" xfId="911" xr:uid="{00000000-0005-0000-0000-0000609C0000}"/>
    <cellStyle name="Normal 58 4 11 2" xfId="7706" xr:uid="{00000000-0005-0000-0000-0000619C0000}"/>
    <cellStyle name="Normal 58 4 11 2 2" xfId="20152" xr:uid="{00000000-0005-0000-0000-0000629C0000}"/>
    <cellStyle name="Normal 58 4 11 2 2 2" xfId="45026" xr:uid="{00000000-0005-0000-0000-0000639C0000}"/>
    <cellStyle name="Normal 58 4 11 2 3" xfId="32593" xr:uid="{00000000-0005-0000-0000-0000649C0000}"/>
    <cellStyle name="Normal 58 4 11 3" xfId="13711" xr:uid="{00000000-0005-0000-0000-0000659C0000}"/>
    <cellStyle name="Normal 58 4 11 3 2" xfId="38585" xr:uid="{00000000-0005-0000-0000-0000669C0000}"/>
    <cellStyle name="Normal 58 4 11 4" xfId="26144" xr:uid="{00000000-0005-0000-0000-0000679C0000}"/>
    <cellStyle name="Normal 58 4 12" xfId="11526" xr:uid="{00000000-0005-0000-0000-0000689C0000}"/>
    <cellStyle name="Normal 58 4 12 2" xfId="23960" xr:uid="{00000000-0005-0000-0000-0000699C0000}"/>
    <cellStyle name="Normal 58 4 12 2 2" xfId="48834" xr:uid="{00000000-0005-0000-0000-00006A9C0000}"/>
    <cellStyle name="Normal 58 4 12 3" xfId="36401" xr:uid="{00000000-0005-0000-0000-00006B9C0000}"/>
    <cellStyle name="Normal 58 4 13" xfId="6504" xr:uid="{00000000-0005-0000-0000-00006C9C0000}"/>
    <cellStyle name="Normal 58 4 13 2" xfId="18953" xr:uid="{00000000-0005-0000-0000-00006D9C0000}"/>
    <cellStyle name="Normal 58 4 13 2 2" xfId="43827" xr:uid="{00000000-0005-0000-0000-00006E9C0000}"/>
    <cellStyle name="Normal 58 4 13 3" xfId="31394" xr:uid="{00000000-0005-0000-0000-00006F9C0000}"/>
    <cellStyle name="Normal 58 4 14" xfId="2626" xr:uid="{00000000-0005-0000-0000-0000709C0000}"/>
    <cellStyle name="Normal 58 4 14 2" xfId="15145" xr:uid="{00000000-0005-0000-0000-0000719C0000}"/>
    <cellStyle name="Normal 58 4 14 2 2" xfId="40019" xr:uid="{00000000-0005-0000-0000-0000729C0000}"/>
    <cellStyle name="Normal 58 4 14 3" xfId="27578" xr:uid="{00000000-0005-0000-0000-0000739C0000}"/>
    <cellStyle name="Normal 58 4 15" xfId="12949" xr:uid="{00000000-0005-0000-0000-0000749C0000}"/>
    <cellStyle name="Normal 58 4 15 2" xfId="37823" xr:uid="{00000000-0005-0000-0000-0000759C0000}"/>
    <cellStyle name="Normal 58 4 16" xfId="25382" xr:uid="{00000000-0005-0000-0000-0000769C0000}"/>
    <cellStyle name="Normal 58 4 2" xfId="143" xr:uid="{00000000-0005-0000-0000-0000779C0000}"/>
    <cellStyle name="Normal 58 4 2 10" xfId="11658" xr:uid="{00000000-0005-0000-0000-0000789C0000}"/>
    <cellStyle name="Normal 58 4 2 10 2" xfId="24092" xr:uid="{00000000-0005-0000-0000-0000799C0000}"/>
    <cellStyle name="Normal 58 4 2 10 2 2" xfId="48966" xr:uid="{00000000-0005-0000-0000-00007A9C0000}"/>
    <cellStyle name="Normal 58 4 2 10 3" xfId="36533" xr:uid="{00000000-0005-0000-0000-00007B9C0000}"/>
    <cellStyle name="Normal 58 4 2 11" xfId="6518" xr:uid="{00000000-0005-0000-0000-00007C9C0000}"/>
    <cellStyle name="Normal 58 4 2 11 2" xfId="18967" xr:uid="{00000000-0005-0000-0000-00007D9C0000}"/>
    <cellStyle name="Normal 58 4 2 11 2 2" xfId="43841" xr:uid="{00000000-0005-0000-0000-00007E9C0000}"/>
    <cellStyle name="Normal 58 4 2 11 3" xfId="31408" xr:uid="{00000000-0005-0000-0000-00007F9C0000}"/>
    <cellStyle name="Normal 58 4 2 12" xfId="2686" xr:uid="{00000000-0005-0000-0000-0000809C0000}"/>
    <cellStyle name="Normal 58 4 2 12 2" xfId="15204" xr:uid="{00000000-0005-0000-0000-0000819C0000}"/>
    <cellStyle name="Normal 58 4 2 12 2 2" xfId="40078" xr:uid="{00000000-0005-0000-0000-0000829C0000}"/>
    <cellStyle name="Normal 58 4 2 12 3" xfId="27637" xr:uid="{00000000-0005-0000-0000-0000839C0000}"/>
    <cellStyle name="Normal 58 4 2 13" xfId="12973" xr:uid="{00000000-0005-0000-0000-0000849C0000}"/>
    <cellStyle name="Normal 58 4 2 13 2" xfId="37847" xr:uid="{00000000-0005-0000-0000-0000859C0000}"/>
    <cellStyle name="Normal 58 4 2 14" xfId="25406" xr:uid="{00000000-0005-0000-0000-0000869C0000}"/>
    <cellStyle name="Normal 58 4 2 2" xfId="496" xr:uid="{00000000-0005-0000-0000-0000879C0000}"/>
    <cellStyle name="Normal 58 4 2 2 10" xfId="2890" xr:uid="{00000000-0005-0000-0000-0000889C0000}"/>
    <cellStyle name="Normal 58 4 2 2 10 2" xfId="15408" xr:uid="{00000000-0005-0000-0000-0000899C0000}"/>
    <cellStyle name="Normal 58 4 2 2 10 2 2" xfId="40282" xr:uid="{00000000-0005-0000-0000-00008A9C0000}"/>
    <cellStyle name="Normal 58 4 2 2 10 3" xfId="27841" xr:uid="{00000000-0005-0000-0000-00008B9C0000}"/>
    <cellStyle name="Normal 58 4 2 2 11" xfId="13309" xr:uid="{00000000-0005-0000-0000-00008C9C0000}"/>
    <cellStyle name="Normal 58 4 2 2 11 2" xfId="38183" xr:uid="{00000000-0005-0000-0000-00008D9C0000}"/>
    <cellStyle name="Normal 58 4 2 2 12" xfId="25742" xr:uid="{00000000-0005-0000-0000-00008E9C0000}"/>
    <cellStyle name="Normal 58 4 2 2 2" xfId="855" xr:uid="{00000000-0005-0000-0000-00008F9C0000}"/>
    <cellStyle name="Normal 58 4 2 2 2 2" xfId="1558" xr:uid="{00000000-0005-0000-0000-0000909C0000}"/>
    <cellStyle name="Normal 58 4 2 2 2 2 2" xfId="9346" xr:uid="{00000000-0005-0000-0000-0000919C0000}"/>
    <cellStyle name="Normal 58 4 2 2 2 2 2 2" xfId="21789" xr:uid="{00000000-0005-0000-0000-0000929C0000}"/>
    <cellStyle name="Normal 58 4 2 2 2 2 2 2 2" xfId="46663" xr:uid="{00000000-0005-0000-0000-0000939C0000}"/>
    <cellStyle name="Normal 58 4 2 2 2 2 2 3" xfId="34230" xr:uid="{00000000-0005-0000-0000-0000949C0000}"/>
    <cellStyle name="Normal 58 4 2 2 2 2 3" xfId="4328" xr:uid="{00000000-0005-0000-0000-0000959C0000}"/>
    <cellStyle name="Normal 58 4 2 2 2 2 3 2" xfId="16782" xr:uid="{00000000-0005-0000-0000-0000969C0000}"/>
    <cellStyle name="Normal 58 4 2 2 2 2 3 2 2" xfId="41656" xr:uid="{00000000-0005-0000-0000-0000979C0000}"/>
    <cellStyle name="Normal 58 4 2 2 2 2 3 3" xfId="29223" xr:uid="{00000000-0005-0000-0000-0000989C0000}"/>
    <cellStyle name="Normal 58 4 2 2 2 2 4" xfId="14358" xr:uid="{00000000-0005-0000-0000-0000999C0000}"/>
    <cellStyle name="Normal 58 4 2 2 2 2 4 2" xfId="39232" xr:uid="{00000000-0005-0000-0000-00009A9C0000}"/>
    <cellStyle name="Normal 58 4 2 2 2 2 5" xfId="26791" xr:uid="{00000000-0005-0000-0000-00009B9C0000}"/>
    <cellStyle name="Normal 58 4 2 2 2 3" xfId="5703" xr:uid="{00000000-0005-0000-0000-00009C9C0000}"/>
    <cellStyle name="Normal 58 4 2 2 2 3 2" xfId="10719" xr:uid="{00000000-0005-0000-0000-00009D9C0000}"/>
    <cellStyle name="Normal 58 4 2 2 2 3 2 2" xfId="23162" xr:uid="{00000000-0005-0000-0000-00009E9C0000}"/>
    <cellStyle name="Normal 58 4 2 2 2 3 2 2 2" xfId="48036" xr:uid="{00000000-0005-0000-0000-00009F9C0000}"/>
    <cellStyle name="Normal 58 4 2 2 2 3 2 3" xfId="35603" xr:uid="{00000000-0005-0000-0000-0000A09C0000}"/>
    <cellStyle name="Normal 58 4 2 2 2 3 3" xfId="18155" xr:uid="{00000000-0005-0000-0000-0000A19C0000}"/>
    <cellStyle name="Normal 58 4 2 2 2 3 3 2" xfId="43029" xr:uid="{00000000-0005-0000-0000-0000A29C0000}"/>
    <cellStyle name="Normal 58 4 2 2 2 3 4" xfId="30596" xr:uid="{00000000-0005-0000-0000-0000A39C0000}"/>
    <cellStyle name="Normal 58 4 2 2 2 4" xfId="8462" xr:uid="{00000000-0005-0000-0000-0000A49C0000}"/>
    <cellStyle name="Normal 58 4 2 2 2 4 2" xfId="20906" xr:uid="{00000000-0005-0000-0000-0000A59C0000}"/>
    <cellStyle name="Normal 58 4 2 2 2 4 2 2" xfId="45780" xr:uid="{00000000-0005-0000-0000-0000A69C0000}"/>
    <cellStyle name="Normal 58 4 2 2 2 4 3" xfId="33347" xr:uid="{00000000-0005-0000-0000-0000A79C0000}"/>
    <cellStyle name="Normal 58 4 2 2 2 5" xfId="12173" xr:uid="{00000000-0005-0000-0000-0000A89C0000}"/>
    <cellStyle name="Normal 58 4 2 2 2 5 2" xfId="24607" xr:uid="{00000000-0005-0000-0000-0000A99C0000}"/>
    <cellStyle name="Normal 58 4 2 2 2 5 2 2" xfId="49481" xr:uid="{00000000-0005-0000-0000-0000AA9C0000}"/>
    <cellStyle name="Normal 58 4 2 2 2 5 3" xfId="37048" xr:uid="{00000000-0005-0000-0000-0000AB9C0000}"/>
    <cellStyle name="Normal 58 4 2 2 2 6" xfId="6939" xr:uid="{00000000-0005-0000-0000-0000AC9C0000}"/>
    <cellStyle name="Normal 58 4 2 2 2 6 2" xfId="19388" xr:uid="{00000000-0005-0000-0000-0000AD9C0000}"/>
    <cellStyle name="Normal 58 4 2 2 2 6 2 2" xfId="44262" xr:uid="{00000000-0005-0000-0000-0000AE9C0000}"/>
    <cellStyle name="Normal 58 4 2 2 2 6 3" xfId="31829" xr:uid="{00000000-0005-0000-0000-0000AF9C0000}"/>
    <cellStyle name="Normal 58 4 2 2 2 7" xfId="3393" xr:uid="{00000000-0005-0000-0000-0000B09C0000}"/>
    <cellStyle name="Normal 58 4 2 2 2 7 2" xfId="15899" xr:uid="{00000000-0005-0000-0000-0000B19C0000}"/>
    <cellStyle name="Normal 58 4 2 2 2 7 2 2" xfId="40773" xr:uid="{00000000-0005-0000-0000-0000B29C0000}"/>
    <cellStyle name="Normal 58 4 2 2 2 7 3" xfId="28332" xr:uid="{00000000-0005-0000-0000-0000B39C0000}"/>
    <cellStyle name="Normal 58 4 2 2 2 8" xfId="13656" xr:uid="{00000000-0005-0000-0000-0000B49C0000}"/>
    <cellStyle name="Normal 58 4 2 2 2 8 2" xfId="38530" xr:uid="{00000000-0005-0000-0000-0000B59C0000}"/>
    <cellStyle name="Normal 58 4 2 2 2 9" xfId="26089" xr:uid="{00000000-0005-0000-0000-0000B69C0000}"/>
    <cellStyle name="Normal 58 4 2 2 3" xfId="1906" xr:uid="{00000000-0005-0000-0000-0000B79C0000}"/>
    <cellStyle name="Normal 58 4 2 2 3 2" xfId="4644" xr:uid="{00000000-0005-0000-0000-0000B89C0000}"/>
    <cellStyle name="Normal 58 4 2 2 3 2 2" xfId="9662" xr:uid="{00000000-0005-0000-0000-0000B99C0000}"/>
    <cellStyle name="Normal 58 4 2 2 3 2 2 2" xfId="22105" xr:uid="{00000000-0005-0000-0000-0000BA9C0000}"/>
    <cellStyle name="Normal 58 4 2 2 3 2 2 2 2" xfId="46979" xr:uid="{00000000-0005-0000-0000-0000BB9C0000}"/>
    <cellStyle name="Normal 58 4 2 2 3 2 2 3" xfId="34546" xr:uid="{00000000-0005-0000-0000-0000BC9C0000}"/>
    <cellStyle name="Normal 58 4 2 2 3 2 3" xfId="17098" xr:uid="{00000000-0005-0000-0000-0000BD9C0000}"/>
    <cellStyle name="Normal 58 4 2 2 3 2 3 2" xfId="41972" xr:uid="{00000000-0005-0000-0000-0000BE9C0000}"/>
    <cellStyle name="Normal 58 4 2 2 3 2 4" xfId="29539" xr:uid="{00000000-0005-0000-0000-0000BF9C0000}"/>
    <cellStyle name="Normal 58 4 2 2 3 3" xfId="6052" xr:uid="{00000000-0005-0000-0000-0000C09C0000}"/>
    <cellStyle name="Normal 58 4 2 2 3 3 2" xfId="11067" xr:uid="{00000000-0005-0000-0000-0000C19C0000}"/>
    <cellStyle name="Normal 58 4 2 2 3 3 2 2" xfId="23510" xr:uid="{00000000-0005-0000-0000-0000C29C0000}"/>
    <cellStyle name="Normal 58 4 2 2 3 3 2 2 2" xfId="48384" xr:uid="{00000000-0005-0000-0000-0000C39C0000}"/>
    <cellStyle name="Normal 58 4 2 2 3 3 2 3" xfId="35951" xr:uid="{00000000-0005-0000-0000-0000C49C0000}"/>
    <cellStyle name="Normal 58 4 2 2 3 3 3" xfId="18503" xr:uid="{00000000-0005-0000-0000-0000C59C0000}"/>
    <cellStyle name="Normal 58 4 2 2 3 3 3 2" xfId="43377" xr:uid="{00000000-0005-0000-0000-0000C69C0000}"/>
    <cellStyle name="Normal 58 4 2 2 3 3 4" xfId="30944" xr:uid="{00000000-0005-0000-0000-0000C79C0000}"/>
    <cellStyle name="Normal 58 4 2 2 3 4" xfId="8778" xr:uid="{00000000-0005-0000-0000-0000C89C0000}"/>
    <cellStyle name="Normal 58 4 2 2 3 4 2" xfId="21222" xr:uid="{00000000-0005-0000-0000-0000C99C0000}"/>
    <cellStyle name="Normal 58 4 2 2 3 4 2 2" xfId="46096" xr:uid="{00000000-0005-0000-0000-0000CA9C0000}"/>
    <cellStyle name="Normal 58 4 2 2 3 4 3" xfId="33663" xr:uid="{00000000-0005-0000-0000-0000CB9C0000}"/>
    <cellStyle name="Normal 58 4 2 2 3 5" xfId="12521" xr:uid="{00000000-0005-0000-0000-0000CC9C0000}"/>
    <cellStyle name="Normal 58 4 2 2 3 5 2" xfId="24955" xr:uid="{00000000-0005-0000-0000-0000CD9C0000}"/>
    <cellStyle name="Normal 58 4 2 2 3 5 2 2" xfId="49829" xr:uid="{00000000-0005-0000-0000-0000CE9C0000}"/>
    <cellStyle name="Normal 58 4 2 2 3 5 3" xfId="37396" xr:uid="{00000000-0005-0000-0000-0000CF9C0000}"/>
    <cellStyle name="Normal 58 4 2 2 3 6" xfId="7255" xr:uid="{00000000-0005-0000-0000-0000D09C0000}"/>
    <cellStyle name="Normal 58 4 2 2 3 6 2" xfId="19704" xr:uid="{00000000-0005-0000-0000-0000D19C0000}"/>
    <cellStyle name="Normal 58 4 2 2 3 6 2 2" xfId="44578" xr:uid="{00000000-0005-0000-0000-0000D29C0000}"/>
    <cellStyle name="Normal 58 4 2 2 3 6 3" xfId="32145" xr:uid="{00000000-0005-0000-0000-0000D39C0000}"/>
    <cellStyle name="Normal 58 4 2 2 3 7" xfId="3709" xr:uid="{00000000-0005-0000-0000-0000D49C0000}"/>
    <cellStyle name="Normal 58 4 2 2 3 7 2" xfId="16215" xr:uid="{00000000-0005-0000-0000-0000D59C0000}"/>
    <cellStyle name="Normal 58 4 2 2 3 7 2 2" xfId="41089" xr:uid="{00000000-0005-0000-0000-0000D69C0000}"/>
    <cellStyle name="Normal 58 4 2 2 3 7 3" xfId="28648" xr:uid="{00000000-0005-0000-0000-0000D79C0000}"/>
    <cellStyle name="Normal 58 4 2 2 3 8" xfId="14706" xr:uid="{00000000-0005-0000-0000-0000D89C0000}"/>
    <cellStyle name="Normal 58 4 2 2 3 8 2" xfId="39580" xr:uid="{00000000-0005-0000-0000-0000D99C0000}"/>
    <cellStyle name="Normal 58 4 2 2 3 9" xfId="27139" xr:uid="{00000000-0005-0000-0000-0000DA9C0000}"/>
    <cellStyle name="Normal 58 4 2 2 4" xfId="2414" xr:uid="{00000000-0005-0000-0000-0000DB9C0000}"/>
    <cellStyle name="Normal 58 4 2 2 4 2" xfId="5038" xr:uid="{00000000-0005-0000-0000-0000DC9C0000}"/>
    <cellStyle name="Normal 58 4 2 2 4 2 2" xfId="10055" xr:uid="{00000000-0005-0000-0000-0000DD9C0000}"/>
    <cellStyle name="Normal 58 4 2 2 4 2 2 2" xfId="22498" xr:uid="{00000000-0005-0000-0000-0000DE9C0000}"/>
    <cellStyle name="Normal 58 4 2 2 4 2 2 2 2" xfId="47372" xr:uid="{00000000-0005-0000-0000-0000DF9C0000}"/>
    <cellStyle name="Normal 58 4 2 2 4 2 2 3" xfId="34939" xr:uid="{00000000-0005-0000-0000-0000E09C0000}"/>
    <cellStyle name="Normal 58 4 2 2 4 2 3" xfId="17491" xr:uid="{00000000-0005-0000-0000-0000E19C0000}"/>
    <cellStyle name="Normal 58 4 2 2 4 2 3 2" xfId="42365" xr:uid="{00000000-0005-0000-0000-0000E29C0000}"/>
    <cellStyle name="Normal 58 4 2 2 4 2 4" xfId="29932" xr:uid="{00000000-0005-0000-0000-0000E39C0000}"/>
    <cellStyle name="Normal 58 4 2 2 4 3" xfId="6436" xr:uid="{00000000-0005-0000-0000-0000E49C0000}"/>
    <cellStyle name="Normal 58 4 2 2 4 3 2" xfId="11451" xr:uid="{00000000-0005-0000-0000-0000E59C0000}"/>
    <cellStyle name="Normal 58 4 2 2 4 3 2 2" xfId="23894" xr:uid="{00000000-0005-0000-0000-0000E69C0000}"/>
    <cellStyle name="Normal 58 4 2 2 4 3 2 2 2" xfId="48768" xr:uid="{00000000-0005-0000-0000-0000E79C0000}"/>
    <cellStyle name="Normal 58 4 2 2 4 3 2 3" xfId="36335" xr:uid="{00000000-0005-0000-0000-0000E89C0000}"/>
    <cellStyle name="Normal 58 4 2 2 4 3 3" xfId="18887" xr:uid="{00000000-0005-0000-0000-0000E99C0000}"/>
    <cellStyle name="Normal 58 4 2 2 4 3 3 2" xfId="43761" xr:uid="{00000000-0005-0000-0000-0000EA9C0000}"/>
    <cellStyle name="Normal 58 4 2 2 4 3 4" xfId="31328" xr:uid="{00000000-0005-0000-0000-0000EB9C0000}"/>
    <cellStyle name="Normal 58 4 2 2 4 4" xfId="8143" xr:uid="{00000000-0005-0000-0000-0000EC9C0000}"/>
    <cellStyle name="Normal 58 4 2 2 4 4 2" xfId="20589" xr:uid="{00000000-0005-0000-0000-0000ED9C0000}"/>
    <cellStyle name="Normal 58 4 2 2 4 4 2 2" xfId="45463" xr:uid="{00000000-0005-0000-0000-0000EE9C0000}"/>
    <cellStyle name="Normal 58 4 2 2 4 4 3" xfId="33030" xr:uid="{00000000-0005-0000-0000-0000EF9C0000}"/>
    <cellStyle name="Normal 58 4 2 2 4 5" xfId="12905" xr:uid="{00000000-0005-0000-0000-0000F09C0000}"/>
    <cellStyle name="Normal 58 4 2 2 4 5 2" xfId="25339" xr:uid="{00000000-0005-0000-0000-0000F19C0000}"/>
    <cellStyle name="Normal 58 4 2 2 4 5 2 2" xfId="50213" xr:uid="{00000000-0005-0000-0000-0000F29C0000}"/>
    <cellStyle name="Normal 58 4 2 2 4 5 3" xfId="37780" xr:uid="{00000000-0005-0000-0000-0000F39C0000}"/>
    <cellStyle name="Normal 58 4 2 2 4 6" xfId="7649" xr:uid="{00000000-0005-0000-0000-0000F49C0000}"/>
    <cellStyle name="Normal 58 4 2 2 4 6 2" xfId="20097" xr:uid="{00000000-0005-0000-0000-0000F59C0000}"/>
    <cellStyle name="Normal 58 4 2 2 4 6 2 2" xfId="44971" xr:uid="{00000000-0005-0000-0000-0000F69C0000}"/>
    <cellStyle name="Normal 58 4 2 2 4 6 3" xfId="32538" xr:uid="{00000000-0005-0000-0000-0000F79C0000}"/>
    <cellStyle name="Normal 58 4 2 2 4 7" xfId="3073" xr:uid="{00000000-0005-0000-0000-0000F89C0000}"/>
    <cellStyle name="Normal 58 4 2 2 4 7 2" xfId="15582" xr:uid="{00000000-0005-0000-0000-0000F99C0000}"/>
    <cellStyle name="Normal 58 4 2 2 4 7 2 2" xfId="40456" xr:uid="{00000000-0005-0000-0000-0000FA9C0000}"/>
    <cellStyle name="Normal 58 4 2 2 4 7 3" xfId="28015" xr:uid="{00000000-0005-0000-0000-0000FB9C0000}"/>
    <cellStyle name="Normal 58 4 2 2 4 8" xfId="15090" xr:uid="{00000000-0005-0000-0000-0000FC9C0000}"/>
    <cellStyle name="Normal 58 4 2 2 4 8 2" xfId="39964" xr:uid="{00000000-0005-0000-0000-0000FD9C0000}"/>
    <cellStyle name="Normal 58 4 2 2 4 9" xfId="27523" xr:uid="{00000000-0005-0000-0000-0000FE9C0000}"/>
    <cellStyle name="Normal 58 4 2 2 5" xfId="1247" xr:uid="{00000000-0005-0000-0000-0000FF9C0000}"/>
    <cellStyle name="Normal 58 4 2 2 5 2" xfId="9029" xr:uid="{00000000-0005-0000-0000-0000009D0000}"/>
    <cellStyle name="Normal 58 4 2 2 5 2 2" xfId="21472" xr:uid="{00000000-0005-0000-0000-0000019D0000}"/>
    <cellStyle name="Normal 58 4 2 2 5 2 2 2" xfId="46346" xr:uid="{00000000-0005-0000-0000-0000029D0000}"/>
    <cellStyle name="Normal 58 4 2 2 5 2 3" xfId="33913" xr:uid="{00000000-0005-0000-0000-0000039D0000}"/>
    <cellStyle name="Normal 58 4 2 2 5 3" xfId="4011" xr:uid="{00000000-0005-0000-0000-0000049D0000}"/>
    <cellStyle name="Normal 58 4 2 2 5 3 2" xfId="16465" xr:uid="{00000000-0005-0000-0000-0000059D0000}"/>
    <cellStyle name="Normal 58 4 2 2 5 3 2 2" xfId="41339" xr:uid="{00000000-0005-0000-0000-0000069D0000}"/>
    <cellStyle name="Normal 58 4 2 2 5 3 3" xfId="28906" xr:uid="{00000000-0005-0000-0000-0000079D0000}"/>
    <cellStyle name="Normal 58 4 2 2 5 4" xfId="14047" xr:uid="{00000000-0005-0000-0000-0000089D0000}"/>
    <cellStyle name="Normal 58 4 2 2 5 4 2" xfId="38921" xr:uid="{00000000-0005-0000-0000-0000099D0000}"/>
    <cellStyle name="Normal 58 4 2 2 5 5" xfId="26480" xr:uid="{00000000-0005-0000-0000-00000A9D0000}"/>
    <cellStyle name="Normal 58 4 2 2 6" xfId="5392" xr:uid="{00000000-0005-0000-0000-00000B9D0000}"/>
    <cellStyle name="Normal 58 4 2 2 6 2" xfId="10408" xr:uid="{00000000-0005-0000-0000-00000C9D0000}"/>
    <cellStyle name="Normal 58 4 2 2 6 2 2" xfId="22851" xr:uid="{00000000-0005-0000-0000-00000D9D0000}"/>
    <cellStyle name="Normal 58 4 2 2 6 2 2 2" xfId="47725" xr:uid="{00000000-0005-0000-0000-00000E9D0000}"/>
    <cellStyle name="Normal 58 4 2 2 6 2 3" xfId="35292" xr:uid="{00000000-0005-0000-0000-00000F9D0000}"/>
    <cellStyle name="Normal 58 4 2 2 6 3" xfId="17844" xr:uid="{00000000-0005-0000-0000-0000109D0000}"/>
    <cellStyle name="Normal 58 4 2 2 6 3 2" xfId="42718" xr:uid="{00000000-0005-0000-0000-0000119D0000}"/>
    <cellStyle name="Normal 58 4 2 2 6 4" xfId="30285" xr:uid="{00000000-0005-0000-0000-0000129D0000}"/>
    <cellStyle name="Normal 58 4 2 2 7" xfId="7969" xr:uid="{00000000-0005-0000-0000-0000139D0000}"/>
    <cellStyle name="Normal 58 4 2 2 7 2" xfId="20415" xr:uid="{00000000-0005-0000-0000-0000149D0000}"/>
    <cellStyle name="Normal 58 4 2 2 7 2 2" xfId="45289" xr:uid="{00000000-0005-0000-0000-0000159D0000}"/>
    <cellStyle name="Normal 58 4 2 2 7 3" xfId="32856" xr:uid="{00000000-0005-0000-0000-0000169D0000}"/>
    <cellStyle name="Normal 58 4 2 2 8" xfId="11862" xr:uid="{00000000-0005-0000-0000-0000179D0000}"/>
    <cellStyle name="Normal 58 4 2 2 8 2" xfId="24296" xr:uid="{00000000-0005-0000-0000-0000189D0000}"/>
    <cellStyle name="Normal 58 4 2 2 8 2 2" xfId="49170" xr:uid="{00000000-0005-0000-0000-0000199D0000}"/>
    <cellStyle name="Normal 58 4 2 2 8 3" xfId="36737" xr:uid="{00000000-0005-0000-0000-00001A9D0000}"/>
    <cellStyle name="Normal 58 4 2 2 9" xfId="6622" xr:uid="{00000000-0005-0000-0000-00001B9D0000}"/>
    <cellStyle name="Normal 58 4 2 2 9 2" xfId="19071" xr:uid="{00000000-0005-0000-0000-00001C9D0000}"/>
    <cellStyle name="Normal 58 4 2 2 9 2 2" xfId="43945" xr:uid="{00000000-0005-0000-0000-00001D9D0000}"/>
    <cellStyle name="Normal 58 4 2 2 9 3" xfId="31512" xr:uid="{00000000-0005-0000-0000-00001E9D0000}"/>
    <cellStyle name="Normal 58 4 2 2_Degree data" xfId="2523" xr:uid="{00000000-0005-0000-0000-00001F9D0000}"/>
    <cellStyle name="Normal 58 4 2 3" xfId="389" xr:uid="{00000000-0005-0000-0000-0000209D0000}"/>
    <cellStyle name="Normal 58 4 2 3 10" xfId="13205" xr:uid="{00000000-0005-0000-0000-0000219D0000}"/>
    <cellStyle name="Normal 58 4 2 3 10 2" xfId="38079" xr:uid="{00000000-0005-0000-0000-0000229D0000}"/>
    <cellStyle name="Normal 58 4 2 3 11" xfId="25638" xr:uid="{00000000-0005-0000-0000-0000239D0000}"/>
    <cellStyle name="Normal 58 4 2 3 2" xfId="749" xr:uid="{00000000-0005-0000-0000-0000249D0000}"/>
    <cellStyle name="Normal 58 4 2 3 2 2" xfId="1559" xr:uid="{00000000-0005-0000-0000-0000259D0000}"/>
    <cellStyle name="Normal 58 4 2 3 2 2 2" xfId="9663" xr:uid="{00000000-0005-0000-0000-0000269D0000}"/>
    <cellStyle name="Normal 58 4 2 3 2 2 2 2" xfId="22106" xr:uid="{00000000-0005-0000-0000-0000279D0000}"/>
    <cellStyle name="Normal 58 4 2 3 2 2 2 2 2" xfId="46980" xr:uid="{00000000-0005-0000-0000-0000289D0000}"/>
    <cellStyle name="Normal 58 4 2 3 2 2 2 3" xfId="34547" xr:uid="{00000000-0005-0000-0000-0000299D0000}"/>
    <cellStyle name="Normal 58 4 2 3 2 2 3" xfId="4645" xr:uid="{00000000-0005-0000-0000-00002A9D0000}"/>
    <cellStyle name="Normal 58 4 2 3 2 2 3 2" xfId="17099" xr:uid="{00000000-0005-0000-0000-00002B9D0000}"/>
    <cellStyle name="Normal 58 4 2 3 2 2 3 2 2" xfId="41973" xr:uid="{00000000-0005-0000-0000-00002C9D0000}"/>
    <cellStyle name="Normal 58 4 2 3 2 2 3 3" xfId="29540" xr:uid="{00000000-0005-0000-0000-00002D9D0000}"/>
    <cellStyle name="Normal 58 4 2 3 2 2 4" xfId="14359" xr:uid="{00000000-0005-0000-0000-00002E9D0000}"/>
    <cellStyle name="Normal 58 4 2 3 2 2 4 2" xfId="39233" xr:uid="{00000000-0005-0000-0000-00002F9D0000}"/>
    <cellStyle name="Normal 58 4 2 3 2 2 5" xfId="26792" xr:uid="{00000000-0005-0000-0000-0000309D0000}"/>
    <cellStyle name="Normal 58 4 2 3 2 3" xfId="5704" xr:uid="{00000000-0005-0000-0000-0000319D0000}"/>
    <cellStyle name="Normal 58 4 2 3 2 3 2" xfId="10720" xr:uid="{00000000-0005-0000-0000-0000329D0000}"/>
    <cellStyle name="Normal 58 4 2 3 2 3 2 2" xfId="23163" xr:uid="{00000000-0005-0000-0000-0000339D0000}"/>
    <cellStyle name="Normal 58 4 2 3 2 3 2 2 2" xfId="48037" xr:uid="{00000000-0005-0000-0000-0000349D0000}"/>
    <cellStyle name="Normal 58 4 2 3 2 3 2 3" xfId="35604" xr:uid="{00000000-0005-0000-0000-0000359D0000}"/>
    <cellStyle name="Normal 58 4 2 3 2 3 3" xfId="18156" xr:uid="{00000000-0005-0000-0000-0000369D0000}"/>
    <cellStyle name="Normal 58 4 2 3 2 3 3 2" xfId="43030" xr:uid="{00000000-0005-0000-0000-0000379D0000}"/>
    <cellStyle name="Normal 58 4 2 3 2 3 4" xfId="30597" xr:uid="{00000000-0005-0000-0000-0000389D0000}"/>
    <cellStyle name="Normal 58 4 2 3 2 4" xfId="8779" xr:uid="{00000000-0005-0000-0000-0000399D0000}"/>
    <cellStyle name="Normal 58 4 2 3 2 4 2" xfId="21223" xr:uid="{00000000-0005-0000-0000-00003A9D0000}"/>
    <cellStyle name="Normal 58 4 2 3 2 4 2 2" xfId="46097" xr:uid="{00000000-0005-0000-0000-00003B9D0000}"/>
    <cellStyle name="Normal 58 4 2 3 2 4 3" xfId="33664" xr:uid="{00000000-0005-0000-0000-00003C9D0000}"/>
    <cellStyle name="Normal 58 4 2 3 2 5" xfId="12174" xr:uid="{00000000-0005-0000-0000-00003D9D0000}"/>
    <cellStyle name="Normal 58 4 2 3 2 5 2" xfId="24608" xr:uid="{00000000-0005-0000-0000-00003E9D0000}"/>
    <cellStyle name="Normal 58 4 2 3 2 5 2 2" xfId="49482" xr:uid="{00000000-0005-0000-0000-00003F9D0000}"/>
    <cellStyle name="Normal 58 4 2 3 2 5 3" xfId="37049" xr:uid="{00000000-0005-0000-0000-0000409D0000}"/>
    <cellStyle name="Normal 58 4 2 3 2 6" xfId="7256" xr:uid="{00000000-0005-0000-0000-0000419D0000}"/>
    <cellStyle name="Normal 58 4 2 3 2 6 2" xfId="19705" xr:uid="{00000000-0005-0000-0000-0000429D0000}"/>
    <cellStyle name="Normal 58 4 2 3 2 6 2 2" xfId="44579" xr:uid="{00000000-0005-0000-0000-0000439D0000}"/>
    <cellStyle name="Normal 58 4 2 3 2 6 3" xfId="32146" xr:uid="{00000000-0005-0000-0000-0000449D0000}"/>
    <cellStyle name="Normal 58 4 2 3 2 7" xfId="3710" xr:uid="{00000000-0005-0000-0000-0000459D0000}"/>
    <cellStyle name="Normal 58 4 2 3 2 7 2" xfId="16216" xr:uid="{00000000-0005-0000-0000-0000469D0000}"/>
    <cellStyle name="Normal 58 4 2 3 2 7 2 2" xfId="41090" xr:uid="{00000000-0005-0000-0000-0000479D0000}"/>
    <cellStyle name="Normal 58 4 2 3 2 7 3" xfId="28649" xr:uid="{00000000-0005-0000-0000-0000489D0000}"/>
    <cellStyle name="Normal 58 4 2 3 2 8" xfId="13552" xr:uid="{00000000-0005-0000-0000-0000499D0000}"/>
    <cellStyle name="Normal 58 4 2 3 2 8 2" xfId="38426" xr:uid="{00000000-0005-0000-0000-00004A9D0000}"/>
    <cellStyle name="Normal 58 4 2 3 2 9" xfId="25985" xr:uid="{00000000-0005-0000-0000-00004B9D0000}"/>
    <cellStyle name="Normal 58 4 2 3 3" xfId="1907" xr:uid="{00000000-0005-0000-0000-00004C9D0000}"/>
    <cellStyle name="Normal 58 4 2 3 3 2" xfId="4934" xr:uid="{00000000-0005-0000-0000-00004D9D0000}"/>
    <cellStyle name="Normal 58 4 2 3 3 2 2" xfId="9951" xr:uid="{00000000-0005-0000-0000-00004E9D0000}"/>
    <cellStyle name="Normal 58 4 2 3 3 2 2 2" xfId="22394" xr:uid="{00000000-0005-0000-0000-00004F9D0000}"/>
    <cellStyle name="Normal 58 4 2 3 3 2 2 2 2" xfId="47268" xr:uid="{00000000-0005-0000-0000-0000509D0000}"/>
    <cellStyle name="Normal 58 4 2 3 3 2 2 3" xfId="34835" xr:uid="{00000000-0005-0000-0000-0000519D0000}"/>
    <cellStyle name="Normal 58 4 2 3 3 2 3" xfId="17387" xr:uid="{00000000-0005-0000-0000-0000529D0000}"/>
    <cellStyle name="Normal 58 4 2 3 3 2 3 2" xfId="42261" xr:uid="{00000000-0005-0000-0000-0000539D0000}"/>
    <cellStyle name="Normal 58 4 2 3 3 2 4" xfId="29828" xr:uid="{00000000-0005-0000-0000-0000549D0000}"/>
    <cellStyle name="Normal 58 4 2 3 3 3" xfId="6053" xr:uid="{00000000-0005-0000-0000-0000559D0000}"/>
    <cellStyle name="Normal 58 4 2 3 3 3 2" xfId="11068" xr:uid="{00000000-0005-0000-0000-0000569D0000}"/>
    <cellStyle name="Normal 58 4 2 3 3 3 2 2" xfId="23511" xr:uid="{00000000-0005-0000-0000-0000579D0000}"/>
    <cellStyle name="Normal 58 4 2 3 3 3 2 2 2" xfId="48385" xr:uid="{00000000-0005-0000-0000-0000589D0000}"/>
    <cellStyle name="Normal 58 4 2 3 3 3 2 3" xfId="35952" xr:uid="{00000000-0005-0000-0000-0000599D0000}"/>
    <cellStyle name="Normal 58 4 2 3 3 3 3" xfId="18504" xr:uid="{00000000-0005-0000-0000-00005A9D0000}"/>
    <cellStyle name="Normal 58 4 2 3 3 3 3 2" xfId="43378" xr:uid="{00000000-0005-0000-0000-00005B9D0000}"/>
    <cellStyle name="Normal 58 4 2 3 3 3 4" xfId="30945" xr:uid="{00000000-0005-0000-0000-00005C9D0000}"/>
    <cellStyle name="Normal 58 4 2 3 3 4" xfId="8358" xr:uid="{00000000-0005-0000-0000-00005D9D0000}"/>
    <cellStyle name="Normal 58 4 2 3 3 4 2" xfId="20802" xr:uid="{00000000-0005-0000-0000-00005E9D0000}"/>
    <cellStyle name="Normal 58 4 2 3 3 4 2 2" xfId="45676" xr:uid="{00000000-0005-0000-0000-00005F9D0000}"/>
    <cellStyle name="Normal 58 4 2 3 3 4 3" xfId="33243" xr:uid="{00000000-0005-0000-0000-0000609D0000}"/>
    <cellStyle name="Normal 58 4 2 3 3 5" xfId="12522" xr:uid="{00000000-0005-0000-0000-0000619D0000}"/>
    <cellStyle name="Normal 58 4 2 3 3 5 2" xfId="24956" xr:uid="{00000000-0005-0000-0000-0000629D0000}"/>
    <cellStyle name="Normal 58 4 2 3 3 5 2 2" xfId="49830" xr:uid="{00000000-0005-0000-0000-0000639D0000}"/>
    <cellStyle name="Normal 58 4 2 3 3 5 3" xfId="37397" xr:uid="{00000000-0005-0000-0000-0000649D0000}"/>
    <cellStyle name="Normal 58 4 2 3 3 6" xfId="7545" xr:uid="{00000000-0005-0000-0000-0000659D0000}"/>
    <cellStyle name="Normal 58 4 2 3 3 6 2" xfId="19993" xr:uid="{00000000-0005-0000-0000-0000669D0000}"/>
    <cellStyle name="Normal 58 4 2 3 3 6 2 2" xfId="44867" xr:uid="{00000000-0005-0000-0000-0000679D0000}"/>
    <cellStyle name="Normal 58 4 2 3 3 6 3" xfId="32434" xr:uid="{00000000-0005-0000-0000-0000689D0000}"/>
    <cellStyle name="Normal 58 4 2 3 3 7" xfId="3289" xr:uid="{00000000-0005-0000-0000-0000699D0000}"/>
    <cellStyle name="Normal 58 4 2 3 3 7 2" xfId="15795" xr:uid="{00000000-0005-0000-0000-00006A9D0000}"/>
    <cellStyle name="Normal 58 4 2 3 3 7 2 2" xfId="40669" xr:uid="{00000000-0005-0000-0000-00006B9D0000}"/>
    <cellStyle name="Normal 58 4 2 3 3 7 3" xfId="28228" xr:uid="{00000000-0005-0000-0000-00006C9D0000}"/>
    <cellStyle name="Normal 58 4 2 3 3 8" xfId="14707" xr:uid="{00000000-0005-0000-0000-00006D9D0000}"/>
    <cellStyle name="Normal 58 4 2 3 3 8 2" xfId="39581" xr:uid="{00000000-0005-0000-0000-00006E9D0000}"/>
    <cellStyle name="Normal 58 4 2 3 3 9" xfId="27140" xr:uid="{00000000-0005-0000-0000-00006F9D0000}"/>
    <cellStyle name="Normal 58 4 2 3 4" xfId="2307" xr:uid="{00000000-0005-0000-0000-0000709D0000}"/>
    <cellStyle name="Normal 58 4 2 3 4 2" xfId="6332" xr:uid="{00000000-0005-0000-0000-0000719D0000}"/>
    <cellStyle name="Normal 58 4 2 3 4 2 2" xfId="11347" xr:uid="{00000000-0005-0000-0000-0000729D0000}"/>
    <cellStyle name="Normal 58 4 2 3 4 2 2 2" xfId="23790" xr:uid="{00000000-0005-0000-0000-0000739D0000}"/>
    <cellStyle name="Normal 58 4 2 3 4 2 2 2 2" xfId="48664" xr:uid="{00000000-0005-0000-0000-0000749D0000}"/>
    <cellStyle name="Normal 58 4 2 3 4 2 2 3" xfId="36231" xr:uid="{00000000-0005-0000-0000-0000759D0000}"/>
    <cellStyle name="Normal 58 4 2 3 4 2 3" xfId="18783" xr:uid="{00000000-0005-0000-0000-0000769D0000}"/>
    <cellStyle name="Normal 58 4 2 3 4 2 3 2" xfId="43657" xr:uid="{00000000-0005-0000-0000-0000779D0000}"/>
    <cellStyle name="Normal 58 4 2 3 4 2 4" xfId="31224" xr:uid="{00000000-0005-0000-0000-0000789D0000}"/>
    <cellStyle name="Normal 58 4 2 3 4 3" xfId="12801" xr:uid="{00000000-0005-0000-0000-0000799D0000}"/>
    <cellStyle name="Normal 58 4 2 3 4 3 2" xfId="25235" xr:uid="{00000000-0005-0000-0000-00007A9D0000}"/>
    <cellStyle name="Normal 58 4 2 3 4 3 2 2" xfId="50109" xr:uid="{00000000-0005-0000-0000-00007B9D0000}"/>
    <cellStyle name="Normal 58 4 2 3 4 3 3" xfId="37676" xr:uid="{00000000-0005-0000-0000-00007C9D0000}"/>
    <cellStyle name="Normal 58 4 2 3 4 4" xfId="9242" xr:uid="{00000000-0005-0000-0000-00007D9D0000}"/>
    <cellStyle name="Normal 58 4 2 3 4 4 2" xfId="21685" xr:uid="{00000000-0005-0000-0000-00007E9D0000}"/>
    <cellStyle name="Normal 58 4 2 3 4 4 2 2" xfId="46559" xr:uid="{00000000-0005-0000-0000-00007F9D0000}"/>
    <cellStyle name="Normal 58 4 2 3 4 4 3" xfId="34126" xr:uid="{00000000-0005-0000-0000-0000809D0000}"/>
    <cellStyle name="Normal 58 4 2 3 4 5" xfId="4224" xr:uid="{00000000-0005-0000-0000-0000819D0000}"/>
    <cellStyle name="Normal 58 4 2 3 4 5 2" xfId="16678" xr:uid="{00000000-0005-0000-0000-0000829D0000}"/>
    <cellStyle name="Normal 58 4 2 3 4 5 2 2" xfId="41552" xr:uid="{00000000-0005-0000-0000-0000839D0000}"/>
    <cellStyle name="Normal 58 4 2 3 4 5 3" xfId="29119" xr:uid="{00000000-0005-0000-0000-0000849D0000}"/>
    <cellStyle name="Normal 58 4 2 3 4 6" xfId="14986" xr:uid="{00000000-0005-0000-0000-0000859D0000}"/>
    <cellStyle name="Normal 58 4 2 3 4 6 2" xfId="39860" xr:uid="{00000000-0005-0000-0000-0000869D0000}"/>
    <cellStyle name="Normal 58 4 2 3 4 7" xfId="27419" xr:uid="{00000000-0005-0000-0000-0000879D0000}"/>
    <cellStyle name="Normal 58 4 2 3 5" xfId="1143" xr:uid="{00000000-0005-0000-0000-0000889D0000}"/>
    <cellStyle name="Normal 58 4 2 3 5 2" xfId="10304" xr:uid="{00000000-0005-0000-0000-0000899D0000}"/>
    <cellStyle name="Normal 58 4 2 3 5 2 2" xfId="22747" xr:uid="{00000000-0005-0000-0000-00008A9D0000}"/>
    <cellStyle name="Normal 58 4 2 3 5 2 2 2" xfId="47621" xr:uid="{00000000-0005-0000-0000-00008B9D0000}"/>
    <cellStyle name="Normal 58 4 2 3 5 2 3" xfId="35188" xr:uid="{00000000-0005-0000-0000-00008C9D0000}"/>
    <cellStyle name="Normal 58 4 2 3 5 3" xfId="5288" xr:uid="{00000000-0005-0000-0000-00008D9D0000}"/>
    <cellStyle name="Normal 58 4 2 3 5 3 2" xfId="17740" xr:uid="{00000000-0005-0000-0000-00008E9D0000}"/>
    <cellStyle name="Normal 58 4 2 3 5 3 2 2" xfId="42614" xr:uid="{00000000-0005-0000-0000-00008F9D0000}"/>
    <cellStyle name="Normal 58 4 2 3 5 3 3" xfId="30181" xr:uid="{00000000-0005-0000-0000-0000909D0000}"/>
    <cellStyle name="Normal 58 4 2 3 5 4" xfId="13943" xr:uid="{00000000-0005-0000-0000-0000919D0000}"/>
    <cellStyle name="Normal 58 4 2 3 5 4 2" xfId="38817" xr:uid="{00000000-0005-0000-0000-0000929D0000}"/>
    <cellStyle name="Normal 58 4 2 3 5 5" xfId="26376" xr:uid="{00000000-0005-0000-0000-0000939D0000}"/>
    <cellStyle name="Normal 58 4 2 3 6" xfId="7865" xr:uid="{00000000-0005-0000-0000-0000949D0000}"/>
    <cellStyle name="Normal 58 4 2 3 6 2" xfId="20311" xr:uid="{00000000-0005-0000-0000-0000959D0000}"/>
    <cellStyle name="Normal 58 4 2 3 6 2 2" xfId="45185" xr:uid="{00000000-0005-0000-0000-0000969D0000}"/>
    <cellStyle name="Normal 58 4 2 3 6 3" xfId="32752" xr:uid="{00000000-0005-0000-0000-0000979D0000}"/>
    <cellStyle name="Normal 58 4 2 3 7" xfId="11758" xr:uid="{00000000-0005-0000-0000-0000989D0000}"/>
    <cellStyle name="Normal 58 4 2 3 7 2" xfId="24192" xr:uid="{00000000-0005-0000-0000-0000999D0000}"/>
    <cellStyle name="Normal 58 4 2 3 7 2 2" xfId="49066" xr:uid="{00000000-0005-0000-0000-00009A9D0000}"/>
    <cellStyle name="Normal 58 4 2 3 7 3" xfId="36633" xr:uid="{00000000-0005-0000-0000-00009B9D0000}"/>
    <cellStyle name="Normal 58 4 2 3 8" xfId="6835" xr:uid="{00000000-0005-0000-0000-00009C9D0000}"/>
    <cellStyle name="Normal 58 4 2 3 8 2" xfId="19284" xr:uid="{00000000-0005-0000-0000-00009D9D0000}"/>
    <cellStyle name="Normal 58 4 2 3 8 2 2" xfId="44158" xr:uid="{00000000-0005-0000-0000-00009E9D0000}"/>
    <cellStyle name="Normal 58 4 2 3 8 3" xfId="31725" xr:uid="{00000000-0005-0000-0000-00009F9D0000}"/>
    <cellStyle name="Normal 58 4 2 3 9" xfId="2786" xr:uid="{00000000-0005-0000-0000-0000A09D0000}"/>
    <cellStyle name="Normal 58 4 2 3 9 2" xfId="15304" xr:uid="{00000000-0005-0000-0000-0000A19D0000}"/>
    <cellStyle name="Normal 58 4 2 3 9 2 2" xfId="40178" xr:uid="{00000000-0005-0000-0000-0000A29D0000}"/>
    <cellStyle name="Normal 58 4 2 3 9 3" xfId="27737" xr:uid="{00000000-0005-0000-0000-0000A39D0000}"/>
    <cellStyle name="Normal 58 4 2 3_Degree data" xfId="2524" xr:uid="{00000000-0005-0000-0000-0000A49D0000}"/>
    <cellStyle name="Normal 58 4 2 4" xfId="286" xr:uid="{00000000-0005-0000-0000-0000A59D0000}"/>
    <cellStyle name="Normal 58 4 2 4 2" xfId="1557" xr:uid="{00000000-0005-0000-0000-0000A69D0000}"/>
    <cellStyle name="Normal 58 4 2 4 2 2" xfId="9142" xr:uid="{00000000-0005-0000-0000-0000A79D0000}"/>
    <cellStyle name="Normal 58 4 2 4 2 2 2" xfId="21585" xr:uid="{00000000-0005-0000-0000-0000A89D0000}"/>
    <cellStyle name="Normal 58 4 2 4 2 2 2 2" xfId="46459" xr:uid="{00000000-0005-0000-0000-0000A99D0000}"/>
    <cellStyle name="Normal 58 4 2 4 2 2 3" xfId="34026" xr:uid="{00000000-0005-0000-0000-0000AA9D0000}"/>
    <cellStyle name="Normal 58 4 2 4 2 3" xfId="4124" xr:uid="{00000000-0005-0000-0000-0000AB9D0000}"/>
    <cellStyle name="Normal 58 4 2 4 2 3 2" xfId="16578" xr:uid="{00000000-0005-0000-0000-0000AC9D0000}"/>
    <cellStyle name="Normal 58 4 2 4 2 3 2 2" xfId="41452" xr:uid="{00000000-0005-0000-0000-0000AD9D0000}"/>
    <cellStyle name="Normal 58 4 2 4 2 3 3" xfId="29019" xr:uid="{00000000-0005-0000-0000-0000AE9D0000}"/>
    <cellStyle name="Normal 58 4 2 4 2 4" xfId="14357" xr:uid="{00000000-0005-0000-0000-0000AF9D0000}"/>
    <cellStyle name="Normal 58 4 2 4 2 4 2" xfId="39231" xr:uid="{00000000-0005-0000-0000-0000B09D0000}"/>
    <cellStyle name="Normal 58 4 2 4 2 5" xfId="26790" xr:uid="{00000000-0005-0000-0000-0000B19D0000}"/>
    <cellStyle name="Normal 58 4 2 4 3" xfId="5702" xr:uid="{00000000-0005-0000-0000-0000B29D0000}"/>
    <cellStyle name="Normal 58 4 2 4 3 2" xfId="10718" xr:uid="{00000000-0005-0000-0000-0000B39D0000}"/>
    <cellStyle name="Normal 58 4 2 4 3 2 2" xfId="23161" xr:uid="{00000000-0005-0000-0000-0000B49D0000}"/>
    <cellStyle name="Normal 58 4 2 4 3 2 2 2" xfId="48035" xr:uid="{00000000-0005-0000-0000-0000B59D0000}"/>
    <cellStyle name="Normal 58 4 2 4 3 2 3" xfId="35602" xr:uid="{00000000-0005-0000-0000-0000B69D0000}"/>
    <cellStyle name="Normal 58 4 2 4 3 3" xfId="18154" xr:uid="{00000000-0005-0000-0000-0000B79D0000}"/>
    <cellStyle name="Normal 58 4 2 4 3 3 2" xfId="43028" xr:uid="{00000000-0005-0000-0000-0000B89D0000}"/>
    <cellStyle name="Normal 58 4 2 4 3 4" xfId="30595" xr:uid="{00000000-0005-0000-0000-0000B99D0000}"/>
    <cellStyle name="Normal 58 4 2 4 4" xfId="8258" xr:uid="{00000000-0005-0000-0000-0000BA9D0000}"/>
    <cellStyle name="Normal 58 4 2 4 4 2" xfId="20702" xr:uid="{00000000-0005-0000-0000-0000BB9D0000}"/>
    <cellStyle name="Normal 58 4 2 4 4 2 2" xfId="45576" xr:uid="{00000000-0005-0000-0000-0000BC9D0000}"/>
    <cellStyle name="Normal 58 4 2 4 4 3" xfId="33143" xr:uid="{00000000-0005-0000-0000-0000BD9D0000}"/>
    <cellStyle name="Normal 58 4 2 4 5" xfId="12172" xr:uid="{00000000-0005-0000-0000-0000BE9D0000}"/>
    <cellStyle name="Normal 58 4 2 4 5 2" xfId="24606" xr:uid="{00000000-0005-0000-0000-0000BF9D0000}"/>
    <cellStyle name="Normal 58 4 2 4 5 2 2" xfId="49480" xr:uid="{00000000-0005-0000-0000-0000C09D0000}"/>
    <cellStyle name="Normal 58 4 2 4 5 3" xfId="37047" xr:uid="{00000000-0005-0000-0000-0000C19D0000}"/>
    <cellStyle name="Normal 58 4 2 4 6" xfId="6735" xr:uid="{00000000-0005-0000-0000-0000C29D0000}"/>
    <cellStyle name="Normal 58 4 2 4 6 2" xfId="19184" xr:uid="{00000000-0005-0000-0000-0000C39D0000}"/>
    <cellStyle name="Normal 58 4 2 4 6 2 2" xfId="44058" xr:uid="{00000000-0005-0000-0000-0000C49D0000}"/>
    <cellStyle name="Normal 58 4 2 4 6 3" xfId="31625" xr:uid="{00000000-0005-0000-0000-0000C59D0000}"/>
    <cellStyle name="Normal 58 4 2 4 7" xfId="3189" xr:uid="{00000000-0005-0000-0000-0000C69D0000}"/>
    <cellStyle name="Normal 58 4 2 4 7 2" xfId="15695" xr:uid="{00000000-0005-0000-0000-0000C79D0000}"/>
    <cellStyle name="Normal 58 4 2 4 7 2 2" xfId="40569" xr:uid="{00000000-0005-0000-0000-0000C89D0000}"/>
    <cellStyle name="Normal 58 4 2 4 7 3" xfId="28128" xr:uid="{00000000-0005-0000-0000-0000C99D0000}"/>
    <cellStyle name="Normal 58 4 2 4 8" xfId="13105" xr:uid="{00000000-0005-0000-0000-0000CA9D0000}"/>
    <cellStyle name="Normal 58 4 2 4 8 2" xfId="37979" xr:uid="{00000000-0005-0000-0000-0000CB9D0000}"/>
    <cellStyle name="Normal 58 4 2 4 9" xfId="25538" xr:uid="{00000000-0005-0000-0000-0000CC9D0000}"/>
    <cellStyle name="Normal 58 4 2 5" xfId="648" xr:uid="{00000000-0005-0000-0000-0000CD9D0000}"/>
    <cellStyle name="Normal 58 4 2 5 2" xfId="1905" xr:uid="{00000000-0005-0000-0000-0000CE9D0000}"/>
    <cellStyle name="Normal 58 4 2 5 2 2" xfId="9661" xr:uid="{00000000-0005-0000-0000-0000CF9D0000}"/>
    <cellStyle name="Normal 58 4 2 5 2 2 2" xfId="22104" xr:uid="{00000000-0005-0000-0000-0000D09D0000}"/>
    <cellStyle name="Normal 58 4 2 5 2 2 2 2" xfId="46978" xr:uid="{00000000-0005-0000-0000-0000D19D0000}"/>
    <cellStyle name="Normal 58 4 2 5 2 2 3" xfId="34545" xr:uid="{00000000-0005-0000-0000-0000D29D0000}"/>
    <cellStyle name="Normal 58 4 2 5 2 3" xfId="4643" xr:uid="{00000000-0005-0000-0000-0000D39D0000}"/>
    <cellStyle name="Normal 58 4 2 5 2 3 2" xfId="17097" xr:uid="{00000000-0005-0000-0000-0000D49D0000}"/>
    <cellStyle name="Normal 58 4 2 5 2 3 2 2" xfId="41971" xr:uid="{00000000-0005-0000-0000-0000D59D0000}"/>
    <cellStyle name="Normal 58 4 2 5 2 3 3" xfId="29538" xr:uid="{00000000-0005-0000-0000-0000D69D0000}"/>
    <cellStyle name="Normal 58 4 2 5 2 4" xfId="14705" xr:uid="{00000000-0005-0000-0000-0000D79D0000}"/>
    <cellStyle name="Normal 58 4 2 5 2 4 2" xfId="39579" xr:uid="{00000000-0005-0000-0000-0000D89D0000}"/>
    <cellStyle name="Normal 58 4 2 5 2 5" xfId="27138" xr:uid="{00000000-0005-0000-0000-0000D99D0000}"/>
    <cellStyle name="Normal 58 4 2 5 3" xfId="6051" xr:uid="{00000000-0005-0000-0000-0000DA9D0000}"/>
    <cellStyle name="Normal 58 4 2 5 3 2" xfId="11066" xr:uid="{00000000-0005-0000-0000-0000DB9D0000}"/>
    <cellStyle name="Normal 58 4 2 5 3 2 2" xfId="23509" xr:uid="{00000000-0005-0000-0000-0000DC9D0000}"/>
    <cellStyle name="Normal 58 4 2 5 3 2 2 2" xfId="48383" xr:uid="{00000000-0005-0000-0000-0000DD9D0000}"/>
    <cellStyle name="Normal 58 4 2 5 3 2 3" xfId="35950" xr:uid="{00000000-0005-0000-0000-0000DE9D0000}"/>
    <cellStyle name="Normal 58 4 2 5 3 3" xfId="18502" xr:uid="{00000000-0005-0000-0000-0000DF9D0000}"/>
    <cellStyle name="Normal 58 4 2 5 3 3 2" xfId="43376" xr:uid="{00000000-0005-0000-0000-0000E09D0000}"/>
    <cellStyle name="Normal 58 4 2 5 3 4" xfId="30943" xr:uid="{00000000-0005-0000-0000-0000E19D0000}"/>
    <cellStyle name="Normal 58 4 2 5 4" xfId="8777" xr:uid="{00000000-0005-0000-0000-0000E29D0000}"/>
    <cellStyle name="Normal 58 4 2 5 4 2" xfId="21221" xr:uid="{00000000-0005-0000-0000-0000E39D0000}"/>
    <cellStyle name="Normal 58 4 2 5 4 2 2" xfId="46095" xr:uid="{00000000-0005-0000-0000-0000E49D0000}"/>
    <cellStyle name="Normal 58 4 2 5 4 3" xfId="33662" xr:uid="{00000000-0005-0000-0000-0000E59D0000}"/>
    <cellStyle name="Normal 58 4 2 5 5" xfId="12520" xr:uid="{00000000-0005-0000-0000-0000E69D0000}"/>
    <cellStyle name="Normal 58 4 2 5 5 2" xfId="24954" xr:uid="{00000000-0005-0000-0000-0000E79D0000}"/>
    <cellStyle name="Normal 58 4 2 5 5 2 2" xfId="49828" xr:uid="{00000000-0005-0000-0000-0000E89D0000}"/>
    <cellStyle name="Normal 58 4 2 5 5 3" xfId="37395" xr:uid="{00000000-0005-0000-0000-0000E99D0000}"/>
    <cellStyle name="Normal 58 4 2 5 6" xfId="7254" xr:uid="{00000000-0005-0000-0000-0000EA9D0000}"/>
    <cellStyle name="Normal 58 4 2 5 6 2" xfId="19703" xr:uid="{00000000-0005-0000-0000-0000EB9D0000}"/>
    <cellStyle name="Normal 58 4 2 5 6 2 2" xfId="44577" xr:uid="{00000000-0005-0000-0000-0000EC9D0000}"/>
    <cellStyle name="Normal 58 4 2 5 6 3" xfId="32144" xr:uid="{00000000-0005-0000-0000-0000ED9D0000}"/>
    <cellStyle name="Normal 58 4 2 5 7" xfId="3708" xr:uid="{00000000-0005-0000-0000-0000EE9D0000}"/>
    <cellStyle name="Normal 58 4 2 5 7 2" xfId="16214" xr:uid="{00000000-0005-0000-0000-0000EF9D0000}"/>
    <cellStyle name="Normal 58 4 2 5 7 2 2" xfId="41088" xr:uid="{00000000-0005-0000-0000-0000F09D0000}"/>
    <cellStyle name="Normal 58 4 2 5 7 3" xfId="28647" xr:uid="{00000000-0005-0000-0000-0000F19D0000}"/>
    <cellStyle name="Normal 58 4 2 5 8" xfId="13452" xr:uid="{00000000-0005-0000-0000-0000F29D0000}"/>
    <cellStyle name="Normal 58 4 2 5 8 2" xfId="38326" xr:uid="{00000000-0005-0000-0000-0000F39D0000}"/>
    <cellStyle name="Normal 58 4 2 5 9" xfId="25885" xr:uid="{00000000-0005-0000-0000-0000F49D0000}"/>
    <cellStyle name="Normal 58 4 2 6" xfId="2204" xr:uid="{00000000-0005-0000-0000-0000F59D0000}"/>
    <cellStyle name="Normal 58 4 2 6 2" xfId="4834" xr:uid="{00000000-0005-0000-0000-0000F69D0000}"/>
    <cellStyle name="Normal 58 4 2 6 2 2" xfId="9851" xr:uid="{00000000-0005-0000-0000-0000F79D0000}"/>
    <cellStyle name="Normal 58 4 2 6 2 2 2" xfId="22294" xr:uid="{00000000-0005-0000-0000-0000F89D0000}"/>
    <cellStyle name="Normal 58 4 2 6 2 2 2 2" xfId="47168" xr:uid="{00000000-0005-0000-0000-0000F99D0000}"/>
    <cellStyle name="Normal 58 4 2 6 2 2 3" xfId="34735" xr:uid="{00000000-0005-0000-0000-0000FA9D0000}"/>
    <cellStyle name="Normal 58 4 2 6 2 3" xfId="17287" xr:uid="{00000000-0005-0000-0000-0000FB9D0000}"/>
    <cellStyle name="Normal 58 4 2 6 2 3 2" xfId="42161" xr:uid="{00000000-0005-0000-0000-0000FC9D0000}"/>
    <cellStyle name="Normal 58 4 2 6 2 4" xfId="29728" xr:uid="{00000000-0005-0000-0000-0000FD9D0000}"/>
    <cellStyle name="Normal 58 4 2 6 3" xfId="6232" xr:uid="{00000000-0005-0000-0000-0000FE9D0000}"/>
    <cellStyle name="Normal 58 4 2 6 3 2" xfId="11247" xr:uid="{00000000-0005-0000-0000-0000FF9D0000}"/>
    <cellStyle name="Normal 58 4 2 6 3 2 2" xfId="23690" xr:uid="{00000000-0005-0000-0000-0000009E0000}"/>
    <cellStyle name="Normal 58 4 2 6 3 2 2 2" xfId="48564" xr:uid="{00000000-0005-0000-0000-0000019E0000}"/>
    <cellStyle name="Normal 58 4 2 6 3 2 3" xfId="36131" xr:uid="{00000000-0005-0000-0000-0000029E0000}"/>
    <cellStyle name="Normal 58 4 2 6 3 3" xfId="18683" xr:uid="{00000000-0005-0000-0000-0000039E0000}"/>
    <cellStyle name="Normal 58 4 2 6 3 3 2" xfId="43557" xr:uid="{00000000-0005-0000-0000-0000049E0000}"/>
    <cellStyle name="Normal 58 4 2 6 3 4" xfId="31124" xr:uid="{00000000-0005-0000-0000-0000059E0000}"/>
    <cellStyle name="Normal 58 4 2 6 4" xfId="8038" xr:uid="{00000000-0005-0000-0000-0000069E0000}"/>
    <cellStyle name="Normal 58 4 2 6 4 2" xfId="20484" xr:uid="{00000000-0005-0000-0000-0000079E0000}"/>
    <cellStyle name="Normal 58 4 2 6 4 2 2" xfId="45358" xr:uid="{00000000-0005-0000-0000-0000089E0000}"/>
    <cellStyle name="Normal 58 4 2 6 4 3" xfId="32925" xr:uid="{00000000-0005-0000-0000-0000099E0000}"/>
    <cellStyle name="Normal 58 4 2 6 5" xfId="12701" xr:uid="{00000000-0005-0000-0000-00000A9E0000}"/>
    <cellStyle name="Normal 58 4 2 6 5 2" xfId="25135" xr:uid="{00000000-0005-0000-0000-00000B9E0000}"/>
    <cellStyle name="Normal 58 4 2 6 5 2 2" xfId="50009" xr:uid="{00000000-0005-0000-0000-00000C9E0000}"/>
    <cellStyle name="Normal 58 4 2 6 5 3" xfId="37576" xr:uid="{00000000-0005-0000-0000-00000D9E0000}"/>
    <cellStyle name="Normal 58 4 2 6 6" xfId="7445" xr:uid="{00000000-0005-0000-0000-00000E9E0000}"/>
    <cellStyle name="Normal 58 4 2 6 6 2" xfId="19893" xr:uid="{00000000-0005-0000-0000-00000F9E0000}"/>
    <cellStyle name="Normal 58 4 2 6 6 2 2" xfId="44767" xr:uid="{00000000-0005-0000-0000-0000109E0000}"/>
    <cellStyle name="Normal 58 4 2 6 6 3" xfId="32334" xr:uid="{00000000-0005-0000-0000-0000119E0000}"/>
    <cellStyle name="Normal 58 4 2 6 7" xfId="2965" xr:uid="{00000000-0005-0000-0000-0000129E0000}"/>
    <cellStyle name="Normal 58 4 2 6 7 2" xfId="15477" xr:uid="{00000000-0005-0000-0000-0000139E0000}"/>
    <cellStyle name="Normal 58 4 2 6 7 2 2" xfId="40351" xr:uid="{00000000-0005-0000-0000-0000149E0000}"/>
    <cellStyle name="Normal 58 4 2 6 7 3" xfId="27910" xr:uid="{00000000-0005-0000-0000-0000159E0000}"/>
    <cellStyle name="Normal 58 4 2 6 8" xfId="14886" xr:uid="{00000000-0005-0000-0000-0000169E0000}"/>
    <cellStyle name="Normal 58 4 2 6 8 2" xfId="39760" xr:uid="{00000000-0005-0000-0000-0000179E0000}"/>
    <cellStyle name="Normal 58 4 2 6 9" xfId="27319" xr:uid="{00000000-0005-0000-0000-0000189E0000}"/>
    <cellStyle name="Normal 58 4 2 7" xfId="1043" xr:uid="{00000000-0005-0000-0000-0000199E0000}"/>
    <cellStyle name="Normal 58 4 2 7 2" xfId="8925" xr:uid="{00000000-0005-0000-0000-00001A9E0000}"/>
    <cellStyle name="Normal 58 4 2 7 2 2" xfId="21368" xr:uid="{00000000-0005-0000-0000-00001B9E0000}"/>
    <cellStyle name="Normal 58 4 2 7 2 2 2" xfId="46242" xr:uid="{00000000-0005-0000-0000-00001C9E0000}"/>
    <cellStyle name="Normal 58 4 2 7 2 3" xfId="33809" xr:uid="{00000000-0005-0000-0000-00001D9E0000}"/>
    <cellStyle name="Normal 58 4 2 7 3" xfId="3907" xr:uid="{00000000-0005-0000-0000-00001E9E0000}"/>
    <cellStyle name="Normal 58 4 2 7 3 2" xfId="16361" xr:uid="{00000000-0005-0000-0000-00001F9E0000}"/>
    <cellStyle name="Normal 58 4 2 7 3 2 2" xfId="41235" xr:uid="{00000000-0005-0000-0000-0000209E0000}"/>
    <cellStyle name="Normal 58 4 2 7 3 3" xfId="28802" xr:uid="{00000000-0005-0000-0000-0000219E0000}"/>
    <cellStyle name="Normal 58 4 2 7 4" xfId="13843" xr:uid="{00000000-0005-0000-0000-0000229E0000}"/>
    <cellStyle name="Normal 58 4 2 7 4 2" xfId="38717" xr:uid="{00000000-0005-0000-0000-0000239E0000}"/>
    <cellStyle name="Normal 58 4 2 7 5" xfId="26276" xr:uid="{00000000-0005-0000-0000-0000249E0000}"/>
    <cellStyle name="Normal 58 4 2 8" xfId="5188" xr:uid="{00000000-0005-0000-0000-0000259E0000}"/>
    <cellStyle name="Normal 58 4 2 8 2" xfId="10204" xr:uid="{00000000-0005-0000-0000-0000269E0000}"/>
    <cellStyle name="Normal 58 4 2 8 2 2" xfId="22647" xr:uid="{00000000-0005-0000-0000-0000279E0000}"/>
    <cellStyle name="Normal 58 4 2 8 2 2 2" xfId="47521" xr:uid="{00000000-0005-0000-0000-0000289E0000}"/>
    <cellStyle name="Normal 58 4 2 8 2 3" xfId="35088" xr:uid="{00000000-0005-0000-0000-0000299E0000}"/>
    <cellStyle name="Normal 58 4 2 8 3" xfId="17640" xr:uid="{00000000-0005-0000-0000-00002A9E0000}"/>
    <cellStyle name="Normal 58 4 2 8 3 2" xfId="42514" xr:uid="{00000000-0005-0000-0000-00002B9E0000}"/>
    <cellStyle name="Normal 58 4 2 8 4" xfId="30081" xr:uid="{00000000-0005-0000-0000-00002C9E0000}"/>
    <cellStyle name="Normal 58 4 2 9" xfId="7765" xr:uid="{00000000-0005-0000-0000-00002D9E0000}"/>
    <cellStyle name="Normal 58 4 2 9 2" xfId="20211" xr:uid="{00000000-0005-0000-0000-00002E9E0000}"/>
    <cellStyle name="Normal 58 4 2 9 2 2" xfId="45085" xr:uid="{00000000-0005-0000-0000-00002F9E0000}"/>
    <cellStyle name="Normal 58 4 2 9 3" xfId="32652" xr:uid="{00000000-0005-0000-0000-0000309E0000}"/>
    <cellStyle name="Normal 58 4 2_Degree data" xfId="2522" xr:uid="{00000000-0005-0000-0000-0000319E0000}"/>
    <cellStyle name="Normal 58 4 3" xfId="173" xr:uid="{00000000-0005-0000-0000-0000329E0000}"/>
    <cellStyle name="Normal 58 4 3 10" xfId="6561" xr:uid="{00000000-0005-0000-0000-0000339E0000}"/>
    <cellStyle name="Normal 58 4 3 10 2" xfId="19010" xr:uid="{00000000-0005-0000-0000-0000349E0000}"/>
    <cellStyle name="Normal 58 4 3 10 2 2" xfId="43884" xr:uid="{00000000-0005-0000-0000-0000359E0000}"/>
    <cellStyle name="Normal 58 4 3 10 3" xfId="31451" xr:uid="{00000000-0005-0000-0000-0000369E0000}"/>
    <cellStyle name="Normal 58 4 3 11" xfId="2729" xr:uid="{00000000-0005-0000-0000-0000379E0000}"/>
    <cellStyle name="Normal 58 4 3 11 2" xfId="15247" xr:uid="{00000000-0005-0000-0000-0000389E0000}"/>
    <cellStyle name="Normal 58 4 3 11 2 2" xfId="40121" xr:uid="{00000000-0005-0000-0000-0000399E0000}"/>
    <cellStyle name="Normal 58 4 3 11 3" xfId="27680" xr:uid="{00000000-0005-0000-0000-00003A9E0000}"/>
    <cellStyle name="Normal 58 4 3 12" xfId="13003" xr:uid="{00000000-0005-0000-0000-00003B9E0000}"/>
    <cellStyle name="Normal 58 4 3 12 2" xfId="37877" xr:uid="{00000000-0005-0000-0000-00003C9E0000}"/>
    <cellStyle name="Normal 58 4 3 13" xfId="25436" xr:uid="{00000000-0005-0000-0000-00003D9E0000}"/>
    <cellStyle name="Normal 58 4 3 2" xfId="433" xr:uid="{00000000-0005-0000-0000-00003E9E0000}"/>
    <cellStyle name="Normal 58 4 3 2 10" xfId="13248" xr:uid="{00000000-0005-0000-0000-00003F9E0000}"/>
    <cellStyle name="Normal 58 4 3 2 10 2" xfId="38122" xr:uid="{00000000-0005-0000-0000-0000409E0000}"/>
    <cellStyle name="Normal 58 4 3 2 11" xfId="25681" xr:uid="{00000000-0005-0000-0000-0000419E0000}"/>
    <cellStyle name="Normal 58 4 3 2 2" xfId="793" xr:uid="{00000000-0005-0000-0000-0000429E0000}"/>
    <cellStyle name="Normal 58 4 3 2 2 2" xfId="1561" xr:uid="{00000000-0005-0000-0000-0000439E0000}"/>
    <cellStyle name="Normal 58 4 3 2 2 2 2" xfId="9665" xr:uid="{00000000-0005-0000-0000-0000449E0000}"/>
    <cellStyle name="Normal 58 4 3 2 2 2 2 2" xfId="22108" xr:uid="{00000000-0005-0000-0000-0000459E0000}"/>
    <cellStyle name="Normal 58 4 3 2 2 2 2 2 2" xfId="46982" xr:uid="{00000000-0005-0000-0000-0000469E0000}"/>
    <cellStyle name="Normal 58 4 3 2 2 2 2 3" xfId="34549" xr:uid="{00000000-0005-0000-0000-0000479E0000}"/>
    <cellStyle name="Normal 58 4 3 2 2 2 3" xfId="4647" xr:uid="{00000000-0005-0000-0000-0000489E0000}"/>
    <cellStyle name="Normal 58 4 3 2 2 2 3 2" xfId="17101" xr:uid="{00000000-0005-0000-0000-0000499E0000}"/>
    <cellStyle name="Normal 58 4 3 2 2 2 3 2 2" xfId="41975" xr:uid="{00000000-0005-0000-0000-00004A9E0000}"/>
    <cellStyle name="Normal 58 4 3 2 2 2 3 3" xfId="29542" xr:uid="{00000000-0005-0000-0000-00004B9E0000}"/>
    <cellStyle name="Normal 58 4 3 2 2 2 4" xfId="14361" xr:uid="{00000000-0005-0000-0000-00004C9E0000}"/>
    <cellStyle name="Normal 58 4 3 2 2 2 4 2" xfId="39235" xr:uid="{00000000-0005-0000-0000-00004D9E0000}"/>
    <cellStyle name="Normal 58 4 3 2 2 2 5" xfId="26794" xr:uid="{00000000-0005-0000-0000-00004E9E0000}"/>
    <cellStyle name="Normal 58 4 3 2 2 3" xfId="5706" xr:uid="{00000000-0005-0000-0000-00004F9E0000}"/>
    <cellStyle name="Normal 58 4 3 2 2 3 2" xfId="10722" xr:uid="{00000000-0005-0000-0000-0000509E0000}"/>
    <cellStyle name="Normal 58 4 3 2 2 3 2 2" xfId="23165" xr:uid="{00000000-0005-0000-0000-0000519E0000}"/>
    <cellStyle name="Normal 58 4 3 2 2 3 2 2 2" xfId="48039" xr:uid="{00000000-0005-0000-0000-0000529E0000}"/>
    <cellStyle name="Normal 58 4 3 2 2 3 2 3" xfId="35606" xr:uid="{00000000-0005-0000-0000-0000539E0000}"/>
    <cellStyle name="Normal 58 4 3 2 2 3 3" xfId="18158" xr:uid="{00000000-0005-0000-0000-0000549E0000}"/>
    <cellStyle name="Normal 58 4 3 2 2 3 3 2" xfId="43032" xr:uid="{00000000-0005-0000-0000-0000559E0000}"/>
    <cellStyle name="Normal 58 4 3 2 2 3 4" xfId="30599" xr:uid="{00000000-0005-0000-0000-0000569E0000}"/>
    <cellStyle name="Normal 58 4 3 2 2 4" xfId="8781" xr:uid="{00000000-0005-0000-0000-0000579E0000}"/>
    <cellStyle name="Normal 58 4 3 2 2 4 2" xfId="21225" xr:uid="{00000000-0005-0000-0000-0000589E0000}"/>
    <cellStyle name="Normal 58 4 3 2 2 4 2 2" xfId="46099" xr:uid="{00000000-0005-0000-0000-0000599E0000}"/>
    <cellStyle name="Normal 58 4 3 2 2 4 3" xfId="33666" xr:uid="{00000000-0005-0000-0000-00005A9E0000}"/>
    <cellStyle name="Normal 58 4 3 2 2 5" xfId="12176" xr:uid="{00000000-0005-0000-0000-00005B9E0000}"/>
    <cellStyle name="Normal 58 4 3 2 2 5 2" xfId="24610" xr:uid="{00000000-0005-0000-0000-00005C9E0000}"/>
    <cellStyle name="Normal 58 4 3 2 2 5 2 2" xfId="49484" xr:uid="{00000000-0005-0000-0000-00005D9E0000}"/>
    <cellStyle name="Normal 58 4 3 2 2 5 3" xfId="37051" xr:uid="{00000000-0005-0000-0000-00005E9E0000}"/>
    <cellStyle name="Normal 58 4 3 2 2 6" xfId="7258" xr:uid="{00000000-0005-0000-0000-00005F9E0000}"/>
    <cellStyle name="Normal 58 4 3 2 2 6 2" xfId="19707" xr:uid="{00000000-0005-0000-0000-0000609E0000}"/>
    <cellStyle name="Normal 58 4 3 2 2 6 2 2" xfId="44581" xr:uid="{00000000-0005-0000-0000-0000619E0000}"/>
    <cellStyle name="Normal 58 4 3 2 2 6 3" xfId="32148" xr:uid="{00000000-0005-0000-0000-0000629E0000}"/>
    <cellStyle name="Normal 58 4 3 2 2 7" xfId="3712" xr:uid="{00000000-0005-0000-0000-0000639E0000}"/>
    <cellStyle name="Normal 58 4 3 2 2 7 2" xfId="16218" xr:uid="{00000000-0005-0000-0000-0000649E0000}"/>
    <cellStyle name="Normal 58 4 3 2 2 7 2 2" xfId="41092" xr:uid="{00000000-0005-0000-0000-0000659E0000}"/>
    <cellStyle name="Normal 58 4 3 2 2 7 3" xfId="28651" xr:uid="{00000000-0005-0000-0000-0000669E0000}"/>
    <cellStyle name="Normal 58 4 3 2 2 8" xfId="13595" xr:uid="{00000000-0005-0000-0000-0000679E0000}"/>
    <cellStyle name="Normal 58 4 3 2 2 8 2" xfId="38469" xr:uid="{00000000-0005-0000-0000-0000689E0000}"/>
    <cellStyle name="Normal 58 4 3 2 2 9" xfId="26028" xr:uid="{00000000-0005-0000-0000-0000699E0000}"/>
    <cellStyle name="Normal 58 4 3 2 3" xfId="1909" xr:uid="{00000000-0005-0000-0000-00006A9E0000}"/>
    <cellStyle name="Normal 58 4 3 2 3 2" xfId="4977" xr:uid="{00000000-0005-0000-0000-00006B9E0000}"/>
    <cellStyle name="Normal 58 4 3 2 3 2 2" xfId="9994" xr:uid="{00000000-0005-0000-0000-00006C9E0000}"/>
    <cellStyle name="Normal 58 4 3 2 3 2 2 2" xfId="22437" xr:uid="{00000000-0005-0000-0000-00006D9E0000}"/>
    <cellStyle name="Normal 58 4 3 2 3 2 2 2 2" xfId="47311" xr:uid="{00000000-0005-0000-0000-00006E9E0000}"/>
    <cellStyle name="Normal 58 4 3 2 3 2 2 3" xfId="34878" xr:uid="{00000000-0005-0000-0000-00006F9E0000}"/>
    <cellStyle name="Normal 58 4 3 2 3 2 3" xfId="17430" xr:uid="{00000000-0005-0000-0000-0000709E0000}"/>
    <cellStyle name="Normal 58 4 3 2 3 2 3 2" xfId="42304" xr:uid="{00000000-0005-0000-0000-0000719E0000}"/>
    <cellStyle name="Normal 58 4 3 2 3 2 4" xfId="29871" xr:uid="{00000000-0005-0000-0000-0000729E0000}"/>
    <cellStyle name="Normal 58 4 3 2 3 3" xfId="6055" xr:uid="{00000000-0005-0000-0000-0000739E0000}"/>
    <cellStyle name="Normal 58 4 3 2 3 3 2" xfId="11070" xr:uid="{00000000-0005-0000-0000-0000749E0000}"/>
    <cellStyle name="Normal 58 4 3 2 3 3 2 2" xfId="23513" xr:uid="{00000000-0005-0000-0000-0000759E0000}"/>
    <cellStyle name="Normal 58 4 3 2 3 3 2 2 2" xfId="48387" xr:uid="{00000000-0005-0000-0000-0000769E0000}"/>
    <cellStyle name="Normal 58 4 3 2 3 3 2 3" xfId="35954" xr:uid="{00000000-0005-0000-0000-0000779E0000}"/>
    <cellStyle name="Normal 58 4 3 2 3 3 3" xfId="18506" xr:uid="{00000000-0005-0000-0000-0000789E0000}"/>
    <cellStyle name="Normal 58 4 3 2 3 3 3 2" xfId="43380" xr:uid="{00000000-0005-0000-0000-0000799E0000}"/>
    <cellStyle name="Normal 58 4 3 2 3 3 4" xfId="30947" xr:uid="{00000000-0005-0000-0000-00007A9E0000}"/>
    <cellStyle name="Normal 58 4 3 2 3 4" xfId="8401" xr:uid="{00000000-0005-0000-0000-00007B9E0000}"/>
    <cellStyle name="Normal 58 4 3 2 3 4 2" xfId="20845" xr:uid="{00000000-0005-0000-0000-00007C9E0000}"/>
    <cellStyle name="Normal 58 4 3 2 3 4 2 2" xfId="45719" xr:uid="{00000000-0005-0000-0000-00007D9E0000}"/>
    <cellStyle name="Normal 58 4 3 2 3 4 3" xfId="33286" xr:uid="{00000000-0005-0000-0000-00007E9E0000}"/>
    <cellStyle name="Normal 58 4 3 2 3 5" xfId="12524" xr:uid="{00000000-0005-0000-0000-00007F9E0000}"/>
    <cellStyle name="Normal 58 4 3 2 3 5 2" xfId="24958" xr:uid="{00000000-0005-0000-0000-0000809E0000}"/>
    <cellStyle name="Normal 58 4 3 2 3 5 2 2" xfId="49832" xr:uid="{00000000-0005-0000-0000-0000819E0000}"/>
    <cellStyle name="Normal 58 4 3 2 3 5 3" xfId="37399" xr:uid="{00000000-0005-0000-0000-0000829E0000}"/>
    <cellStyle name="Normal 58 4 3 2 3 6" xfId="7588" xr:uid="{00000000-0005-0000-0000-0000839E0000}"/>
    <cellStyle name="Normal 58 4 3 2 3 6 2" xfId="20036" xr:uid="{00000000-0005-0000-0000-0000849E0000}"/>
    <cellStyle name="Normal 58 4 3 2 3 6 2 2" xfId="44910" xr:uid="{00000000-0005-0000-0000-0000859E0000}"/>
    <cellStyle name="Normal 58 4 3 2 3 6 3" xfId="32477" xr:uid="{00000000-0005-0000-0000-0000869E0000}"/>
    <cellStyle name="Normal 58 4 3 2 3 7" xfId="3332" xr:uid="{00000000-0005-0000-0000-0000879E0000}"/>
    <cellStyle name="Normal 58 4 3 2 3 7 2" xfId="15838" xr:uid="{00000000-0005-0000-0000-0000889E0000}"/>
    <cellStyle name="Normal 58 4 3 2 3 7 2 2" xfId="40712" xr:uid="{00000000-0005-0000-0000-0000899E0000}"/>
    <cellStyle name="Normal 58 4 3 2 3 7 3" xfId="28271" xr:uid="{00000000-0005-0000-0000-00008A9E0000}"/>
    <cellStyle name="Normal 58 4 3 2 3 8" xfId="14709" xr:uid="{00000000-0005-0000-0000-00008B9E0000}"/>
    <cellStyle name="Normal 58 4 3 2 3 8 2" xfId="39583" xr:uid="{00000000-0005-0000-0000-00008C9E0000}"/>
    <cellStyle name="Normal 58 4 3 2 3 9" xfId="27142" xr:uid="{00000000-0005-0000-0000-00008D9E0000}"/>
    <cellStyle name="Normal 58 4 3 2 4" xfId="2351" xr:uid="{00000000-0005-0000-0000-00008E9E0000}"/>
    <cellStyle name="Normal 58 4 3 2 4 2" xfId="6375" xr:uid="{00000000-0005-0000-0000-00008F9E0000}"/>
    <cellStyle name="Normal 58 4 3 2 4 2 2" xfId="11390" xr:uid="{00000000-0005-0000-0000-0000909E0000}"/>
    <cellStyle name="Normal 58 4 3 2 4 2 2 2" xfId="23833" xr:uid="{00000000-0005-0000-0000-0000919E0000}"/>
    <cellStyle name="Normal 58 4 3 2 4 2 2 2 2" xfId="48707" xr:uid="{00000000-0005-0000-0000-0000929E0000}"/>
    <cellStyle name="Normal 58 4 3 2 4 2 2 3" xfId="36274" xr:uid="{00000000-0005-0000-0000-0000939E0000}"/>
    <cellStyle name="Normal 58 4 3 2 4 2 3" xfId="18826" xr:uid="{00000000-0005-0000-0000-0000949E0000}"/>
    <cellStyle name="Normal 58 4 3 2 4 2 3 2" xfId="43700" xr:uid="{00000000-0005-0000-0000-0000959E0000}"/>
    <cellStyle name="Normal 58 4 3 2 4 2 4" xfId="31267" xr:uid="{00000000-0005-0000-0000-0000969E0000}"/>
    <cellStyle name="Normal 58 4 3 2 4 3" xfId="12844" xr:uid="{00000000-0005-0000-0000-0000979E0000}"/>
    <cellStyle name="Normal 58 4 3 2 4 3 2" xfId="25278" xr:uid="{00000000-0005-0000-0000-0000989E0000}"/>
    <cellStyle name="Normal 58 4 3 2 4 3 2 2" xfId="50152" xr:uid="{00000000-0005-0000-0000-0000999E0000}"/>
    <cellStyle name="Normal 58 4 3 2 4 3 3" xfId="37719" xr:uid="{00000000-0005-0000-0000-00009A9E0000}"/>
    <cellStyle name="Normal 58 4 3 2 4 4" xfId="9285" xr:uid="{00000000-0005-0000-0000-00009B9E0000}"/>
    <cellStyle name="Normal 58 4 3 2 4 4 2" xfId="21728" xr:uid="{00000000-0005-0000-0000-00009C9E0000}"/>
    <cellStyle name="Normal 58 4 3 2 4 4 2 2" xfId="46602" xr:uid="{00000000-0005-0000-0000-00009D9E0000}"/>
    <cellStyle name="Normal 58 4 3 2 4 4 3" xfId="34169" xr:uid="{00000000-0005-0000-0000-00009E9E0000}"/>
    <cellStyle name="Normal 58 4 3 2 4 5" xfId="4267" xr:uid="{00000000-0005-0000-0000-00009F9E0000}"/>
    <cellStyle name="Normal 58 4 3 2 4 5 2" xfId="16721" xr:uid="{00000000-0005-0000-0000-0000A09E0000}"/>
    <cellStyle name="Normal 58 4 3 2 4 5 2 2" xfId="41595" xr:uid="{00000000-0005-0000-0000-0000A19E0000}"/>
    <cellStyle name="Normal 58 4 3 2 4 5 3" xfId="29162" xr:uid="{00000000-0005-0000-0000-0000A29E0000}"/>
    <cellStyle name="Normal 58 4 3 2 4 6" xfId="15029" xr:uid="{00000000-0005-0000-0000-0000A39E0000}"/>
    <cellStyle name="Normal 58 4 3 2 4 6 2" xfId="39903" xr:uid="{00000000-0005-0000-0000-0000A49E0000}"/>
    <cellStyle name="Normal 58 4 3 2 4 7" xfId="27462" xr:uid="{00000000-0005-0000-0000-0000A59E0000}"/>
    <cellStyle name="Normal 58 4 3 2 5" xfId="1186" xr:uid="{00000000-0005-0000-0000-0000A69E0000}"/>
    <cellStyle name="Normal 58 4 3 2 5 2" xfId="10347" xr:uid="{00000000-0005-0000-0000-0000A79E0000}"/>
    <cellStyle name="Normal 58 4 3 2 5 2 2" xfId="22790" xr:uid="{00000000-0005-0000-0000-0000A89E0000}"/>
    <cellStyle name="Normal 58 4 3 2 5 2 2 2" xfId="47664" xr:uid="{00000000-0005-0000-0000-0000A99E0000}"/>
    <cellStyle name="Normal 58 4 3 2 5 2 3" xfId="35231" xr:uid="{00000000-0005-0000-0000-0000AA9E0000}"/>
    <cellStyle name="Normal 58 4 3 2 5 3" xfId="5331" xr:uid="{00000000-0005-0000-0000-0000AB9E0000}"/>
    <cellStyle name="Normal 58 4 3 2 5 3 2" xfId="17783" xr:uid="{00000000-0005-0000-0000-0000AC9E0000}"/>
    <cellStyle name="Normal 58 4 3 2 5 3 2 2" xfId="42657" xr:uid="{00000000-0005-0000-0000-0000AD9E0000}"/>
    <cellStyle name="Normal 58 4 3 2 5 3 3" xfId="30224" xr:uid="{00000000-0005-0000-0000-0000AE9E0000}"/>
    <cellStyle name="Normal 58 4 3 2 5 4" xfId="13986" xr:uid="{00000000-0005-0000-0000-0000AF9E0000}"/>
    <cellStyle name="Normal 58 4 3 2 5 4 2" xfId="38860" xr:uid="{00000000-0005-0000-0000-0000B09E0000}"/>
    <cellStyle name="Normal 58 4 3 2 5 5" xfId="26419" xr:uid="{00000000-0005-0000-0000-0000B19E0000}"/>
    <cellStyle name="Normal 58 4 3 2 6" xfId="7908" xr:uid="{00000000-0005-0000-0000-0000B29E0000}"/>
    <cellStyle name="Normal 58 4 3 2 6 2" xfId="20354" xr:uid="{00000000-0005-0000-0000-0000B39E0000}"/>
    <cellStyle name="Normal 58 4 3 2 6 2 2" xfId="45228" xr:uid="{00000000-0005-0000-0000-0000B49E0000}"/>
    <cellStyle name="Normal 58 4 3 2 6 3" xfId="32795" xr:uid="{00000000-0005-0000-0000-0000B59E0000}"/>
    <cellStyle name="Normal 58 4 3 2 7" xfId="11801" xr:uid="{00000000-0005-0000-0000-0000B69E0000}"/>
    <cellStyle name="Normal 58 4 3 2 7 2" xfId="24235" xr:uid="{00000000-0005-0000-0000-0000B79E0000}"/>
    <cellStyle name="Normal 58 4 3 2 7 2 2" xfId="49109" xr:uid="{00000000-0005-0000-0000-0000B89E0000}"/>
    <cellStyle name="Normal 58 4 3 2 7 3" xfId="36676" xr:uid="{00000000-0005-0000-0000-0000B99E0000}"/>
    <cellStyle name="Normal 58 4 3 2 8" xfId="6878" xr:uid="{00000000-0005-0000-0000-0000BA9E0000}"/>
    <cellStyle name="Normal 58 4 3 2 8 2" xfId="19327" xr:uid="{00000000-0005-0000-0000-0000BB9E0000}"/>
    <cellStyle name="Normal 58 4 3 2 8 2 2" xfId="44201" xr:uid="{00000000-0005-0000-0000-0000BC9E0000}"/>
    <cellStyle name="Normal 58 4 3 2 8 3" xfId="31768" xr:uid="{00000000-0005-0000-0000-0000BD9E0000}"/>
    <cellStyle name="Normal 58 4 3 2 9" xfId="2829" xr:uid="{00000000-0005-0000-0000-0000BE9E0000}"/>
    <cellStyle name="Normal 58 4 3 2 9 2" xfId="15347" xr:uid="{00000000-0005-0000-0000-0000BF9E0000}"/>
    <cellStyle name="Normal 58 4 3 2 9 2 2" xfId="40221" xr:uid="{00000000-0005-0000-0000-0000C09E0000}"/>
    <cellStyle name="Normal 58 4 3 2 9 3" xfId="27780" xr:uid="{00000000-0005-0000-0000-0000C19E0000}"/>
    <cellStyle name="Normal 58 4 3 2_Degree data" xfId="2526" xr:uid="{00000000-0005-0000-0000-0000C29E0000}"/>
    <cellStyle name="Normal 58 4 3 3" xfId="331" xr:uid="{00000000-0005-0000-0000-0000C39E0000}"/>
    <cellStyle name="Normal 58 4 3 3 2" xfId="1560" xr:uid="{00000000-0005-0000-0000-0000C49E0000}"/>
    <cellStyle name="Normal 58 4 3 3 2 2" xfId="9185" xr:uid="{00000000-0005-0000-0000-0000C59E0000}"/>
    <cellStyle name="Normal 58 4 3 3 2 2 2" xfId="21628" xr:uid="{00000000-0005-0000-0000-0000C69E0000}"/>
    <cellStyle name="Normal 58 4 3 3 2 2 2 2" xfId="46502" xr:uid="{00000000-0005-0000-0000-0000C79E0000}"/>
    <cellStyle name="Normal 58 4 3 3 2 2 3" xfId="34069" xr:uid="{00000000-0005-0000-0000-0000C89E0000}"/>
    <cellStyle name="Normal 58 4 3 3 2 3" xfId="4167" xr:uid="{00000000-0005-0000-0000-0000C99E0000}"/>
    <cellStyle name="Normal 58 4 3 3 2 3 2" xfId="16621" xr:uid="{00000000-0005-0000-0000-0000CA9E0000}"/>
    <cellStyle name="Normal 58 4 3 3 2 3 2 2" xfId="41495" xr:uid="{00000000-0005-0000-0000-0000CB9E0000}"/>
    <cellStyle name="Normal 58 4 3 3 2 3 3" xfId="29062" xr:uid="{00000000-0005-0000-0000-0000CC9E0000}"/>
    <cellStyle name="Normal 58 4 3 3 2 4" xfId="14360" xr:uid="{00000000-0005-0000-0000-0000CD9E0000}"/>
    <cellStyle name="Normal 58 4 3 3 2 4 2" xfId="39234" xr:uid="{00000000-0005-0000-0000-0000CE9E0000}"/>
    <cellStyle name="Normal 58 4 3 3 2 5" xfId="26793" xr:uid="{00000000-0005-0000-0000-0000CF9E0000}"/>
    <cellStyle name="Normal 58 4 3 3 3" xfId="5705" xr:uid="{00000000-0005-0000-0000-0000D09E0000}"/>
    <cellStyle name="Normal 58 4 3 3 3 2" xfId="10721" xr:uid="{00000000-0005-0000-0000-0000D19E0000}"/>
    <cellStyle name="Normal 58 4 3 3 3 2 2" xfId="23164" xr:uid="{00000000-0005-0000-0000-0000D29E0000}"/>
    <cellStyle name="Normal 58 4 3 3 3 2 2 2" xfId="48038" xr:uid="{00000000-0005-0000-0000-0000D39E0000}"/>
    <cellStyle name="Normal 58 4 3 3 3 2 3" xfId="35605" xr:uid="{00000000-0005-0000-0000-0000D49E0000}"/>
    <cellStyle name="Normal 58 4 3 3 3 3" xfId="18157" xr:uid="{00000000-0005-0000-0000-0000D59E0000}"/>
    <cellStyle name="Normal 58 4 3 3 3 3 2" xfId="43031" xr:uid="{00000000-0005-0000-0000-0000D69E0000}"/>
    <cellStyle name="Normal 58 4 3 3 3 4" xfId="30598" xr:uid="{00000000-0005-0000-0000-0000D79E0000}"/>
    <cellStyle name="Normal 58 4 3 3 4" xfId="8301" xr:uid="{00000000-0005-0000-0000-0000D89E0000}"/>
    <cellStyle name="Normal 58 4 3 3 4 2" xfId="20745" xr:uid="{00000000-0005-0000-0000-0000D99E0000}"/>
    <cellStyle name="Normal 58 4 3 3 4 2 2" xfId="45619" xr:uid="{00000000-0005-0000-0000-0000DA9E0000}"/>
    <cellStyle name="Normal 58 4 3 3 4 3" xfId="33186" xr:uid="{00000000-0005-0000-0000-0000DB9E0000}"/>
    <cellStyle name="Normal 58 4 3 3 5" xfId="12175" xr:uid="{00000000-0005-0000-0000-0000DC9E0000}"/>
    <cellStyle name="Normal 58 4 3 3 5 2" xfId="24609" xr:uid="{00000000-0005-0000-0000-0000DD9E0000}"/>
    <cellStyle name="Normal 58 4 3 3 5 2 2" xfId="49483" xr:uid="{00000000-0005-0000-0000-0000DE9E0000}"/>
    <cellStyle name="Normal 58 4 3 3 5 3" xfId="37050" xr:uid="{00000000-0005-0000-0000-0000DF9E0000}"/>
    <cellStyle name="Normal 58 4 3 3 6" xfId="6778" xr:uid="{00000000-0005-0000-0000-0000E09E0000}"/>
    <cellStyle name="Normal 58 4 3 3 6 2" xfId="19227" xr:uid="{00000000-0005-0000-0000-0000E19E0000}"/>
    <cellStyle name="Normal 58 4 3 3 6 2 2" xfId="44101" xr:uid="{00000000-0005-0000-0000-0000E29E0000}"/>
    <cellStyle name="Normal 58 4 3 3 6 3" xfId="31668" xr:uid="{00000000-0005-0000-0000-0000E39E0000}"/>
    <cellStyle name="Normal 58 4 3 3 7" xfId="3232" xr:uid="{00000000-0005-0000-0000-0000E49E0000}"/>
    <cellStyle name="Normal 58 4 3 3 7 2" xfId="15738" xr:uid="{00000000-0005-0000-0000-0000E59E0000}"/>
    <cellStyle name="Normal 58 4 3 3 7 2 2" xfId="40612" xr:uid="{00000000-0005-0000-0000-0000E69E0000}"/>
    <cellStyle name="Normal 58 4 3 3 7 3" xfId="28171" xr:uid="{00000000-0005-0000-0000-0000E79E0000}"/>
    <cellStyle name="Normal 58 4 3 3 8" xfId="13148" xr:uid="{00000000-0005-0000-0000-0000E89E0000}"/>
    <cellStyle name="Normal 58 4 3 3 8 2" xfId="38022" xr:uid="{00000000-0005-0000-0000-0000E99E0000}"/>
    <cellStyle name="Normal 58 4 3 3 9" xfId="25581" xr:uid="{00000000-0005-0000-0000-0000EA9E0000}"/>
    <cellStyle name="Normal 58 4 3 4" xfId="692" xr:uid="{00000000-0005-0000-0000-0000EB9E0000}"/>
    <cellStyle name="Normal 58 4 3 4 2" xfId="1908" xr:uid="{00000000-0005-0000-0000-0000EC9E0000}"/>
    <cellStyle name="Normal 58 4 3 4 2 2" xfId="9664" xr:uid="{00000000-0005-0000-0000-0000ED9E0000}"/>
    <cellStyle name="Normal 58 4 3 4 2 2 2" xfId="22107" xr:uid="{00000000-0005-0000-0000-0000EE9E0000}"/>
    <cellStyle name="Normal 58 4 3 4 2 2 2 2" xfId="46981" xr:uid="{00000000-0005-0000-0000-0000EF9E0000}"/>
    <cellStyle name="Normal 58 4 3 4 2 2 3" xfId="34548" xr:uid="{00000000-0005-0000-0000-0000F09E0000}"/>
    <cellStyle name="Normal 58 4 3 4 2 3" xfId="4646" xr:uid="{00000000-0005-0000-0000-0000F19E0000}"/>
    <cellStyle name="Normal 58 4 3 4 2 3 2" xfId="17100" xr:uid="{00000000-0005-0000-0000-0000F29E0000}"/>
    <cellStyle name="Normal 58 4 3 4 2 3 2 2" xfId="41974" xr:uid="{00000000-0005-0000-0000-0000F39E0000}"/>
    <cellStyle name="Normal 58 4 3 4 2 3 3" xfId="29541" xr:uid="{00000000-0005-0000-0000-0000F49E0000}"/>
    <cellStyle name="Normal 58 4 3 4 2 4" xfId="14708" xr:uid="{00000000-0005-0000-0000-0000F59E0000}"/>
    <cellStyle name="Normal 58 4 3 4 2 4 2" xfId="39582" xr:uid="{00000000-0005-0000-0000-0000F69E0000}"/>
    <cellStyle name="Normal 58 4 3 4 2 5" xfId="27141" xr:uid="{00000000-0005-0000-0000-0000F79E0000}"/>
    <cellStyle name="Normal 58 4 3 4 3" xfId="6054" xr:uid="{00000000-0005-0000-0000-0000F89E0000}"/>
    <cellStyle name="Normal 58 4 3 4 3 2" xfId="11069" xr:uid="{00000000-0005-0000-0000-0000F99E0000}"/>
    <cellStyle name="Normal 58 4 3 4 3 2 2" xfId="23512" xr:uid="{00000000-0005-0000-0000-0000FA9E0000}"/>
    <cellStyle name="Normal 58 4 3 4 3 2 2 2" xfId="48386" xr:uid="{00000000-0005-0000-0000-0000FB9E0000}"/>
    <cellStyle name="Normal 58 4 3 4 3 2 3" xfId="35953" xr:uid="{00000000-0005-0000-0000-0000FC9E0000}"/>
    <cellStyle name="Normal 58 4 3 4 3 3" xfId="18505" xr:uid="{00000000-0005-0000-0000-0000FD9E0000}"/>
    <cellStyle name="Normal 58 4 3 4 3 3 2" xfId="43379" xr:uid="{00000000-0005-0000-0000-0000FE9E0000}"/>
    <cellStyle name="Normal 58 4 3 4 3 4" xfId="30946" xr:uid="{00000000-0005-0000-0000-0000FF9E0000}"/>
    <cellStyle name="Normal 58 4 3 4 4" xfId="8780" xr:uid="{00000000-0005-0000-0000-0000009F0000}"/>
    <cellStyle name="Normal 58 4 3 4 4 2" xfId="21224" xr:uid="{00000000-0005-0000-0000-0000019F0000}"/>
    <cellStyle name="Normal 58 4 3 4 4 2 2" xfId="46098" xr:uid="{00000000-0005-0000-0000-0000029F0000}"/>
    <cellStyle name="Normal 58 4 3 4 4 3" xfId="33665" xr:uid="{00000000-0005-0000-0000-0000039F0000}"/>
    <cellStyle name="Normal 58 4 3 4 5" xfId="12523" xr:uid="{00000000-0005-0000-0000-0000049F0000}"/>
    <cellStyle name="Normal 58 4 3 4 5 2" xfId="24957" xr:uid="{00000000-0005-0000-0000-0000059F0000}"/>
    <cellStyle name="Normal 58 4 3 4 5 2 2" xfId="49831" xr:uid="{00000000-0005-0000-0000-0000069F0000}"/>
    <cellStyle name="Normal 58 4 3 4 5 3" xfId="37398" xr:uid="{00000000-0005-0000-0000-0000079F0000}"/>
    <cellStyle name="Normal 58 4 3 4 6" xfId="7257" xr:uid="{00000000-0005-0000-0000-0000089F0000}"/>
    <cellStyle name="Normal 58 4 3 4 6 2" xfId="19706" xr:uid="{00000000-0005-0000-0000-0000099F0000}"/>
    <cellStyle name="Normal 58 4 3 4 6 2 2" xfId="44580" xr:uid="{00000000-0005-0000-0000-00000A9F0000}"/>
    <cellStyle name="Normal 58 4 3 4 6 3" xfId="32147" xr:uid="{00000000-0005-0000-0000-00000B9F0000}"/>
    <cellStyle name="Normal 58 4 3 4 7" xfId="3711" xr:uid="{00000000-0005-0000-0000-00000C9F0000}"/>
    <cellStyle name="Normal 58 4 3 4 7 2" xfId="16217" xr:uid="{00000000-0005-0000-0000-00000D9F0000}"/>
    <cellStyle name="Normal 58 4 3 4 7 2 2" xfId="41091" xr:uid="{00000000-0005-0000-0000-00000E9F0000}"/>
    <cellStyle name="Normal 58 4 3 4 7 3" xfId="28650" xr:uid="{00000000-0005-0000-0000-00000F9F0000}"/>
    <cellStyle name="Normal 58 4 3 4 8" xfId="13495" xr:uid="{00000000-0005-0000-0000-0000109F0000}"/>
    <cellStyle name="Normal 58 4 3 4 8 2" xfId="38369" xr:uid="{00000000-0005-0000-0000-0000119F0000}"/>
    <cellStyle name="Normal 58 4 3 4 9" xfId="25928" xr:uid="{00000000-0005-0000-0000-0000129F0000}"/>
    <cellStyle name="Normal 58 4 3 5" xfId="2249" xr:uid="{00000000-0005-0000-0000-0000139F0000}"/>
    <cellStyle name="Normal 58 4 3 5 2" xfId="4877" xr:uid="{00000000-0005-0000-0000-0000149F0000}"/>
    <cellStyle name="Normal 58 4 3 5 2 2" xfId="9894" xr:uid="{00000000-0005-0000-0000-0000159F0000}"/>
    <cellStyle name="Normal 58 4 3 5 2 2 2" xfId="22337" xr:uid="{00000000-0005-0000-0000-0000169F0000}"/>
    <cellStyle name="Normal 58 4 3 5 2 2 2 2" xfId="47211" xr:uid="{00000000-0005-0000-0000-0000179F0000}"/>
    <cellStyle name="Normal 58 4 3 5 2 2 3" xfId="34778" xr:uid="{00000000-0005-0000-0000-0000189F0000}"/>
    <cellStyle name="Normal 58 4 3 5 2 3" xfId="17330" xr:uid="{00000000-0005-0000-0000-0000199F0000}"/>
    <cellStyle name="Normal 58 4 3 5 2 3 2" xfId="42204" xr:uid="{00000000-0005-0000-0000-00001A9F0000}"/>
    <cellStyle name="Normal 58 4 3 5 2 4" xfId="29771" xr:uid="{00000000-0005-0000-0000-00001B9F0000}"/>
    <cellStyle name="Normal 58 4 3 5 3" xfId="6275" xr:uid="{00000000-0005-0000-0000-00001C9F0000}"/>
    <cellStyle name="Normal 58 4 3 5 3 2" xfId="11290" xr:uid="{00000000-0005-0000-0000-00001D9F0000}"/>
    <cellStyle name="Normal 58 4 3 5 3 2 2" xfId="23733" xr:uid="{00000000-0005-0000-0000-00001E9F0000}"/>
    <cellStyle name="Normal 58 4 3 5 3 2 2 2" xfId="48607" xr:uid="{00000000-0005-0000-0000-00001F9F0000}"/>
    <cellStyle name="Normal 58 4 3 5 3 2 3" xfId="36174" xr:uid="{00000000-0005-0000-0000-0000209F0000}"/>
    <cellStyle name="Normal 58 4 3 5 3 3" xfId="18726" xr:uid="{00000000-0005-0000-0000-0000219F0000}"/>
    <cellStyle name="Normal 58 4 3 5 3 3 2" xfId="43600" xr:uid="{00000000-0005-0000-0000-0000229F0000}"/>
    <cellStyle name="Normal 58 4 3 5 3 4" xfId="31167" xr:uid="{00000000-0005-0000-0000-0000239F0000}"/>
    <cellStyle name="Normal 58 4 3 5 4" xfId="8082" xr:uid="{00000000-0005-0000-0000-0000249F0000}"/>
    <cellStyle name="Normal 58 4 3 5 4 2" xfId="20528" xr:uid="{00000000-0005-0000-0000-0000259F0000}"/>
    <cellStyle name="Normal 58 4 3 5 4 2 2" xfId="45402" xr:uid="{00000000-0005-0000-0000-0000269F0000}"/>
    <cellStyle name="Normal 58 4 3 5 4 3" xfId="32969" xr:uid="{00000000-0005-0000-0000-0000279F0000}"/>
    <cellStyle name="Normal 58 4 3 5 5" xfId="12744" xr:uid="{00000000-0005-0000-0000-0000289F0000}"/>
    <cellStyle name="Normal 58 4 3 5 5 2" xfId="25178" xr:uid="{00000000-0005-0000-0000-0000299F0000}"/>
    <cellStyle name="Normal 58 4 3 5 5 2 2" xfId="50052" xr:uid="{00000000-0005-0000-0000-00002A9F0000}"/>
    <cellStyle name="Normal 58 4 3 5 5 3" xfId="37619" xr:uid="{00000000-0005-0000-0000-00002B9F0000}"/>
    <cellStyle name="Normal 58 4 3 5 6" xfId="7488" xr:uid="{00000000-0005-0000-0000-00002C9F0000}"/>
    <cellStyle name="Normal 58 4 3 5 6 2" xfId="19936" xr:uid="{00000000-0005-0000-0000-00002D9F0000}"/>
    <cellStyle name="Normal 58 4 3 5 6 2 2" xfId="44810" xr:uid="{00000000-0005-0000-0000-00002E9F0000}"/>
    <cellStyle name="Normal 58 4 3 5 6 3" xfId="32377" xr:uid="{00000000-0005-0000-0000-00002F9F0000}"/>
    <cellStyle name="Normal 58 4 3 5 7" xfId="3011" xr:uid="{00000000-0005-0000-0000-0000309F0000}"/>
    <cellStyle name="Normal 58 4 3 5 7 2" xfId="15521" xr:uid="{00000000-0005-0000-0000-0000319F0000}"/>
    <cellStyle name="Normal 58 4 3 5 7 2 2" xfId="40395" xr:uid="{00000000-0005-0000-0000-0000329F0000}"/>
    <cellStyle name="Normal 58 4 3 5 7 3" xfId="27954" xr:uid="{00000000-0005-0000-0000-0000339F0000}"/>
    <cellStyle name="Normal 58 4 3 5 8" xfId="14929" xr:uid="{00000000-0005-0000-0000-0000349F0000}"/>
    <cellStyle name="Normal 58 4 3 5 8 2" xfId="39803" xr:uid="{00000000-0005-0000-0000-0000359F0000}"/>
    <cellStyle name="Normal 58 4 3 5 9" xfId="27362" xr:uid="{00000000-0005-0000-0000-0000369F0000}"/>
    <cellStyle name="Normal 58 4 3 6" xfId="1086" xr:uid="{00000000-0005-0000-0000-0000379F0000}"/>
    <cellStyle name="Normal 58 4 3 6 2" xfId="8968" xr:uid="{00000000-0005-0000-0000-0000389F0000}"/>
    <cellStyle name="Normal 58 4 3 6 2 2" xfId="21411" xr:uid="{00000000-0005-0000-0000-0000399F0000}"/>
    <cellStyle name="Normal 58 4 3 6 2 2 2" xfId="46285" xr:uid="{00000000-0005-0000-0000-00003A9F0000}"/>
    <cellStyle name="Normal 58 4 3 6 2 3" xfId="33852" xr:uid="{00000000-0005-0000-0000-00003B9F0000}"/>
    <cellStyle name="Normal 58 4 3 6 3" xfId="3950" xr:uid="{00000000-0005-0000-0000-00003C9F0000}"/>
    <cellStyle name="Normal 58 4 3 6 3 2" xfId="16404" xr:uid="{00000000-0005-0000-0000-00003D9F0000}"/>
    <cellStyle name="Normal 58 4 3 6 3 2 2" xfId="41278" xr:uid="{00000000-0005-0000-0000-00003E9F0000}"/>
    <cellStyle name="Normal 58 4 3 6 3 3" xfId="28845" xr:uid="{00000000-0005-0000-0000-00003F9F0000}"/>
    <cellStyle name="Normal 58 4 3 6 4" xfId="13886" xr:uid="{00000000-0005-0000-0000-0000409F0000}"/>
    <cellStyle name="Normal 58 4 3 6 4 2" xfId="38760" xr:uid="{00000000-0005-0000-0000-0000419F0000}"/>
    <cellStyle name="Normal 58 4 3 6 5" xfId="26319" xr:uid="{00000000-0005-0000-0000-0000429F0000}"/>
    <cellStyle name="Normal 58 4 3 7" xfId="5231" xr:uid="{00000000-0005-0000-0000-0000439F0000}"/>
    <cellStyle name="Normal 58 4 3 7 2" xfId="10247" xr:uid="{00000000-0005-0000-0000-0000449F0000}"/>
    <cellStyle name="Normal 58 4 3 7 2 2" xfId="22690" xr:uid="{00000000-0005-0000-0000-0000459F0000}"/>
    <cellStyle name="Normal 58 4 3 7 2 2 2" xfId="47564" xr:uid="{00000000-0005-0000-0000-0000469F0000}"/>
    <cellStyle name="Normal 58 4 3 7 2 3" xfId="35131" xr:uid="{00000000-0005-0000-0000-0000479F0000}"/>
    <cellStyle name="Normal 58 4 3 7 3" xfId="17683" xr:uid="{00000000-0005-0000-0000-0000489F0000}"/>
    <cellStyle name="Normal 58 4 3 7 3 2" xfId="42557" xr:uid="{00000000-0005-0000-0000-0000499F0000}"/>
    <cellStyle name="Normal 58 4 3 7 4" xfId="30124" xr:uid="{00000000-0005-0000-0000-00004A9F0000}"/>
    <cellStyle name="Normal 58 4 3 8" xfId="7808" xr:uid="{00000000-0005-0000-0000-00004B9F0000}"/>
    <cellStyle name="Normal 58 4 3 8 2" xfId="20254" xr:uid="{00000000-0005-0000-0000-00004C9F0000}"/>
    <cellStyle name="Normal 58 4 3 8 2 2" xfId="45128" xr:uid="{00000000-0005-0000-0000-00004D9F0000}"/>
    <cellStyle name="Normal 58 4 3 8 3" xfId="32695" xr:uid="{00000000-0005-0000-0000-00004E9F0000}"/>
    <cellStyle name="Normal 58 4 3 9" xfId="11701" xr:uid="{00000000-0005-0000-0000-00004F9F0000}"/>
    <cellStyle name="Normal 58 4 3 9 2" xfId="24135" xr:uid="{00000000-0005-0000-0000-0000509F0000}"/>
    <cellStyle name="Normal 58 4 3 9 2 2" xfId="49009" xr:uid="{00000000-0005-0000-0000-0000519F0000}"/>
    <cellStyle name="Normal 58 4 3 9 3" xfId="36576" xr:uid="{00000000-0005-0000-0000-0000529F0000}"/>
    <cellStyle name="Normal 58 4 3_Degree data" xfId="2525" xr:uid="{00000000-0005-0000-0000-0000539F0000}"/>
    <cellStyle name="Normal 58 4 4" xfId="269" xr:uid="{00000000-0005-0000-0000-0000549F0000}"/>
    <cellStyle name="Normal 58 4 4 10" xfId="6609" xr:uid="{00000000-0005-0000-0000-0000559F0000}"/>
    <cellStyle name="Normal 58 4 4 10 2" xfId="19058" xr:uid="{00000000-0005-0000-0000-0000569F0000}"/>
    <cellStyle name="Normal 58 4 4 10 2 2" xfId="43932" xr:uid="{00000000-0005-0000-0000-0000579F0000}"/>
    <cellStyle name="Normal 58 4 4 10 3" xfId="31499" xr:uid="{00000000-0005-0000-0000-0000589F0000}"/>
    <cellStyle name="Normal 58 4 4 11" xfId="2672" xr:uid="{00000000-0005-0000-0000-0000599F0000}"/>
    <cellStyle name="Normal 58 4 4 11 2" xfId="15190" xr:uid="{00000000-0005-0000-0000-00005A9F0000}"/>
    <cellStyle name="Normal 58 4 4 11 2 2" xfId="40064" xr:uid="{00000000-0005-0000-0000-00005B9F0000}"/>
    <cellStyle name="Normal 58 4 4 11 3" xfId="27623" xr:uid="{00000000-0005-0000-0000-00005C9F0000}"/>
    <cellStyle name="Normal 58 4 4 12" xfId="13091" xr:uid="{00000000-0005-0000-0000-00005D9F0000}"/>
    <cellStyle name="Normal 58 4 4 12 2" xfId="37965" xr:uid="{00000000-0005-0000-0000-00005E9F0000}"/>
    <cellStyle name="Normal 58 4 4 13" xfId="25524" xr:uid="{00000000-0005-0000-0000-00005F9F0000}"/>
    <cellStyle name="Normal 58 4 4 2" xfId="483" xr:uid="{00000000-0005-0000-0000-0000609F0000}"/>
    <cellStyle name="Normal 58 4 4 2 10" xfId="13296" xr:uid="{00000000-0005-0000-0000-0000619F0000}"/>
    <cellStyle name="Normal 58 4 4 2 10 2" xfId="38170" xr:uid="{00000000-0005-0000-0000-0000629F0000}"/>
    <cellStyle name="Normal 58 4 4 2 11" xfId="25729" xr:uid="{00000000-0005-0000-0000-0000639F0000}"/>
    <cellStyle name="Normal 58 4 4 2 2" xfId="842" xr:uid="{00000000-0005-0000-0000-0000649F0000}"/>
    <cellStyle name="Normal 58 4 4 2 2 2" xfId="1563" xr:uid="{00000000-0005-0000-0000-0000659F0000}"/>
    <cellStyle name="Normal 58 4 4 2 2 2 2" xfId="9667" xr:uid="{00000000-0005-0000-0000-0000669F0000}"/>
    <cellStyle name="Normal 58 4 4 2 2 2 2 2" xfId="22110" xr:uid="{00000000-0005-0000-0000-0000679F0000}"/>
    <cellStyle name="Normal 58 4 4 2 2 2 2 2 2" xfId="46984" xr:uid="{00000000-0005-0000-0000-0000689F0000}"/>
    <cellStyle name="Normal 58 4 4 2 2 2 2 3" xfId="34551" xr:uid="{00000000-0005-0000-0000-0000699F0000}"/>
    <cellStyle name="Normal 58 4 4 2 2 2 3" xfId="4649" xr:uid="{00000000-0005-0000-0000-00006A9F0000}"/>
    <cellStyle name="Normal 58 4 4 2 2 2 3 2" xfId="17103" xr:uid="{00000000-0005-0000-0000-00006B9F0000}"/>
    <cellStyle name="Normal 58 4 4 2 2 2 3 2 2" xfId="41977" xr:uid="{00000000-0005-0000-0000-00006C9F0000}"/>
    <cellStyle name="Normal 58 4 4 2 2 2 3 3" xfId="29544" xr:uid="{00000000-0005-0000-0000-00006D9F0000}"/>
    <cellStyle name="Normal 58 4 4 2 2 2 4" xfId="14363" xr:uid="{00000000-0005-0000-0000-00006E9F0000}"/>
    <cellStyle name="Normal 58 4 4 2 2 2 4 2" xfId="39237" xr:uid="{00000000-0005-0000-0000-00006F9F0000}"/>
    <cellStyle name="Normal 58 4 4 2 2 2 5" xfId="26796" xr:uid="{00000000-0005-0000-0000-0000709F0000}"/>
    <cellStyle name="Normal 58 4 4 2 2 3" xfId="5708" xr:uid="{00000000-0005-0000-0000-0000719F0000}"/>
    <cellStyle name="Normal 58 4 4 2 2 3 2" xfId="10724" xr:uid="{00000000-0005-0000-0000-0000729F0000}"/>
    <cellStyle name="Normal 58 4 4 2 2 3 2 2" xfId="23167" xr:uid="{00000000-0005-0000-0000-0000739F0000}"/>
    <cellStyle name="Normal 58 4 4 2 2 3 2 2 2" xfId="48041" xr:uid="{00000000-0005-0000-0000-0000749F0000}"/>
    <cellStyle name="Normal 58 4 4 2 2 3 2 3" xfId="35608" xr:uid="{00000000-0005-0000-0000-0000759F0000}"/>
    <cellStyle name="Normal 58 4 4 2 2 3 3" xfId="18160" xr:uid="{00000000-0005-0000-0000-0000769F0000}"/>
    <cellStyle name="Normal 58 4 4 2 2 3 3 2" xfId="43034" xr:uid="{00000000-0005-0000-0000-0000779F0000}"/>
    <cellStyle name="Normal 58 4 4 2 2 3 4" xfId="30601" xr:uid="{00000000-0005-0000-0000-0000789F0000}"/>
    <cellStyle name="Normal 58 4 4 2 2 4" xfId="8783" xr:uid="{00000000-0005-0000-0000-0000799F0000}"/>
    <cellStyle name="Normal 58 4 4 2 2 4 2" xfId="21227" xr:uid="{00000000-0005-0000-0000-00007A9F0000}"/>
    <cellStyle name="Normal 58 4 4 2 2 4 2 2" xfId="46101" xr:uid="{00000000-0005-0000-0000-00007B9F0000}"/>
    <cellStyle name="Normal 58 4 4 2 2 4 3" xfId="33668" xr:uid="{00000000-0005-0000-0000-00007C9F0000}"/>
    <cellStyle name="Normal 58 4 4 2 2 5" xfId="12178" xr:uid="{00000000-0005-0000-0000-00007D9F0000}"/>
    <cellStyle name="Normal 58 4 4 2 2 5 2" xfId="24612" xr:uid="{00000000-0005-0000-0000-00007E9F0000}"/>
    <cellStyle name="Normal 58 4 4 2 2 5 2 2" xfId="49486" xr:uid="{00000000-0005-0000-0000-00007F9F0000}"/>
    <cellStyle name="Normal 58 4 4 2 2 5 3" xfId="37053" xr:uid="{00000000-0005-0000-0000-0000809F0000}"/>
    <cellStyle name="Normal 58 4 4 2 2 6" xfId="7260" xr:uid="{00000000-0005-0000-0000-0000819F0000}"/>
    <cellStyle name="Normal 58 4 4 2 2 6 2" xfId="19709" xr:uid="{00000000-0005-0000-0000-0000829F0000}"/>
    <cellStyle name="Normal 58 4 4 2 2 6 2 2" xfId="44583" xr:uid="{00000000-0005-0000-0000-0000839F0000}"/>
    <cellStyle name="Normal 58 4 4 2 2 6 3" xfId="32150" xr:uid="{00000000-0005-0000-0000-0000849F0000}"/>
    <cellStyle name="Normal 58 4 4 2 2 7" xfId="3714" xr:uid="{00000000-0005-0000-0000-0000859F0000}"/>
    <cellStyle name="Normal 58 4 4 2 2 7 2" xfId="16220" xr:uid="{00000000-0005-0000-0000-0000869F0000}"/>
    <cellStyle name="Normal 58 4 4 2 2 7 2 2" xfId="41094" xr:uid="{00000000-0005-0000-0000-0000879F0000}"/>
    <cellStyle name="Normal 58 4 4 2 2 7 3" xfId="28653" xr:uid="{00000000-0005-0000-0000-0000889F0000}"/>
    <cellStyle name="Normal 58 4 4 2 2 8" xfId="13643" xr:uid="{00000000-0005-0000-0000-0000899F0000}"/>
    <cellStyle name="Normal 58 4 4 2 2 8 2" xfId="38517" xr:uid="{00000000-0005-0000-0000-00008A9F0000}"/>
    <cellStyle name="Normal 58 4 4 2 2 9" xfId="26076" xr:uid="{00000000-0005-0000-0000-00008B9F0000}"/>
    <cellStyle name="Normal 58 4 4 2 3" xfId="1911" xr:uid="{00000000-0005-0000-0000-00008C9F0000}"/>
    <cellStyle name="Normal 58 4 4 2 3 2" xfId="5025" xr:uid="{00000000-0005-0000-0000-00008D9F0000}"/>
    <cellStyle name="Normal 58 4 4 2 3 2 2" xfId="10042" xr:uid="{00000000-0005-0000-0000-00008E9F0000}"/>
    <cellStyle name="Normal 58 4 4 2 3 2 2 2" xfId="22485" xr:uid="{00000000-0005-0000-0000-00008F9F0000}"/>
    <cellStyle name="Normal 58 4 4 2 3 2 2 2 2" xfId="47359" xr:uid="{00000000-0005-0000-0000-0000909F0000}"/>
    <cellStyle name="Normal 58 4 4 2 3 2 2 3" xfId="34926" xr:uid="{00000000-0005-0000-0000-0000919F0000}"/>
    <cellStyle name="Normal 58 4 4 2 3 2 3" xfId="17478" xr:uid="{00000000-0005-0000-0000-0000929F0000}"/>
    <cellStyle name="Normal 58 4 4 2 3 2 3 2" xfId="42352" xr:uid="{00000000-0005-0000-0000-0000939F0000}"/>
    <cellStyle name="Normal 58 4 4 2 3 2 4" xfId="29919" xr:uid="{00000000-0005-0000-0000-0000949F0000}"/>
    <cellStyle name="Normal 58 4 4 2 3 3" xfId="6057" xr:uid="{00000000-0005-0000-0000-0000959F0000}"/>
    <cellStyle name="Normal 58 4 4 2 3 3 2" xfId="11072" xr:uid="{00000000-0005-0000-0000-0000969F0000}"/>
    <cellStyle name="Normal 58 4 4 2 3 3 2 2" xfId="23515" xr:uid="{00000000-0005-0000-0000-0000979F0000}"/>
    <cellStyle name="Normal 58 4 4 2 3 3 2 2 2" xfId="48389" xr:uid="{00000000-0005-0000-0000-0000989F0000}"/>
    <cellStyle name="Normal 58 4 4 2 3 3 2 3" xfId="35956" xr:uid="{00000000-0005-0000-0000-0000999F0000}"/>
    <cellStyle name="Normal 58 4 4 2 3 3 3" xfId="18508" xr:uid="{00000000-0005-0000-0000-00009A9F0000}"/>
    <cellStyle name="Normal 58 4 4 2 3 3 3 2" xfId="43382" xr:uid="{00000000-0005-0000-0000-00009B9F0000}"/>
    <cellStyle name="Normal 58 4 4 2 3 3 4" xfId="30949" xr:uid="{00000000-0005-0000-0000-00009C9F0000}"/>
    <cellStyle name="Normal 58 4 4 2 3 4" xfId="8449" xr:uid="{00000000-0005-0000-0000-00009D9F0000}"/>
    <cellStyle name="Normal 58 4 4 2 3 4 2" xfId="20893" xr:uid="{00000000-0005-0000-0000-00009E9F0000}"/>
    <cellStyle name="Normal 58 4 4 2 3 4 2 2" xfId="45767" xr:uid="{00000000-0005-0000-0000-00009F9F0000}"/>
    <cellStyle name="Normal 58 4 4 2 3 4 3" xfId="33334" xr:uid="{00000000-0005-0000-0000-0000A09F0000}"/>
    <cellStyle name="Normal 58 4 4 2 3 5" xfId="12526" xr:uid="{00000000-0005-0000-0000-0000A19F0000}"/>
    <cellStyle name="Normal 58 4 4 2 3 5 2" xfId="24960" xr:uid="{00000000-0005-0000-0000-0000A29F0000}"/>
    <cellStyle name="Normal 58 4 4 2 3 5 2 2" xfId="49834" xr:uid="{00000000-0005-0000-0000-0000A39F0000}"/>
    <cellStyle name="Normal 58 4 4 2 3 5 3" xfId="37401" xr:uid="{00000000-0005-0000-0000-0000A49F0000}"/>
    <cellStyle name="Normal 58 4 4 2 3 6" xfId="7636" xr:uid="{00000000-0005-0000-0000-0000A59F0000}"/>
    <cellStyle name="Normal 58 4 4 2 3 6 2" xfId="20084" xr:uid="{00000000-0005-0000-0000-0000A69F0000}"/>
    <cellStyle name="Normal 58 4 4 2 3 6 2 2" xfId="44958" xr:uid="{00000000-0005-0000-0000-0000A79F0000}"/>
    <cellStyle name="Normal 58 4 4 2 3 6 3" xfId="32525" xr:uid="{00000000-0005-0000-0000-0000A89F0000}"/>
    <cellStyle name="Normal 58 4 4 2 3 7" xfId="3380" xr:uid="{00000000-0005-0000-0000-0000A99F0000}"/>
    <cellStyle name="Normal 58 4 4 2 3 7 2" xfId="15886" xr:uid="{00000000-0005-0000-0000-0000AA9F0000}"/>
    <cellStyle name="Normal 58 4 4 2 3 7 2 2" xfId="40760" xr:uid="{00000000-0005-0000-0000-0000AB9F0000}"/>
    <cellStyle name="Normal 58 4 4 2 3 7 3" xfId="28319" xr:uid="{00000000-0005-0000-0000-0000AC9F0000}"/>
    <cellStyle name="Normal 58 4 4 2 3 8" xfId="14711" xr:uid="{00000000-0005-0000-0000-0000AD9F0000}"/>
    <cellStyle name="Normal 58 4 4 2 3 8 2" xfId="39585" xr:uid="{00000000-0005-0000-0000-0000AE9F0000}"/>
    <cellStyle name="Normal 58 4 4 2 3 9" xfId="27144" xr:uid="{00000000-0005-0000-0000-0000AF9F0000}"/>
    <cellStyle name="Normal 58 4 4 2 4" xfId="2401" xr:uid="{00000000-0005-0000-0000-0000B09F0000}"/>
    <cellStyle name="Normal 58 4 4 2 4 2" xfId="6423" xr:uid="{00000000-0005-0000-0000-0000B19F0000}"/>
    <cellStyle name="Normal 58 4 4 2 4 2 2" xfId="11438" xr:uid="{00000000-0005-0000-0000-0000B29F0000}"/>
    <cellStyle name="Normal 58 4 4 2 4 2 2 2" xfId="23881" xr:uid="{00000000-0005-0000-0000-0000B39F0000}"/>
    <cellStyle name="Normal 58 4 4 2 4 2 2 2 2" xfId="48755" xr:uid="{00000000-0005-0000-0000-0000B49F0000}"/>
    <cellStyle name="Normal 58 4 4 2 4 2 2 3" xfId="36322" xr:uid="{00000000-0005-0000-0000-0000B59F0000}"/>
    <cellStyle name="Normal 58 4 4 2 4 2 3" xfId="18874" xr:uid="{00000000-0005-0000-0000-0000B69F0000}"/>
    <cellStyle name="Normal 58 4 4 2 4 2 3 2" xfId="43748" xr:uid="{00000000-0005-0000-0000-0000B79F0000}"/>
    <cellStyle name="Normal 58 4 4 2 4 2 4" xfId="31315" xr:uid="{00000000-0005-0000-0000-0000B89F0000}"/>
    <cellStyle name="Normal 58 4 4 2 4 3" xfId="12892" xr:uid="{00000000-0005-0000-0000-0000B99F0000}"/>
    <cellStyle name="Normal 58 4 4 2 4 3 2" xfId="25326" xr:uid="{00000000-0005-0000-0000-0000BA9F0000}"/>
    <cellStyle name="Normal 58 4 4 2 4 3 2 2" xfId="50200" xr:uid="{00000000-0005-0000-0000-0000BB9F0000}"/>
    <cellStyle name="Normal 58 4 4 2 4 3 3" xfId="37767" xr:uid="{00000000-0005-0000-0000-0000BC9F0000}"/>
    <cellStyle name="Normal 58 4 4 2 4 4" xfId="9333" xr:uid="{00000000-0005-0000-0000-0000BD9F0000}"/>
    <cellStyle name="Normal 58 4 4 2 4 4 2" xfId="21776" xr:uid="{00000000-0005-0000-0000-0000BE9F0000}"/>
    <cellStyle name="Normal 58 4 4 2 4 4 2 2" xfId="46650" xr:uid="{00000000-0005-0000-0000-0000BF9F0000}"/>
    <cellStyle name="Normal 58 4 4 2 4 4 3" xfId="34217" xr:uid="{00000000-0005-0000-0000-0000C09F0000}"/>
    <cellStyle name="Normal 58 4 4 2 4 5" xfId="4315" xr:uid="{00000000-0005-0000-0000-0000C19F0000}"/>
    <cellStyle name="Normal 58 4 4 2 4 5 2" xfId="16769" xr:uid="{00000000-0005-0000-0000-0000C29F0000}"/>
    <cellStyle name="Normal 58 4 4 2 4 5 2 2" xfId="41643" xr:uid="{00000000-0005-0000-0000-0000C39F0000}"/>
    <cellStyle name="Normal 58 4 4 2 4 5 3" xfId="29210" xr:uid="{00000000-0005-0000-0000-0000C49F0000}"/>
    <cellStyle name="Normal 58 4 4 2 4 6" xfId="15077" xr:uid="{00000000-0005-0000-0000-0000C59F0000}"/>
    <cellStyle name="Normal 58 4 4 2 4 6 2" xfId="39951" xr:uid="{00000000-0005-0000-0000-0000C69F0000}"/>
    <cellStyle name="Normal 58 4 4 2 4 7" xfId="27510" xr:uid="{00000000-0005-0000-0000-0000C79F0000}"/>
    <cellStyle name="Normal 58 4 4 2 5" xfId="1234" xr:uid="{00000000-0005-0000-0000-0000C89F0000}"/>
    <cellStyle name="Normal 58 4 4 2 5 2" xfId="10395" xr:uid="{00000000-0005-0000-0000-0000C99F0000}"/>
    <cellStyle name="Normal 58 4 4 2 5 2 2" xfId="22838" xr:uid="{00000000-0005-0000-0000-0000CA9F0000}"/>
    <cellStyle name="Normal 58 4 4 2 5 2 2 2" xfId="47712" xr:uid="{00000000-0005-0000-0000-0000CB9F0000}"/>
    <cellStyle name="Normal 58 4 4 2 5 2 3" xfId="35279" xr:uid="{00000000-0005-0000-0000-0000CC9F0000}"/>
    <cellStyle name="Normal 58 4 4 2 5 3" xfId="5379" xr:uid="{00000000-0005-0000-0000-0000CD9F0000}"/>
    <cellStyle name="Normal 58 4 4 2 5 3 2" xfId="17831" xr:uid="{00000000-0005-0000-0000-0000CE9F0000}"/>
    <cellStyle name="Normal 58 4 4 2 5 3 2 2" xfId="42705" xr:uid="{00000000-0005-0000-0000-0000CF9F0000}"/>
    <cellStyle name="Normal 58 4 4 2 5 3 3" xfId="30272" xr:uid="{00000000-0005-0000-0000-0000D09F0000}"/>
    <cellStyle name="Normal 58 4 4 2 5 4" xfId="14034" xr:uid="{00000000-0005-0000-0000-0000D19F0000}"/>
    <cellStyle name="Normal 58 4 4 2 5 4 2" xfId="38908" xr:uid="{00000000-0005-0000-0000-0000D29F0000}"/>
    <cellStyle name="Normal 58 4 4 2 5 5" xfId="26467" xr:uid="{00000000-0005-0000-0000-0000D39F0000}"/>
    <cellStyle name="Normal 58 4 4 2 6" xfId="7956" xr:uid="{00000000-0005-0000-0000-0000D49F0000}"/>
    <cellStyle name="Normal 58 4 4 2 6 2" xfId="20402" xr:uid="{00000000-0005-0000-0000-0000D59F0000}"/>
    <cellStyle name="Normal 58 4 4 2 6 2 2" xfId="45276" xr:uid="{00000000-0005-0000-0000-0000D69F0000}"/>
    <cellStyle name="Normal 58 4 4 2 6 3" xfId="32843" xr:uid="{00000000-0005-0000-0000-0000D79F0000}"/>
    <cellStyle name="Normal 58 4 4 2 7" xfId="11849" xr:uid="{00000000-0005-0000-0000-0000D89F0000}"/>
    <cellStyle name="Normal 58 4 4 2 7 2" xfId="24283" xr:uid="{00000000-0005-0000-0000-0000D99F0000}"/>
    <cellStyle name="Normal 58 4 4 2 7 2 2" xfId="49157" xr:uid="{00000000-0005-0000-0000-0000DA9F0000}"/>
    <cellStyle name="Normal 58 4 4 2 7 3" xfId="36724" xr:uid="{00000000-0005-0000-0000-0000DB9F0000}"/>
    <cellStyle name="Normal 58 4 4 2 8" xfId="6926" xr:uid="{00000000-0005-0000-0000-0000DC9F0000}"/>
    <cellStyle name="Normal 58 4 4 2 8 2" xfId="19375" xr:uid="{00000000-0005-0000-0000-0000DD9F0000}"/>
    <cellStyle name="Normal 58 4 4 2 8 2 2" xfId="44249" xr:uid="{00000000-0005-0000-0000-0000DE9F0000}"/>
    <cellStyle name="Normal 58 4 4 2 8 3" xfId="31816" xr:uid="{00000000-0005-0000-0000-0000DF9F0000}"/>
    <cellStyle name="Normal 58 4 4 2 9" xfId="2877" xr:uid="{00000000-0005-0000-0000-0000E09F0000}"/>
    <cellStyle name="Normal 58 4 4 2 9 2" xfId="15395" xr:uid="{00000000-0005-0000-0000-0000E19F0000}"/>
    <cellStyle name="Normal 58 4 4 2 9 2 2" xfId="40269" xr:uid="{00000000-0005-0000-0000-0000E29F0000}"/>
    <cellStyle name="Normal 58 4 4 2 9 3" xfId="27828" xr:uid="{00000000-0005-0000-0000-0000E39F0000}"/>
    <cellStyle name="Normal 58 4 4 2_Degree data" xfId="2528" xr:uid="{00000000-0005-0000-0000-0000E49F0000}"/>
    <cellStyle name="Normal 58 4 4 3" xfId="631" xr:uid="{00000000-0005-0000-0000-0000E59F0000}"/>
    <cellStyle name="Normal 58 4 4 3 2" xfId="1562" xr:uid="{00000000-0005-0000-0000-0000E69F0000}"/>
    <cellStyle name="Normal 58 4 4 3 2 2" xfId="9128" xr:uid="{00000000-0005-0000-0000-0000E79F0000}"/>
    <cellStyle name="Normal 58 4 4 3 2 2 2" xfId="21571" xr:uid="{00000000-0005-0000-0000-0000E89F0000}"/>
    <cellStyle name="Normal 58 4 4 3 2 2 2 2" xfId="46445" xr:uid="{00000000-0005-0000-0000-0000E99F0000}"/>
    <cellStyle name="Normal 58 4 4 3 2 2 3" xfId="34012" xr:uid="{00000000-0005-0000-0000-0000EA9F0000}"/>
    <cellStyle name="Normal 58 4 4 3 2 3" xfId="4110" xr:uid="{00000000-0005-0000-0000-0000EB9F0000}"/>
    <cellStyle name="Normal 58 4 4 3 2 3 2" xfId="16564" xr:uid="{00000000-0005-0000-0000-0000EC9F0000}"/>
    <cellStyle name="Normal 58 4 4 3 2 3 2 2" xfId="41438" xr:uid="{00000000-0005-0000-0000-0000ED9F0000}"/>
    <cellStyle name="Normal 58 4 4 3 2 3 3" xfId="29005" xr:uid="{00000000-0005-0000-0000-0000EE9F0000}"/>
    <cellStyle name="Normal 58 4 4 3 2 4" xfId="14362" xr:uid="{00000000-0005-0000-0000-0000EF9F0000}"/>
    <cellStyle name="Normal 58 4 4 3 2 4 2" xfId="39236" xr:uid="{00000000-0005-0000-0000-0000F09F0000}"/>
    <cellStyle name="Normal 58 4 4 3 2 5" xfId="26795" xr:uid="{00000000-0005-0000-0000-0000F19F0000}"/>
    <cellStyle name="Normal 58 4 4 3 3" xfId="5707" xr:uid="{00000000-0005-0000-0000-0000F29F0000}"/>
    <cellStyle name="Normal 58 4 4 3 3 2" xfId="10723" xr:uid="{00000000-0005-0000-0000-0000F39F0000}"/>
    <cellStyle name="Normal 58 4 4 3 3 2 2" xfId="23166" xr:uid="{00000000-0005-0000-0000-0000F49F0000}"/>
    <cellStyle name="Normal 58 4 4 3 3 2 2 2" xfId="48040" xr:uid="{00000000-0005-0000-0000-0000F59F0000}"/>
    <cellStyle name="Normal 58 4 4 3 3 2 3" xfId="35607" xr:uid="{00000000-0005-0000-0000-0000F69F0000}"/>
    <cellStyle name="Normal 58 4 4 3 3 3" xfId="18159" xr:uid="{00000000-0005-0000-0000-0000F79F0000}"/>
    <cellStyle name="Normal 58 4 4 3 3 3 2" xfId="43033" xr:uid="{00000000-0005-0000-0000-0000F89F0000}"/>
    <cellStyle name="Normal 58 4 4 3 3 4" xfId="30600" xr:uid="{00000000-0005-0000-0000-0000F99F0000}"/>
    <cellStyle name="Normal 58 4 4 3 4" xfId="8244" xr:uid="{00000000-0005-0000-0000-0000FA9F0000}"/>
    <cellStyle name="Normal 58 4 4 3 4 2" xfId="20688" xr:uid="{00000000-0005-0000-0000-0000FB9F0000}"/>
    <cellStyle name="Normal 58 4 4 3 4 2 2" xfId="45562" xr:uid="{00000000-0005-0000-0000-0000FC9F0000}"/>
    <cellStyle name="Normal 58 4 4 3 4 3" xfId="33129" xr:uid="{00000000-0005-0000-0000-0000FD9F0000}"/>
    <cellStyle name="Normal 58 4 4 3 5" xfId="12177" xr:uid="{00000000-0005-0000-0000-0000FE9F0000}"/>
    <cellStyle name="Normal 58 4 4 3 5 2" xfId="24611" xr:uid="{00000000-0005-0000-0000-0000FF9F0000}"/>
    <cellStyle name="Normal 58 4 4 3 5 2 2" xfId="49485" xr:uid="{00000000-0005-0000-0000-000000A00000}"/>
    <cellStyle name="Normal 58 4 4 3 5 3" xfId="37052" xr:uid="{00000000-0005-0000-0000-000001A00000}"/>
    <cellStyle name="Normal 58 4 4 3 6" xfId="6721" xr:uid="{00000000-0005-0000-0000-000002A00000}"/>
    <cellStyle name="Normal 58 4 4 3 6 2" xfId="19170" xr:uid="{00000000-0005-0000-0000-000003A00000}"/>
    <cellStyle name="Normal 58 4 4 3 6 2 2" xfId="44044" xr:uid="{00000000-0005-0000-0000-000004A00000}"/>
    <cellStyle name="Normal 58 4 4 3 6 3" xfId="31611" xr:uid="{00000000-0005-0000-0000-000005A00000}"/>
    <cellStyle name="Normal 58 4 4 3 7" xfId="3175" xr:uid="{00000000-0005-0000-0000-000006A00000}"/>
    <cellStyle name="Normal 58 4 4 3 7 2" xfId="15681" xr:uid="{00000000-0005-0000-0000-000007A00000}"/>
    <cellStyle name="Normal 58 4 4 3 7 2 2" xfId="40555" xr:uid="{00000000-0005-0000-0000-000008A00000}"/>
    <cellStyle name="Normal 58 4 4 3 7 3" xfId="28114" xr:uid="{00000000-0005-0000-0000-000009A00000}"/>
    <cellStyle name="Normal 58 4 4 3 8" xfId="13438" xr:uid="{00000000-0005-0000-0000-00000AA00000}"/>
    <cellStyle name="Normal 58 4 4 3 8 2" xfId="38312" xr:uid="{00000000-0005-0000-0000-00000BA00000}"/>
    <cellStyle name="Normal 58 4 4 3 9" xfId="25871" xr:uid="{00000000-0005-0000-0000-00000CA00000}"/>
    <cellStyle name="Normal 58 4 4 4" xfId="1910" xr:uid="{00000000-0005-0000-0000-00000DA00000}"/>
    <cellStyle name="Normal 58 4 4 4 2" xfId="4648" xr:uid="{00000000-0005-0000-0000-00000EA00000}"/>
    <cellStyle name="Normal 58 4 4 4 2 2" xfId="9666" xr:uid="{00000000-0005-0000-0000-00000FA00000}"/>
    <cellStyle name="Normal 58 4 4 4 2 2 2" xfId="22109" xr:uid="{00000000-0005-0000-0000-000010A00000}"/>
    <cellStyle name="Normal 58 4 4 4 2 2 2 2" xfId="46983" xr:uid="{00000000-0005-0000-0000-000011A00000}"/>
    <cellStyle name="Normal 58 4 4 4 2 2 3" xfId="34550" xr:uid="{00000000-0005-0000-0000-000012A00000}"/>
    <cellStyle name="Normal 58 4 4 4 2 3" xfId="17102" xr:uid="{00000000-0005-0000-0000-000013A00000}"/>
    <cellStyle name="Normal 58 4 4 4 2 3 2" xfId="41976" xr:uid="{00000000-0005-0000-0000-000014A00000}"/>
    <cellStyle name="Normal 58 4 4 4 2 4" xfId="29543" xr:uid="{00000000-0005-0000-0000-000015A00000}"/>
    <cellStyle name="Normal 58 4 4 4 3" xfId="6056" xr:uid="{00000000-0005-0000-0000-000016A00000}"/>
    <cellStyle name="Normal 58 4 4 4 3 2" xfId="11071" xr:uid="{00000000-0005-0000-0000-000017A00000}"/>
    <cellStyle name="Normal 58 4 4 4 3 2 2" xfId="23514" xr:uid="{00000000-0005-0000-0000-000018A00000}"/>
    <cellStyle name="Normal 58 4 4 4 3 2 2 2" xfId="48388" xr:uid="{00000000-0005-0000-0000-000019A00000}"/>
    <cellStyle name="Normal 58 4 4 4 3 2 3" xfId="35955" xr:uid="{00000000-0005-0000-0000-00001AA00000}"/>
    <cellStyle name="Normal 58 4 4 4 3 3" xfId="18507" xr:uid="{00000000-0005-0000-0000-00001BA00000}"/>
    <cellStyle name="Normal 58 4 4 4 3 3 2" xfId="43381" xr:uid="{00000000-0005-0000-0000-00001CA00000}"/>
    <cellStyle name="Normal 58 4 4 4 3 4" xfId="30948" xr:uid="{00000000-0005-0000-0000-00001DA00000}"/>
    <cellStyle name="Normal 58 4 4 4 4" xfId="8782" xr:uid="{00000000-0005-0000-0000-00001EA00000}"/>
    <cellStyle name="Normal 58 4 4 4 4 2" xfId="21226" xr:uid="{00000000-0005-0000-0000-00001FA00000}"/>
    <cellStyle name="Normal 58 4 4 4 4 2 2" xfId="46100" xr:uid="{00000000-0005-0000-0000-000020A00000}"/>
    <cellStyle name="Normal 58 4 4 4 4 3" xfId="33667" xr:uid="{00000000-0005-0000-0000-000021A00000}"/>
    <cellStyle name="Normal 58 4 4 4 5" xfId="12525" xr:uid="{00000000-0005-0000-0000-000022A00000}"/>
    <cellStyle name="Normal 58 4 4 4 5 2" xfId="24959" xr:uid="{00000000-0005-0000-0000-000023A00000}"/>
    <cellStyle name="Normal 58 4 4 4 5 2 2" xfId="49833" xr:uid="{00000000-0005-0000-0000-000024A00000}"/>
    <cellStyle name="Normal 58 4 4 4 5 3" xfId="37400" xr:uid="{00000000-0005-0000-0000-000025A00000}"/>
    <cellStyle name="Normal 58 4 4 4 6" xfId="7259" xr:uid="{00000000-0005-0000-0000-000026A00000}"/>
    <cellStyle name="Normal 58 4 4 4 6 2" xfId="19708" xr:uid="{00000000-0005-0000-0000-000027A00000}"/>
    <cellStyle name="Normal 58 4 4 4 6 2 2" xfId="44582" xr:uid="{00000000-0005-0000-0000-000028A00000}"/>
    <cellStyle name="Normal 58 4 4 4 6 3" xfId="32149" xr:uid="{00000000-0005-0000-0000-000029A00000}"/>
    <cellStyle name="Normal 58 4 4 4 7" xfId="3713" xr:uid="{00000000-0005-0000-0000-00002AA00000}"/>
    <cellStyle name="Normal 58 4 4 4 7 2" xfId="16219" xr:uid="{00000000-0005-0000-0000-00002BA00000}"/>
    <cellStyle name="Normal 58 4 4 4 7 2 2" xfId="41093" xr:uid="{00000000-0005-0000-0000-00002CA00000}"/>
    <cellStyle name="Normal 58 4 4 4 7 3" xfId="28652" xr:uid="{00000000-0005-0000-0000-00002DA00000}"/>
    <cellStyle name="Normal 58 4 4 4 8" xfId="14710" xr:uid="{00000000-0005-0000-0000-00002EA00000}"/>
    <cellStyle name="Normal 58 4 4 4 8 2" xfId="39584" xr:uid="{00000000-0005-0000-0000-00002FA00000}"/>
    <cellStyle name="Normal 58 4 4 4 9" xfId="27143" xr:uid="{00000000-0005-0000-0000-000030A00000}"/>
    <cellStyle name="Normal 58 4 4 5" xfId="2187" xr:uid="{00000000-0005-0000-0000-000031A00000}"/>
    <cellStyle name="Normal 58 4 4 5 2" xfId="4820" xr:uid="{00000000-0005-0000-0000-000032A00000}"/>
    <cellStyle name="Normal 58 4 4 5 2 2" xfId="9837" xr:uid="{00000000-0005-0000-0000-000033A00000}"/>
    <cellStyle name="Normal 58 4 4 5 2 2 2" xfId="22280" xr:uid="{00000000-0005-0000-0000-000034A00000}"/>
    <cellStyle name="Normal 58 4 4 5 2 2 2 2" xfId="47154" xr:uid="{00000000-0005-0000-0000-000035A00000}"/>
    <cellStyle name="Normal 58 4 4 5 2 2 3" xfId="34721" xr:uid="{00000000-0005-0000-0000-000036A00000}"/>
    <cellStyle name="Normal 58 4 4 5 2 3" xfId="17273" xr:uid="{00000000-0005-0000-0000-000037A00000}"/>
    <cellStyle name="Normal 58 4 4 5 2 3 2" xfId="42147" xr:uid="{00000000-0005-0000-0000-000038A00000}"/>
    <cellStyle name="Normal 58 4 4 5 2 4" xfId="29714" xr:uid="{00000000-0005-0000-0000-000039A00000}"/>
    <cellStyle name="Normal 58 4 4 5 3" xfId="6218" xr:uid="{00000000-0005-0000-0000-00003AA00000}"/>
    <cellStyle name="Normal 58 4 4 5 3 2" xfId="11233" xr:uid="{00000000-0005-0000-0000-00003BA00000}"/>
    <cellStyle name="Normal 58 4 4 5 3 2 2" xfId="23676" xr:uid="{00000000-0005-0000-0000-00003CA00000}"/>
    <cellStyle name="Normal 58 4 4 5 3 2 2 2" xfId="48550" xr:uid="{00000000-0005-0000-0000-00003DA00000}"/>
    <cellStyle name="Normal 58 4 4 5 3 2 3" xfId="36117" xr:uid="{00000000-0005-0000-0000-00003EA00000}"/>
    <cellStyle name="Normal 58 4 4 5 3 3" xfId="18669" xr:uid="{00000000-0005-0000-0000-00003FA00000}"/>
    <cellStyle name="Normal 58 4 4 5 3 3 2" xfId="43543" xr:uid="{00000000-0005-0000-0000-000040A00000}"/>
    <cellStyle name="Normal 58 4 4 5 3 4" xfId="31110" xr:uid="{00000000-0005-0000-0000-000041A00000}"/>
    <cellStyle name="Normal 58 4 4 5 4" xfId="8130" xr:uid="{00000000-0005-0000-0000-000042A00000}"/>
    <cellStyle name="Normal 58 4 4 5 4 2" xfId="20576" xr:uid="{00000000-0005-0000-0000-000043A00000}"/>
    <cellStyle name="Normal 58 4 4 5 4 2 2" xfId="45450" xr:uid="{00000000-0005-0000-0000-000044A00000}"/>
    <cellStyle name="Normal 58 4 4 5 4 3" xfId="33017" xr:uid="{00000000-0005-0000-0000-000045A00000}"/>
    <cellStyle name="Normal 58 4 4 5 5" xfId="12687" xr:uid="{00000000-0005-0000-0000-000046A00000}"/>
    <cellStyle name="Normal 58 4 4 5 5 2" xfId="25121" xr:uid="{00000000-0005-0000-0000-000047A00000}"/>
    <cellStyle name="Normal 58 4 4 5 5 2 2" xfId="49995" xr:uid="{00000000-0005-0000-0000-000048A00000}"/>
    <cellStyle name="Normal 58 4 4 5 5 3" xfId="37562" xr:uid="{00000000-0005-0000-0000-000049A00000}"/>
    <cellStyle name="Normal 58 4 4 5 6" xfId="7431" xr:uid="{00000000-0005-0000-0000-00004AA00000}"/>
    <cellStyle name="Normal 58 4 4 5 6 2" xfId="19879" xr:uid="{00000000-0005-0000-0000-00004BA00000}"/>
    <cellStyle name="Normal 58 4 4 5 6 2 2" xfId="44753" xr:uid="{00000000-0005-0000-0000-00004CA00000}"/>
    <cellStyle name="Normal 58 4 4 5 6 3" xfId="32320" xr:uid="{00000000-0005-0000-0000-00004DA00000}"/>
    <cellStyle name="Normal 58 4 4 5 7" xfId="3060" xr:uid="{00000000-0005-0000-0000-00004EA00000}"/>
    <cellStyle name="Normal 58 4 4 5 7 2" xfId="15569" xr:uid="{00000000-0005-0000-0000-00004FA00000}"/>
    <cellStyle name="Normal 58 4 4 5 7 2 2" xfId="40443" xr:uid="{00000000-0005-0000-0000-000050A00000}"/>
    <cellStyle name="Normal 58 4 4 5 7 3" xfId="28002" xr:uid="{00000000-0005-0000-0000-000051A00000}"/>
    <cellStyle name="Normal 58 4 4 5 8" xfId="14872" xr:uid="{00000000-0005-0000-0000-000052A00000}"/>
    <cellStyle name="Normal 58 4 4 5 8 2" xfId="39746" xr:uid="{00000000-0005-0000-0000-000053A00000}"/>
    <cellStyle name="Normal 58 4 4 5 9" xfId="27305" xr:uid="{00000000-0005-0000-0000-000054A00000}"/>
    <cellStyle name="Normal 58 4 4 6" xfId="1029" xr:uid="{00000000-0005-0000-0000-000055A00000}"/>
    <cellStyle name="Normal 58 4 4 6 2" xfId="9016" xr:uid="{00000000-0005-0000-0000-000056A00000}"/>
    <cellStyle name="Normal 58 4 4 6 2 2" xfId="21459" xr:uid="{00000000-0005-0000-0000-000057A00000}"/>
    <cellStyle name="Normal 58 4 4 6 2 2 2" xfId="46333" xr:uid="{00000000-0005-0000-0000-000058A00000}"/>
    <cellStyle name="Normal 58 4 4 6 2 3" xfId="33900" xr:uid="{00000000-0005-0000-0000-000059A00000}"/>
    <cellStyle name="Normal 58 4 4 6 3" xfId="3998" xr:uid="{00000000-0005-0000-0000-00005AA00000}"/>
    <cellStyle name="Normal 58 4 4 6 3 2" xfId="16452" xr:uid="{00000000-0005-0000-0000-00005BA00000}"/>
    <cellStyle name="Normal 58 4 4 6 3 2 2" xfId="41326" xr:uid="{00000000-0005-0000-0000-00005CA00000}"/>
    <cellStyle name="Normal 58 4 4 6 3 3" xfId="28893" xr:uid="{00000000-0005-0000-0000-00005DA00000}"/>
    <cellStyle name="Normal 58 4 4 6 4" xfId="13829" xr:uid="{00000000-0005-0000-0000-00005EA00000}"/>
    <cellStyle name="Normal 58 4 4 6 4 2" xfId="38703" xr:uid="{00000000-0005-0000-0000-00005FA00000}"/>
    <cellStyle name="Normal 58 4 4 6 5" xfId="26262" xr:uid="{00000000-0005-0000-0000-000060A00000}"/>
    <cellStyle name="Normal 58 4 4 7" xfId="5174" xr:uid="{00000000-0005-0000-0000-000061A00000}"/>
    <cellStyle name="Normal 58 4 4 7 2" xfId="10190" xr:uid="{00000000-0005-0000-0000-000062A00000}"/>
    <cellStyle name="Normal 58 4 4 7 2 2" xfId="22633" xr:uid="{00000000-0005-0000-0000-000063A00000}"/>
    <cellStyle name="Normal 58 4 4 7 2 2 2" xfId="47507" xr:uid="{00000000-0005-0000-0000-000064A00000}"/>
    <cellStyle name="Normal 58 4 4 7 2 3" xfId="35074" xr:uid="{00000000-0005-0000-0000-000065A00000}"/>
    <cellStyle name="Normal 58 4 4 7 3" xfId="17626" xr:uid="{00000000-0005-0000-0000-000066A00000}"/>
    <cellStyle name="Normal 58 4 4 7 3 2" xfId="42500" xr:uid="{00000000-0005-0000-0000-000067A00000}"/>
    <cellStyle name="Normal 58 4 4 7 4" xfId="30067" xr:uid="{00000000-0005-0000-0000-000068A00000}"/>
    <cellStyle name="Normal 58 4 4 8" xfId="7751" xr:uid="{00000000-0005-0000-0000-000069A00000}"/>
    <cellStyle name="Normal 58 4 4 8 2" xfId="20197" xr:uid="{00000000-0005-0000-0000-00006AA00000}"/>
    <cellStyle name="Normal 58 4 4 8 2 2" xfId="45071" xr:uid="{00000000-0005-0000-0000-00006BA00000}"/>
    <cellStyle name="Normal 58 4 4 8 3" xfId="32638" xr:uid="{00000000-0005-0000-0000-00006CA00000}"/>
    <cellStyle name="Normal 58 4 4 9" xfId="11644" xr:uid="{00000000-0005-0000-0000-00006DA00000}"/>
    <cellStyle name="Normal 58 4 4 9 2" xfId="24078" xr:uid="{00000000-0005-0000-0000-00006EA00000}"/>
    <cellStyle name="Normal 58 4 4 9 2 2" xfId="48952" xr:uid="{00000000-0005-0000-0000-00006FA00000}"/>
    <cellStyle name="Normal 58 4 4 9 3" xfId="36519" xr:uid="{00000000-0005-0000-0000-000070A00000}"/>
    <cellStyle name="Normal 58 4 4_Degree data" xfId="2527" xr:uid="{00000000-0005-0000-0000-000071A00000}"/>
    <cellStyle name="Normal 58 4 5" xfId="375" xr:uid="{00000000-0005-0000-0000-000072A00000}"/>
    <cellStyle name="Normal 58 4 5 10" xfId="13191" xr:uid="{00000000-0005-0000-0000-000073A00000}"/>
    <cellStyle name="Normal 58 4 5 10 2" xfId="38065" xr:uid="{00000000-0005-0000-0000-000074A00000}"/>
    <cellStyle name="Normal 58 4 5 11" xfId="25624" xr:uid="{00000000-0005-0000-0000-000075A00000}"/>
    <cellStyle name="Normal 58 4 5 2" xfId="735" xr:uid="{00000000-0005-0000-0000-000076A00000}"/>
    <cellStyle name="Normal 58 4 5 2 2" xfId="1564" xr:uid="{00000000-0005-0000-0000-000077A00000}"/>
    <cellStyle name="Normal 58 4 5 2 2 2" xfId="9668" xr:uid="{00000000-0005-0000-0000-000078A00000}"/>
    <cellStyle name="Normal 58 4 5 2 2 2 2" xfId="22111" xr:uid="{00000000-0005-0000-0000-000079A00000}"/>
    <cellStyle name="Normal 58 4 5 2 2 2 2 2" xfId="46985" xr:uid="{00000000-0005-0000-0000-00007AA00000}"/>
    <cellStyle name="Normal 58 4 5 2 2 2 3" xfId="34552" xr:uid="{00000000-0005-0000-0000-00007BA00000}"/>
    <cellStyle name="Normal 58 4 5 2 2 3" xfId="4650" xr:uid="{00000000-0005-0000-0000-00007CA00000}"/>
    <cellStyle name="Normal 58 4 5 2 2 3 2" xfId="17104" xr:uid="{00000000-0005-0000-0000-00007DA00000}"/>
    <cellStyle name="Normal 58 4 5 2 2 3 2 2" xfId="41978" xr:uid="{00000000-0005-0000-0000-00007EA00000}"/>
    <cellStyle name="Normal 58 4 5 2 2 3 3" xfId="29545" xr:uid="{00000000-0005-0000-0000-00007FA00000}"/>
    <cellStyle name="Normal 58 4 5 2 2 4" xfId="14364" xr:uid="{00000000-0005-0000-0000-000080A00000}"/>
    <cellStyle name="Normal 58 4 5 2 2 4 2" xfId="39238" xr:uid="{00000000-0005-0000-0000-000081A00000}"/>
    <cellStyle name="Normal 58 4 5 2 2 5" xfId="26797" xr:uid="{00000000-0005-0000-0000-000082A00000}"/>
    <cellStyle name="Normal 58 4 5 2 3" xfId="5709" xr:uid="{00000000-0005-0000-0000-000083A00000}"/>
    <cellStyle name="Normal 58 4 5 2 3 2" xfId="10725" xr:uid="{00000000-0005-0000-0000-000084A00000}"/>
    <cellStyle name="Normal 58 4 5 2 3 2 2" xfId="23168" xr:uid="{00000000-0005-0000-0000-000085A00000}"/>
    <cellStyle name="Normal 58 4 5 2 3 2 2 2" xfId="48042" xr:uid="{00000000-0005-0000-0000-000086A00000}"/>
    <cellStyle name="Normal 58 4 5 2 3 2 3" xfId="35609" xr:uid="{00000000-0005-0000-0000-000087A00000}"/>
    <cellStyle name="Normal 58 4 5 2 3 3" xfId="18161" xr:uid="{00000000-0005-0000-0000-000088A00000}"/>
    <cellStyle name="Normal 58 4 5 2 3 3 2" xfId="43035" xr:uid="{00000000-0005-0000-0000-000089A00000}"/>
    <cellStyle name="Normal 58 4 5 2 3 4" xfId="30602" xr:uid="{00000000-0005-0000-0000-00008AA00000}"/>
    <cellStyle name="Normal 58 4 5 2 4" xfId="8784" xr:uid="{00000000-0005-0000-0000-00008BA00000}"/>
    <cellStyle name="Normal 58 4 5 2 4 2" xfId="21228" xr:uid="{00000000-0005-0000-0000-00008CA00000}"/>
    <cellStyle name="Normal 58 4 5 2 4 2 2" xfId="46102" xr:uid="{00000000-0005-0000-0000-00008DA00000}"/>
    <cellStyle name="Normal 58 4 5 2 4 3" xfId="33669" xr:uid="{00000000-0005-0000-0000-00008EA00000}"/>
    <cellStyle name="Normal 58 4 5 2 5" xfId="12179" xr:uid="{00000000-0005-0000-0000-00008FA00000}"/>
    <cellStyle name="Normal 58 4 5 2 5 2" xfId="24613" xr:uid="{00000000-0005-0000-0000-000090A00000}"/>
    <cellStyle name="Normal 58 4 5 2 5 2 2" xfId="49487" xr:uid="{00000000-0005-0000-0000-000091A00000}"/>
    <cellStyle name="Normal 58 4 5 2 5 3" xfId="37054" xr:uid="{00000000-0005-0000-0000-000092A00000}"/>
    <cellStyle name="Normal 58 4 5 2 6" xfId="7261" xr:uid="{00000000-0005-0000-0000-000093A00000}"/>
    <cellStyle name="Normal 58 4 5 2 6 2" xfId="19710" xr:uid="{00000000-0005-0000-0000-000094A00000}"/>
    <cellStyle name="Normal 58 4 5 2 6 2 2" xfId="44584" xr:uid="{00000000-0005-0000-0000-000095A00000}"/>
    <cellStyle name="Normal 58 4 5 2 6 3" xfId="32151" xr:uid="{00000000-0005-0000-0000-000096A00000}"/>
    <cellStyle name="Normal 58 4 5 2 7" xfId="3715" xr:uid="{00000000-0005-0000-0000-000097A00000}"/>
    <cellStyle name="Normal 58 4 5 2 7 2" xfId="16221" xr:uid="{00000000-0005-0000-0000-000098A00000}"/>
    <cellStyle name="Normal 58 4 5 2 7 2 2" xfId="41095" xr:uid="{00000000-0005-0000-0000-000099A00000}"/>
    <cellStyle name="Normal 58 4 5 2 7 3" xfId="28654" xr:uid="{00000000-0005-0000-0000-00009AA00000}"/>
    <cellStyle name="Normal 58 4 5 2 8" xfId="13538" xr:uid="{00000000-0005-0000-0000-00009BA00000}"/>
    <cellStyle name="Normal 58 4 5 2 8 2" xfId="38412" xr:uid="{00000000-0005-0000-0000-00009CA00000}"/>
    <cellStyle name="Normal 58 4 5 2 9" xfId="25971" xr:uid="{00000000-0005-0000-0000-00009DA00000}"/>
    <cellStyle name="Normal 58 4 5 3" xfId="1912" xr:uid="{00000000-0005-0000-0000-00009EA00000}"/>
    <cellStyle name="Normal 58 4 5 3 2" xfId="4920" xr:uid="{00000000-0005-0000-0000-00009FA00000}"/>
    <cellStyle name="Normal 58 4 5 3 2 2" xfId="9937" xr:uid="{00000000-0005-0000-0000-0000A0A00000}"/>
    <cellStyle name="Normal 58 4 5 3 2 2 2" xfId="22380" xr:uid="{00000000-0005-0000-0000-0000A1A00000}"/>
    <cellStyle name="Normal 58 4 5 3 2 2 2 2" xfId="47254" xr:uid="{00000000-0005-0000-0000-0000A2A00000}"/>
    <cellStyle name="Normal 58 4 5 3 2 2 3" xfId="34821" xr:uid="{00000000-0005-0000-0000-0000A3A00000}"/>
    <cellStyle name="Normal 58 4 5 3 2 3" xfId="17373" xr:uid="{00000000-0005-0000-0000-0000A4A00000}"/>
    <cellStyle name="Normal 58 4 5 3 2 3 2" xfId="42247" xr:uid="{00000000-0005-0000-0000-0000A5A00000}"/>
    <cellStyle name="Normal 58 4 5 3 2 4" xfId="29814" xr:uid="{00000000-0005-0000-0000-0000A6A00000}"/>
    <cellStyle name="Normal 58 4 5 3 3" xfId="6058" xr:uid="{00000000-0005-0000-0000-0000A7A00000}"/>
    <cellStyle name="Normal 58 4 5 3 3 2" xfId="11073" xr:uid="{00000000-0005-0000-0000-0000A8A00000}"/>
    <cellStyle name="Normal 58 4 5 3 3 2 2" xfId="23516" xr:uid="{00000000-0005-0000-0000-0000A9A00000}"/>
    <cellStyle name="Normal 58 4 5 3 3 2 2 2" xfId="48390" xr:uid="{00000000-0005-0000-0000-0000AAA00000}"/>
    <cellStyle name="Normal 58 4 5 3 3 2 3" xfId="35957" xr:uid="{00000000-0005-0000-0000-0000ABA00000}"/>
    <cellStyle name="Normal 58 4 5 3 3 3" xfId="18509" xr:uid="{00000000-0005-0000-0000-0000ACA00000}"/>
    <cellStyle name="Normal 58 4 5 3 3 3 2" xfId="43383" xr:uid="{00000000-0005-0000-0000-0000ADA00000}"/>
    <cellStyle name="Normal 58 4 5 3 3 4" xfId="30950" xr:uid="{00000000-0005-0000-0000-0000AEA00000}"/>
    <cellStyle name="Normal 58 4 5 3 4" xfId="8344" xr:uid="{00000000-0005-0000-0000-0000AFA00000}"/>
    <cellStyle name="Normal 58 4 5 3 4 2" xfId="20788" xr:uid="{00000000-0005-0000-0000-0000B0A00000}"/>
    <cellStyle name="Normal 58 4 5 3 4 2 2" xfId="45662" xr:uid="{00000000-0005-0000-0000-0000B1A00000}"/>
    <cellStyle name="Normal 58 4 5 3 4 3" xfId="33229" xr:uid="{00000000-0005-0000-0000-0000B2A00000}"/>
    <cellStyle name="Normal 58 4 5 3 5" xfId="12527" xr:uid="{00000000-0005-0000-0000-0000B3A00000}"/>
    <cellStyle name="Normal 58 4 5 3 5 2" xfId="24961" xr:uid="{00000000-0005-0000-0000-0000B4A00000}"/>
    <cellStyle name="Normal 58 4 5 3 5 2 2" xfId="49835" xr:uid="{00000000-0005-0000-0000-0000B5A00000}"/>
    <cellStyle name="Normal 58 4 5 3 5 3" xfId="37402" xr:uid="{00000000-0005-0000-0000-0000B6A00000}"/>
    <cellStyle name="Normal 58 4 5 3 6" xfId="7531" xr:uid="{00000000-0005-0000-0000-0000B7A00000}"/>
    <cellStyle name="Normal 58 4 5 3 6 2" xfId="19979" xr:uid="{00000000-0005-0000-0000-0000B8A00000}"/>
    <cellStyle name="Normal 58 4 5 3 6 2 2" xfId="44853" xr:uid="{00000000-0005-0000-0000-0000B9A00000}"/>
    <cellStyle name="Normal 58 4 5 3 6 3" xfId="32420" xr:uid="{00000000-0005-0000-0000-0000BAA00000}"/>
    <cellStyle name="Normal 58 4 5 3 7" xfId="3275" xr:uid="{00000000-0005-0000-0000-0000BBA00000}"/>
    <cellStyle name="Normal 58 4 5 3 7 2" xfId="15781" xr:uid="{00000000-0005-0000-0000-0000BCA00000}"/>
    <cellStyle name="Normal 58 4 5 3 7 2 2" xfId="40655" xr:uid="{00000000-0005-0000-0000-0000BDA00000}"/>
    <cellStyle name="Normal 58 4 5 3 7 3" xfId="28214" xr:uid="{00000000-0005-0000-0000-0000BEA00000}"/>
    <cellStyle name="Normal 58 4 5 3 8" xfId="14712" xr:uid="{00000000-0005-0000-0000-0000BFA00000}"/>
    <cellStyle name="Normal 58 4 5 3 8 2" xfId="39586" xr:uid="{00000000-0005-0000-0000-0000C0A00000}"/>
    <cellStyle name="Normal 58 4 5 3 9" xfId="27145" xr:uid="{00000000-0005-0000-0000-0000C1A00000}"/>
    <cellStyle name="Normal 58 4 5 4" xfId="2293" xr:uid="{00000000-0005-0000-0000-0000C2A00000}"/>
    <cellStyle name="Normal 58 4 5 4 2" xfId="6318" xr:uid="{00000000-0005-0000-0000-0000C3A00000}"/>
    <cellStyle name="Normal 58 4 5 4 2 2" xfId="11333" xr:uid="{00000000-0005-0000-0000-0000C4A00000}"/>
    <cellStyle name="Normal 58 4 5 4 2 2 2" xfId="23776" xr:uid="{00000000-0005-0000-0000-0000C5A00000}"/>
    <cellStyle name="Normal 58 4 5 4 2 2 2 2" xfId="48650" xr:uid="{00000000-0005-0000-0000-0000C6A00000}"/>
    <cellStyle name="Normal 58 4 5 4 2 2 3" xfId="36217" xr:uid="{00000000-0005-0000-0000-0000C7A00000}"/>
    <cellStyle name="Normal 58 4 5 4 2 3" xfId="18769" xr:uid="{00000000-0005-0000-0000-0000C8A00000}"/>
    <cellStyle name="Normal 58 4 5 4 2 3 2" xfId="43643" xr:uid="{00000000-0005-0000-0000-0000C9A00000}"/>
    <cellStyle name="Normal 58 4 5 4 2 4" xfId="31210" xr:uid="{00000000-0005-0000-0000-0000CAA00000}"/>
    <cellStyle name="Normal 58 4 5 4 3" xfId="12787" xr:uid="{00000000-0005-0000-0000-0000CBA00000}"/>
    <cellStyle name="Normal 58 4 5 4 3 2" xfId="25221" xr:uid="{00000000-0005-0000-0000-0000CCA00000}"/>
    <cellStyle name="Normal 58 4 5 4 3 2 2" xfId="50095" xr:uid="{00000000-0005-0000-0000-0000CDA00000}"/>
    <cellStyle name="Normal 58 4 5 4 3 3" xfId="37662" xr:uid="{00000000-0005-0000-0000-0000CEA00000}"/>
    <cellStyle name="Normal 58 4 5 4 4" xfId="9228" xr:uid="{00000000-0005-0000-0000-0000CFA00000}"/>
    <cellStyle name="Normal 58 4 5 4 4 2" xfId="21671" xr:uid="{00000000-0005-0000-0000-0000D0A00000}"/>
    <cellStyle name="Normal 58 4 5 4 4 2 2" xfId="46545" xr:uid="{00000000-0005-0000-0000-0000D1A00000}"/>
    <cellStyle name="Normal 58 4 5 4 4 3" xfId="34112" xr:uid="{00000000-0005-0000-0000-0000D2A00000}"/>
    <cellStyle name="Normal 58 4 5 4 5" xfId="4210" xr:uid="{00000000-0005-0000-0000-0000D3A00000}"/>
    <cellStyle name="Normal 58 4 5 4 5 2" xfId="16664" xr:uid="{00000000-0005-0000-0000-0000D4A00000}"/>
    <cellStyle name="Normal 58 4 5 4 5 2 2" xfId="41538" xr:uid="{00000000-0005-0000-0000-0000D5A00000}"/>
    <cellStyle name="Normal 58 4 5 4 5 3" xfId="29105" xr:uid="{00000000-0005-0000-0000-0000D6A00000}"/>
    <cellStyle name="Normal 58 4 5 4 6" xfId="14972" xr:uid="{00000000-0005-0000-0000-0000D7A00000}"/>
    <cellStyle name="Normal 58 4 5 4 6 2" xfId="39846" xr:uid="{00000000-0005-0000-0000-0000D8A00000}"/>
    <cellStyle name="Normal 58 4 5 4 7" xfId="27405" xr:uid="{00000000-0005-0000-0000-0000D9A00000}"/>
    <cellStyle name="Normal 58 4 5 5" xfId="1129" xr:uid="{00000000-0005-0000-0000-0000DAA00000}"/>
    <cellStyle name="Normal 58 4 5 5 2" xfId="10290" xr:uid="{00000000-0005-0000-0000-0000DBA00000}"/>
    <cellStyle name="Normal 58 4 5 5 2 2" xfId="22733" xr:uid="{00000000-0005-0000-0000-0000DCA00000}"/>
    <cellStyle name="Normal 58 4 5 5 2 2 2" xfId="47607" xr:uid="{00000000-0005-0000-0000-0000DDA00000}"/>
    <cellStyle name="Normal 58 4 5 5 2 3" xfId="35174" xr:uid="{00000000-0005-0000-0000-0000DEA00000}"/>
    <cellStyle name="Normal 58 4 5 5 3" xfId="5274" xr:uid="{00000000-0005-0000-0000-0000DFA00000}"/>
    <cellStyle name="Normal 58 4 5 5 3 2" xfId="17726" xr:uid="{00000000-0005-0000-0000-0000E0A00000}"/>
    <cellStyle name="Normal 58 4 5 5 3 2 2" xfId="42600" xr:uid="{00000000-0005-0000-0000-0000E1A00000}"/>
    <cellStyle name="Normal 58 4 5 5 3 3" xfId="30167" xr:uid="{00000000-0005-0000-0000-0000E2A00000}"/>
    <cellStyle name="Normal 58 4 5 5 4" xfId="13929" xr:uid="{00000000-0005-0000-0000-0000E3A00000}"/>
    <cellStyle name="Normal 58 4 5 5 4 2" xfId="38803" xr:uid="{00000000-0005-0000-0000-0000E4A00000}"/>
    <cellStyle name="Normal 58 4 5 5 5" xfId="26362" xr:uid="{00000000-0005-0000-0000-0000E5A00000}"/>
    <cellStyle name="Normal 58 4 5 6" xfId="7851" xr:uid="{00000000-0005-0000-0000-0000E6A00000}"/>
    <cellStyle name="Normal 58 4 5 6 2" xfId="20297" xr:uid="{00000000-0005-0000-0000-0000E7A00000}"/>
    <cellStyle name="Normal 58 4 5 6 2 2" xfId="45171" xr:uid="{00000000-0005-0000-0000-0000E8A00000}"/>
    <cellStyle name="Normal 58 4 5 6 3" xfId="32738" xr:uid="{00000000-0005-0000-0000-0000E9A00000}"/>
    <cellStyle name="Normal 58 4 5 7" xfId="11744" xr:uid="{00000000-0005-0000-0000-0000EAA00000}"/>
    <cellStyle name="Normal 58 4 5 7 2" xfId="24178" xr:uid="{00000000-0005-0000-0000-0000EBA00000}"/>
    <cellStyle name="Normal 58 4 5 7 2 2" xfId="49052" xr:uid="{00000000-0005-0000-0000-0000ECA00000}"/>
    <cellStyle name="Normal 58 4 5 7 3" xfId="36619" xr:uid="{00000000-0005-0000-0000-0000EDA00000}"/>
    <cellStyle name="Normal 58 4 5 8" xfId="6821" xr:uid="{00000000-0005-0000-0000-0000EEA00000}"/>
    <cellStyle name="Normal 58 4 5 8 2" xfId="19270" xr:uid="{00000000-0005-0000-0000-0000EFA00000}"/>
    <cellStyle name="Normal 58 4 5 8 2 2" xfId="44144" xr:uid="{00000000-0005-0000-0000-0000F0A00000}"/>
    <cellStyle name="Normal 58 4 5 8 3" xfId="31711" xr:uid="{00000000-0005-0000-0000-0000F1A00000}"/>
    <cellStyle name="Normal 58 4 5 9" xfId="2772" xr:uid="{00000000-0005-0000-0000-0000F2A00000}"/>
    <cellStyle name="Normal 58 4 5 9 2" xfId="15290" xr:uid="{00000000-0005-0000-0000-0000F3A00000}"/>
    <cellStyle name="Normal 58 4 5 9 2 2" xfId="40164" xr:uid="{00000000-0005-0000-0000-0000F4A00000}"/>
    <cellStyle name="Normal 58 4 5 9 3" xfId="27723" xr:uid="{00000000-0005-0000-0000-0000F5A00000}"/>
    <cellStyle name="Normal 58 4 5_Degree data" xfId="2529" xr:uid="{00000000-0005-0000-0000-0000F6A00000}"/>
    <cellStyle name="Normal 58 4 6" xfId="218" xr:uid="{00000000-0005-0000-0000-0000F7A00000}"/>
    <cellStyle name="Normal 58 4 6 10" xfId="13046" xr:uid="{00000000-0005-0000-0000-0000F8A00000}"/>
    <cellStyle name="Normal 58 4 6 10 2" xfId="37920" xr:uid="{00000000-0005-0000-0000-0000F9A00000}"/>
    <cellStyle name="Normal 58 4 6 11" xfId="25479" xr:uid="{00000000-0005-0000-0000-0000FAA00000}"/>
    <cellStyle name="Normal 58 4 6 2" xfId="584" xr:uid="{00000000-0005-0000-0000-0000FBA00000}"/>
    <cellStyle name="Normal 58 4 6 2 2" xfId="1565" xr:uid="{00000000-0005-0000-0000-0000FCA00000}"/>
    <cellStyle name="Normal 58 4 6 2 2 2" xfId="9669" xr:uid="{00000000-0005-0000-0000-0000FDA00000}"/>
    <cellStyle name="Normal 58 4 6 2 2 2 2" xfId="22112" xr:uid="{00000000-0005-0000-0000-0000FEA00000}"/>
    <cellStyle name="Normal 58 4 6 2 2 2 2 2" xfId="46986" xr:uid="{00000000-0005-0000-0000-0000FFA00000}"/>
    <cellStyle name="Normal 58 4 6 2 2 2 3" xfId="34553" xr:uid="{00000000-0005-0000-0000-000000A10000}"/>
    <cellStyle name="Normal 58 4 6 2 2 3" xfId="4651" xr:uid="{00000000-0005-0000-0000-000001A10000}"/>
    <cellStyle name="Normal 58 4 6 2 2 3 2" xfId="17105" xr:uid="{00000000-0005-0000-0000-000002A10000}"/>
    <cellStyle name="Normal 58 4 6 2 2 3 2 2" xfId="41979" xr:uid="{00000000-0005-0000-0000-000003A10000}"/>
    <cellStyle name="Normal 58 4 6 2 2 3 3" xfId="29546" xr:uid="{00000000-0005-0000-0000-000004A10000}"/>
    <cellStyle name="Normal 58 4 6 2 2 4" xfId="14365" xr:uid="{00000000-0005-0000-0000-000005A10000}"/>
    <cellStyle name="Normal 58 4 6 2 2 4 2" xfId="39239" xr:uid="{00000000-0005-0000-0000-000006A10000}"/>
    <cellStyle name="Normal 58 4 6 2 2 5" xfId="26798" xr:uid="{00000000-0005-0000-0000-000007A10000}"/>
    <cellStyle name="Normal 58 4 6 2 3" xfId="5710" xr:uid="{00000000-0005-0000-0000-000008A10000}"/>
    <cellStyle name="Normal 58 4 6 2 3 2" xfId="10726" xr:uid="{00000000-0005-0000-0000-000009A10000}"/>
    <cellStyle name="Normal 58 4 6 2 3 2 2" xfId="23169" xr:uid="{00000000-0005-0000-0000-00000AA10000}"/>
    <cellStyle name="Normal 58 4 6 2 3 2 2 2" xfId="48043" xr:uid="{00000000-0005-0000-0000-00000BA10000}"/>
    <cellStyle name="Normal 58 4 6 2 3 2 3" xfId="35610" xr:uid="{00000000-0005-0000-0000-00000CA10000}"/>
    <cellStyle name="Normal 58 4 6 2 3 3" xfId="18162" xr:uid="{00000000-0005-0000-0000-00000DA10000}"/>
    <cellStyle name="Normal 58 4 6 2 3 3 2" xfId="43036" xr:uid="{00000000-0005-0000-0000-00000EA10000}"/>
    <cellStyle name="Normal 58 4 6 2 3 4" xfId="30603" xr:uid="{00000000-0005-0000-0000-00000FA10000}"/>
    <cellStyle name="Normal 58 4 6 2 4" xfId="8785" xr:uid="{00000000-0005-0000-0000-000010A10000}"/>
    <cellStyle name="Normal 58 4 6 2 4 2" xfId="21229" xr:uid="{00000000-0005-0000-0000-000011A10000}"/>
    <cellStyle name="Normal 58 4 6 2 4 2 2" xfId="46103" xr:uid="{00000000-0005-0000-0000-000012A10000}"/>
    <cellStyle name="Normal 58 4 6 2 4 3" xfId="33670" xr:uid="{00000000-0005-0000-0000-000013A10000}"/>
    <cellStyle name="Normal 58 4 6 2 5" xfId="12180" xr:uid="{00000000-0005-0000-0000-000014A10000}"/>
    <cellStyle name="Normal 58 4 6 2 5 2" xfId="24614" xr:uid="{00000000-0005-0000-0000-000015A10000}"/>
    <cellStyle name="Normal 58 4 6 2 5 2 2" xfId="49488" xr:uid="{00000000-0005-0000-0000-000016A10000}"/>
    <cellStyle name="Normal 58 4 6 2 5 3" xfId="37055" xr:uid="{00000000-0005-0000-0000-000017A10000}"/>
    <cellStyle name="Normal 58 4 6 2 6" xfId="7262" xr:uid="{00000000-0005-0000-0000-000018A10000}"/>
    <cellStyle name="Normal 58 4 6 2 6 2" xfId="19711" xr:uid="{00000000-0005-0000-0000-000019A10000}"/>
    <cellStyle name="Normal 58 4 6 2 6 2 2" xfId="44585" xr:uid="{00000000-0005-0000-0000-00001AA10000}"/>
    <cellStyle name="Normal 58 4 6 2 6 3" xfId="32152" xr:uid="{00000000-0005-0000-0000-00001BA10000}"/>
    <cellStyle name="Normal 58 4 6 2 7" xfId="3716" xr:uid="{00000000-0005-0000-0000-00001CA10000}"/>
    <cellStyle name="Normal 58 4 6 2 7 2" xfId="16222" xr:uid="{00000000-0005-0000-0000-00001DA10000}"/>
    <cellStyle name="Normal 58 4 6 2 7 2 2" xfId="41096" xr:uid="{00000000-0005-0000-0000-00001EA10000}"/>
    <cellStyle name="Normal 58 4 6 2 7 3" xfId="28655" xr:uid="{00000000-0005-0000-0000-00001FA10000}"/>
    <cellStyle name="Normal 58 4 6 2 8" xfId="13393" xr:uid="{00000000-0005-0000-0000-000020A10000}"/>
    <cellStyle name="Normal 58 4 6 2 8 2" xfId="38267" xr:uid="{00000000-0005-0000-0000-000021A10000}"/>
    <cellStyle name="Normal 58 4 6 2 9" xfId="25826" xr:uid="{00000000-0005-0000-0000-000022A10000}"/>
    <cellStyle name="Normal 58 4 6 3" xfId="1913" xr:uid="{00000000-0005-0000-0000-000023A10000}"/>
    <cellStyle name="Normal 58 4 6 3 2" xfId="4775" xr:uid="{00000000-0005-0000-0000-000024A10000}"/>
    <cellStyle name="Normal 58 4 6 3 2 2" xfId="9792" xr:uid="{00000000-0005-0000-0000-000025A10000}"/>
    <cellStyle name="Normal 58 4 6 3 2 2 2" xfId="22235" xr:uid="{00000000-0005-0000-0000-000026A10000}"/>
    <cellStyle name="Normal 58 4 6 3 2 2 2 2" xfId="47109" xr:uid="{00000000-0005-0000-0000-000027A10000}"/>
    <cellStyle name="Normal 58 4 6 3 2 2 3" xfId="34676" xr:uid="{00000000-0005-0000-0000-000028A10000}"/>
    <cellStyle name="Normal 58 4 6 3 2 3" xfId="17228" xr:uid="{00000000-0005-0000-0000-000029A10000}"/>
    <cellStyle name="Normal 58 4 6 3 2 3 2" xfId="42102" xr:uid="{00000000-0005-0000-0000-00002AA10000}"/>
    <cellStyle name="Normal 58 4 6 3 2 4" xfId="29669" xr:uid="{00000000-0005-0000-0000-00002BA10000}"/>
    <cellStyle name="Normal 58 4 6 3 3" xfId="6059" xr:uid="{00000000-0005-0000-0000-00002CA10000}"/>
    <cellStyle name="Normal 58 4 6 3 3 2" xfId="11074" xr:uid="{00000000-0005-0000-0000-00002DA10000}"/>
    <cellStyle name="Normal 58 4 6 3 3 2 2" xfId="23517" xr:uid="{00000000-0005-0000-0000-00002EA10000}"/>
    <cellStyle name="Normal 58 4 6 3 3 2 2 2" xfId="48391" xr:uid="{00000000-0005-0000-0000-00002FA10000}"/>
    <cellStyle name="Normal 58 4 6 3 3 2 3" xfId="35958" xr:uid="{00000000-0005-0000-0000-000030A10000}"/>
    <cellStyle name="Normal 58 4 6 3 3 3" xfId="18510" xr:uid="{00000000-0005-0000-0000-000031A10000}"/>
    <cellStyle name="Normal 58 4 6 3 3 3 2" xfId="43384" xr:uid="{00000000-0005-0000-0000-000032A10000}"/>
    <cellStyle name="Normal 58 4 6 3 3 4" xfId="30951" xr:uid="{00000000-0005-0000-0000-000033A10000}"/>
    <cellStyle name="Normal 58 4 6 3 4" xfId="8880" xr:uid="{00000000-0005-0000-0000-000034A10000}"/>
    <cellStyle name="Normal 58 4 6 3 4 2" xfId="21323" xr:uid="{00000000-0005-0000-0000-000035A10000}"/>
    <cellStyle name="Normal 58 4 6 3 4 2 2" xfId="46197" xr:uid="{00000000-0005-0000-0000-000036A10000}"/>
    <cellStyle name="Normal 58 4 6 3 4 3" xfId="33764" xr:uid="{00000000-0005-0000-0000-000037A10000}"/>
    <cellStyle name="Normal 58 4 6 3 5" xfId="12528" xr:uid="{00000000-0005-0000-0000-000038A10000}"/>
    <cellStyle name="Normal 58 4 6 3 5 2" xfId="24962" xr:uid="{00000000-0005-0000-0000-000039A10000}"/>
    <cellStyle name="Normal 58 4 6 3 5 2 2" xfId="49836" xr:uid="{00000000-0005-0000-0000-00003AA10000}"/>
    <cellStyle name="Normal 58 4 6 3 5 3" xfId="37403" xr:uid="{00000000-0005-0000-0000-00003BA10000}"/>
    <cellStyle name="Normal 58 4 6 3 6" xfId="7386" xr:uid="{00000000-0005-0000-0000-00003CA10000}"/>
    <cellStyle name="Normal 58 4 6 3 6 2" xfId="19834" xr:uid="{00000000-0005-0000-0000-00003DA10000}"/>
    <cellStyle name="Normal 58 4 6 3 6 2 2" xfId="44708" xr:uid="{00000000-0005-0000-0000-00003EA10000}"/>
    <cellStyle name="Normal 58 4 6 3 6 3" xfId="32275" xr:uid="{00000000-0005-0000-0000-00003FA10000}"/>
    <cellStyle name="Normal 58 4 6 3 7" xfId="3862" xr:uid="{00000000-0005-0000-0000-000040A10000}"/>
    <cellStyle name="Normal 58 4 6 3 7 2" xfId="16316" xr:uid="{00000000-0005-0000-0000-000041A10000}"/>
    <cellStyle name="Normal 58 4 6 3 7 2 2" xfId="41190" xr:uid="{00000000-0005-0000-0000-000042A10000}"/>
    <cellStyle name="Normal 58 4 6 3 7 3" xfId="28757" xr:uid="{00000000-0005-0000-0000-000043A10000}"/>
    <cellStyle name="Normal 58 4 6 3 8" xfId="14713" xr:uid="{00000000-0005-0000-0000-000044A10000}"/>
    <cellStyle name="Normal 58 4 6 3 8 2" xfId="39587" xr:uid="{00000000-0005-0000-0000-000045A10000}"/>
    <cellStyle name="Normal 58 4 6 3 9" xfId="27146" xr:uid="{00000000-0005-0000-0000-000046A10000}"/>
    <cellStyle name="Normal 58 4 6 4" xfId="2136" xr:uid="{00000000-0005-0000-0000-000047A10000}"/>
    <cellStyle name="Normal 58 4 6 4 2" xfId="6173" xr:uid="{00000000-0005-0000-0000-000048A10000}"/>
    <cellStyle name="Normal 58 4 6 4 2 2" xfId="11188" xr:uid="{00000000-0005-0000-0000-000049A10000}"/>
    <cellStyle name="Normal 58 4 6 4 2 2 2" xfId="23631" xr:uid="{00000000-0005-0000-0000-00004AA10000}"/>
    <cellStyle name="Normal 58 4 6 4 2 2 2 2" xfId="48505" xr:uid="{00000000-0005-0000-0000-00004BA10000}"/>
    <cellStyle name="Normal 58 4 6 4 2 2 3" xfId="36072" xr:uid="{00000000-0005-0000-0000-00004CA10000}"/>
    <cellStyle name="Normal 58 4 6 4 2 3" xfId="18624" xr:uid="{00000000-0005-0000-0000-00004DA10000}"/>
    <cellStyle name="Normal 58 4 6 4 2 3 2" xfId="43498" xr:uid="{00000000-0005-0000-0000-00004EA10000}"/>
    <cellStyle name="Normal 58 4 6 4 2 4" xfId="31065" xr:uid="{00000000-0005-0000-0000-00004FA10000}"/>
    <cellStyle name="Normal 58 4 6 4 3" xfId="12642" xr:uid="{00000000-0005-0000-0000-000050A10000}"/>
    <cellStyle name="Normal 58 4 6 4 3 2" xfId="25076" xr:uid="{00000000-0005-0000-0000-000051A10000}"/>
    <cellStyle name="Normal 58 4 6 4 3 2 2" xfId="49950" xr:uid="{00000000-0005-0000-0000-000052A10000}"/>
    <cellStyle name="Normal 58 4 6 4 3 3" xfId="37517" xr:uid="{00000000-0005-0000-0000-000053A10000}"/>
    <cellStyle name="Normal 58 4 6 4 4" xfId="9083" xr:uid="{00000000-0005-0000-0000-000054A10000}"/>
    <cellStyle name="Normal 58 4 6 4 4 2" xfId="21526" xr:uid="{00000000-0005-0000-0000-000055A10000}"/>
    <cellStyle name="Normal 58 4 6 4 4 2 2" xfId="46400" xr:uid="{00000000-0005-0000-0000-000056A10000}"/>
    <cellStyle name="Normal 58 4 6 4 4 3" xfId="33967" xr:uid="{00000000-0005-0000-0000-000057A10000}"/>
    <cellStyle name="Normal 58 4 6 4 5" xfId="4065" xr:uid="{00000000-0005-0000-0000-000058A10000}"/>
    <cellStyle name="Normal 58 4 6 4 5 2" xfId="16519" xr:uid="{00000000-0005-0000-0000-000059A10000}"/>
    <cellStyle name="Normal 58 4 6 4 5 2 2" xfId="41393" xr:uid="{00000000-0005-0000-0000-00005AA10000}"/>
    <cellStyle name="Normal 58 4 6 4 5 3" xfId="28960" xr:uid="{00000000-0005-0000-0000-00005BA10000}"/>
    <cellStyle name="Normal 58 4 6 4 6" xfId="14827" xr:uid="{00000000-0005-0000-0000-00005CA10000}"/>
    <cellStyle name="Normal 58 4 6 4 6 2" xfId="39701" xr:uid="{00000000-0005-0000-0000-00005DA10000}"/>
    <cellStyle name="Normal 58 4 6 4 7" xfId="27260" xr:uid="{00000000-0005-0000-0000-00005EA10000}"/>
    <cellStyle name="Normal 58 4 6 5" xfId="984" xr:uid="{00000000-0005-0000-0000-00005FA10000}"/>
    <cellStyle name="Normal 58 4 6 5 2" xfId="10143" xr:uid="{00000000-0005-0000-0000-000060A10000}"/>
    <cellStyle name="Normal 58 4 6 5 2 2" xfId="22586" xr:uid="{00000000-0005-0000-0000-000061A10000}"/>
    <cellStyle name="Normal 58 4 6 5 2 2 2" xfId="47460" xr:uid="{00000000-0005-0000-0000-000062A10000}"/>
    <cellStyle name="Normal 58 4 6 5 2 3" xfId="35027" xr:uid="{00000000-0005-0000-0000-000063A10000}"/>
    <cellStyle name="Normal 58 4 6 5 3" xfId="5127" xr:uid="{00000000-0005-0000-0000-000064A10000}"/>
    <cellStyle name="Normal 58 4 6 5 3 2" xfId="17579" xr:uid="{00000000-0005-0000-0000-000065A10000}"/>
    <cellStyle name="Normal 58 4 6 5 3 2 2" xfId="42453" xr:uid="{00000000-0005-0000-0000-000066A10000}"/>
    <cellStyle name="Normal 58 4 6 5 3 3" xfId="30020" xr:uid="{00000000-0005-0000-0000-000067A10000}"/>
    <cellStyle name="Normal 58 4 6 5 4" xfId="13784" xr:uid="{00000000-0005-0000-0000-000068A10000}"/>
    <cellStyle name="Normal 58 4 6 5 4 2" xfId="38658" xr:uid="{00000000-0005-0000-0000-000069A10000}"/>
    <cellStyle name="Normal 58 4 6 5 5" xfId="26217" xr:uid="{00000000-0005-0000-0000-00006AA10000}"/>
    <cellStyle name="Normal 58 4 6 6" xfId="8199" xr:uid="{00000000-0005-0000-0000-00006BA10000}"/>
    <cellStyle name="Normal 58 4 6 6 2" xfId="20643" xr:uid="{00000000-0005-0000-0000-00006CA10000}"/>
    <cellStyle name="Normal 58 4 6 6 2 2" xfId="45517" xr:uid="{00000000-0005-0000-0000-00006DA10000}"/>
    <cellStyle name="Normal 58 4 6 6 3" xfId="33084" xr:uid="{00000000-0005-0000-0000-00006EA10000}"/>
    <cellStyle name="Normal 58 4 6 7" xfId="11599" xr:uid="{00000000-0005-0000-0000-00006FA10000}"/>
    <cellStyle name="Normal 58 4 6 7 2" xfId="24033" xr:uid="{00000000-0005-0000-0000-000070A10000}"/>
    <cellStyle name="Normal 58 4 6 7 2 2" xfId="48907" xr:uid="{00000000-0005-0000-0000-000071A10000}"/>
    <cellStyle name="Normal 58 4 6 7 3" xfId="36474" xr:uid="{00000000-0005-0000-0000-000072A10000}"/>
    <cellStyle name="Normal 58 4 6 8" xfId="6676" xr:uid="{00000000-0005-0000-0000-000073A10000}"/>
    <cellStyle name="Normal 58 4 6 8 2" xfId="19125" xr:uid="{00000000-0005-0000-0000-000074A10000}"/>
    <cellStyle name="Normal 58 4 6 8 2 2" xfId="43999" xr:uid="{00000000-0005-0000-0000-000075A10000}"/>
    <cellStyle name="Normal 58 4 6 8 3" xfId="31566" xr:uid="{00000000-0005-0000-0000-000076A10000}"/>
    <cellStyle name="Normal 58 4 6 9" xfId="3130" xr:uid="{00000000-0005-0000-0000-000077A10000}"/>
    <cellStyle name="Normal 58 4 6 9 2" xfId="15636" xr:uid="{00000000-0005-0000-0000-000078A10000}"/>
    <cellStyle name="Normal 58 4 6 9 2 2" xfId="40510" xr:uid="{00000000-0005-0000-0000-000079A10000}"/>
    <cellStyle name="Normal 58 4 6 9 3" xfId="28069" xr:uid="{00000000-0005-0000-0000-00007AA10000}"/>
    <cellStyle name="Normal 58 4 6_Degree data" xfId="2530" xr:uid="{00000000-0005-0000-0000-00007BA10000}"/>
    <cellStyle name="Normal 58 4 7" xfId="540" xr:uid="{00000000-0005-0000-0000-00007CA10000}"/>
    <cellStyle name="Normal 58 4 7 2" xfId="1556" xr:uid="{00000000-0005-0000-0000-00007DA10000}"/>
    <cellStyle name="Normal 58 4 7 2 2" xfId="9660" xr:uid="{00000000-0005-0000-0000-00007EA10000}"/>
    <cellStyle name="Normal 58 4 7 2 2 2" xfId="22103" xr:uid="{00000000-0005-0000-0000-00007FA10000}"/>
    <cellStyle name="Normal 58 4 7 2 2 2 2" xfId="46977" xr:uid="{00000000-0005-0000-0000-000080A10000}"/>
    <cellStyle name="Normal 58 4 7 2 2 3" xfId="34544" xr:uid="{00000000-0005-0000-0000-000081A10000}"/>
    <cellStyle name="Normal 58 4 7 2 3" xfId="4642" xr:uid="{00000000-0005-0000-0000-000082A10000}"/>
    <cellStyle name="Normal 58 4 7 2 3 2" xfId="17096" xr:uid="{00000000-0005-0000-0000-000083A10000}"/>
    <cellStyle name="Normal 58 4 7 2 3 2 2" xfId="41970" xr:uid="{00000000-0005-0000-0000-000084A10000}"/>
    <cellStyle name="Normal 58 4 7 2 3 3" xfId="29537" xr:uid="{00000000-0005-0000-0000-000085A10000}"/>
    <cellStyle name="Normal 58 4 7 2 4" xfId="14356" xr:uid="{00000000-0005-0000-0000-000086A10000}"/>
    <cellStyle name="Normal 58 4 7 2 4 2" xfId="39230" xr:uid="{00000000-0005-0000-0000-000087A10000}"/>
    <cellStyle name="Normal 58 4 7 2 5" xfId="26789" xr:uid="{00000000-0005-0000-0000-000088A10000}"/>
    <cellStyle name="Normal 58 4 7 3" xfId="5701" xr:uid="{00000000-0005-0000-0000-000089A10000}"/>
    <cellStyle name="Normal 58 4 7 3 2" xfId="10717" xr:uid="{00000000-0005-0000-0000-00008AA10000}"/>
    <cellStyle name="Normal 58 4 7 3 2 2" xfId="23160" xr:uid="{00000000-0005-0000-0000-00008BA10000}"/>
    <cellStyle name="Normal 58 4 7 3 2 2 2" xfId="48034" xr:uid="{00000000-0005-0000-0000-00008CA10000}"/>
    <cellStyle name="Normal 58 4 7 3 2 3" xfId="35601" xr:uid="{00000000-0005-0000-0000-00008DA10000}"/>
    <cellStyle name="Normal 58 4 7 3 3" xfId="18153" xr:uid="{00000000-0005-0000-0000-00008EA10000}"/>
    <cellStyle name="Normal 58 4 7 3 3 2" xfId="43027" xr:uid="{00000000-0005-0000-0000-00008FA10000}"/>
    <cellStyle name="Normal 58 4 7 3 4" xfId="30594" xr:uid="{00000000-0005-0000-0000-000090A10000}"/>
    <cellStyle name="Normal 58 4 7 4" xfId="8776" xr:uid="{00000000-0005-0000-0000-000091A10000}"/>
    <cellStyle name="Normal 58 4 7 4 2" xfId="21220" xr:uid="{00000000-0005-0000-0000-000092A10000}"/>
    <cellStyle name="Normal 58 4 7 4 2 2" xfId="46094" xr:uid="{00000000-0005-0000-0000-000093A10000}"/>
    <cellStyle name="Normal 58 4 7 4 3" xfId="33661" xr:uid="{00000000-0005-0000-0000-000094A10000}"/>
    <cellStyle name="Normal 58 4 7 5" xfId="12171" xr:uid="{00000000-0005-0000-0000-000095A10000}"/>
    <cellStyle name="Normal 58 4 7 5 2" xfId="24605" xr:uid="{00000000-0005-0000-0000-000096A10000}"/>
    <cellStyle name="Normal 58 4 7 5 2 2" xfId="49479" xr:uid="{00000000-0005-0000-0000-000097A10000}"/>
    <cellStyle name="Normal 58 4 7 5 3" xfId="37046" xr:uid="{00000000-0005-0000-0000-000098A10000}"/>
    <cellStyle name="Normal 58 4 7 6" xfId="7253" xr:uid="{00000000-0005-0000-0000-000099A10000}"/>
    <cellStyle name="Normal 58 4 7 6 2" xfId="19702" xr:uid="{00000000-0005-0000-0000-00009AA10000}"/>
    <cellStyle name="Normal 58 4 7 6 2 2" xfId="44576" xr:uid="{00000000-0005-0000-0000-00009BA10000}"/>
    <cellStyle name="Normal 58 4 7 6 3" xfId="32143" xr:uid="{00000000-0005-0000-0000-00009CA10000}"/>
    <cellStyle name="Normal 58 4 7 7" xfId="3707" xr:uid="{00000000-0005-0000-0000-00009DA10000}"/>
    <cellStyle name="Normal 58 4 7 7 2" xfId="16213" xr:uid="{00000000-0005-0000-0000-00009EA10000}"/>
    <cellStyle name="Normal 58 4 7 7 2 2" xfId="41087" xr:uid="{00000000-0005-0000-0000-00009FA10000}"/>
    <cellStyle name="Normal 58 4 7 7 3" xfId="28646" xr:uid="{00000000-0005-0000-0000-0000A0A10000}"/>
    <cellStyle name="Normal 58 4 7 8" xfId="13350" xr:uid="{00000000-0005-0000-0000-0000A1A10000}"/>
    <cellStyle name="Normal 58 4 7 8 2" xfId="38224" xr:uid="{00000000-0005-0000-0000-0000A2A10000}"/>
    <cellStyle name="Normal 58 4 7 9" xfId="25783" xr:uid="{00000000-0005-0000-0000-0000A3A10000}"/>
    <cellStyle name="Normal 58 4 8" xfId="1904" xr:uid="{00000000-0005-0000-0000-0000A4A10000}"/>
    <cellStyle name="Normal 58 4 8 2" xfId="4732" xr:uid="{00000000-0005-0000-0000-0000A5A10000}"/>
    <cellStyle name="Normal 58 4 8 2 2" xfId="9749" xr:uid="{00000000-0005-0000-0000-0000A6A10000}"/>
    <cellStyle name="Normal 58 4 8 2 2 2" xfId="22192" xr:uid="{00000000-0005-0000-0000-0000A7A10000}"/>
    <cellStyle name="Normal 58 4 8 2 2 2 2" xfId="47066" xr:uid="{00000000-0005-0000-0000-0000A8A10000}"/>
    <cellStyle name="Normal 58 4 8 2 2 3" xfId="34633" xr:uid="{00000000-0005-0000-0000-0000A9A10000}"/>
    <cellStyle name="Normal 58 4 8 2 3" xfId="17185" xr:uid="{00000000-0005-0000-0000-0000AAA10000}"/>
    <cellStyle name="Normal 58 4 8 2 3 2" xfId="42059" xr:uid="{00000000-0005-0000-0000-0000ABA10000}"/>
    <cellStyle name="Normal 58 4 8 2 4" xfId="29626" xr:uid="{00000000-0005-0000-0000-0000ACA10000}"/>
    <cellStyle name="Normal 58 4 8 3" xfId="6050" xr:uid="{00000000-0005-0000-0000-0000ADA10000}"/>
    <cellStyle name="Normal 58 4 8 3 2" xfId="11065" xr:uid="{00000000-0005-0000-0000-0000AEA10000}"/>
    <cellStyle name="Normal 58 4 8 3 2 2" xfId="23508" xr:uid="{00000000-0005-0000-0000-0000AFA10000}"/>
    <cellStyle name="Normal 58 4 8 3 2 2 2" xfId="48382" xr:uid="{00000000-0005-0000-0000-0000B0A10000}"/>
    <cellStyle name="Normal 58 4 8 3 2 3" xfId="35949" xr:uid="{00000000-0005-0000-0000-0000B1A10000}"/>
    <cellStyle name="Normal 58 4 8 3 3" xfId="18501" xr:uid="{00000000-0005-0000-0000-0000B2A10000}"/>
    <cellStyle name="Normal 58 4 8 3 3 2" xfId="43375" xr:uid="{00000000-0005-0000-0000-0000B3A10000}"/>
    <cellStyle name="Normal 58 4 8 3 4" xfId="30942" xr:uid="{00000000-0005-0000-0000-0000B4A10000}"/>
    <cellStyle name="Normal 58 4 8 4" xfId="8024" xr:uid="{00000000-0005-0000-0000-0000B5A10000}"/>
    <cellStyle name="Normal 58 4 8 4 2" xfId="20470" xr:uid="{00000000-0005-0000-0000-0000B6A10000}"/>
    <cellStyle name="Normal 58 4 8 4 2 2" xfId="45344" xr:uid="{00000000-0005-0000-0000-0000B7A10000}"/>
    <cellStyle name="Normal 58 4 8 4 3" xfId="32911" xr:uid="{00000000-0005-0000-0000-0000B8A10000}"/>
    <cellStyle name="Normal 58 4 8 5" xfId="12519" xr:uid="{00000000-0005-0000-0000-0000B9A10000}"/>
    <cellStyle name="Normal 58 4 8 5 2" xfId="24953" xr:uid="{00000000-0005-0000-0000-0000BAA10000}"/>
    <cellStyle name="Normal 58 4 8 5 2 2" xfId="49827" xr:uid="{00000000-0005-0000-0000-0000BBA10000}"/>
    <cellStyle name="Normal 58 4 8 5 3" xfId="37394" xr:uid="{00000000-0005-0000-0000-0000BCA10000}"/>
    <cellStyle name="Normal 58 4 8 6" xfId="7343" xr:uid="{00000000-0005-0000-0000-0000BDA10000}"/>
    <cellStyle name="Normal 58 4 8 6 2" xfId="19791" xr:uid="{00000000-0005-0000-0000-0000BEA10000}"/>
    <cellStyle name="Normal 58 4 8 6 2 2" xfId="44665" xr:uid="{00000000-0005-0000-0000-0000BFA10000}"/>
    <cellStyle name="Normal 58 4 8 6 3" xfId="32232" xr:uid="{00000000-0005-0000-0000-0000C0A10000}"/>
    <cellStyle name="Normal 58 4 8 7" xfId="2948" xr:uid="{00000000-0005-0000-0000-0000C1A10000}"/>
    <cellStyle name="Normal 58 4 8 7 2" xfId="15463" xr:uid="{00000000-0005-0000-0000-0000C2A10000}"/>
    <cellStyle name="Normal 58 4 8 7 2 2" xfId="40337" xr:uid="{00000000-0005-0000-0000-0000C3A10000}"/>
    <cellStyle name="Normal 58 4 8 7 3" xfId="27896" xr:uid="{00000000-0005-0000-0000-0000C4A10000}"/>
    <cellStyle name="Normal 58 4 8 8" xfId="14704" xr:uid="{00000000-0005-0000-0000-0000C5A10000}"/>
    <cellStyle name="Normal 58 4 8 8 2" xfId="39578" xr:uid="{00000000-0005-0000-0000-0000C6A10000}"/>
    <cellStyle name="Normal 58 4 8 9" xfId="27137" xr:uid="{00000000-0005-0000-0000-0000C7A10000}"/>
    <cellStyle name="Normal 58 4 9" xfId="2065" xr:uid="{00000000-0005-0000-0000-0000C8A10000}"/>
    <cellStyle name="Normal 58 4 9 2" xfId="6130" xr:uid="{00000000-0005-0000-0000-0000C9A10000}"/>
    <cellStyle name="Normal 58 4 9 2 2" xfId="11145" xr:uid="{00000000-0005-0000-0000-0000CAA10000}"/>
    <cellStyle name="Normal 58 4 9 2 2 2" xfId="23588" xr:uid="{00000000-0005-0000-0000-0000CBA10000}"/>
    <cellStyle name="Normal 58 4 9 2 2 2 2" xfId="48462" xr:uid="{00000000-0005-0000-0000-0000CCA10000}"/>
    <cellStyle name="Normal 58 4 9 2 2 3" xfId="36029" xr:uid="{00000000-0005-0000-0000-0000CDA10000}"/>
    <cellStyle name="Normal 58 4 9 2 3" xfId="18581" xr:uid="{00000000-0005-0000-0000-0000CEA10000}"/>
    <cellStyle name="Normal 58 4 9 2 3 2" xfId="43455" xr:uid="{00000000-0005-0000-0000-0000CFA10000}"/>
    <cellStyle name="Normal 58 4 9 2 4" xfId="31022" xr:uid="{00000000-0005-0000-0000-0000D0A10000}"/>
    <cellStyle name="Normal 58 4 9 3" xfId="12599" xr:uid="{00000000-0005-0000-0000-0000D1A10000}"/>
    <cellStyle name="Normal 58 4 9 3 2" xfId="25033" xr:uid="{00000000-0005-0000-0000-0000D2A10000}"/>
    <cellStyle name="Normal 58 4 9 3 2 2" xfId="49907" xr:uid="{00000000-0005-0000-0000-0000D3A10000}"/>
    <cellStyle name="Normal 58 4 9 3 3" xfId="37474" xr:uid="{00000000-0005-0000-0000-0000D4A10000}"/>
    <cellStyle name="Normal 58 4 9 4" xfId="8911" xr:uid="{00000000-0005-0000-0000-0000D5A10000}"/>
    <cellStyle name="Normal 58 4 9 4 2" xfId="21354" xr:uid="{00000000-0005-0000-0000-0000D6A10000}"/>
    <cellStyle name="Normal 58 4 9 4 2 2" xfId="46228" xr:uid="{00000000-0005-0000-0000-0000D7A10000}"/>
    <cellStyle name="Normal 58 4 9 4 3" xfId="33795" xr:uid="{00000000-0005-0000-0000-0000D8A10000}"/>
    <cellStyle name="Normal 58 4 9 5" xfId="3893" xr:uid="{00000000-0005-0000-0000-0000D9A10000}"/>
    <cellStyle name="Normal 58 4 9 5 2" xfId="16347" xr:uid="{00000000-0005-0000-0000-0000DAA10000}"/>
    <cellStyle name="Normal 58 4 9 5 2 2" xfId="41221" xr:uid="{00000000-0005-0000-0000-0000DBA10000}"/>
    <cellStyle name="Normal 58 4 9 5 3" xfId="28788" xr:uid="{00000000-0005-0000-0000-0000DCA10000}"/>
    <cellStyle name="Normal 58 4 9 6" xfId="14784" xr:uid="{00000000-0005-0000-0000-0000DDA10000}"/>
    <cellStyle name="Normal 58 4 9 6 2" xfId="39658" xr:uid="{00000000-0005-0000-0000-0000DEA10000}"/>
    <cellStyle name="Normal 58 4 9 7" xfId="27217" xr:uid="{00000000-0005-0000-0000-0000DFA10000}"/>
    <cellStyle name="Normal 58 4_Degree data" xfId="2521" xr:uid="{00000000-0005-0000-0000-0000E0A10000}"/>
    <cellStyle name="Normal 58 5" xfId="156" xr:uid="{00000000-0005-0000-0000-0000E1A10000}"/>
    <cellStyle name="Normal 58 5 10" xfId="924" xr:uid="{00000000-0005-0000-0000-0000E2A10000}"/>
    <cellStyle name="Normal 58 5 10 2" xfId="7721" xr:uid="{00000000-0005-0000-0000-0000E3A10000}"/>
    <cellStyle name="Normal 58 5 10 2 2" xfId="20167" xr:uid="{00000000-0005-0000-0000-0000E4A10000}"/>
    <cellStyle name="Normal 58 5 10 2 2 2" xfId="45041" xr:uid="{00000000-0005-0000-0000-0000E5A10000}"/>
    <cellStyle name="Normal 58 5 10 2 3" xfId="32608" xr:uid="{00000000-0005-0000-0000-0000E6A10000}"/>
    <cellStyle name="Normal 58 5 10 3" xfId="13724" xr:uid="{00000000-0005-0000-0000-0000E7A10000}"/>
    <cellStyle name="Normal 58 5 10 3 2" xfId="38598" xr:uid="{00000000-0005-0000-0000-0000E8A10000}"/>
    <cellStyle name="Normal 58 5 10 4" xfId="26157" xr:uid="{00000000-0005-0000-0000-0000E9A10000}"/>
    <cellStyle name="Normal 58 5 11" xfId="11539" xr:uid="{00000000-0005-0000-0000-0000EAA10000}"/>
    <cellStyle name="Normal 58 5 11 2" xfId="23973" xr:uid="{00000000-0005-0000-0000-0000EBA10000}"/>
    <cellStyle name="Normal 58 5 11 2 2" xfId="48847" xr:uid="{00000000-0005-0000-0000-0000ECA10000}"/>
    <cellStyle name="Normal 58 5 11 3" xfId="36414" xr:uid="{00000000-0005-0000-0000-0000EDA10000}"/>
    <cellStyle name="Normal 58 5 12" xfId="6531" xr:uid="{00000000-0005-0000-0000-0000EEA10000}"/>
    <cellStyle name="Normal 58 5 12 2" xfId="18980" xr:uid="{00000000-0005-0000-0000-0000EFA10000}"/>
    <cellStyle name="Normal 58 5 12 2 2" xfId="43854" xr:uid="{00000000-0005-0000-0000-0000F0A10000}"/>
    <cellStyle name="Normal 58 5 12 3" xfId="31421" xr:uid="{00000000-0005-0000-0000-0000F1A10000}"/>
    <cellStyle name="Normal 58 5 13" xfId="2642" xr:uid="{00000000-0005-0000-0000-0000F2A10000}"/>
    <cellStyle name="Normal 58 5 13 2" xfId="15160" xr:uid="{00000000-0005-0000-0000-0000F3A10000}"/>
    <cellStyle name="Normal 58 5 13 2 2" xfId="40034" xr:uid="{00000000-0005-0000-0000-0000F4A10000}"/>
    <cellStyle name="Normal 58 5 13 3" xfId="27593" xr:uid="{00000000-0005-0000-0000-0000F5A10000}"/>
    <cellStyle name="Normal 58 5 14" xfId="12986" xr:uid="{00000000-0005-0000-0000-0000F6A10000}"/>
    <cellStyle name="Normal 58 5 14 2" xfId="37860" xr:uid="{00000000-0005-0000-0000-0000F7A10000}"/>
    <cellStyle name="Normal 58 5 15" xfId="25419" xr:uid="{00000000-0005-0000-0000-0000F8A10000}"/>
    <cellStyle name="Normal 58 5 2" xfId="186" xr:uid="{00000000-0005-0000-0000-0000F9A10000}"/>
    <cellStyle name="Normal 58 5 2 10" xfId="6574" xr:uid="{00000000-0005-0000-0000-0000FAA10000}"/>
    <cellStyle name="Normal 58 5 2 10 2" xfId="19023" xr:uid="{00000000-0005-0000-0000-0000FBA10000}"/>
    <cellStyle name="Normal 58 5 2 10 2 2" xfId="43897" xr:uid="{00000000-0005-0000-0000-0000FCA10000}"/>
    <cellStyle name="Normal 58 5 2 10 3" xfId="31464" xr:uid="{00000000-0005-0000-0000-0000FDA10000}"/>
    <cellStyle name="Normal 58 5 2 11" xfId="2742" xr:uid="{00000000-0005-0000-0000-0000FEA10000}"/>
    <cellStyle name="Normal 58 5 2 11 2" xfId="15260" xr:uid="{00000000-0005-0000-0000-0000FFA10000}"/>
    <cellStyle name="Normal 58 5 2 11 2 2" xfId="40134" xr:uid="{00000000-0005-0000-0000-000000A20000}"/>
    <cellStyle name="Normal 58 5 2 11 3" xfId="27693" xr:uid="{00000000-0005-0000-0000-000001A20000}"/>
    <cellStyle name="Normal 58 5 2 12" xfId="13016" xr:uid="{00000000-0005-0000-0000-000002A20000}"/>
    <cellStyle name="Normal 58 5 2 12 2" xfId="37890" xr:uid="{00000000-0005-0000-0000-000003A20000}"/>
    <cellStyle name="Normal 58 5 2 13" xfId="25449" xr:uid="{00000000-0005-0000-0000-000004A20000}"/>
    <cellStyle name="Normal 58 5 2 2" xfId="447" xr:uid="{00000000-0005-0000-0000-000005A20000}"/>
    <cellStyle name="Normal 58 5 2 2 10" xfId="13261" xr:uid="{00000000-0005-0000-0000-000006A20000}"/>
    <cellStyle name="Normal 58 5 2 2 10 2" xfId="38135" xr:uid="{00000000-0005-0000-0000-000007A20000}"/>
    <cellStyle name="Normal 58 5 2 2 11" xfId="25694" xr:uid="{00000000-0005-0000-0000-000008A20000}"/>
    <cellStyle name="Normal 58 5 2 2 2" xfId="807" xr:uid="{00000000-0005-0000-0000-000009A20000}"/>
    <cellStyle name="Normal 58 5 2 2 2 2" xfId="1568" xr:uid="{00000000-0005-0000-0000-00000AA20000}"/>
    <cellStyle name="Normal 58 5 2 2 2 2 2" xfId="9672" xr:uid="{00000000-0005-0000-0000-00000BA20000}"/>
    <cellStyle name="Normal 58 5 2 2 2 2 2 2" xfId="22115" xr:uid="{00000000-0005-0000-0000-00000CA20000}"/>
    <cellStyle name="Normal 58 5 2 2 2 2 2 2 2" xfId="46989" xr:uid="{00000000-0005-0000-0000-00000DA20000}"/>
    <cellStyle name="Normal 58 5 2 2 2 2 2 3" xfId="34556" xr:uid="{00000000-0005-0000-0000-00000EA20000}"/>
    <cellStyle name="Normal 58 5 2 2 2 2 3" xfId="4654" xr:uid="{00000000-0005-0000-0000-00000FA20000}"/>
    <cellStyle name="Normal 58 5 2 2 2 2 3 2" xfId="17108" xr:uid="{00000000-0005-0000-0000-000010A20000}"/>
    <cellStyle name="Normal 58 5 2 2 2 2 3 2 2" xfId="41982" xr:uid="{00000000-0005-0000-0000-000011A20000}"/>
    <cellStyle name="Normal 58 5 2 2 2 2 3 3" xfId="29549" xr:uid="{00000000-0005-0000-0000-000012A20000}"/>
    <cellStyle name="Normal 58 5 2 2 2 2 4" xfId="14368" xr:uid="{00000000-0005-0000-0000-000013A20000}"/>
    <cellStyle name="Normal 58 5 2 2 2 2 4 2" xfId="39242" xr:uid="{00000000-0005-0000-0000-000014A20000}"/>
    <cellStyle name="Normal 58 5 2 2 2 2 5" xfId="26801" xr:uid="{00000000-0005-0000-0000-000015A20000}"/>
    <cellStyle name="Normal 58 5 2 2 2 3" xfId="5713" xr:uid="{00000000-0005-0000-0000-000016A20000}"/>
    <cellStyle name="Normal 58 5 2 2 2 3 2" xfId="10729" xr:uid="{00000000-0005-0000-0000-000017A20000}"/>
    <cellStyle name="Normal 58 5 2 2 2 3 2 2" xfId="23172" xr:uid="{00000000-0005-0000-0000-000018A20000}"/>
    <cellStyle name="Normal 58 5 2 2 2 3 2 2 2" xfId="48046" xr:uid="{00000000-0005-0000-0000-000019A20000}"/>
    <cellStyle name="Normal 58 5 2 2 2 3 2 3" xfId="35613" xr:uid="{00000000-0005-0000-0000-00001AA20000}"/>
    <cellStyle name="Normal 58 5 2 2 2 3 3" xfId="18165" xr:uid="{00000000-0005-0000-0000-00001BA20000}"/>
    <cellStyle name="Normal 58 5 2 2 2 3 3 2" xfId="43039" xr:uid="{00000000-0005-0000-0000-00001CA20000}"/>
    <cellStyle name="Normal 58 5 2 2 2 3 4" xfId="30606" xr:uid="{00000000-0005-0000-0000-00001DA20000}"/>
    <cellStyle name="Normal 58 5 2 2 2 4" xfId="8788" xr:uid="{00000000-0005-0000-0000-00001EA20000}"/>
    <cellStyle name="Normal 58 5 2 2 2 4 2" xfId="21232" xr:uid="{00000000-0005-0000-0000-00001FA20000}"/>
    <cellStyle name="Normal 58 5 2 2 2 4 2 2" xfId="46106" xr:uid="{00000000-0005-0000-0000-000020A20000}"/>
    <cellStyle name="Normal 58 5 2 2 2 4 3" xfId="33673" xr:uid="{00000000-0005-0000-0000-000021A20000}"/>
    <cellStyle name="Normal 58 5 2 2 2 5" xfId="12183" xr:uid="{00000000-0005-0000-0000-000022A20000}"/>
    <cellStyle name="Normal 58 5 2 2 2 5 2" xfId="24617" xr:uid="{00000000-0005-0000-0000-000023A20000}"/>
    <cellStyle name="Normal 58 5 2 2 2 5 2 2" xfId="49491" xr:uid="{00000000-0005-0000-0000-000024A20000}"/>
    <cellStyle name="Normal 58 5 2 2 2 5 3" xfId="37058" xr:uid="{00000000-0005-0000-0000-000025A20000}"/>
    <cellStyle name="Normal 58 5 2 2 2 6" xfId="7265" xr:uid="{00000000-0005-0000-0000-000026A20000}"/>
    <cellStyle name="Normal 58 5 2 2 2 6 2" xfId="19714" xr:uid="{00000000-0005-0000-0000-000027A20000}"/>
    <cellStyle name="Normal 58 5 2 2 2 6 2 2" xfId="44588" xr:uid="{00000000-0005-0000-0000-000028A20000}"/>
    <cellStyle name="Normal 58 5 2 2 2 6 3" xfId="32155" xr:uid="{00000000-0005-0000-0000-000029A20000}"/>
    <cellStyle name="Normal 58 5 2 2 2 7" xfId="3719" xr:uid="{00000000-0005-0000-0000-00002AA20000}"/>
    <cellStyle name="Normal 58 5 2 2 2 7 2" xfId="16225" xr:uid="{00000000-0005-0000-0000-00002BA20000}"/>
    <cellStyle name="Normal 58 5 2 2 2 7 2 2" xfId="41099" xr:uid="{00000000-0005-0000-0000-00002CA20000}"/>
    <cellStyle name="Normal 58 5 2 2 2 7 3" xfId="28658" xr:uid="{00000000-0005-0000-0000-00002DA20000}"/>
    <cellStyle name="Normal 58 5 2 2 2 8" xfId="13608" xr:uid="{00000000-0005-0000-0000-00002EA20000}"/>
    <cellStyle name="Normal 58 5 2 2 2 8 2" xfId="38482" xr:uid="{00000000-0005-0000-0000-00002FA20000}"/>
    <cellStyle name="Normal 58 5 2 2 2 9" xfId="26041" xr:uid="{00000000-0005-0000-0000-000030A20000}"/>
    <cellStyle name="Normal 58 5 2 2 3" xfId="1916" xr:uid="{00000000-0005-0000-0000-000031A20000}"/>
    <cellStyle name="Normal 58 5 2 2 3 2" xfId="4990" xr:uid="{00000000-0005-0000-0000-000032A20000}"/>
    <cellStyle name="Normal 58 5 2 2 3 2 2" xfId="10007" xr:uid="{00000000-0005-0000-0000-000033A20000}"/>
    <cellStyle name="Normal 58 5 2 2 3 2 2 2" xfId="22450" xr:uid="{00000000-0005-0000-0000-000034A20000}"/>
    <cellStyle name="Normal 58 5 2 2 3 2 2 2 2" xfId="47324" xr:uid="{00000000-0005-0000-0000-000035A20000}"/>
    <cellStyle name="Normal 58 5 2 2 3 2 2 3" xfId="34891" xr:uid="{00000000-0005-0000-0000-000036A20000}"/>
    <cellStyle name="Normal 58 5 2 2 3 2 3" xfId="17443" xr:uid="{00000000-0005-0000-0000-000037A20000}"/>
    <cellStyle name="Normal 58 5 2 2 3 2 3 2" xfId="42317" xr:uid="{00000000-0005-0000-0000-000038A20000}"/>
    <cellStyle name="Normal 58 5 2 2 3 2 4" xfId="29884" xr:uid="{00000000-0005-0000-0000-000039A20000}"/>
    <cellStyle name="Normal 58 5 2 2 3 3" xfId="6062" xr:uid="{00000000-0005-0000-0000-00003AA20000}"/>
    <cellStyle name="Normal 58 5 2 2 3 3 2" xfId="11077" xr:uid="{00000000-0005-0000-0000-00003BA20000}"/>
    <cellStyle name="Normal 58 5 2 2 3 3 2 2" xfId="23520" xr:uid="{00000000-0005-0000-0000-00003CA20000}"/>
    <cellStyle name="Normal 58 5 2 2 3 3 2 2 2" xfId="48394" xr:uid="{00000000-0005-0000-0000-00003DA20000}"/>
    <cellStyle name="Normal 58 5 2 2 3 3 2 3" xfId="35961" xr:uid="{00000000-0005-0000-0000-00003EA20000}"/>
    <cellStyle name="Normal 58 5 2 2 3 3 3" xfId="18513" xr:uid="{00000000-0005-0000-0000-00003FA20000}"/>
    <cellStyle name="Normal 58 5 2 2 3 3 3 2" xfId="43387" xr:uid="{00000000-0005-0000-0000-000040A20000}"/>
    <cellStyle name="Normal 58 5 2 2 3 3 4" xfId="30954" xr:uid="{00000000-0005-0000-0000-000041A20000}"/>
    <cellStyle name="Normal 58 5 2 2 3 4" xfId="8414" xr:uid="{00000000-0005-0000-0000-000042A20000}"/>
    <cellStyle name="Normal 58 5 2 2 3 4 2" xfId="20858" xr:uid="{00000000-0005-0000-0000-000043A20000}"/>
    <cellStyle name="Normal 58 5 2 2 3 4 2 2" xfId="45732" xr:uid="{00000000-0005-0000-0000-000044A20000}"/>
    <cellStyle name="Normal 58 5 2 2 3 4 3" xfId="33299" xr:uid="{00000000-0005-0000-0000-000045A20000}"/>
    <cellStyle name="Normal 58 5 2 2 3 5" xfId="12531" xr:uid="{00000000-0005-0000-0000-000046A20000}"/>
    <cellStyle name="Normal 58 5 2 2 3 5 2" xfId="24965" xr:uid="{00000000-0005-0000-0000-000047A20000}"/>
    <cellStyle name="Normal 58 5 2 2 3 5 2 2" xfId="49839" xr:uid="{00000000-0005-0000-0000-000048A20000}"/>
    <cellStyle name="Normal 58 5 2 2 3 5 3" xfId="37406" xr:uid="{00000000-0005-0000-0000-000049A20000}"/>
    <cellStyle name="Normal 58 5 2 2 3 6" xfId="7601" xr:uid="{00000000-0005-0000-0000-00004AA20000}"/>
    <cellStyle name="Normal 58 5 2 2 3 6 2" xfId="20049" xr:uid="{00000000-0005-0000-0000-00004BA20000}"/>
    <cellStyle name="Normal 58 5 2 2 3 6 2 2" xfId="44923" xr:uid="{00000000-0005-0000-0000-00004CA20000}"/>
    <cellStyle name="Normal 58 5 2 2 3 6 3" xfId="32490" xr:uid="{00000000-0005-0000-0000-00004DA20000}"/>
    <cellStyle name="Normal 58 5 2 2 3 7" xfId="3345" xr:uid="{00000000-0005-0000-0000-00004EA20000}"/>
    <cellStyle name="Normal 58 5 2 2 3 7 2" xfId="15851" xr:uid="{00000000-0005-0000-0000-00004FA20000}"/>
    <cellStyle name="Normal 58 5 2 2 3 7 2 2" xfId="40725" xr:uid="{00000000-0005-0000-0000-000050A20000}"/>
    <cellStyle name="Normal 58 5 2 2 3 7 3" xfId="28284" xr:uid="{00000000-0005-0000-0000-000051A20000}"/>
    <cellStyle name="Normal 58 5 2 2 3 8" xfId="14716" xr:uid="{00000000-0005-0000-0000-000052A20000}"/>
    <cellStyle name="Normal 58 5 2 2 3 8 2" xfId="39590" xr:uid="{00000000-0005-0000-0000-000053A20000}"/>
    <cellStyle name="Normal 58 5 2 2 3 9" xfId="27149" xr:uid="{00000000-0005-0000-0000-000054A20000}"/>
    <cellStyle name="Normal 58 5 2 2 4" xfId="2365" xr:uid="{00000000-0005-0000-0000-000055A20000}"/>
    <cellStyle name="Normal 58 5 2 2 4 2" xfId="6388" xr:uid="{00000000-0005-0000-0000-000056A20000}"/>
    <cellStyle name="Normal 58 5 2 2 4 2 2" xfId="11403" xr:uid="{00000000-0005-0000-0000-000057A20000}"/>
    <cellStyle name="Normal 58 5 2 2 4 2 2 2" xfId="23846" xr:uid="{00000000-0005-0000-0000-000058A20000}"/>
    <cellStyle name="Normal 58 5 2 2 4 2 2 2 2" xfId="48720" xr:uid="{00000000-0005-0000-0000-000059A20000}"/>
    <cellStyle name="Normal 58 5 2 2 4 2 2 3" xfId="36287" xr:uid="{00000000-0005-0000-0000-00005AA20000}"/>
    <cellStyle name="Normal 58 5 2 2 4 2 3" xfId="18839" xr:uid="{00000000-0005-0000-0000-00005BA20000}"/>
    <cellStyle name="Normal 58 5 2 2 4 2 3 2" xfId="43713" xr:uid="{00000000-0005-0000-0000-00005CA20000}"/>
    <cellStyle name="Normal 58 5 2 2 4 2 4" xfId="31280" xr:uid="{00000000-0005-0000-0000-00005DA20000}"/>
    <cellStyle name="Normal 58 5 2 2 4 3" xfId="12857" xr:uid="{00000000-0005-0000-0000-00005EA20000}"/>
    <cellStyle name="Normal 58 5 2 2 4 3 2" xfId="25291" xr:uid="{00000000-0005-0000-0000-00005FA20000}"/>
    <cellStyle name="Normal 58 5 2 2 4 3 2 2" xfId="50165" xr:uid="{00000000-0005-0000-0000-000060A20000}"/>
    <cellStyle name="Normal 58 5 2 2 4 3 3" xfId="37732" xr:uid="{00000000-0005-0000-0000-000061A20000}"/>
    <cellStyle name="Normal 58 5 2 2 4 4" xfId="9298" xr:uid="{00000000-0005-0000-0000-000062A20000}"/>
    <cellStyle name="Normal 58 5 2 2 4 4 2" xfId="21741" xr:uid="{00000000-0005-0000-0000-000063A20000}"/>
    <cellStyle name="Normal 58 5 2 2 4 4 2 2" xfId="46615" xr:uid="{00000000-0005-0000-0000-000064A20000}"/>
    <cellStyle name="Normal 58 5 2 2 4 4 3" xfId="34182" xr:uid="{00000000-0005-0000-0000-000065A20000}"/>
    <cellStyle name="Normal 58 5 2 2 4 5" xfId="4280" xr:uid="{00000000-0005-0000-0000-000066A20000}"/>
    <cellStyle name="Normal 58 5 2 2 4 5 2" xfId="16734" xr:uid="{00000000-0005-0000-0000-000067A20000}"/>
    <cellStyle name="Normal 58 5 2 2 4 5 2 2" xfId="41608" xr:uid="{00000000-0005-0000-0000-000068A20000}"/>
    <cellStyle name="Normal 58 5 2 2 4 5 3" xfId="29175" xr:uid="{00000000-0005-0000-0000-000069A20000}"/>
    <cellStyle name="Normal 58 5 2 2 4 6" xfId="15042" xr:uid="{00000000-0005-0000-0000-00006AA20000}"/>
    <cellStyle name="Normal 58 5 2 2 4 6 2" xfId="39916" xr:uid="{00000000-0005-0000-0000-00006BA20000}"/>
    <cellStyle name="Normal 58 5 2 2 4 7" xfId="27475" xr:uid="{00000000-0005-0000-0000-00006CA20000}"/>
    <cellStyle name="Normal 58 5 2 2 5" xfId="1199" xr:uid="{00000000-0005-0000-0000-00006DA20000}"/>
    <cellStyle name="Normal 58 5 2 2 5 2" xfId="10360" xr:uid="{00000000-0005-0000-0000-00006EA20000}"/>
    <cellStyle name="Normal 58 5 2 2 5 2 2" xfId="22803" xr:uid="{00000000-0005-0000-0000-00006FA20000}"/>
    <cellStyle name="Normal 58 5 2 2 5 2 2 2" xfId="47677" xr:uid="{00000000-0005-0000-0000-000070A20000}"/>
    <cellStyle name="Normal 58 5 2 2 5 2 3" xfId="35244" xr:uid="{00000000-0005-0000-0000-000071A20000}"/>
    <cellStyle name="Normal 58 5 2 2 5 3" xfId="5344" xr:uid="{00000000-0005-0000-0000-000072A20000}"/>
    <cellStyle name="Normal 58 5 2 2 5 3 2" xfId="17796" xr:uid="{00000000-0005-0000-0000-000073A20000}"/>
    <cellStyle name="Normal 58 5 2 2 5 3 2 2" xfId="42670" xr:uid="{00000000-0005-0000-0000-000074A20000}"/>
    <cellStyle name="Normal 58 5 2 2 5 3 3" xfId="30237" xr:uid="{00000000-0005-0000-0000-000075A20000}"/>
    <cellStyle name="Normal 58 5 2 2 5 4" xfId="13999" xr:uid="{00000000-0005-0000-0000-000076A20000}"/>
    <cellStyle name="Normal 58 5 2 2 5 4 2" xfId="38873" xr:uid="{00000000-0005-0000-0000-000077A20000}"/>
    <cellStyle name="Normal 58 5 2 2 5 5" xfId="26432" xr:uid="{00000000-0005-0000-0000-000078A20000}"/>
    <cellStyle name="Normal 58 5 2 2 6" xfId="7921" xr:uid="{00000000-0005-0000-0000-000079A20000}"/>
    <cellStyle name="Normal 58 5 2 2 6 2" xfId="20367" xr:uid="{00000000-0005-0000-0000-00007AA20000}"/>
    <cellStyle name="Normal 58 5 2 2 6 2 2" xfId="45241" xr:uid="{00000000-0005-0000-0000-00007BA20000}"/>
    <cellStyle name="Normal 58 5 2 2 6 3" xfId="32808" xr:uid="{00000000-0005-0000-0000-00007CA20000}"/>
    <cellStyle name="Normal 58 5 2 2 7" xfId="11814" xr:uid="{00000000-0005-0000-0000-00007DA20000}"/>
    <cellStyle name="Normal 58 5 2 2 7 2" xfId="24248" xr:uid="{00000000-0005-0000-0000-00007EA20000}"/>
    <cellStyle name="Normal 58 5 2 2 7 2 2" xfId="49122" xr:uid="{00000000-0005-0000-0000-00007FA20000}"/>
    <cellStyle name="Normal 58 5 2 2 7 3" xfId="36689" xr:uid="{00000000-0005-0000-0000-000080A20000}"/>
    <cellStyle name="Normal 58 5 2 2 8" xfId="6891" xr:uid="{00000000-0005-0000-0000-000081A20000}"/>
    <cellStyle name="Normal 58 5 2 2 8 2" xfId="19340" xr:uid="{00000000-0005-0000-0000-000082A20000}"/>
    <cellStyle name="Normal 58 5 2 2 8 2 2" xfId="44214" xr:uid="{00000000-0005-0000-0000-000083A20000}"/>
    <cellStyle name="Normal 58 5 2 2 8 3" xfId="31781" xr:uid="{00000000-0005-0000-0000-000084A20000}"/>
    <cellStyle name="Normal 58 5 2 2 9" xfId="2842" xr:uid="{00000000-0005-0000-0000-000085A20000}"/>
    <cellStyle name="Normal 58 5 2 2 9 2" xfId="15360" xr:uid="{00000000-0005-0000-0000-000086A20000}"/>
    <cellStyle name="Normal 58 5 2 2 9 2 2" xfId="40234" xr:uid="{00000000-0005-0000-0000-000087A20000}"/>
    <cellStyle name="Normal 58 5 2 2 9 3" xfId="27793" xr:uid="{00000000-0005-0000-0000-000088A20000}"/>
    <cellStyle name="Normal 58 5 2 2_Degree data" xfId="2533" xr:uid="{00000000-0005-0000-0000-000089A20000}"/>
    <cellStyle name="Normal 58 5 2 3" xfId="345" xr:uid="{00000000-0005-0000-0000-00008AA20000}"/>
    <cellStyle name="Normal 58 5 2 3 2" xfId="1567" xr:uid="{00000000-0005-0000-0000-00008BA20000}"/>
    <cellStyle name="Normal 58 5 2 3 2 2" xfId="9198" xr:uid="{00000000-0005-0000-0000-00008CA20000}"/>
    <cellStyle name="Normal 58 5 2 3 2 2 2" xfId="21641" xr:uid="{00000000-0005-0000-0000-00008DA20000}"/>
    <cellStyle name="Normal 58 5 2 3 2 2 2 2" xfId="46515" xr:uid="{00000000-0005-0000-0000-00008EA20000}"/>
    <cellStyle name="Normal 58 5 2 3 2 2 3" xfId="34082" xr:uid="{00000000-0005-0000-0000-00008FA20000}"/>
    <cellStyle name="Normal 58 5 2 3 2 3" xfId="4180" xr:uid="{00000000-0005-0000-0000-000090A20000}"/>
    <cellStyle name="Normal 58 5 2 3 2 3 2" xfId="16634" xr:uid="{00000000-0005-0000-0000-000091A20000}"/>
    <cellStyle name="Normal 58 5 2 3 2 3 2 2" xfId="41508" xr:uid="{00000000-0005-0000-0000-000092A20000}"/>
    <cellStyle name="Normal 58 5 2 3 2 3 3" xfId="29075" xr:uid="{00000000-0005-0000-0000-000093A20000}"/>
    <cellStyle name="Normal 58 5 2 3 2 4" xfId="14367" xr:uid="{00000000-0005-0000-0000-000094A20000}"/>
    <cellStyle name="Normal 58 5 2 3 2 4 2" xfId="39241" xr:uid="{00000000-0005-0000-0000-000095A20000}"/>
    <cellStyle name="Normal 58 5 2 3 2 5" xfId="26800" xr:uid="{00000000-0005-0000-0000-000096A20000}"/>
    <cellStyle name="Normal 58 5 2 3 3" xfId="5712" xr:uid="{00000000-0005-0000-0000-000097A20000}"/>
    <cellStyle name="Normal 58 5 2 3 3 2" xfId="10728" xr:uid="{00000000-0005-0000-0000-000098A20000}"/>
    <cellStyle name="Normal 58 5 2 3 3 2 2" xfId="23171" xr:uid="{00000000-0005-0000-0000-000099A20000}"/>
    <cellStyle name="Normal 58 5 2 3 3 2 2 2" xfId="48045" xr:uid="{00000000-0005-0000-0000-00009AA20000}"/>
    <cellStyle name="Normal 58 5 2 3 3 2 3" xfId="35612" xr:uid="{00000000-0005-0000-0000-00009BA20000}"/>
    <cellStyle name="Normal 58 5 2 3 3 3" xfId="18164" xr:uid="{00000000-0005-0000-0000-00009CA20000}"/>
    <cellStyle name="Normal 58 5 2 3 3 3 2" xfId="43038" xr:uid="{00000000-0005-0000-0000-00009DA20000}"/>
    <cellStyle name="Normal 58 5 2 3 3 4" xfId="30605" xr:uid="{00000000-0005-0000-0000-00009EA20000}"/>
    <cellStyle name="Normal 58 5 2 3 4" xfId="8314" xr:uid="{00000000-0005-0000-0000-00009FA20000}"/>
    <cellStyle name="Normal 58 5 2 3 4 2" xfId="20758" xr:uid="{00000000-0005-0000-0000-0000A0A20000}"/>
    <cellStyle name="Normal 58 5 2 3 4 2 2" xfId="45632" xr:uid="{00000000-0005-0000-0000-0000A1A20000}"/>
    <cellStyle name="Normal 58 5 2 3 4 3" xfId="33199" xr:uid="{00000000-0005-0000-0000-0000A2A20000}"/>
    <cellStyle name="Normal 58 5 2 3 5" xfId="12182" xr:uid="{00000000-0005-0000-0000-0000A3A20000}"/>
    <cellStyle name="Normal 58 5 2 3 5 2" xfId="24616" xr:uid="{00000000-0005-0000-0000-0000A4A20000}"/>
    <cellStyle name="Normal 58 5 2 3 5 2 2" xfId="49490" xr:uid="{00000000-0005-0000-0000-0000A5A20000}"/>
    <cellStyle name="Normal 58 5 2 3 5 3" xfId="37057" xr:uid="{00000000-0005-0000-0000-0000A6A20000}"/>
    <cellStyle name="Normal 58 5 2 3 6" xfId="6791" xr:uid="{00000000-0005-0000-0000-0000A7A20000}"/>
    <cellStyle name="Normal 58 5 2 3 6 2" xfId="19240" xr:uid="{00000000-0005-0000-0000-0000A8A20000}"/>
    <cellStyle name="Normal 58 5 2 3 6 2 2" xfId="44114" xr:uid="{00000000-0005-0000-0000-0000A9A20000}"/>
    <cellStyle name="Normal 58 5 2 3 6 3" xfId="31681" xr:uid="{00000000-0005-0000-0000-0000AAA20000}"/>
    <cellStyle name="Normal 58 5 2 3 7" xfId="3245" xr:uid="{00000000-0005-0000-0000-0000ABA20000}"/>
    <cellStyle name="Normal 58 5 2 3 7 2" xfId="15751" xr:uid="{00000000-0005-0000-0000-0000ACA20000}"/>
    <cellStyle name="Normal 58 5 2 3 7 2 2" xfId="40625" xr:uid="{00000000-0005-0000-0000-0000ADA20000}"/>
    <cellStyle name="Normal 58 5 2 3 7 3" xfId="28184" xr:uid="{00000000-0005-0000-0000-0000AEA20000}"/>
    <cellStyle name="Normal 58 5 2 3 8" xfId="13161" xr:uid="{00000000-0005-0000-0000-0000AFA20000}"/>
    <cellStyle name="Normal 58 5 2 3 8 2" xfId="38035" xr:uid="{00000000-0005-0000-0000-0000B0A20000}"/>
    <cellStyle name="Normal 58 5 2 3 9" xfId="25594" xr:uid="{00000000-0005-0000-0000-0000B1A20000}"/>
    <cellStyle name="Normal 58 5 2 4" xfId="705" xr:uid="{00000000-0005-0000-0000-0000B2A20000}"/>
    <cellStyle name="Normal 58 5 2 4 2" xfId="1915" xr:uid="{00000000-0005-0000-0000-0000B3A20000}"/>
    <cellStyle name="Normal 58 5 2 4 2 2" xfId="9671" xr:uid="{00000000-0005-0000-0000-0000B4A20000}"/>
    <cellStyle name="Normal 58 5 2 4 2 2 2" xfId="22114" xr:uid="{00000000-0005-0000-0000-0000B5A20000}"/>
    <cellStyle name="Normal 58 5 2 4 2 2 2 2" xfId="46988" xr:uid="{00000000-0005-0000-0000-0000B6A20000}"/>
    <cellStyle name="Normal 58 5 2 4 2 2 3" xfId="34555" xr:uid="{00000000-0005-0000-0000-0000B7A20000}"/>
    <cellStyle name="Normal 58 5 2 4 2 3" xfId="4653" xr:uid="{00000000-0005-0000-0000-0000B8A20000}"/>
    <cellStyle name="Normal 58 5 2 4 2 3 2" xfId="17107" xr:uid="{00000000-0005-0000-0000-0000B9A20000}"/>
    <cellStyle name="Normal 58 5 2 4 2 3 2 2" xfId="41981" xr:uid="{00000000-0005-0000-0000-0000BAA20000}"/>
    <cellStyle name="Normal 58 5 2 4 2 3 3" xfId="29548" xr:uid="{00000000-0005-0000-0000-0000BBA20000}"/>
    <cellStyle name="Normal 58 5 2 4 2 4" xfId="14715" xr:uid="{00000000-0005-0000-0000-0000BCA20000}"/>
    <cellStyle name="Normal 58 5 2 4 2 4 2" xfId="39589" xr:uid="{00000000-0005-0000-0000-0000BDA20000}"/>
    <cellStyle name="Normal 58 5 2 4 2 5" xfId="27148" xr:uid="{00000000-0005-0000-0000-0000BEA20000}"/>
    <cellStyle name="Normal 58 5 2 4 3" xfId="6061" xr:uid="{00000000-0005-0000-0000-0000BFA20000}"/>
    <cellStyle name="Normal 58 5 2 4 3 2" xfId="11076" xr:uid="{00000000-0005-0000-0000-0000C0A20000}"/>
    <cellStyle name="Normal 58 5 2 4 3 2 2" xfId="23519" xr:uid="{00000000-0005-0000-0000-0000C1A20000}"/>
    <cellStyle name="Normal 58 5 2 4 3 2 2 2" xfId="48393" xr:uid="{00000000-0005-0000-0000-0000C2A20000}"/>
    <cellStyle name="Normal 58 5 2 4 3 2 3" xfId="35960" xr:uid="{00000000-0005-0000-0000-0000C3A20000}"/>
    <cellStyle name="Normal 58 5 2 4 3 3" xfId="18512" xr:uid="{00000000-0005-0000-0000-0000C4A20000}"/>
    <cellStyle name="Normal 58 5 2 4 3 3 2" xfId="43386" xr:uid="{00000000-0005-0000-0000-0000C5A20000}"/>
    <cellStyle name="Normal 58 5 2 4 3 4" xfId="30953" xr:uid="{00000000-0005-0000-0000-0000C6A20000}"/>
    <cellStyle name="Normal 58 5 2 4 4" xfId="8787" xr:uid="{00000000-0005-0000-0000-0000C7A20000}"/>
    <cellStyle name="Normal 58 5 2 4 4 2" xfId="21231" xr:uid="{00000000-0005-0000-0000-0000C8A20000}"/>
    <cellStyle name="Normal 58 5 2 4 4 2 2" xfId="46105" xr:uid="{00000000-0005-0000-0000-0000C9A20000}"/>
    <cellStyle name="Normal 58 5 2 4 4 3" xfId="33672" xr:uid="{00000000-0005-0000-0000-0000CAA20000}"/>
    <cellStyle name="Normal 58 5 2 4 5" xfId="12530" xr:uid="{00000000-0005-0000-0000-0000CBA20000}"/>
    <cellStyle name="Normal 58 5 2 4 5 2" xfId="24964" xr:uid="{00000000-0005-0000-0000-0000CCA20000}"/>
    <cellStyle name="Normal 58 5 2 4 5 2 2" xfId="49838" xr:uid="{00000000-0005-0000-0000-0000CDA20000}"/>
    <cellStyle name="Normal 58 5 2 4 5 3" xfId="37405" xr:uid="{00000000-0005-0000-0000-0000CEA20000}"/>
    <cellStyle name="Normal 58 5 2 4 6" xfId="7264" xr:uid="{00000000-0005-0000-0000-0000CFA20000}"/>
    <cellStyle name="Normal 58 5 2 4 6 2" xfId="19713" xr:uid="{00000000-0005-0000-0000-0000D0A20000}"/>
    <cellStyle name="Normal 58 5 2 4 6 2 2" xfId="44587" xr:uid="{00000000-0005-0000-0000-0000D1A20000}"/>
    <cellStyle name="Normal 58 5 2 4 6 3" xfId="32154" xr:uid="{00000000-0005-0000-0000-0000D2A20000}"/>
    <cellStyle name="Normal 58 5 2 4 7" xfId="3718" xr:uid="{00000000-0005-0000-0000-0000D3A20000}"/>
    <cellStyle name="Normal 58 5 2 4 7 2" xfId="16224" xr:uid="{00000000-0005-0000-0000-0000D4A20000}"/>
    <cellStyle name="Normal 58 5 2 4 7 2 2" xfId="41098" xr:uid="{00000000-0005-0000-0000-0000D5A20000}"/>
    <cellStyle name="Normal 58 5 2 4 7 3" xfId="28657" xr:uid="{00000000-0005-0000-0000-0000D6A20000}"/>
    <cellStyle name="Normal 58 5 2 4 8" xfId="13508" xr:uid="{00000000-0005-0000-0000-0000D7A20000}"/>
    <cellStyle name="Normal 58 5 2 4 8 2" xfId="38382" xr:uid="{00000000-0005-0000-0000-0000D8A20000}"/>
    <cellStyle name="Normal 58 5 2 4 9" xfId="25941" xr:uid="{00000000-0005-0000-0000-0000D9A20000}"/>
    <cellStyle name="Normal 58 5 2 5" xfId="2263" xr:uid="{00000000-0005-0000-0000-0000DAA20000}"/>
    <cellStyle name="Normal 58 5 2 5 2" xfId="4890" xr:uid="{00000000-0005-0000-0000-0000DBA20000}"/>
    <cellStyle name="Normal 58 5 2 5 2 2" xfId="9907" xr:uid="{00000000-0005-0000-0000-0000DCA20000}"/>
    <cellStyle name="Normal 58 5 2 5 2 2 2" xfId="22350" xr:uid="{00000000-0005-0000-0000-0000DDA20000}"/>
    <cellStyle name="Normal 58 5 2 5 2 2 2 2" xfId="47224" xr:uid="{00000000-0005-0000-0000-0000DEA20000}"/>
    <cellStyle name="Normal 58 5 2 5 2 2 3" xfId="34791" xr:uid="{00000000-0005-0000-0000-0000DFA20000}"/>
    <cellStyle name="Normal 58 5 2 5 2 3" xfId="17343" xr:uid="{00000000-0005-0000-0000-0000E0A20000}"/>
    <cellStyle name="Normal 58 5 2 5 2 3 2" xfId="42217" xr:uid="{00000000-0005-0000-0000-0000E1A20000}"/>
    <cellStyle name="Normal 58 5 2 5 2 4" xfId="29784" xr:uid="{00000000-0005-0000-0000-0000E2A20000}"/>
    <cellStyle name="Normal 58 5 2 5 3" xfId="6288" xr:uid="{00000000-0005-0000-0000-0000E3A20000}"/>
    <cellStyle name="Normal 58 5 2 5 3 2" xfId="11303" xr:uid="{00000000-0005-0000-0000-0000E4A20000}"/>
    <cellStyle name="Normal 58 5 2 5 3 2 2" xfId="23746" xr:uid="{00000000-0005-0000-0000-0000E5A20000}"/>
    <cellStyle name="Normal 58 5 2 5 3 2 2 2" xfId="48620" xr:uid="{00000000-0005-0000-0000-0000E6A20000}"/>
    <cellStyle name="Normal 58 5 2 5 3 2 3" xfId="36187" xr:uid="{00000000-0005-0000-0000-0000E7A20000}"/>
    <cellStyle name="Normal 58 5 2 5 3 3" xfId="18739" xr:uid="{00000000-0005-0000-0000-0000E8A20000}"/>
    <cellStyle name="Normal 58 5 2 5 3 3 2" xfId="43613" xr:uid="{00000000-0005-0000-0000-0000E9A20000}"/>
    <cellStyle name="Normal 58 5 2 5 3 4" xfId="31180" xr:uid="{00000000-0005-0000-0000-0000EAA20000}"/>
    <cellStyle name="Normal 58 5 2 5 4" xfId="8095" xr:uid="{00000000-0005-0000-0000-0000EBA20000}"/>
    <cellStyle name="Normal 58 5 2 5 4 2" xfId="20541" xr:uid="{00000000-0005-0000-0000-0000ECA20000}"/>
    <cellStyle name="Normal 58 5 2 5 4 2 2" xfId="45415" xr:uid="{00000000-0005-0000-0000-0000EDA20000}"/>
    <cellStyle name="Normal 58 5 2 5 4 3" xfId="32982" xr:uid="{00000000-0005-0000-0000-0000EEA20000}"/>
    <cellStyle name="Normal 58 5 2 5 5" xfId="12757" xr:uid="{00000000-0005-0000-0000-0000EFA20000}"/>
    <cellStyle name="Normal 58 5 2 5 5 2" xfId="25191" xr:uid="{00000000-0005-0000-0000-0000F0A20000}"/>
    <cellStyle name="Normal 58 5 2 5 5 2 2" xfId="50065" xr:uid="{00000000-0005-0000-0000-0000F1A20000}"/>
    <cellStyle name="Normal 58 5 2 5 5 3" xfId="37632" xr:uid="{00000000-0005-0000-0000-0000F2A20000}"/>
    <cellStyle name="Normal 58 5 2 5 6" xfId="7501" xr:uid="{00000000-0005-0000-0000-0000F3A20000}"/>
    <cellStyle name="Normal 58 5 2 5 6 2" xfId="19949" xr:uid="{00000000-0005-0000-0000-0000F4A20000}"/>
    <cellStyle name="Normal 58 5 2 5 6 2 2" xfId="44823" xr:uid="{00000000-0005-0000-0000-0000F5A20000}"/>
    <cellStyle name="Normal 58 5 2 5 6 3" xfId="32390" xr:uid="{00000000-0005-0000-0000-0000F6A20000}"/>
    <cellStyle name="Normal 58 5 2 5 7" xfId="3025" xr:uid="{00000000-0005-0000-0000-0000F7A20000}"/>
    <cellStyle name="Normal 58 5 2 5 7 2" xfId="15534" xr:uid="{00000000-0005-0000-0000-0000F8A20000}"/>
    <cellStyle name="Normal 58 5 2 5 7 2 2" xfId="40408" xr:uid="{00000000-0005-0000-0000-0000F9A20000}"/>
    <cellStyle name="Normal 58 5 2 5 7 3" xfId="27967" xr:uid="{00000000-0005-0000-0000-0000FAA20000}"/>
    <cellStyle name="Normal 58 5 2 5 8" xfId="14942" xr:uid="{00000000-0005-0000-0000-0000FBA20000}"/>
    <cellStyle name="Normal 58 5 2 5 8 2" xfId="39816" xr:uid="{00000000-0005-0000-0000-0000FCA20000}"/>
    <cellStyle name="Normal 58 5 2 5 9" xfId="27375" xr:uid="{00000000-0005-0000-0000-0000FDA20000}"/>
    <cellStyle name="Normal 58 5 2 6" xfId="1099" xr:uid="{00000000-0005-0000-0000-0000FEA20000}"/>
    <cellStyle name="Normal 58 5 2 6 2" xfId="8981" xr:uid="{00000000-0005-0000-0000-0000FFA20000}"/>
    <cellStyle name="Normal 58 5 2 6 2 2" xfId="21424" xr:uid="{00000000-0005-0000-0000-000000A30000}"/>
    <cellStyle name="Normal 58 5 2 6 2 2 2" xfId="46298" xr:uid="{00000000-0005-0000-0000-000001A30000}"/>
    <cellStyle name="Normal 58 5 2 6 2 3" xfId="33865" xr:uid="{00000000-0005-0000-0000-000002A30000}"/>
    <cellStyle name="Normal 58 5 2 6 3" xfId="3963" xr:uid="{00000000-0005-0000-0000-000003A30000}"/>
    <cellStyle name="Normal 58 5 2 6 3 2" xfId="16417" xr:uid="{00000000-0005-0000-0000-000004A30000}"/>
    <cellStyle name="Normal 58 5 2 6 3 2 2" xfId="41291" xr:uid="{00000000-0005-0000-0000-000005A30000}"/>
    <cellStyle name="Normal 58 5 2 6 3 3" xfId="28858" xr:uid="{00000000-0005-0000-0000-000006A30000}"/>
    <cellStyle name="Normal 58 5 2 6 4" xfId="13899" xr:uid="{00000000-0005-0000-0000-000007A30000}"/>
    <cellStyle name="Normal 58 5 2 6 4 2" xfId="38773" xr:uid="{00000000-0005-0000-0000-000008A30000}"/>
    <cellStyle name="Normal 58 5 2 6 5" xfId="26332" xr:uid="{00000000-0005-0000-0000-000009A30000}"/>
    <cellStyle name="Normal 58 5 2 7" xfId="5244" xr:uid="{00000000-0005-0000-0000-00000AA30000}"/>
    <cellStyle name="Normal 58 5 2 7 2" xfId="10260" xr:uid="{00000000-0005-0000-0000-00000BA30000}"/>
    <cellStyle name="Normal 58 5 2 7 2 2" xfId="22703" xr:uid="{00000000-0005-0000-0000-00000CA30000}"/>
    <cellStyle name="Normal 58 5 2 7 2 2 2" xfId="47577" xr:uid="{00000000-0005-0000-0000-00000DA30000}"/>
    <cellStyle name="Normal 58 5 2 7 2 3" xfId="35144" xr:uid="{00000000-0005-0000-0000-00000EA30000}"/>
    <cellStyle name="Normal 58 5 2 7 3" xfId="17696" xr:uid="{00000000-0005-0000-0000-00000FA30000}"/>
    <cellStyle name="Normal 58 5 2 7 3 2" xfId="42570" xr:uid="{00000000-0005-0000-0000-000010A30000}"/>
    <cellStyle name="Normal 58 5 2 7 4" xfId="30137" xr:uid="{00000000-0005-0000-0000-000011A30000}"/>
    <cellStyle name="Normal 58 5 2 8" xfId="7821" xr:uid="{00000000-0005-0000-0000-000012A30000}"/>
    <cellStyle name="Normal 58 5 2 8 2" xfId="20267" xr:uid="{00000000-0005-0000-0000-000013A30000}"/>
    <cellStyle name="Normal 58 5 2 8 2 2" xfId="45141" xr:uid="{00000000-0005-0000-0000-000014A30000}"/>
    <cellStyle name="Normal 58 5 2 8 3" xfId="32708" xr:uid="{00000000-0005-0000-0000-000015A30000}"/>
    <cellStyle name="Normal 58 5 2 9" xfId="11714" xr:uid="{00000000-0005-0000-0000-000016A30000}"/>
    <cellStyle name="Normal 58 5 2 9 2" xfId="24148" xr:uid="{00000000-0005-0000-0000-000017A30000}"/>
    <cellStyle name="Normal 58 5 2 9 2 2" xfId="49022" xr:uid="{00000000-0005-0000-0000-000018A30000}"/>
    <cellStyle name="Normal 58 5 2 9 3" xfId="36589" xr:uid="{00000000-0005-0000-0000-000019A30000}"/>
    <cellStyle name="Normal 58 5 2_Degree data" xfId="2532" xr:uid="{00000000-0005-0000-0000-00001AA30000}"/>
    <cellStyle name="Normal 58 5 3" xfId="300" xr:uid="{00000000-0005-0000-0000-00001BA30000}"/>
    <cellStyle name="Normal 58 5 3 10" xfId="6635" xr:uid="{00000000-0005-0000-0000-00001CA30000}"/>
    <cellStyle name="Normal 58 5 3 10 2" xfId="19084" xr:uid="{00000000-0005-0000-0000-00001DA30000}"/>
    <cellStyle name="Normal 58 5 3 10 2 2" xfId="43958" xr:uid="{00000000-0005-0000-0000-00001EA30000}"/>
    <cellStyle name="Normal 58 5 3 10 3" xfId="31525" xr:uid="{00000000-0005-0000-0000-00001FA30000}"/>
    <cellStyle name="Normal 58 5 3 11" xfId="2699" xr:uid="{00000000-0005-0000-0000-000020A30000}"/>
    <cellStyle name="Normal 58 5 3 11 2" xfId="15217" xr:uid="{00000000-0005-0000-0000-000021A30000}"/>
    <cellStyle name="Normal 58 5 3 11 2 2" xfId="40091" xr:uid="{00000000-0005-0000-0000-000022A30000}"/>
    <cellStyle name="Normal 58 5 3 11 3" xfId="27650" xr:uid="{00000000-0005-0000-0000-000023A30000}"/>
    <cellStyle name="Normal 58 5 3 12" xfId="13118" xr:uid="{00000000-0005-0000-0000-000024A30000}"/>
    <cellStyle name="Normal 58 5 3 12 2" xfId="37992" xr:uid="{00000000-0005-0000-0000-000025A30000}"/>
    <cellStyle name="Normal 58 5 3 13" xfId="25551" xr:uid="{00000000-0005-0000-0000-000026A30000}"/>
    <cellStyle name="Normal 58 5 3 2" xfId="509" xr:uid="{00000000-0005-0000-0000-000027A30000}"/>
    <cellStyle name="Normal 58 5 3 2 10" xfId="13322" xr:uid="{00000000-0005-0000-0000-000028A30000}"/>
    <cellStyle name="Normal 58 5 3 2 10 2" xfId="38196" xr:uid="{00000000-0005-0000-0000-000029A30000}"/>
    <cellStyle name="Normal 58 5 3 2 11" xfId="25755" xr:uid="{00000000-0005-0000-0000-00002AA30000}"/>
    <cellStyle name="Normal 58 5 3 2 2" xfId="868" xr:uid="{00000000-0005-0000-0000-00002BA30000}"/>
    <cellStyle name="Normal 58 5 3 2 2 2" xfId="1570" xr:uid="{00000000-0005-0000-0000-00002CA30000}"/>
    <cellStyle name="Normal 58 5 3 2 2 2 2" xfId="9674" xr:uid="{00000000-0005-0000-0000-00002DA30000}"/>
    <cellStyle name="Normal 58 5 3 2 2 2 2 2" xfId="22117" xr:uid="{00000000-0005-0000-0000-00002EA30000}"/>
    <cellStyle name="Normal 58 5 3 2 2 2 2 2 2" xfId="46991" xr:uid="{00000000-0005-0000-0000-00002FA30000}"/>
    <cellStyle name="Normal 58 5 3 2 2 2 2 3" xfId="34558" xr:uid="{00000000-0005-0000-0000-000030A30000}"/>
    <cellStyle name="Normal 58 5 3 2 2 2 3" xfId="4656" xr:uid="{00000000-0005-0000-0000-000031A30000}"/>
    <cellStyle name="Normal 58 5 3 2 2 2 3 2" xfId="17110" xr:uid="{00000000-0005-0000-0000-000032A30000}"/>
    <cellStyle name="Normal 58 5 3 2 2 2 3 2 2" xfId="41984" xr:uid="{00000000-0005-0000-0000-000033A30000}"/>
    <cellStyle name="Normal 58 5 3 2 2 2 3 3" xfId="29551" xr:uid="{00000000-0005-0000-0000-000034A30000}"/>
    <cellStyle name="Normal 58 5 3 2 2 2 4" xfId="14370" xr:uid="{00000000-0005-0000-0000-000035A30000}"/>
    <cellStyle name="Normal 58 5 3 2 2 2 4 2" xfId="39244" xr:uid="{00000000-0005-0000-0000-000036A30000}"/>
    <cellStyle name="Normal 58 5 3 2 2 2 5" xfId="26803" xr:uid="{00000000-0005-0000-0000-000037A30000}"/>
    <cellStyle name="Normal 58 5 3 2 2 3" xfId="5715" xr:uid="{00000000-0005-0000-0000-000038A30000}"/>
    <cellStyle name="Normal 58 5 3 2 2 3 2" xfId="10731" xr:uid="{00000000-0005-0000-0000-000039A30000}"/>
    <cellStyle name="Normal 58 5 3 2 2 3 2 2" xfId="23174" xr:uid="{00000000-0005-0000-0000-00003AA30000}"/>
    <cellStyle name="Normal 58 5 3 2 2 3 2 2 2" xfId="48048" xr:uid="{00000000-0005-0000-0000-00003BA30000}"/>
    <cellStyle name="Normal 58 5 3 2 2 3 2 3" xfId="35615" xr:uid="{00000000-0005-0000-0000-00003CA30000}"/>
    <cellStyle name="Normal 58 5 3 2 2 3 3" xfId="18167" xr:uid="{00000000-0005-0000-0000-00003DA30000}"/>
    <cellStyle name="Normal 58 5 3 2 2 3 3 2" xfId="43041" xr:uid="{00000000-0005-0000-0000-00003EA30000}"/>
    <cellStyle name="Normal 58 5 3 2 2 3 4" xfId="30608" xr:uid="{00000000-0005-0000-0000-00003FA30000}"/>
    <cellStyle name="Normal 58 5 3 2 2 4" xfId="8790" xr:uid="{00000000-0005-0000-0000-000040A30000}"/>
    <cellStyle name="Normal 58 5 3 2 2 4 2" xfId="21234" xr:uid="{00000000-0005-0000-0000-000041A30000}"/>
    <cellStyle name="Normal 58 5 3 2 2 4 2 2" xfId="46108" xr:uid="{00000000-0005-0000-0000-000042A30000}"/>
    <cellStyle name="Normal 58 5 3 2 2 4 3" xfId="33675" xr:uid="{00000000-0005-0000-0000-000043A30000}"/>
    <cellStyle name="Normal 58 5 3 2 2 5" xfId="12185" xr:uid="{00000000-0005-0000-0000-000044A30000}"/>
    <cellStyle name="Normal 58 5 3 2 2 5 2" xfId="24619" xr:uid="{00000000-0005-0000-0000-000045A30000}"/>
    <cellStyle name="Normal 58 5 3 2 2 5 2 2" xfId="49493" xr:uid="{00000000-0005-0000-0000-000046A30000}"/>
    <cellStyle name="Normal 58 5 3 2 2 5 3" xfId="37060" xr:uid="{00000000-0005-0000-0000-000047A30000}"/>
    <cellStyle name="Normal 58 5 3 2 2 6" xfId="7267" xr:uid="{00000000-0005-0000-0000-000048A30000}"/>
    <cellStyle name="Normal 58 5 3 2 2 6 2" xfId="19716" xr:uid="{00000000-0005-0000-0000-000049A30000}"/>
    <cellStyle name="Normal 58 5 3 2 2 6 2 2" xfId="44590" xr:uid="{00000000-0005-0000-0000-00004AA30000}"/>
    <cellStyle name="Normal 58 5 3 2 2 6 3" xfId="32157" xr:uid="{00000000-0005-0000-0000-00004BA30000}"/>
    <cellStyle name="Normal 58 5 3 2 2 7" xfId="3721" xr:uid="{00000000-0005-0000-0000-00004CA30000}"/>
    <cellStyle name="Normal 58 5 3 2 2 7 2" xfId="16227" xr:uid="{00000000-0005-0000-0000-00004DA30000}"/>
    <cellStyle name="Normal 58 5 3 2 2 7 2 2" xfId="41101" xr:uid="{00000000-0005-0000-0000-00004EA30000}"/>
    <cellStyle name="Normal 58 5 3 2 2 7 3" xfId="28660" xr:uid="{00000000-0005-0000-0000-00004FA30000}"/>
    <cellStyle name="Normal 58 5 3 2 2 8" xfId="13669" xr:uid="{00000000-0005-0000-0000-000050A30000}"/>
    <cellStyle name="Normal 58 5 3 2 2 8 2" xfId="38543" xr:uid="{00000000-0005-0000-0000-000051A30000}"/>
    <cellStyle name="Normal 58 5 3 2 2 9" xfId="26102" xr:uid="{00000000-0005-0000-0000-000052A30000}"/>
    <cellStyle name="Normal 58 5 3 2 3" xfId="1918" xr:uid="{00000000-0005-0000-0000-000053A30000}"/>
    <cellStyle name="Normal 58 5 3 2 3 2" xfId="5051" xr:uid="{00000000-0005-0000-0000-000054A30000}"/>
    <cellStyle name="Normal 58 5 3 2 3 2 2" xfId="10068" xr:uid="{00000000-0005-0000-0000-000055A30000}"/>
    <cellStyle name="Normal 58 5 3 2 3 2 2 2" xfId="22511" xr:uid="{00000000-0005-0000-0000-000056A30000}"/>
    <cellStyle name="Normal 58 5 3 2 3 2 2 2 2" xfId="47385" xr:uid="{00000000-0005-0000-0000-000057A30000}"/>
    <cellStyle name="Normal 58 5 3 2 3 2 2 3" xfId="34952" xr:uid="{00000000-0005-0000-0000-000058A30000}"/>
    <cellStyle name="Normal 58 5 3 2 3 2 3" xfId="17504" xr:uid="{00000000-0005-0000-0000-000059A30000}"/>
    <cellStyle name="Normal 58 5 3 2 3 2 3 2" xfId="42378" xr:uid="{00000000-0005-0000-0000-00005AA30000}"/>
    <cellStyle name="Normal 58 5 3 2 3 2 4" xfId="29945" xr:uid="{00000000-0005-0000-0000-00005BA30000}"/>
    <cellStyle name="Normal 58 5 3 2 3 3" xfId="6064" xr:uid="{00000000-0005-0000-0000-00005CA30000}"/>
    <cellStyle name="Normal 58 5 3 2 3 3 2" xfId="11079" xr:uid="{00000000-0005-0000-0000-00005DA30000}"/>
    <cellStyle name="Normal 58 5 3 2 3 3 2 2" xfId="23522" xr:uid="{00000000-0005-0000-0000-00005EA30000}"/>
    <cellStyle name="Normal 58 5 3 2 3 3 2 2 2" xfId="48396" xr:uid="{00000000-0005-0000-0000-00005FA30000}"/>
    <cellStyle name="Normal 58 5 3 2 3 3 2 3" xfId="35963" xr:uid="{00000000-0005-0000-0000-000060A30000}"/>
    <cellStyle name="Normal 58 5 3 2 3 3 3" xfId="18515" xr:uid="{00000000-0005-0000-0000-000061A30000}"/>
    <cellStyle name="Normal 58 5 3 2 3 3 3 2" xfId="43389" xr:uid="{00000000-0005-0000-0000-000062A30000}"/>
    <cellStyle name="Normal 58 5 3 2 3 3 4" xfId="30956" xr:uid="{00000000-0005-0000-0000-000063A30000}"/>
    <cellStyle name="Normal 58 5 3 2 3 4" xfId="8475" xr:uid="{00000000-0005-0000-0000-000064A30000}"/>
    <cellStyle name="Normal 58 5 3 2 3 4 2" xfId="20919" xr:uid="{00000000-0005-0000-0000-000065A30000}"/>
    <cellStyle name="Normal 58 5 3 2 3 4 2 2" xfId="45793" xr:uid="{00000000-0005-0000-0000-000066A30000}"/>
    <cellStyle name="Normal 58 5 3 2 3 4 3" xfId="33360" xr:uid="{00000000-0005-0000-0000-000067A30000}"/>
    <cellStyle name="Normal 58 5 3 2 3 5" xfId="12533" xr:uid="{00000000-0005-0000-0000-000068A30000}"/>
    <cellStyle name="Normal 58 5 3 2 3 5 2" xfId="24967" xr:uid="{00000000-0005-0000-0000-000069A30000}"/>
    <cellStyle name="Normal 58 5 3 2 3 5 2 2" xfId="49841" xr:uid="{00000000-0005-0000-0000-00006AA30000}"/>
    <cellStyle name="Normal 58 5 3 2 3 5 3" xfId="37408" xr:uid="{00000000-0005-0000-0000-00006BA30000}"/>
    <cellStyle name="Normal 58 5 3 2 3 6" xfId="7662" xr:uid="{00000000-0005-0000-0000-00006CA30000}"/>
    <cellStyle name="Normal 58 5 3 2 3 6 2" xfId="20110" xr:uid="{00000000-0005-0000-0000-00006DA30000}"/>
    <cellStyle name="Normal 58 5 3 2 3 6 2 2" xfId="44984" xr:uid="{00000000-0005-0000-0000-00006EA30000}"/>
    <cellStyle name="Normal 58 5 3 2 3 6 3" xfId="32551" xr:uid="{00000000-0005-0000-0000-00006FA30000}"/>
    <cellStyle name="Normal 58 5 3 2 3 7" xfId="3406" xr:uid="{00000000-0005-0000-0000-000070A30000}"/>
    <cellStyle name="Normal 58 5 3 2 3 7 2" xfId="15912" xr:uid="{00000000-0005-0000-0000-000071A30000}"/>
    <cellStyle name="Normal 58 5 3 2 3 7 2 2" xfId="40786" xr:uid="{00000000-0005-0000-0000-000072A30000}"/>
    <cellStyle name="Normal 58 5 3 2 3 7 3" xfId="28345" xr:uid="{00000000-0005-0000-0000-000073A30000}"/>
    <cellStyle name="Normal 58 5 3 2 3 8" xfId="14718" xr:uid="{00000000-0005-0000-0000-000074A30000}"/>
    <cellStyle name="Normal 58 5 3 2 3 8 2" xfId="39592" xr:uid="{00000000-0005-0000-0000-000075A30000}"/>
    <cellStyle name="Normal 58 5 3 2 3 9" xfId="27151" xr:uid="{00000000-0005-0000-0000-000076A30000}"/>
    <cellStyle name="Normal 58 5 3 2 4" xfId="2427" xr:uid="{00000000-0005-0000-0000-000077A30000}"/>
    <cellStyle name="Normal 58 5 3 2 4 2" xfId="6449" xr:uid="{00000000-0005-0000-0000-000078A30000}"/>
    <cellStyle name="Normal 58 5 3 2 4 2 2" xfId="11464" xr:uid="{00000000-0005-0000-0000-000079A30000}"/>
    <cellStyle name="Normal 58 5 3 2 4 2 2 2" xfId="23907" xr:uid="{00000000-0005-0000-0000-00007AA30000}"/>
    <cellStyle name="Normal 58 5 3 2 4 2 2 2 2" xfId="48781" xr:uid="{00000000-0005-0000-0000-00007BA30000}"/>
    <cellStyle name="Normal 58 5 3 2 4 2 2 3" xfId="36348" xr:uid="{00000000-0005-0000-0000-00007CA30000}"/>
    <cellStyle name="Normal 58 5 3 2 4 2 3" xfId="18900" xr:uid="{00000000-0005-0000-0000-00007DA30000}"/>
    <cellStyle name="Normal 58 5 3 2 4 2 3 2" xfId="43774" xr:uid="{00000000-0005-0000-0000-00007EA30000}"/>
    <cellStyle name="Normal 58 5 3 2 4 2 4" xfId="31341" xr:uid="{00000000-0005-0000-0000-00007FA30000}"/>
    <cellStyle name="Normal 58 5 3 2 4 3" xfId="12918" xr:uid="{00000000-0005-0000-0000-000080A30000}"/>
    <cellStyle name="Normal 58 5 3 2 4 3 2" xfId="25352" xr:uid="{00000000-0005-0000-0000-000081A30000}"/>
    <cellStyle name="Normal 58 5 3 2 4 3 2 2" xfId="50226" xr:uid="{00000000-0005-0000-0000-000082A30000}"/>
    <cellStyle name="Normal 58 5 3 2 4 3 3" xfId="37793" xr:uid="{00000000-0005-0000-0000-000083A30000}"/>
    <cellStyle name="Normal 58 5 3 2 4 4" xfId="9359" xr:uid="{00000000-0005-0000-0000-000084A30000}"/>
    <cellStyle name="Normal 58 5 3 2 4 4 2" xfId="21802" xr:uid="{00000000-0005-0000-0000-000085A30000}"/>
    <cellStyle name="Normal 58 5 3 2 4 4 2 2" xfId="46676" xr:uid="{00000000-0005-0000-0000-000086A30000}"/>
    <cellStyle name="Normal 58 5 3 2 4 4 3" xfId="34243" xr:uid="{00000000-0005-0000-0000-000087A30000}"/>
    <cellStyle name="Normal 58 5 3 2 4 5" xfId="4341" xr:uid="{00000000-0005-0000-0000-000088A30000}"/>
    <cellStyle name="Normal 58 5 3 2 4 5 2" xfId="16795" xr:uid="{00000000-0005-0000-0000-000089A30000}"/>
    <cellStyle name="Normal 58 5 3 2 4 5 2 2" xfId="41669" xr:uid="{00000000-0005-0000-0000-00008AA30000}"/>
    <cellStyle name="Normal 58 5 3 2 4 5 3" xfId="29236" xr:uid="{00000000-0005-0000-0000-00008BA30000}"/>
    <cellStyle name="Normal 58 5 3 2 4 6" xfId="15103" xr:uid="{00000000-0005-0000-0000-00008CA30000}"/>
    <cellStyle name="Normal 58 5 3 2 4 6 2" xfId="39977" xr:uid="{00000000-0005-0000-0000-00008DA30000}"/>
    <cellStyle name="Normal 58 5 3 2 4 7" xfId="27536" xr:uid="{00000000-0005-0000-0000-00008EA30000}"/>
    <cellStyle name="Normal 58 5 3 2 5" xfId="1260" xr:uid="{00000000-0005-0000-0000-00008FA30000}"/>
    <cellStyle name="Normal 58 5 3 2 5 2" xfId="10421" xr:uid="{00000000-0005-0000-0000-000090A30000}"/>
    <cellStyle name="Normal 58 5 3 2 5 2 2" xfId="22864" xr:uid="{00000000-0005-0000-0000-000091A30000}"/>
    <cellStyle name="Normal 58 5 3 2 5 2 2 2" xfId="47738" xr:uid="{00000000-0005-0000-0000-000092A30000}"/>
    <cellStyle name="Normal 58 5 3 2 5 2 3" xfId="35305" xr:uid="{00000000-0005-0000-0000-000093A30000}"/>
    <cellStyle name="Normal 58 5 3 2 5 3" xfId="5405" xr:uid="{00000000-0005-0000-0000-000094A30000}"/>
    <cellStyle name="Normal 58 5 3 2 5 3 2" xfId="17857" xr:uid="{00000000-0005-0000-0000-000095A30000}"/>
    <cellStyle name="Normal 58 5 3 2 5 3 2 2" xfId="42731" xr:uid="{00000000-0005-0000-0000-000096A30000}"/>
    <cellStyle name="Normal 58 5 3 2 5 3 3" xfId="30298" xr:uid="{00000000-0005-0000-0000-000097A30000}"/>
    <cellStyle name="Normal 58 5 3 2 5 4" xfId="14060" xr:uid="{00000000-0005-0000-0000-000098A30000}"/>
    <cellStyle name="Normal 58 5 3 2 5 4 2" xfId="38934" xr:uid="{00000000-0005-0000-0000-000099A30000}"/>
    <cellStyle name="Normal 58 5 3 2 5 5" xfId="26493" xr:uid="{00000000-0005-0000-0000-00009AA30000}"/>
    <cellStyle name="Normal 58 5 3 2 6" xfId="7982" xr:uid="{00000000-0005-0000-0000-00009BA30000}"/>
    <cellStyle name="Normal 58 5 3 2 6 2" xfId="20428" xr:uid="{00000000-0005-0000-0000-00009CA30000}"/>
    <cellStyle name="Normal 58 5 3 2 6 2 2" xfId="45302" xr:uid="{00000000-0005-0000-0000-00009DA30000}"/>
    <cellStyle name="Normal 58 5 3 2 6 3" xfId="32869" xr:uid="{00000000-0005-0000-0000-00009EA30000}"/>
    <cellStyle name="Normal 58 5 3 2 7" xfId="11875" xr:uid="{00000000-0005-0000-0000-00009FA30000}"/>
    <cellStyle name="Normal 58 5 3 2 7 2" xfId="24309" xr:uid="{00000000-0005-0000-0000-0000A0A30000}"/>
    <cellStyle name="Normal 58 5 3 2 7 2 2" xfId="49183" xr:uid="{00000000-0005-0000-0000-0000A1A30000}"/>
    <cellStyle name="Normal 58 5 3 2 7 3" xfId="36750" xr:uid="{00000000-0005-0000-0000-0000A2A30000}"/>
    <cellStyle name="Normal 58 5 3 2 8" xfId="6952" xr:uid="{00000000-0005-0000-0000-0000A3A30000}"/>
    <cellStyle name="Normal 58 5 3 2 8 2" xfId="19401" xr:uid="{00000000-0005-0000-0000-0000A4A30000}"/>
    <cellStyle name="Normal 58 5 3 2 8 2 2" xfId="44275" xr:uid="{00000000-0005-0000-0000-0000A5A30000}"/>
    <cellStyle name="Normal 58 5 3 2 8 3" xfId="31842" xr:uid="{00000000-0005-0000-0000-0000A6A30000}"/>
    <cellStyle name="Normal 58 5 3 2 9" xfId="2903" xr:uid="{00000000-0005-0000-0000-0000A7A30000}"/>
    <cellStyle name="Normal 58 5 3 2 9 2" xfId="15421" xr:uid="{00000000-0005-0000-0000-0000A8A30000}"/>
    <cellStyle name="Normal 58 5 3 2 9 2 2" xfId="40295" xr:uid="{00000000-0005-0000-0000-0000A9A30000}"/>
    <cellStyle name="Normal 58 5 3 2 9 3" xfId="27854" xr:uid="{00000000-0005-0000-0000-0000AAA30000}"/>
    <cellStyle name="Normal 58 5 3 2_Degree data" xfId="2535" xr:uid="{00000000-0005-0000-0000-0000ABA30000}"/>
    <cellStyle name="Normal 58 5 3 3" xfId="661" xr:uid="{00000000-0005-0000-0000-0000ACA30000}"/>
    <cellStyle name="Normal 58 5 3 3 2" xfId="1569" xr:uid="{00000000-0005-0000-0000-0000ADA30000}"/>
    <cellStyle name="Normal 58 5 3 3 2 2" xfId="9155" xr:uid="{00000000-0005-0000-0000-0000AEA30000}"/>
    <cellStyle name="Normal 58 5 3 3 2 2 2" xfId="21598" xr:uid="{00000000-0005-0000-0000-0000AFA30000}"/>
    <cellStyle name="Normal 58 5 3 3 2 2 2 2" xfId="46472" xr:uid="{00000000-0005-0000-0000-0000B0A30000}"/>
    <cellStyle name="Normal 58 5 3 3 2 2 3" xfId="34039" xr:uid="{00000000-0005-0000-0000-0000B1A30000}"/>
    <cellStyle name="Normal 58 5 3 3 2 3" xfId="4137" xr:uid="{00000000-0005-0000-0000-0000B2A30000}"/>
    <cellStyle name="Normal 58 5 3 3 2 3 2" xfId="16591" xr:uid="{00000000-0005-0000-0000-0000B3A30000}"/>
    <cellStyle name="Normal 58 5 3 3 2 3 2 2" xfId="41465" xr:uid="{00000000-0005-0000-0000-0000B4A30000}"/>
    <cellStyle name="Normal 58 5 3 3 2 3 3" xfId="29032" xr:uid="{00000000-0005-0000-0000-0000B5A30000}"/>
    <cellStyle name="Normal 58 5 3 3 2 4" xfId="14369" xr:uid="{00000000-0005-0000-0000-0000B6A30000}"/>
    <cellStyle name="Normal 58 5 3 3 2 4 2" xfId="39243" xr:uid="{00000000-0005-0000-0000-0000B7A30000}"/>
    <cellStyle name="Normal 58 5 3 3 2 5" xfId="26802" xr:uid="{00000000-0005-0000-0000-0000B8A30000}"/>
    <cellStyle name="Normal 58 5 3 3 3" xfId="5714" xr:uid="{00000000-0005-0000-0000-0000B9A30000}"/>
    <cellStyle name="Normal 58 5 3 3 3 2" xfId="10730" xr:uid="{00000000-0005-0000-0000-0000BAA30000}"/>
    <cellStyle name="Normal 58 5 3 3 3 2 2" xfId="23173" xr:uid="{00000000-0005-0000-0000-0000BBA30000}"/>
    <cellStyle name="Normal 58 5 3 3 3 2 2 2" xfId="48047" xr:uid="{00000000-0005-0000-0000-0000BCA30000}"/>
    <cellStyle name="Normal 58 5 3 3 3 2 3" xfId="35614" xr:uid="{00000000-0005-0000-0000-0000BDA30000}"/>
    <cellStyle name="Normal 58 5 3 3 3 3" xfId="18166" xr:uid="{00000000-0005-0000-0000-0000BEA30000}"/>
    <cellStyle name="Normal 58 5 3 3 3 3 2" xfId="43040" xr:uid="{00000000-0005-0000-0000-0000BFA30000}"/>
    <cellStyle name="Normal 58 5 3 3 3 4" xfId="30607" xr:uid="{00000000-0005-0000-0000-0000C0A30000}"/>
    <cellStyle name="Normal 58 5 3 3 4" xfId="8271" xr:uid="{00000000-0005-0000-0000-0000C1A30000}"/>
    <cellStyle name="Normal 58 5 3 3 4 2" xfId="20715" xr:uid="{00000000-0005-0000-0000-0000C2A30000}"/>
    <cellStyle name="Normal 58 5 3 3 4 2 2" xfId="45589" xr:uid="{00000000-0005-0000-0000-0000C3A30000}"/>
    <cellStyle name="Normal 58 5 3 3 4 3" xfId="33156" xr:uid="{00000000-0005-0000-0000-0000C4A30000}"/>
    <cellStyle name="Normal 58 5 3 3 5" xfId="12184" xr:uid="{00000000-0005-0000-0000-0000C5A30000}"/>
    <cellStyle name="Normal 58 5 3 3 5 2" xfId="24618" xr:uid="{00000000-0005-0000-0000-0000C6A30000}"/>
    <cellStyle name="Normal 58 5 3 3 5 2 2" xfId="49492" xr:uid="{00000000-0005-0000-0000-0000C7A30000}"/>
    <cellStyle name="Normal 58 5 3 3 5 3" xfId="37059" xr:uid="{00000000-0005-0000-0000-0000C8A30000}"/>
    <cellStyle name="Normal 58 5 3 3 6" xfId="6748" xr:uid="{00000000-0005-0000-0000-0000C9A30000}"/>
    <cellStyle name="Normal 58 5 3 3 6 2" xfId="19197" xr:uid="{00000000-0005-0000-0000-0000CAA30000}"/>
    <cellStyle name="Normal 58 5 3 3 6 2 2" xfId="44071" xr:uid="{00000000-0005-0000-0000-0000CBA30000}"/>
    <cellStyle name="Normal 58 5 3 3 6 3" xfId="31638" xr:uid="{00000000-0005-0000-0000-0000CCA30000}"/>
    <cellStyle name="Normal 58 5 3 3 7" xfId="3202" xr:uid="{00000000-0005-0000-0000-0000CDA30000}"/>
    <cellStyle name="Normal 58 5 3 3 7 2" xfId="15708" xr:uid="{00000000-0005-0000-0000-0000CEA30000}"/>
    <cellStyle name="Normal 58 5 3 3 7 2 2" xfId="40582" xr:uid="{00000000-0005-0000-0000-0000CFA30000}"/>
    <cellStyle name="Normal 58 5 3 3 7 3" xfId="28141" xr:uid="{00000000-0005-0000-0000-0000D0A30000}"/>
    <cellStyle name="Normal 58 5 3 3 8" xfId="13465" xr:uid="{00000000-0005-0000-0000-0000D1A30000}"/>
    <cellStyle name="Normal 58 5 3 3 8 2" xfId="38339" xr:uid="{00000000-0005-0000-0000-0000D2A30000}"/>
    <cellStyle name="Normal 58 5 3 3 9" xfId="25898" xr:uid="{00000000-0005-0000-0000-0000D3A30000}"/>
    <cellStyle name="Normal 58 5 3 4" xfId="1917" xr:uid="{00000000-0005-0000-0000-0000D4A30000}"/>
    <cellStyle name="Normal 58 5 3 4 2" xfId="4655" xr:uid="{00000000-0005-0000-0000-0000D5A30000}"/>
    <cellStyle name="Normal 58 5 3 4 2 2" xfId="9673" xr:uid="{00000000-0005-0000-0000-0000D6A30000}"/>
    <cellStyle name="Normal 58 5 3 4 2 2 2" xfId="22116" xr:uid="{00000000-0005-0000-0000-0000D7A30000}"/>
    <cellStyle name="Normal 58 5 3 4 2 2 2 2" xfId="46990" xr:uid="{00000000-0005-0000-0000-0000D8A30000}"/>
    <cellStyle name="Normal 58 5 3 4 2 2 3" xfId="34557" xr:uid="{00000000-0005-0000-0000-0000D9A30000}"/>
    <cellStyle name="Normal 58 5 3 4 2 3" xfId="17109" xr:uid="{00000000-0005-0000-0000-0000DAA30000}"/>
    <cellStyle name="Normal 58 5 3 4 2 3 2" xfId="41983" xr:uid="{00000000-0005-0000-0000-0000DBA30000}"/>
    <cellStyle name="Normal 58 5 3 4 2 4" xfId="29550" xr:uid="{00000000-0005-0000-0000-0000DCA30000}"/>
    <cellStyle name="Normal 58 5 3 4 3" xfId="6063" xr:uid="{00000000-0005-0000-0000-0000DDA30000}"/>
    <cellStyle name="Normal 58 5 3 4 3 2" xfId="11078" xr:uid="{00000000-0005-0000-0000-0000DEA30000}"/>
    <cellStyle name="Normal 58 5 3 4 3 2 2" xfId="23521" xr:uid="{00000000-0005-0000-0000-0000DFA30000}"/>
    <cellStyle name="Normal 58 5 3 4 3 2 2 2" xfId="48395" xr:uid="{00000000-0005-0000-0000-0000E0A30000}"/>
    <cellStyle name="Normal 58 5 3 4 3 2 3" xfId="35962" xr:uid="{00000000-0005-0000-0000-0000E1A30000}"/>
    <cellStyle name="Normal 58 5 3 4 3 3" xfId="18514" xr:uid="{00000000-0005-0000-0000-0000E2A30000}"/>
    <cellStyle name="Normal 58 5 3 4 3 3 2" xfId="43388" xr:uid="{00000000-0005-0000-0000-0000E3A30000}"/>
    <cellStyle name="Normal 58 5 3 4 3 4" xfId="30955" xr:uid="{00000000-0005-0000-0000-0000E4A30000}"/>
    <cellStyle name="Normal 58 5 3 4 4" xfId="8789" xr:uid="{00000000-0005-0000-0000-0000E5A30000}"/>
    <cellStyle name="Normal 58 5 3 4 4 2" xfId="21233" xr:uid="{00000000-0005-0000-0000-0000E6A30000}"/>
    <cellStyle name="Normal 58 5 3 4 4 2 2" xfId="46107" xr:uid="{00000000-0005-0000-0000-0000E7A30000}"/>
    <cellStyle name="Normal 58 5 3 4 4 3" xfId="33674" xr:uid="{00000000-0005-0000-0000-0000E8A30000}"/>
    <cellStyle name="Normal 58 5 3 4 5" xfId="12532" xr:uid="{00000000-0005-0000-0000-0000E9A30000}"/>
    <cellStyle name="Normal 58 5 3 4 5 2" xfId="24966" xr:uid="{00000000-0005-0000-0000-0000EAA30000}"/>
    <cellStyle name="Normal 58 5 3 4 5 2 2" xfId="49840" xr:uid="{00000000-0005-0000-0000-0000EBA30000}"/>
    <cellStyle name="Normal 58 5 3 4 5 3" xfId="37407" xr:uid="{00000000-0005-0000-0000-0000ECA30000}"/>
    <cellStyle name="Normal 58 5 3 4 6" xfId="7266" xr:uid="{00000000-0005-0000-0000-0000EDA30000}"/>
    <cellStyle name="Normal 58 5 3 4 6 2" xfId="19715" xr:uid="{00000000-0005-0000-0000-0000EEA30000}"/>
    <cellStyle name="Normal 58 5 3 4 6 2 2" xfId="44589" xr:uid="{00000000-0005-0000-0000-0000EFA30000}"/>
    <cellStyle name="Normal 58 5 3 4 6 3" xfId="32156" xr:uid="{00000000-0005-0000-0000-0000F0A30000}"/>
    <cellStyle name="Normal 58 5 3 4 7" xfId="3720" xr:uid="{00000000-0005-0000-0000-0000F1A30000}"/>
    <cellStyle name="Normal 58 5 3 4 7 2" xfId="16226" xr:uid="{00000000-0005-0000-0000-0000F2A30000}"/>
    <cellStyle name="Normal 58 5 3 4 7 2 2" xfId="41100" xr:uid="{00000000-0005-0000-0000-0000F3A30000}"/>
    <cellStyle name="Normal 58 5 3 4 7 3" xfId="28659" xr:uid="{00000000-0005-0000-0000-0000F4A30000}"/>
    <cellStyle name="Normal 58 5 3 4 8" xfId="14717" xr:uid="{00000000-0005-0000-0000-0000F5A30000}"/>
    <cellStyle name="Normal 58 5 3 4 8 2" xfId="39591" xr:uid="{00000000-0005-0000-0000-0000F6A30000}"/>
    <cellStyle name="Normal 58 5 3 4 9" xfId="27150" xr:uid="{00000000-0005-0000-0000-0000F7A30000}"/>
    <cellStyle name="Normal 58 5 3 5" xfId="2218" xr:uid="{00000000-0005-0000-0000-0000F8A30000}"/>
    <cellStyle name="Normal 58 5 3 5 2" xfId="4847" xr:uid="{00000000-0005-0000-0000-0000F9A30000}"/>
    <cellStyle name="Normal 58 5 3 5 2 2" xfId="9864" xr:uid="{00000000-0005-0000-0000-0000FAA30000}"/>
    <cellStyle name="Normal 58 5 3 5 2 2 2" xfId="22307" xr:uid="{00000000-0005-0000-0000-0000FBA30000}"/>
    <cellStyle name="Normal 58 5 3 5 2 2 2 2" xfId="47181" xr:uid="{00000000-0005-0000-0000-0000FCA30000}"/>
    <cellStyle name="Normal 58 5 3 5 2 2 3" xfId="34748" xr:uid="{00000000-0005-0000-0000-0000FDA30000}"/>
    <cellStyle name="Normal 58 5 3 5 2 3" xfId="17300" xr:uid="{00000000-0005-0000-0000-0000FEA30000}"/>
    <cellStyle name="Normal 58 5 3 5 2 3 2" xfId="42174" xr:uid="{00000000-0005-0000-0000-0000FFA30000}"/>
    <cellStyle name="Normal 58 5 3 5 2 4" xfId="29741" xr:uid="{00000000-0005-0000-0000-000000A40000}"/>
    <cellStyle name="Normal 58 5 3 5 3" xfId="6245" xr:uid="{00000000-0005-0000-0000-000001A40000}"/>
    <cellStyle name="Normal 58 5 3 5 3 2" xfId="11260" xr:uid="{00000000-0005-0000-0000-000002A40000}"/>
    <cellStyle name="Normal 58 5 3 5 3 2 2" xfId="23703" xr:uid="{00000000-0005-0000-0000-000003A40000}"/>
    <cellStyle name="Normal 58 5 3 5 3 2 2 2" xfId="48577" xr:uid="{00000000-0005-0000-0000-000004A40000}"/>
    <cellStyle name="Normal 58 5 3 5 3 2 3" xfId="36144" xr:uid="{00000000-0005-0000-0000-000005A40000}"/>
    <cellStyle name="Normal 58 5 3 5 3 3" xfId="18696" xr:uid="{00000000-0005-0000-0000-000006A40000}"/>
    <cellStyle name="Normal 58 5 3 5 3 3 2" xfId="43570" xr:uid="{00000000-0005-0000-0000-000007A40000}"/>
    <cellStyle name="Normal 58 5 3 5 3 4" xfId="31137" xr:uid="{00000000-0005-0000-0000-000008A40000}"/>
    <cellStyle name="Normal 58 5 3 5 4" xfId="8156" xr:uid="{00000000-0005-0000-0000-000009A40000}"/>
    <cellStyle name="Normal 58 5 3 5 4 2" xfId="20602" xr:uid="{00000000-0005-0000-0000-00000AA40000}"/>
    <cellStyle name="Normal 58 5 3 5 4 2 2" xfId="45476" xr:uid="{00000000-0005-0000-0000-00000BA40000}"/>
    <cellStyle name="Normal 58 5 3 5 4 3" xfId="33043" xr:uid="{00000000-0005-0000-0000-00000CA40000}"/>
    <cellStyle name="Normal 58 5 3 5 5" xfId="12714" xr:uid="{00000000-0005-0000-0000-00000DA40000}"/>
    <cellStyle name="Normal 58 5 3 5 5 2" xfId="25148" xr:uid="{00000000-0005-0000-0000-00000EA40000}"/>
    <cellStyle name="Normal 58 5 3 5 5 2 2" xfId="50022" xr:uid="{00000000-0005-0000-0000-00000FA40000}"/>
    <cellStyle name="Normal 58 5 3 5 5 3" xfId="37589" xr:uid="{00000000-0005-0000-0000-000010A40000}"/>
    <cellStyle name="Normal 58 5 3 5 6" xfId="7458" xr:uid="{00000000-0005-0000-0000-000011A40000}"/>
    <cellStyle name="Normal 58 5 3 5 6 2" xfId="19906" xr:uid="{00000000-0005-0000-0000-000012A40000}"/>
    <cellStyle name="Normal 58 5 3 5 6 2 2" xfId="44780" xr:uid="{00000000-0005-0000-0000-000013A40000}"/>
    <cellStyle name="Normal 58 5 3 5 6 3" xfId="32347" xr:uid="{00000000-0005-0000-0000-000014A40000}"/>
    <cellStyle name="Normal 58 5 3 5 7" xfId="3086" xr:uid="{00000000-0005-0000-0000-000015A40000}"/>
    <cellStyle name="Normal 58 5 3 5 7 2" xfId="15595" xr:uid="{00000000-0005-0000-0000-000016A40000}"/>
    <cellStyle name="Normal 58 5 3 5 7 2 2" xfId="40469" xr:uid="{00000000-0005-0000-0000-000017A40000}"/>
    <cellStyle name="Normal 58 5 3 5 7 3" xfId="28028" xr:uid="{00000000-0005-0000-0000-000018A40000}"/>
    <cellStyle name="Normal 58 5 3 5 8" xfId="14899" xr:uid="{00000000-0005-0000-0000-000019A40000}"/>
    <cellStyle name="Normal 58 5 3 5 8 2" xfId="39773" xr:uid="{00000000-0005-0000-0000-00001AA40000}"/>
    <cellStyle name="Normal 58 5 3 5 9" xfId="27332" xr:uid="{00000000-0005-0000-0000-00001BA40000}"/>
    <cellStyle name="Normal 58 5 3 6" xfId="1056" xr:uid="{00000000-0005-0000-0000-00001CA40000}"/>
    <cellStyle name="Normal 58 5 3 6 2" xfId="9042" xr:uid="{00000000-0005-0000-0000-00001DA40000}"/>
    <cellStyle name="Normal 58 5 3 6 2 2" xfId="21485" xr:uid="{00000000-0005-0000-0000-00001EA40000}"/>
    <cellStyle name="Normal 58 5 3 6 2 2 2" xfId="46359" xr:uid="{00000000-0005-0000-0000-00001FA40000}"/>
    <cellStyle name="Normal 58 5 3 6 2 3" xfId="33926" xr:uid="{00000000-0005-0000-0000-000020A40000}"/>
    <cellStyle name="Normal 58 5 3 6 3" xfId="4024" xr:uid="{00000000-0005-0000-0000-000021A40000}"/>
    <cellStyle name="Normal 58 5 3 6 3 2" xfId="16478" xr:uid="{00000000-0005-0000-0000-000022A40000}"/>
    <cellStyle name="Normal 58 5 3 6 3 2 2" xfId="41352" xr:uid="{00000000-0005-0000-0000-000023A40000}"/>
    <cellStyle name="Normal 58 5 3 6 3 3" xfId="28919" xr:uid="{00000000-0005-0000-0000-000024A40000}"/>
    <cellStyle name="Normal 58 5 3 6 4" xfId="13856" xr:uid="{00000000-0005-0000-0000-000025A40000}"/>
    <cellStyle name="Normal 58 5 3 6 4 2" xfId="38730" xr:uid="{00000000-0005-0000-0000-000026A40000}"/>
    <cellStyle name="Normal 58 5 3 6 5" xfId="26289" xr:uid="{00000000-0005-0000-0000-000027A40000}"/>
    <cellStyle name="Normal 58 5 3 7" xfId="5201" xr:uid="{00000000-0005-0000-0000-000028A40000}"/>
    <cellStyle name="Normal 58 5 3 7 2" xfId="10217" xr:uid="{00000000-0005-0000-0000-000029A40000}"/>
    <cellStyle name="Normal 58 5 3 7 2 2" xfId="22660" xr:uid="{00000000-0005-0000-0000-00002AA40000}"/>
    <cellStyle name="Normal 58 5 3 7 2 2 2" xfId="47534" xr:uid="{00000000-0005-0000-0000-00002BA40000}"/>
    <cellStyle name="Normal 58 5 3 7 2 3" xfId="35101" xr:uid="{00000000-0005-0000-0000-00002CA40000}"/>
    <cellStyle name="Normal 58 5 3 7 3" xfId="17653" xr:uid="{00000000-0005-0000-0000-00002DA40000}"/>
    <cellStyle name="Normal 58 5 3 7 3 2" xfId="42527" xr:uid="{00000000-0005-0000-0000-00002EA40000}"/>
    <cellStyle name="Normal 58 5 3 7 4" xfId="30094" xr:uid="{00000000-0005-0000-0000-00002FA40000}"/>
    <cellStyle name="Normal 58 5 3 8" xfId="7778" xr:uid="{00000000-0005-0000-0000-000030A40000}"/>
    <cellStyle name="Normal 58 5 3 8 2" xfId="20224" xr:uid="{00000000-0005-0000-0000-000031A40000}"/>
    <cellStyle name="Normal 58 5 3 8 2 2" xfId="45098" xr:uid="{00000000-0005-0000-0000-000032A40000}"/>
    <cellStyle name="Normal 58 5 3 8 3" xfId="32665" xr:uid="{00000000-0005-0000-0000-000033A40000}"/>
    <cellStyle name="Normal 58 5 3 9" xfId="11671" xr:uid="{00000000-0005-0000-0000-000034A40000}"/>
    <cellStyle name="Normal 58 5 3 9 2" xfId="24105" xr:uid="{00000000-0005-0000-0000-000035A40000}"/>
    <cellStyle name="Normal 58 5 3 9 2 2" xfId="48979" xr:uid="{00000000-0005-0000-0000-000036A40000}"/>
    <cellStyle name="Normal 58 5 3 9 3" xfId="36546" xr:uid="{00000000-0005-0000-0000-000037A40000}"/>
    <cellStyle name="Normal 58 5 3_Degree data" xfId="2534" xr:uid="{00000000-0005-0000-0000-000038A40000}"/>
    <cellStyle name="Normal 58 5 4" xfId="402" xr:uid="{00000000-0005-0000-0000-000039A40000}"/>
    <cellStyle name="Normal 58 5 4 10" xfId="13218" xr:uid="{00000000-0005-0000-0000-00003AA40000}"/>
    <cellStyle name="Normal 58 5 4 10 2" xfId="38092" xr:uid="{00000000-0005-0000-0000-00003BA40000}"/>
    <cellStyle name="Normal 58 5 4 11" xfId="25651" xr:uid="{00000000-0005-0000-0000-00003CA40000}"/>
    <cellStyle name="Normal 58 5 4 2" xfId="762" xr:uid="{00000000-0005-0000-0000-00003DA40000}"/>
    <cellStyle name="Normal 58 5 4 2 2" xfId="1571" xr:uid="{00000000-0005-0000-0000-00003EA40000}"/>
    <cellStyle name="Normal 58 5 4 2 2 2" xfId="9675" xr:uid="{00000000-0005-0000-0000-00003FA40000}"/>
    <cellStyle name="Normal 58 5 4 2 2 2 2" xfId="22118" xr:uid="{00000000-0005-0000-0000-000040A40000}"/>
    <cellStyle name="Normal 58 5 4 2 2 2 2 2" xfId="46992" xr:uid="{00000000-0005-0000-0000-000041A40000}"/>
    <cellStyle name="Normal 58 5 4 2 2 2 3" xfId="34559" xr:uid="{00000000-0005-0000-0000-000042A40000}"/>
    <cellStyle name="Normal 58 5 4 2 2 3" xfId="4657" xr:uid="{00000000-0005-0000-0000-000043A40000}"/>
    <cellStyle name="Normal 58 5 4 2 2 3 2" xfId="17111" xr:uid="{00000000-0005-0000-0000-000044A40000}"/>
    <cellStyle name="Normal 58 5 4 2 2 3 2 2" xfId="41985" xr:uid="{00000000-0005-0000-0000-000045A40000}"/>
    <cellStyle name="Normal 58 5 4 2 2 3 3" xfId="29552" xr:uid="{00000000-0005-0000-0000-000046A40000}"/>
    <cellStyle name="Normal 58 5 4 2 2 4" xfId="14371" xr:uid="{00000000-0005-0000-0000-000047A40000}"/>
    <cellStyle name="Normal 58 5 4 2 2 4 2" xfId="39245" xr:uid="{00000000-0005-0000-0000-000048A40000}"/>
    <cellStyle name="Normal 58 5 4 2 2 5" xfId="26804" xr:uid="{00000000-0005-0000-0000-000049A40000}"/>
    <cellStyle name="Normal 58 5 4 2 3" xfId="5716" xr:uid="{00000000-0005-0000-0000-00004AA40000}"/>
    <cellStyle name="Normal 58 5 4 2 3 2" xfId="10732" xr:uid="{00000000-0005-0000-0000-00004BA40000}"/>
    <cellStyle name="Normal 58 5 4 2 3 2 2" xfId="23175" xr:uid="{00000000-0005-0000-0000-00004CA40000}"/>
    <cellStyle name="Normal 58 5 4 2 3 2 2 2" xfId="48049" xr:uid="{00000000-0005-0000-0000-00004DA40000}"/>
    <cellStyle name="Normal 58 5 4 2 3 2 3" xfId="35616" xr:uid="{00000000-0005-0000-0000-00004EA40000}"/>
    <cellStyle name="Normal 58 5 4 2 3 3" xfId="18168" xr:uid="{00000000-0005-0000-0000-00004FA40000}"/>
    <cellStyle name="Normal 58 5 4 2 3 3 2" xfId="43042" xr:uid="{00000000-0005-0000-0000-000050A40000}"/>
    <cellStyle name="Normal 58 5 4 2 3 4" xfId="30609" xr:uid="{00000000-0005-0000-0000-000051A40000}"/>
    <cellStyle name="Normal 58 5 4 2 4" xfId="8791" xr:uid="{00000000-0005-0000-0000-000052A40000}"/>
    <cellStyle name="Normal 58 5 4 2 4 2" xfId="21235" xr:uid="{00000000-0005-0000-0000-000053A40000}"/>
    <cellStyle name="Normal 58 5 4 2 4 2 2" xfId="46109" xr:uid="{00000000-0005-0000-0000-000054A40000}"/>
    <cellStyle name="Normal 58 5 4 2 4 3" xfId="33676" xr:uid="{00000000-0005-0000-0000-000055A40000}"/>
    <cellStyle name="Normal 58 5 4 2 5" xfId="12186" xr:uid="{00000000-0005-0000-0000-000056A40000}"/>
    <cellStyle name="Normal 58 5 4 2 5 2" xfId="24620" xr:uid="{00000000-0005-0000-0000-000057A40000}"/>
    <cellStyle name="Normal 58 5 4 2 5 2 2" xfId="49494" xr:uid="{00000000-0005-0000-0000-000058A40000}"/>
    <cellStyle name="Normal 58 5 4 2 5 3" xfId="37061" xr:uid="{00000000-0005-0000-0000-000059A40000}"/>
    <cellStyle name="Normal 58 5 4 2 6" xfId="7268" xr:uid="{00000000-0005-0000-0000-00005AA40000}"/>
    <cellStyle name="Normal 58 5 4 2 6 2" xfId="19717" xr:uid="{00000000-0005-0000-0000-00005BA40000}"/>
    <cellStyle name="Normal 58 5 4 2 6 2 2" xfId="44591" xr:uid="{00000000-0005-0000-0000-00005CA40000}"/>
    <cellStyle name="Normal 58 5 4 2 6 3" xfId="32158" xr:uid="{00000000-0005-0000-0000-00005DA40000}"/>
    <cellStyle name="Normal 58 5 4 2 7" xfId="3722" xr:uid="{00000000-0005-0000-0000-00005EA40000}"/>
    <cellStyle name="Normal 58 5 4 2 7 2" xfId="16228" xr:uid="{00000000-0005-0000-0000-00005FA40000}"/>
    <cellStyle name="Normal 58 5 4 2 7 2 2" xfId="41102" xr:uid="{00000000-0005-0000-0000-000060A40000}"/>
    <cellStyle name="Normal 58 5 4 2 7 3" xfId="28661" xr:uid="{00000000-0005-0000-0000-000061A40000}"/>
    <cellStyle name="Normal 58 5 4 2 8" xfId="13565" xr:uid="{00000000-0005-0000-0000-000062A40000}"/>
    <cellStyle name="Normal 58 5 4 2 8 2" xfId="38439" xr:uid="{00000000-0005-0000-0000-000063A40000}"/>
    <cellStyle name="Normal 58 5 4 2 9" xfId="25998" xr:uid="{00000000-0005-0000-0000-000064A40000}"/>
    <cellStyle name="Normal 58 5 4 3" xfId="1919" xr:uid="{00000000-0005-0000-0000-000065A40000}"/>
    <cellStyle name="Normal 58 5 4 3 2" xfId="4947" xr:uid="{00000000-0005-0000-0000-000066A40000}"/>
    <cellStyle name="Normal 58 5 4 3 2 2" xfId="9964" xr:uid="{00000000-0005-0000-0000-000067A40000}"/>
    <cellStyle name="Normal 58 5 4 3 2 2 2" xfId="22407" xr:uid="{00000000-0005-0000-0000-000068A40000}"/>
    <cellStyle name="Normal 58 5 4 3 2 2 2 2" xfId="47281" xr:uid="{00000000-0005-0000-0000-000069A40000}"/>
    <cellStyle name="Normal 58 5 4 3 2 2 3" xfId="34848" xr:uid="{00000000-0005-0000-0000-00006AA40000}"/>
    <cellStyle name="Normal 58 5 4 3 2 3" xfId="17400" xr:uid="{00000000-0005-0000-0000-00006BA40000}"/>
    <cellStyle name="Normal 58 5 4 3 2 3 2" xfId="42274" xr:uid="{00000000-0005-0000-0000-00006CA40000}"/>
    <cellStyle name="Normal 58 5 4 3 2 4" xfId="29841" xr:uid="{00000000-0005-0000-0000-00006DA40000}"/>
    <cellStyle name="Normal 58 5 4 3 3" xfId="6065" xr:uid="{00000000-0005-0000-0000-00006EA40000}"/>
    <cellStyle name="Normal 58 5 4 3 3 2" xfId="11080" xr:uid="{00000000-0005-0000-0000-00006FA40000}"/>
    <cellStyle name="Normal 58 5 4 3 3 2 2" xfId="23523" xr:uid="{00000000-0005-0000-0000-000070A40000}"/>
    <cellStyle name="Normal 58 5 4 3 3 2 2 2" xfId="48397" xr:uid="{00000000-0005-0000-0000-000071A40000}"/>
    <cellStyle name="Normal 58 5 4 3 3 2 3" xfId="35964" xr:uid="{00000000-0005-0000-0000-000072A40000}"/>
    <cellStyle name="Normal 58 5 4 3 3 3" xfId="18516" xr:uid="{00000000-0005-0000-0000-000073A40000}"/>
    <cellStyle name="Normal 58 5 4 3 3 3 2" xfId="43390" xr:uid="{00000000-0005-0000-0000-000074A40000}"/>
    <cellStyle name="Normal 58 5 4 3 3 4" xfId="30957" xr:uid="{00000000-0005-0000-0000-000075A40000}"/>
    <cellStyle name="Normal 58 5 4 3 4" xfId="8371" xr:uid="{00000000-0005-0000-0000-000076A40000}"/>
    <cellStyle name="Normal 58 5 4 3 4 2" xfId="20815" xr:uid="{00000000-0005-0000-0000-000077A40000}"/>
    <cellStyle name="Normal 58 5 4 3 4 2 2" xfId="45689" xr:uid="{00000000-0005-0000-0000-000078A40000}"/>
    <cellStyle name="Normal 58 5 4 3 4 3" xfId="33256" xr:uid="{00000000-0005-0000-0000-000079A40000}"/>
    <cellStyle name="Normal 58 5 4 3 5" xfId="12534" xr:uid="{00000000-0005-0000-0000-00007AA40000}"/>
    <cellStyle name="Normal 58 5 4 3 5 2" xfId="24968" xr:uid="{00000000-0005-0000-0000-00007BA40000}"/>
    <cellStyle name="Normal 58 5 4 3 5 2 2" xfId="49842" xr:uid="{00000000-0005-0000-0000-00007CA40000}"/>
    <cellStyle name="Normal 58 5 4 3 5 3" xfId="37409" xr:uid="{00000000-0005-0000-0000-00007DA40000}"/>
    <cellStyle name="Normal 58 5 4 3 6" xfId="7558" xr:uid="{00000000-0005-0000-0000-00007EA40000}"/>
    <cellStyle name="Normal 58 5 4 3 6 2" xfId="20006" xr:uid="{00000000-0005-0000-0000-00007FA40000}"/>
    <cellStyle name="Normal 58 5 4 3 6 2 2" xfId="44880" xr:uid="{00000000-0005-0000-0000-000080A40000}"/>
    <cellStyle name="Normal 58 5 4 3 6 3" xfId="32447" xr:uid="{00000000-0005-0000-0000-000081A40000}"/>
    <cellStyle name="Normal 58 5 4 3 7" xfId="3302" xr:uid="{00000000-0005-0000-0000-000082A40000}"/>
    <cellStyle name="Normal 58 5 4 3 7 2" xfId="15808" xr:uid="{00000000-0005-0000-0000-000083A40000}"/>
    <cellStyle name="Normal 58 5 4 3 7 2 2" xfId="40682" xr:uid="{00000000-0005-0000-0000-000084A40000}"/>
    <cellStyle name="Normal 58 5 4 3 7 3" xfId="28241" xr:uid="{00000000-0005-0000-0000-000085A40000}"/>
    <cellStyle name="Normal 58 5 4 3 8" xfId="14719" xr:uid="{00000000-0005-0000-0000-000086A40000}"/>
    <cellStyle name="Normal 58 5 4 3 8 2" xfId="39593" xr:uid="{00000000-0005-0000-0000-000087A40000}"/>
    <cellStyle name="Normal 58 5 4 3 9" xfId="27152" xr:uid="{00000000-0005-0000-0000-000088A40000}"/>
    <cellStyle name="Normal 58 5 4 4" xfId="2320" xr:uid="{00000000-0005-0000-0000-000089A40000}"/>
    <cellStyle name="Normal 58 5 4 4 2" xfId="6345" xr:uid="{00000000-0005-0000-0000-00008AA40000}"/>
    <cellStyle name="Normal 58 5 4 4 2 2" xfId="11360" xr:uid="{00000000-0005-0000-0000-00008BA40000}"/>
    <cellStyle name="Normal 58 5 4 4 2 2 2" xfId="23803" xr:uid="{00000000-0005-0000-0000-00008CA40000}"/>
    <cellStyle name="Normal 58 5 4 4 2 2 2 2" xfId="48677" xr:uid="{00000000-0005-0000-0000-00008DA40000}"/>
    <cellStyle name="Normal 58 5 4 4 2 2 3" xfId="36244" xr:uid="{00000000-0005-0000-0000-00008EA40000}"/>
    <cellStyle name="Normal 58 5 4 4 2 3" xfId="18796" xr:uid="{00000000-0005-0000-0000-00008FA40000}"/>
    <cellStyle name="Normal 58 5 4 4 2 3 2" xfId="43670" xr:uid="{00000000-0005-0000-0000-000090A40000}"/>
    <cellStyle name="Normal 58 5 4 4 2 4" xfId="31237" xr:uid="{00000000-0005-0000-0000-000091A40000}"/>
    <cellStyle name="Normal 58 5 4 4 3" xfId="12814" xr:uid="{00000000-0005-0000-0000-000092A40000}"/>
    <cellStyle name="Normal 58 5 4 4 3 2" xfId="25248" xr:uid="{00000000-0005-0000-0000-000093A40000}"/>
    <cellStyle name="Normal 58 5 4 4 3 2 2" xfId="50122" xr:uid="{00000000-0005-0000-0000-000094A40000}"/>
    <cellStyle name="Normal 58 5 4 4 3 3" xfId="37689" xr:uid="{00000000-0005-0000-0000-000095A40000}"/>
    <cellStyle name="Normal 58 5 4 4 4" xfId="9255" xr:uid="{00000000-0005-0000-0000-000096A40000}"/>
    <cellStyle name="Normal 58 5 4 4 4 2" xfId="21698" xr:uid="{00000000-0005-0000-0000-000097A40000}"/>
    <cellStyle name="Normal 58 5 4 4 4 2 2" xfId="46572" xr:uid="{00000000-0005-0000-0000-000098A40000}"/>
    <cellStyle name="Normal 58 5 4 4 4 3" xfId="34139" xr:uid="{00000000-0005-0000-0000-000099A40000}"/>
    <cellStyle name="Normal 58 5 4 4 5" xfId="4237" xr:uid="{00000000-0005-0000-0000-00009AA40000}"/>
    <cellStyle name="Normal 58 5 4 4 5 2" xfId="16691" xr:uid="{00000000-0005-0000-0000-00009BA40000}"/>
    <cellStyle name="Normal 58 5 4 4 5 2 2" xfId="41565" xr:uid="{00000000-0005-0000-0000-00009CA40000}"/>
    <cellStyle name="Normal 58 5 4 4 5 3" xfId="29132" xr:uid="{00000000-0005-0000-0000-00009DA40000}"/>
    <cellStyle name="Normal 58 5 4 4 6" xfId="14999" xr:uid="{00000000-0005-0000-0000-00009EA40000}"/>
    <cellStyle name="Normal 58 5 4 4 6 2" xfId="39873" xr:uid="{00000000-0005-0000-0000-00009FA40000}"/>
    <cellStyle name="Normal 58 5 4 4 7" xfId="27432" xr:uid="{00000000-0005-0000-0000-0000A0A40000}"/>
    <cellStyle name="Normal 58 5 4 5" xfId="1156" xr:uid="{00000000-0005-0000-0000-0000A1A40000}"/>
    <cellStyle name="Normal 58 5 4 5 2" xfId="10317" xr:uid="{00000000-0005-0000-0000-0000A2A40000}"/>
    <cellStyle name="Normal 58 5 4 5 2 2" xfId="22760" xr:uid="{00000000-0005-0000-0000-0000A3A40000}"/>
    <cellStyle name="Normal 58 5 4 5 2 2 2" xfId="47634" xr:uid="{00000000-0005-0000-0000-0000A4A40000}"/>
    <cellStyle name="Normal 58 5 4 5 2 3" xfId="35201" xr:uid="{00000000-0005-0000-0000-0000A5A40000}"/>
    <cellStyle name="Normal 58 5 4 5 3" xfId="5301" xr:uid="{00000000-0005-0000-0000-0000A6A40000}"/>
    <cellStyle name="Normal 58 5 4 5 3 2" xfId="17753" xr:uid="{00000000-0005-0000-0000-0000A7A40000}"/>
    <cellStyle name="Normal 58 5 4 5 3 2 2" xfId="42627" xr:uid="{00000000-0005-0000-0000-0000A8A40000}"/>
    <cellStyle name="Normal 58 5 4 5 3 3" xfId="30194" xr:uid="{00000000-0005-0000-0000-0000A9A40000}"/>
    <cellStyle name="Normal 58 5 4 5 4" xfId="13956" xr:uid="{00000000-0005-0000-0000-0000AAA40000}"/>
    <cellStyle name="Normal 58 5 4 5 4 2" xfId="38830" xr:uid="{00000000-0005-0000-0000-0000ABA40000}"/>
    <cellStyle name="Normal 58 5 4 5 5" xfId="26389" xr:uid="{00000000-0005-0000-0000-0000ACA40000}"/>
    <cellStyle name="Normal 58 5 4 6" xfId="7878" xr:uid="{00000000-0005-0000-0000-0000ADA40000}"/>
    <cellStyle name="Normal 58 5 4 6 2" xfId="20324" xr:uid="{00000000-0005-0000-0000-0000AEA40000}"/>
    <cellStyle name="Normal 58 5 4 6 2 2" xfId="45198" xr:uid="{00000000-0005-0000-0000-0000AFA40000}"/>
    <cellStyle name="Normal 58 5 4 6 3" xfId="32765" xr:uid="{00000000-0005-0000-0000-0000B0A40000}"/>
    <cellStyle name="Normal 58 5 4 7" xfId="11771" xr:uid="{00000000-0005-0000-0000-0000B1A40000}"/>
    <cellStyle name="Normal 58 5 4 7 2" xfId="24205" xr:uid="{00000000-0005-0000-0000-0000B2A40000}"/>
    <cellStyle name="Normal 58 5 4 7 2 2" xfId="49079" xr:uid="{00000000-0005-0000-0000-0000B3A40000}"/>
    <cellStyle name="Normal 58 5 4 7 3" xfId="36646" xr:uid="{00000000-0005-0000-0000-0000B4A40000}"/>
    <cellStyle name="Normal 58 5 4 8" xfId="6848" xr:uid="{00000000-0005-0000-0000-0000B5A40000}"/>
    <cellStyle name="Normal 58 5 4 8 2" xfId="19297" xr:uid="{00000000-0005-0000-0000-0000B6A40000}"/>
    <cellStyle name="Normal 58 5 4 8 2 2" xfId="44171" xr:uid="{00000000-0005-0000-0000-0000B7A40000}"/>
    <cellStyle name="Normal 58 5 4 8 3" xfId="31738" xr:uid="{00000000-0005-0000-0000-0000B8A40000}"/>
    <cellStyle name="Normal 58 5 4 9" xfId="2799" xr:uid="{00000000-0005-0000-0000-0000B9A40000}"/>
    <cellStyle name="Normal 58 5 4 9 2" xfId="15317" xr:uid="{00000000-0005-0000-0000-0000BAA40000}"/>
    <cellStyle name="Normal 58 5 4 9 2 2" xfId="40191" xr:uid="{00000000-0005-0000-0000-0000BBA40000}"/>
    <cellStyle name="Normal 58 5 4 9 3" xfId="27750" xr:uid="{00000000-0005-0000-0000-0000BCA40000}"/>
    <cellStyle name="Normal 58 5 4_Degree data" xfId="2536" xr:uid="{00000000-0005-0000-0000-0000BDA40000}"/>
    <cellStyle name="Normal 58 5 5" xfId="235" xr:uid="{00000000-0005-0000-0000-0000BEA40000}"/>
    <cellStyle name="Normal 58 5 5 10" xfId="13061" xr:uid="{00000000-0005-0000-0000-0000BFA40000}"/>
    <cellStyle name="Normal 58 5 5 10 2" xfId="37935" xr:uid="{00000000-0005-0000-0000-0000C0A40000}"/>
    <cellStyle name="Normal 58 5 5 11" xfId="25494" xr:uid="{00000000-0005-0000-0000-0000C1A40000}"/>
    <cellStyle name="Normal 58 5 5 2" xfId="599" xr:uid="{00000000-0005-0000-0000-0000C2A40000}"/>
    <cellStyle name="Normal 58 5 5 2 2" xfId="1572" xr:uid="{00000000-0005-0000-0000-0000C3A40000}"/>
    <cellStyle name="Normal 58 5 5 2 2 2" xfId="9676" xr:uid="{00000000-0005-0000-0000-0000C4A40000}"/>
    <cellStyle name="Normal 58 5 5 2 2 2 2" xfId="22119" xr:uid="{00000000-0005-0000-0000-0000C5A40000}"/>
    <cellStyle name="Normal 58 5 5 2 2 2 2 2" xfId="46993" xr:uid="{00000000-0005-0000-0000-0000C6A40000}"/>
    <cellStyle name="Normal 58 5 5 2 2 2 3" xfId="34560" xr:uid="{00000000-0005-0000-0000-0000C7A40000}"/>
    <cellStyle name="Normal 58 5 5 2 2 3" xfId="4658" xr:uid="{00000000-0005-0000-0000-0000C8A40000}"/>
    <cellStyle name="Normal 58 5 5 2 2 3 2" xfId="17112" xr:uid="{00000000-0005-0000-0000-0000C9A40000}"/>
    <cellStyle name="Normal 58 5 5 2 2 3 2 2" xfId="41986" xr:uid="{00000000-0005-0000-0000-0000CAA40000}"/>
    <cellStyle name="Normal 58 5 5 2 2 3 3" xfId="29553" xr:uid="{00000000-0005-0000-0000-0000CBA40000}"/>
    <cellStyle name="Normal 58 5 5 2 2 4" xfId="14372" xr:uid="{00000000-0005-0000-0000-0000CCA40000}"/>
    <cellStyle name="Normal 58 5 5 2 2 4 2" xfId="39246" xr:uid="{00000000-0005-0000-0000-0000CDA40000}"/>
    <cellStyle name="Normal 58 5 5 2 2 5" xfId="26805" xr:uid="{00000000-0005-0000-0000-0000CEA40000}"/>
    <cellStyle name="Normal 58 5 5 2 3" xfId="5717" xr:uid="{00000000-0005-0000-0000-0000CFA40000}"/>
    <cellStyle name="Normal 58 5 5 2 3 2" xfId="10733" xr:uid="{00000000-0005-0000-0000-0000D0A40000}"/>
    <cellStyle name="Normal 58 5 5 2 3 2 2" xfId="23176" xr:uid="{00000000-0005-0000-0000-0000D1A40000}"/>
    <cellStyle name="Normal 58 5 5 2 3 2 2 2" xfId="48050" xr:uid="{00000000-0005-0000-0000-0000D2A40000}"/>
    <cellStyle name="Normal 58 5 5 2 3 2 3" xfId="35617" xr:uid="{00000000-0005-0000-0000-0000D3A40000}"/>
    <cellStyle name="Normal 58 5 5 2 3 3" xfId="18169" xr:uid="{00000000-0005-0000-0000-0000D4A40000}"/>
    <cellStyle name="Normal 58 5 5 2 3 3 2" xfId="43043" xr:uid="{00000000-0005-0000-0000-0000D5A40000}"/>
    <cellStyle name="Normal 58 5 5 2 3 4" xfId="30610" xr:uid="{00000000-0005-0000-0000-0000D6A40000}"/>
    <cellStyle name="Normal 58 5 5 2 4" xfId="8792" xr:uid="{00000000-0005-0000-0000-0000D7A40000}"/>
    <cellStyle name="Normal 58 5 5 2 4 2" xfId="21236" xr:uid="{00000000-0005-0000-0000-0000D8A40000}"/>
    <cellStyle name="Normal 58 5 5 2 4 2 2" xfId="46110" xr:uid="{00000000-0005-0000-0000-0000D9A40000}"/>
    <cellStyle name="Normal 58 5 5 2 4 3" xfId="33677" xr:uid="{00000000-0005-0000-0000-0000DAA40000}"/>
    <cellStyle name="Normal 58 5 5 2 5" xfId="12187" xr:uid="{00000000-0005-0000-0000-0000DBA40000}"/>
    <cellStyle name="Normal 58 5 5 2 5 2" xfId="24621" xr:uid="{00000000-0005-0000-0000-0000DCA40000}"/>
    <cellStyle name="Normal 58 5 5 2 5 2 2" xfId="49495" xr:uid="{00000000-0005-0000-0000-0000DDA40000}"/>
    <cellStyle name="Normal 58 5 5 2 5 3" xfId="37062" xr:uid="{00000000-0005-0000-0000-0000DEA40000}"/>
    <cellStyle name="Normal 58 5 5 2 6" xfId="7269" xr:uid="{00000000-0005-0000-0000-0000DFA40000}"/>
    <cellStyle name="Normal 58 5 5 2 6 2" xfId="19718" xr:uid="{00000000-0005-0000-0000-0000E0A40000}"/>
    <cellStyle name="Normal 58 5 5 2 6 2 2" xfId="44592" xr:uid="{00000000-0005-0000-0000-0000E1A40000}"/>
    <cellStyle name="Normal 58 5 5 2 6 3" xfId="32159" xr:uid="{00000000-0005-0000-0000-0000E2A40000}"/>
    <cellStyle name="Normal 58 5 5 2 7" xfId="3723" xr:uid="{00000000-0005-0000-0000-0000E3A40000}"/>
    <cellStyle name="Normal 58 5 5 2 7 2" xfId="16229" xr:uid="{00000000-0005-0000-0000-0000E4A40000}"/>
    <cellStyle name="Normal 58 5 5 2 7 2 2" xfId="41103" xr:uid="{00000000-0005-0000-0000-0000E5A40000}"/>
    <cellStyle name="Normal 58 5 5 2 7 3" xfId="28662" xr:uid="{00000000-0005-0000-0000-0000E6A40000}"/>
    <cellStyle name="Normal 58 5 5 2 8" xfId="13408" xr:uid="{00000000-0005-0000-0000-0000E7A40000}"/>
    <cellStyle name="Normal 58 5 5 2 8 2" xfId="38282" xr:uid="{00000000-0005-0000-0000-0000E8A40000}"/>
    <cellStyle name="Normal 58 5 5 2 9" xfId="25841" xr:uid="{00000000-0005-0000-0000-0000E9A40000}"/>
    <cellStyle name="Normal 58 5 5 3" xfId="1920" xr:uid="{00000000-0005-0000-0000-0000EAA40000}"/>
    <cellStyle name="Normal 58 5 5 3 2" xfId="4790" xr:uid="{00000000-0005-0000-0000-0000EBA40000}"/>
    <cellStyle name="Normal 58 5 5 3 2 2" xfId="9807" xr:uid="{00000000-0005-0000-0000-0000ECA40000}"/>
    <cellStyle name="Normal 58 5 5 3 2 2 2" xfId="22250" xr:uid="{00000000-0005-0000-0000-0000EDA40000}"/>
    <cellStyle name="Normal 58 5 5 3 2 2 2 2" xfId="47124" xr:uid="{00000000-0005-0000-0000-0000EEA40000}"/>
    <cellStyle name="Normal 58 5 5 3 2 2 3" xfId="34691" xr:uid="{00000000-0005-0000-0000-0000EFA40000}"/>
    <cellStyle name="Normal 58 5 5 3 2 3" xfId="17243" xr:uid="{00000000-0005-0000-0000-0000F0A40000}"/>
    <cellStyle name="Normal 58 5 5 3 2 3 2" xfId="42117" xr:uid="{00000000-0005-0000-0000-0000F1A40000}"/>
    <cellStyle name="Normal 58 5 5 3 2 4" xfId="29684" xr:uid="{00000000-0005-0000-0000-0000F2A40000}"/>
    <cellStyle name="Normal 58 5 5 3 3" xfId="6066" xr:uid="{00000000-0005-0000-0000-0000F3A40000}"/>
    <cellStyle name="Normal 58 5 5 3 3 2" xfId="11081" xr:uid="{00000000-0005-0000-0000-0000F4A40000}"/>
    <cellStyle name="Normal 58 5 5 3 3 2 2" xfId="23524" xr:uid="{00000000-0005-0000-0000-0000F5A40000}"/>
    <cellStyle name="Normal 58 5 5 3 3 2 2 2" xfId="48398" xr:uid="{00000000-0005-0000-0000-0000F6A40000}"/>
    <cellStyle name="Normal 58 5 5 3 3 2 3" xfId="35965" xr:uid="{00000000-0005-0000-0000-0000F7A40000}"/>
    <cellStyle name="Normal 58 5 5 3 3 3" xfId="18517" xr:uid="{00000000-0005-0000-0000-0000F8A40000}"/>
    <cellStyle name="Normal 58 5 5 3 3 3 2" xfId="43391" xr:uid="{00000000-0005-0000-0000-0000F9A40000}"/>
    <cellStyle name="Normal 58 5 5 3 3 4" xfId="30958" xr:uid="{00000000-0005-0000-0000-0000FAA40000}"/>
    <cellStyle name="Normal 58 5 5 3 4" xfId="8881" xr:uid="{00000000-0005-0000-0000-0000FBA40000}"/>
    <cellStyle name="Normal 58 5 5 3 4 2" xfId="21324" xr:uid="{00000000-0005-0000-0000-0000FCA40000}"/>
    <cellStyle name="Normal 58 5 5 3 4 2 2" xfId="46198" xr:uid="{00000000-0005-0000-0000-0000FDA40000}"/>
    <cellStyle name="Normal 58 5 5 3 4 3" xfId="33765" xr:uid="{00000000-0005-0000-0000-0000FEA40000}"/>
    <cellStyle name="Normal 58 5 5 3 5" xfId="12535" xr:uid="{00000000-0005-0000-0000-0000FFA40000}"/>
    <cellStyle name="Normal 58 5 5 3 5 2" xfId="24969" xr:uid="{00000000-0005-0000-0000-000000A50000}"/>
    <cellStyle name="Normal 58 5 5 3 5 2 2" xfId="49843" xr:uid="{00000000-0005-0000-0000-000001A50000}"/>
    <cellStyle name="Normal 58 5 5 3 5 3" xfId="37410" xr:uid="{00000000-0005-0000-0000-000002A50000}"/>
    <cellStyle name="Normal 58 5 5 3 6" xfId="7401" xr:uid="{00000000-0005-0000-0000-000003A50000}"/>
    <cellStyle name="Normal 58 5 5 3 6 2" xfId="19849" xr:uid="{00000000-0005-0000-0000-000004A50000}"/>
    <cellStyle name="Normal 58 5 5 3 6 2 2" xfId="44723" xr:uid="{00000000-0005-0000-0000-000005A50000}"/>
    <cellStyle name="Normal 58 5 5 3 6 3" xfId="32290" xr:uid="{00000000-0005-0000-0000-000006A50000}"/>
    <cellStyle name="Normal 58 5 5 3 7" xfId="3863" xr:uid="{00000000-0005-0000-0000-000007A50000}"/>
    <cellStyle name="Normal 58 5 5 3 7 2" xfId="16317" xr:uid="{00000000-0005-0000-0000-000008A50000}"/>
    <cellStyle name="Normal 58 5 5 3 7 2 2" xfId="41191" xr:uid="{00000000-0005-0000-0000-000009A50000}"/>
    <cellStyle name="Normal 58 5 5 3 7 3" xfId="28758" xr:uid="{00000000-0005-0000-0000-00000AA50000}"/>
    <cellStyle name="Normal 58 5 5 3 8" xfId="14720" xr:uid="{00000000-0005-0000-0000-00000BA50000}"/>
    <cellStyle name="Normal 58 5 5 3 8 2" xfId="39594" xr:uid="{00000000-0005-0000-0000-00000CA50000}"/>
    <cellStyle name="Normal 58 5 5 3 9" xfId="27153" xr:uid="{00000000-0005-0000-0000-00000DA50000}"/>
    <cellStyle name="Normal 58 5 5 4" xfId="2153" xr:uid="{00000000-0005-0000-0000-00000EA50000}"/>
    <cellStyle name="Normal 58 5 5 4 2" xfId="6188" xr:uid="{00000000-0005-0000-0000-00000FA50000}"/>
    <cellStyle name="Normal 58 5 5 4 2 2" xfId="11203" xr:uid="{00000000-0005-0000-0000-000010A50000}"/>
    <cellStyle name="Normal 58 5 5 4 2 2 2" xfId="23646" xr:uid="{00000000-0005-0000-0000-000011A50000}"/>
    <cellStyle name="Normal 58 5 5 4 2 2 2 2" xfId="48520" xr:uid="{00000000-0005-0000-0000-000012A50000}"/>
    <cellStyle name="Normal 58 5 5 4 2 2 3" xfId="36087" xr:uid="{00000000-0005-0000-0000-000013A50000}"/>
    <cellStyle name="Normal 58 5 5 4 2 3" xfId="18639" xr:uid="{00000000-0005-0000-0000-000014A50000}"/>
    <cellStyle name="Normal 58 5 5 4 2 3 2" xfId="43513" xr:uid="{00000000-0005-0000-0000-000015A50000}"/>
    <cellStyle name="Normal 58 5 5 4 2 4" xfId="31080" xr:uid="{00000000-0005-0000-0000-000016A50000}"/>
    <cellStyle name="Normal 58 5 5 4 3" xfId="12657" xr:uid="{00000000-0005-0000-0000-000017A50000}"/>
    <cellStyle name="Normal 58 5 5 4 3 2" xfId="25091" xr:uid="{00000000-0005-0000-0000-000018A50000}"/>
    <cellStyle name="Normal 58 5 5 4 3 2 2" xfId="49965" xr:uid="{00000000-0005-0000-0000-000019A50000}"/>
    <cellStyle name="Normal 58 5 5 4 3 3" xfId="37532" xr:uid="{00000000-0005-0000-0000-00001AA50000}"/>
    <cellStyle name="Normal 58 5 5 4 4" xfId="9098" xr:uid="{00000000-0005-0000-0000-00001BA50000}"/>
    <cellStyle name="Normal 58 5 5 4 4 2" xfId="21541" xr:uid="{00000000-0005-0000-0000-00001CA50000}"/>
    <cellStyle name="Normal 58 5 5 4 4 2 2" xfId="46415" xr:uid="{00000000-0005-0000-0000-00001DA50000}"/>
    <cellStyle name="Normal 58 5 5 4 4 3" xfId="33982" xr:uid="{00000000-0005-0000-0000-00001EA50000}"/>
    <cellStyle name="Normal 58 5 5 4 5" xfId="4080" xr:uid="{00000000-0005-0000-0000-00001FA50000}"/>
    <cellStyle name="Normal 58 5 5 4 5 2" xfId="16534" xr:uid="{00000000-0005-0000-0000-000020A50000}"/>
    <cellStyle name="Normal 58 5 5 4 5 2 2" xfId="41408" xr:uid="{00000000-0005-0000-0000-000021A50000}"/>
    <cellStyle name="Normal 58 5 5 4 5 3" xfId="28975" xr:uid="{00000000-0005-0000-0000-000022A50000}"/>
    <cellStyle name="Normal 58 5 5 4 6" xfId="14842" xr:uid="{00000000-0005-0000-0000-000023A50000}"/>
    <cellStyle name="Normal 58 5 5 4 6 2" xfId="39716" xr:uid="{00000000-0005-0000-0000-000024A50000}"/>
    <cellStyle name="Normal 58 5 5 4 7" xfId="27275" xr:uid="{00000000-0005-0000-0000-000025A50000}"/>
    <cellStyle name="Normal 58 5 5 5" xfId="999" xr:uid="{00000000-0005-0000-0000-000026A50000}"/>
    <cellStyle name="Normal 58 5 5 5 2" xfId="10158" xr:uid="{00000000-0005-0000-0000-000027A50000}"/>
    <cellStyle name="Normal 58 5 5 5 2 2" xfId="22601" xr:uid="{00000000-0005-0000-0000-000028A50000}"/>
    <cellStyle name="Normal 58 5 5 5 2 2 2" xfId="47475" xr:uid="{00000000-0005-0000-0000-000029A50000}"/>
    <cellStyle name="Normal 58 5 5 5 2 3" xfId="35042" xr:uid="{00000000-0005-0000-0000-00002AA50000}"/>
    <cellStyle name="Normal 58 5 5 5 3" xfId="5142" xr:uid="{00000000-0005-0000-0000-00002BA50000}"/>
    <cellStyle name="Normal 58 5 5 5 3 2" xfId="17594" xr:uid="{00000000-0005-0000-0000-00002CA50000}"/>
    <cellStyle name="Normal 58 5 5 5 3 2 2" xfId="42468" xr:uid="{00000000-0005-0000-0000-00002DA50000}"/>
    <cellStyle name="Normal 58 5 5 5 3 3" xfId="30035" xr:uid="{00000000-0005-0000-0000-00002EA50000}"/>
    <cellStyle name="Normal 58 5 5 5 4" xfId="13799" xr:uid="{00000000-0005-0000-0000-00002FA50000}"/>
    <cellStyle name="Normal 58 5 5 5 4 2" xfId="38673" xr:uid="{00000000-0005-0000-0000-000030A50000}"/>
    <cellStyle name="Normal 58 5 5 5 5" xfId="26232" xr:uid="{00000000-0005-0000-0000-000031A50000}"/>
    <cellStyle name="Normal 58 5 5 6" xfId="8214" xr:uid="{00000000-0005-0000-0000-000032A50000}"/>
    <cellStyle name="Normal 58 5 5 6 2" xfId="20658" xr:uid="{00000000-0005-0000-0000-000033A50000}"/>
    <cellStyle name="Normal 58 5 5 6 2 2" xfId="45532" xr:uid="{00000000-0005-0000-0000-000034A50000}"/>
    <cellStyle name="Normal 58 5 5 6 3" xfId="33099" xr:uid="{00000000-0005-0000-0000-000035A50000}"/>
    <cellStyle name="Normal 58 5 5 7" xfId="11614" xr:uid="{00000000-0005-0000-0000-000036A50000}"/>
    <cellStyle name="Normal 58 5 5 7 2" xfId="24048" xr:uid="{00000000-0005-0000-0000-000037A50000}"/>
    <cellStyle name="Normal 58 5 5 7 2 2" xfId="48922" xr:uid="{00000000-0005-0000-0000-000038A50000}"/>
    <cellStyle name="Normal 58 5 5 7 3" xfId="36489" xr:uid="{00000000-0005-0000-0000-000039A50000}"/>
    <cellStyle name="Normal 58 5 5 8" xfId="6691" xr:uid="{00000000-0005-0000-0000-00003AA50000}"/>
    <cellStyle name="Normal 58 5 5 8 2" xfId="19140" xr:uid="{00000000-0005-0000-0000-00003BA50000}"/>
    <cellStyle name="Normal 58 5 5 8 2 2" xfId="44014" xr:uid="{00000000-0005-0000-0000-00003CA50000}"/>
    <cellStyle name="Normal 58 5 5 8 3" xfId="31581" xr:uid="{00000000-0005-0000-0000-00003DA50000}"/>
    <cellStyle name="Normal 58 5 5 9" xfId="3145" xr:uid="{00000000-0005-0000-0000-00003EA50000}"/>
    <cellStyle name="Normal 58 5 5 9 2" xfId="15651" xr:uid="{00000000-0005-0000-0000-00003FA50000}"/>
    <cellStyle name="Normal 58 5 5 9 2 2" xfId="40525" xr:uid="{00000000-0005-0000-0000-000040A50000}"/>
    <cellStyle name="Normal 58 5 5 9 3" xfId="28084" xr:uid="{00000000-0005-0000-0000-000041A50000}"/>
    <cellStyle name="Normal 58 5 5_Degree data" xfId="2537" xr:uid="{00000000-0005-0000-0000-000042A50000}"/>
    <cellStyle name="Normal 58 5 6" xfId="553" xr:uid="{00000000-0005-0000-0000-000043A50000}"/>
    <cellStyle name="Normal 58 5 6 2" xfId="1566" xr:uid="{00000000-0005-0000-0000-000044A50000}"/>
    <cellStyle name="Normal 58 5 6 2 2" xfId="9670" xr:uid="{00000000-0005-0000-0000-000045A50000}"/>
    <cellStyle name="Normal 58 5 6 2 2 2" xfId="22113" xr:uid="{00000000-0005-0000-0000-000046A50000}"/>
    <cellStyle name="Normal 58 5 6 2 2 2 2" xfId="46987" xr:uid="{00000000-0005-0000-0000-000047A50000}"/>
    <cellStyle name="Normal 58 5 6 2 2 3" xfId="34554" xr:uid="{00000000-0005-0000-0000-000048A50000}"/>
    <cellStyle name="Normal 58 5 6 2 3" xfId="4652" xr:uid="{00000000-0005-0000-0000-000049A50000}"/>
    <cellStyle name="Normal 58 5 6 2 3 2" xfId="17106" xr:uid="{00000000-0005-0000-0000-00004AA50000}"/>
    <cellStyle name="Normal 58 5 6 2 3 2 2" xfId="41980" xr:uid="{00000000-0005-0000-0000-00004BA50000}"/>
    <cellStyle name="Normal 58 5 6 2 3 3" xfId="29547" xr:uid="{00000000-0005-0000-0000-00004CA50000}"/>
    <cellStyle name="Normal 58 5 6 2 4" xfId="14366" xr:uid="{00000000-0005-0000-0000-00004DA50000}"/>
    <cellStyle name="Normal 58 5 6 2 4 2" xfId="39240" xr:uid="{00000000-0005-0000-0000-00004EA50000}"/>
    <cellStyle name="Normal 58 5 6 2 5" xfId="26799" xr:uid="{00000000-0005-0000-0000-00004FA50000}"/>
    <cellStyle name="Normal 58 5 6 3" xfId="5711" xr:uid="{00000000-0005-0000-0000-000050A50000}"/>
    <cellStyle name="Normal 58 5 6 3 2" xfId="10727" xr:uid="{00000000-0005-0000-0000-000051A50000}"/>
    <cellStyle name="Normal 58 5 6 3 2 2" xfId="23170" xr:uid="{00000000-0005-0000-0000-000052A50000}"/>
    <cellStyle name="Normal 58 5 6 3 2 2 2" xfId="48044" xr:uid="{00000000-0005-0000-0000-000053A50000}"/>
    <cellStyle name="Normal 58 5 6 3 2 3" xfId="35611" xr:uid="{00000000-0005-0000-0000-000054A50000}"/>
    <cellStyle name="Normal 58 5 6 3 3" xfId="18163" xr:uid="{00000000-0005-0000-0000-000055A50000}"/>
    <cellStyle name="Normal 58 5 6 3 3 2" xfId="43037" xr:uid="{00000000-0005-0000-0000-000056A50000}"/>
    <cellStyle name="Normal 58 5 6 3 4" xfId="30604" xr:uid="{00000000-0005-0000-0000-000057A50000}"/>
    <cellStyle name="Normal 58 5 6 4" xfId="8786" xr:uid="{00000000-0005-0000-0000-000058A50000}"/>
    <cellStyle name="Normal 58 5 6 4 2" xfId="21230" xr:uid="{00000000-0005-0000-0000-000059A50000}"/>
    <cellStyle name="Normal 58 5 6 4 2 2" xfId="46104" xr:uid="{00000000-0005-0000-0000-00005AA50000}"/>
    <cellStyle name="Normal 58 5 6 4 3" xfId="33671" xr:uid="{00000000-0005-0000-0000-00005BA50000}"/>
    <cellStyle name="Normal 58 5 6 5" xfId="12181" xr:uid="{00000000-0005-0000-0000-00005CA50000}"/>
    <cellStyle name="Normal 58 5 6 5 2" xfId="24615" xr:uid="{00000000-0005-0000-0000-00005DA50000}"/>
    <cellStyle name="Normal 58 5 6 5 2 2" xfId="49489" xr:uid="{00000000-0005-0000-0000-00005EA50000}"/>
    <cellStyle name="Normal 58 5 6 5 3" xfId="37056" xr:uid="{00000000-0005-0000-0000-00005FA50000}"/>
    <cellStyle name="Normal 58 5 6 6" xfId="7263" xr:uid="{00000000-0005-0000-0000-000060A50000}"/>
    <cellStyle name="Normal 58 5 6 6 2" xfId="19712" xr:uid="{00000000-0005-0000-0000-000061A50000}"/>
    <cellStyle name="Normal 58 5 6 6 2 2" xfId="44586" xr:uid="{00000000-0005-0000-0000-000062A50000}"/>
    <cellStyle name="Normal 58 5 6 6 3" xfId="32153" xr:uid="{00000000-0005-0000-0000-000063A50000}"/>
    <cellStyle name="Normal 58 5 6 7" xfId="3717" xr:uid="{00000000-0005-0000-0000-000064A50000}"/>
    <cellStyle name="Normal 58 5 6 7 2" xfId="16223" xr:uid="{00000000-0005-0000-0000-000065A50000}"/>
    <cellStyle name="Normal 58 5 6 7 2 2" xfId="41097" xr:uid="{00000000-0005-0000-0000-000066A50000}"/>
    <cellStyle name="Normal 58 5 6 7 3" xfId="28656" xr:uid="{00000000-0005-0000-0000-000067A50000}"/>
    <cellStyle name="Normal 58 5 6 8" xfId="13363" xr:uid="{00000000-0005-0000-0000-000068A50000}"/>
    <cellStyle name="Normal 58 5 6 8 2" xfId="38237" xr:uid="{00000000-0005-0000-0000-000069A50000}"/>
    <cellStyle name="Normal 58 5 6 9" xfId="25796" xr:uid="{00000000-0005-0000-0000-00006AA50000}"/>
    <cellStyle name="Normal 58 5 7" xfId="1914" xr:uid="{00000000-0005-0000-0000-00006BA50000}"/>
    <cellStyle name="Normal 58 5 7 2" xfId="4745" xr:uid="{00000000-0005-0000-0000-00006CA50000}"/>
    <cellStyle name="Normal 58 5 7 2 2" xfId="9762" xr:uid="{00000000-0005-0000-0000-00006DA50000}"/>
    <cellStyle name="Normal 58 5 7 2 2 2" xfId="22205" xr:uid="{00000000-0005-0000-0000-00006EA50000}"/>
    <cellStyle name="Normal 58 5 7 2 2 2 2" xfId="47079" xr:uid="{00000000-0005-0000-0000-00006FA50000}"/>
    <cellStyle name="Normal 58 5 7 2 2 3" xfId="34646" xr:uid="{00000000-0005-0000-0000-000070A50000}"/>
    <cellStyle name="Normal 58 5 7 2 3" xfId="17198" xr:uid="{00000000-0005-0000-0000-000071A50000}"/>
    <cellStyle name="Normal 58 5 7 2 3 2" xfId="42072" xr:uid="{00000000-0005-0000-0000-000072A50000}"/>
    <cellStyle name="Normal 58 5 7 2 4" xfId="29639" xr:uid="{00000000-0005-0000-0000-000073A50000}"/>
    <cellStyle name="Normal 58 5 7 3" xfId="6060" xr:uid="{00000000-0005-0000-0000-000074A50000}"/>
    <cellStyle name="Normal 58 5 7 3 2" xfId="11075" xr:uid="{00000000-0005-0000-0000-000075A50000}"/>
    <cellStyle name="Normal 58 5 7 3 2 2" xfId="23518" xr:uid="{00000000-0005-0000-0000-000076A50000}"/>
    <cellStyle name="Normal 58 5 7 3 2 2 2" xfId="48392" xr:uid="{00000000-0005-0000-0000-000077A50000}"/>
    <cellStyle name="Normal 58 5 7 3 2 3" xfId="35959" xr:uid="{00000000-0005-0000-0000-000078A50000}"/>
    <cellStyle name="Normal 58 5 7 3 3" xfId="18511" xr:uid="{00000000-0005-0000-0000-000079A50000}"/>
    <cellStyle name="Normal 58 5 7 3 3 2" xfId="43385" xr:uid="{00000000-0005-0000-0000-00007AA50000}"/>
    <cellStyle name="Normal 58 5 7 3 4" xfId="30952" xr:uid="{00000000-0005-0000-0000-00007BA50000}"/>
    <cellStyle name="Normal 58 5 7 4" xfId="8052" xr:uid="{00000000-0005-0000-0000-00007CA50000}"/>
    <cellStyle name="Normal 58 5 7 4 2" xfId="20498" xr:uid="{00000000-0005-0000-0000-00007DA50000}"/>
    <cellStyle name="Normal 58 5 7 4 2 2" xfId="45372" xr:uid="{00000000-0005-0000-0000-00007EA50000}"/>
    <cellStyle name="Normal 58 5 7 4 3" xfId="32939" xr:uid="{00000000-0005-0000-0000-00007FA50000}"/>
    <cellStyle name="Normal 58 5 7 5" xfId="12529" xr:uid="{00000000-0005-0000-0000-000080A50000}"/>
    <cellStyle name="Normal 58 5 7 5 2" xfId="24963" xr:uid="{00000000-0005-0000-0000-000081A50000}"/>
    <cellStyle name="Normal 58 5 7 5 2 2" xfId="49837" xr:uid="{00000000-0005-0000-0000-000082A50000}"/>
    <cellStyle name="Normal 58 5 7 5 3" xfId="37404" xr:uid="{00000000-0005-0000-0000-000083A50000}"/>
    <cellStyle name="Normal 58 5 7 6" xfId="7356" xr:uid="{00000000-0005-0000-0000-000084A50000}"/>
    <cellStyle name="Normal 58 5 7 6 2" xfId="19804" xr:uid="{00000000-0005-0000-0000-000085A50000}"/>
    <cellStyle name="Normal 58 5 7 6 2 2" xfId="44678" xr:uid="{00000000-0005-0000-0000-000086A50000}"/>
    <cellStyle name="Normal 58 5 7 6 3" xfId="32245" xr:uid="{00000000-0005-0000-0000-000087A50000}"/>
    <cellStyle name="Normal 58 5 7 7" xfId="2979" xr:uid="{00000000-0005-0000-0000-000088A50000}"/>
    <cellStyle name="Normal 58 5 7 7 2" xfId="15491" xr:uid="{00000000-0005-0000-0000-000089A50000}"/>
    <cellStyle name="Normal 58 5 7 7 2 2" xfId="40365" xr:uid="{00000000-0005-0000-0000-00008AA50000}"/>
    <cellStyle name="Normal 58 5 7 7 3" xfId="27924" xr:uid="{00000000-0005-0000-0000-00008BA50000}"/>
    <cellStyle name="Normal 58 5 7 8" xfId="14714" xr:uid="{00000000-0005-0000-0000-00008CA50000}"/>
    <cellStyle name="Normal 58 5 7 8 2" xfId="39588" xr:uid="{00000000-0005-0000-0000-00008DA50000}"/>
    <cellStyle name="Normal 58 5 7 9" xfId="27147" xr:uid="{00000000-0005-0000-0000-00008EA50000}"/>
    <cellStyle name="Normal 58 5 8" xfId="2104" xr:uid="{00000000-0005-0000-0000-00008FA50000}"/>
    <cellStyle name="Normal 58 5 8 2" xfId="6143" xr:uid="{00000000-0005-0000-0000-000090A50000}"/>
    <cellStyle name="Normal 58 5 8 2 2" xfId="11158" xr:uid="{00000000-0005-0000-0000-000091A50000}"/>
    <cellStyle name="Normal 58 5 8 2 2 2" xfId="23601" xr:uid="{00000000-0005-0000-0000-000092A50000}"/>
    <cellStyle name="Normal 58 5 8 2 2 2 2" xfId="48475" xr:uid="{00000000-0005-0000-0000-000093A50000}"/>
    <cellStyle name="Normal 58 5 8 2 2 3" xfId="36042" xr:uid="{00000000-0005-0000-0000-000094A50000}"/>
    <cellStyle name="Normal 58 5 8 2 3" xfId="18594" xr:uid="{00000000-0005-0000-0000-000095A50000}"/>
    <cellStyle name="Normal 58 5 8 2 3 2" xfId="43468" xr:uid="{00000000-0005-0000-0000-000096A50000}"/>
    <cellStyle name="Normal 58 5 8 2 4" xfId="31035" xr:uid="{00000000-0005-0000-0000-000097A50000}"/>
    <cellStyle name="Normal 58 5 8 3" xfId="12612" xr:uid="{00000000-0005-0000-0000-000098A50000}"/>
    <cellStyle name="Normal 58 5 8 3 2" xfId="25046" xr:uid="{00000000-0005-0000-0000-000099A50000}"/>
    <cellStyle name="Normal 58 5 8 3 2 2" xfId="49920" xr:uid="{00000000-0005-0000-0000-00009AA50000}"/>
    <cellStyle name="Normal 58 5 8 3 3" xfId="37487" xr:uid="{00000000-0005-0000-0000-00009BA50000}"/>
    <cellStyle name="Normal 58 5 8 4" xfId="8938" xr:uid="{00000000-0005-0000-0000-00009CA50000}"/>
    <cellStyle name="Normal 58 5 8 4 2" xfId="21381" xr:uid="{00000000-0005-0000-0000-00009DA50000}"/>
    <cellStyle name="Normal 58 5 8 4 2 2" xfId="46255" xr:uid="{00000000-0005-0000-0000-00009EA50000}"/>
    <cellStyle name="Normal 58 5 8 4 3" xfId="33822" xr:uid="{00000000-0005-0000-0000-00009FA50000}"/>
    <cellStyle name="Normal 58 5 8 5" xfId="3920" xr:uid="{00000000-0005-0000-0000-0000A0A50000}"/>
    <cellStyle name="Normal 58 5 8 5 2" xfId="16374" xr:uid="{00000000-0005-0000-0000-0000A1A50000}"/>
    <cellStyle name="Normal 58 5 8 5 2 2" xfId="41248" xr:uid="{00000000-0005-0000-0000-0000A2A50000}"/>
    <cellStyle name="Normal 58 5 8 5 3" xfId="28815" xr:uid="{00000000-0005-0000-0000-0000A3A50000}"/>
    <cellStyle name="Normal 58 5 8 6" xfId="14797" xr:uid="{00000000-0005-0000-0000-0000A4A50000}"/>
    <cellStyle name="Normal 58 5 8 6 2" xfId="39671" xr:uid="{00000000-0005-0000-0000-0000A5A50000}"/>
    <cellStyle name="Normal 58 5 8 7" xfId="27230" xr:uid="{00000000-0005-0000-0000-0000A6A50000}"/>
    <cellStyle name="Normal 58 5 9" xfId="954" xr:uid="{00000000-0005-0000-0000-0000A7A50000}"/>
    <cellStyle name="Normal 58 5 9 2" xfId="11569" xr:uid="{00000000-0005-0000-0000-0000A8A50000}"/>
    <cellStyle name="Normal 58 5 9 2 2" xfId="24003" xr:uid="{00000000-0005-0000-0000-0000A9A50000}"/>
    <cellStyle name="Normal 58 5 9 2 2 2" xfId="48877" xr:uid="{00000000-0005-0000-0000-0000AAA50000}"/>
    <cellStyle name="Normal 58 5 9 2 3" xfId="36444" xr:uid="{00000000-0005-0000-0000-0000ABA50000}"/>
    <cellStyle name="Normal 58 5 9 3" xfId="10113" xr:uid="{00000000-0005-0000-0000-0000ACA50000}"/>
    <cellStyle name="Normal 58 5 9 3 2" xfId="22556" xr:uid="{00000000-0005-0000-0000-0000ADA50000}"/>
    <cellStyle name="Normal 58 5 9 3 2 2" xfId="47430" xr:uid="{00000000-0005-0000-0000-0000AEA50000}"/>
    <cellStyle name="Normal 58 5 9 3 3" xfId="34997" xr:uid="{00000000-0005-0000-0000-0000AFA50000}"/>
    <cellStyle name="Normal 58 5 9 4" xfId="5097" xr:uid="{00000000-0005-0000-0000-0000B0A50000}"/>
    <cellStyle name="Normal 58 5 9 4 2" xfId="17549" xr:uid="{00000000-0005-0000-0000-0000B1A50000}"/>
    <cellStyle name="Normal 58 5 9 4 2 2" xfId="42423" xr:uid="{00000000-0005-0000-0000-0000B2A50000}"/>
    <cellStyle name="Normal 58 5 9 4 3" xfId="29990" xr:uid="{00000000-0005-0000-0000-0000B3A50000}"/>
    <cellStyle name="Normal 58 5 9 5" xfId="13754" xr:uid="{00000000-0005-0000-0000-0000B4A50000}"/>
    <cellStyle name="Normal 58 5 9 5 2" xfId="38628" xr:uid="{00000000-0005-0000-0000-0000B5A50000}"/>
    <cellStyle name="Normal 58 5 9 6" xfId="26187" xr:uid="{00000000-0005-0000-0000-0000B6A50000}"/>
    <cellStyle name="Normal 58 5_Degree data" xfId="2531" xr:uid="{00000000-0005-0000-0000-0000B7A50000}"/>
    <cellStyle name="Normal 58 6" xfId="136" xr:uid="{00000000-0005-0000-0000-0000B8A50000}"/>
    <cellStyle name="Normal 58 6 10" xfId="7699" xr:uid="{00000000-0005-0000-0000-0000B9A50000}"/>
    <cellStyle name="Normal 58 6 10 2" xfId="20145" xr:uid="{00000000-0005-0000-0000-0000BAA50000}"/>
    <cellStyle name="Normal 58 6 10 2 2" xfId="45019" xr:uid="{00000000-0005-0000-0000-0000BBA50000}"/>
    <cellStyle name="Normal 58 6 10 3" xfId="32586" xr:uid="{00000000-0005-0000-0000-0000BCA50000}"/>
    <cellStyle name="Normal 58 6 11" xfId="11519" xr:uid="{00000000-0005-0000-0000-0000BDA50000}"/>
    <cellStyle name="Normal 58 6 11 2" xfId="23953" xr:uid="{00000000-0005-0000-0000-0000BEA50000}"/>
    <cellStyle name="Normal 58 6 11 2 2" xfId="48827" xr:uid="{00000000-0005-0000-0000-0000BFA50000}"/>
    <cellStyle name="Normal 58 6 11 3" xfId="36394" xr:uid="{00000000-0005-0000-0000-0000C0A50000}"/>
    <cellStyle name="Normal 58 6 12" xfId="6511" xr:uid="{00000000-0005-0000-0000-0000C1A50000}"/>
    <cellStyle name="Normal 58 6 12 2" xfId="18960" xr:uid="{00000000-0005-0000-0000-0000C2A50000}"/>
    <cellStyle name="Normal 58 6 12 2 2" xfId="43834" xr:uid="{00000000-0005-0000-0000-0000C3A50000}"/>
    <cellStyle name="Normal 58 6 12 3" xfId="31401" xr:uid="{00000000-0005-0000-0000-0000C4A50000}"/>
    <cellStyle name="Normal 58 6 13" xfId="2619" xr:uid="{00000000-0005-0000-0000-0000C5A50000}"/>
    <cellStyle name="Normal 58 6 13 2" xfId="15138" xr:uid="{00000000-0005-0000-0000-0000C6A50000}"/>
    <cellStyle name="Normal 58 6 13 2 2" xfId="40012" xr:uid="{00000000-0005-0000-0000-0000C7A50000}"/>
    <cellStyle name="Normal 58 6 13 3" xfId="27571" xr:uid="{00000000-0005-0000-0000-0000C8A50000}"/>
    <cellStyle name="Normal 58 6 14" xfId="12966" xr:uid="{00000000-0005-0000-0000-0000C9A50000}"/>
    <cellStyle name="Normal 58 6 14 2" xfId="37840" xr:uid="{00000000-0005-0000-0000-0000CAA50000}"/>
    <cellStyle name="Normal 58 6 15" xfId="25399" xr:uid="{00000000-0005-0000-0000-0000CBA50000}"/>
    <cellStyle name="Normal 58 6 2" xfId="324" xr:uid="{00000000-0005-0000-0000-0000CCA50000}"/>
    <cellStyle name="Normal 58 6 2 10" xfId="6554" xr:uid="{00000000-0005-0000-0000-0000CDA50000}"/>
    <cellStyle name="Normal 58 6 2 10 2" xfId="19003" xr:uid="{00000000-0005-0000-0000-0000CEA50000}"/>
    <cellStyle name="Normal 58 6 2 10 2 2" xfId="43877" xr:uid="{00000000-0005-0000-0000-0000CFA50000}"/>
    <cellStyle name="Normal 58 6 2 10 3" xfId="31444" xr:uid="{00000000-0005-0000-0000-0000D0A50000}"/>
    <cellStyle name="Normal 58 6 2 11" xfId="2722" xr:uid="{00000000-0005-0000-0000-0000D1A50000}"/>
    <cellStyle name="Normal 58 6 2 11 2" xfId="15240" xr:uid="{00000000-0005-0000-0000-0000D2A50000}"/>
    <cellStyle name="Normal 58 6 2 11 2 2" xfId="40114" xr:uid="{00000000-0005-0000-0000-0000D3A50000}"/>
    <cellStyle name="Normal 58 6 2 11 3" xfId="27673" xr:uid="{00000000-0005-0000-0000-0000D4A50000}"/>
    <cellStyle name="Normal 58 6 2 12" xfId="13141" xr:uid="{00000000-0005-0000-0000-0000D5A50000}"/>
    <cellStyle name="Normal 58 6 2 12 2" xfId="38015" xr:uid="{00000000-0005-0000-0000-0000D6A50000}"/>
    <cellStyle name="Normal 58 6 2 13" xfId="25574" xr:uid="{00000000-0005-0000-0000-0000D7A50000}"/>
    <cellStyle name="Normal 58 6 2 2" xfId="426" xr:uid="{00000000-0005-0000-0000-0000D8A50000}"/>
    <cellStyle name="Normal 58 6 2 2 10" xfId="13241" xr:uid="{00000000-0005-0000-0000-0000D9A50000}"/>
    <cellStyle name="Normal 58 6 2 2 10 2" xfId="38115" xr:uid="{00000000-0005-0000-0000-0000DAA50000}"/>
    <cellStyle name="Normal 58 6 2 2 11" xfId="25674" xr:uid="{00000000-0005-0000-0000-0000DBA50000}"/>
    <cellStyle name="Normal 58 6 2 2 2" xfId="786" xr:uid="{00000000-0005-0000-0000-0000DCA50000}"/>
    <cellStyle name="Normal 58 6 2 2 2 2" xfId="1575" xr:uid="{00000000-0005-0000-0000-0000DDA50000}"/>
    <cellStyle name="Normal 58 6 2 2 2 2 2" xfId="9679" xr:uid="{00000000-0005-0000-0000-0000DEA50000}"/>
    <cellStyle name="Normal 58 6 2 2 2 2 2 2" xfId="22122" xr:uid="{00000000-0005-0000-0000-0000DFA50000}"/>
    <cellStyle name="Normal 58 6 2 2 2 2 2 2 2" xfId="46996" xr:uid="{00000000-0005-0000-0000-0000E0A50000}"/>
    <cellStyle name="Normal 58 6 2 2 2 2 2 3" xfId="34563" xr:uid="{00000000-0005-0000-0000-0000E1A50000}"/>
    <cellStyle name="Normal 58 6 2 2 2 2 3" xfId="4661" xr:uid="{00000000-0005-0000-0000-0000E2A50000}"/>
    <cellStyle name="Normal 58 6 2 2 2 2 3 2" xfId="17115" xr:uid="{00000000-0005-0000-0000-0000E3A50000}"/>
    <cellStyle name="Normal 58 6 2 2 2 2 3 2 2" xfId="41989" xr:uid="{00000000-0005-0000-0000-0000E4A50000}"/>
    <cellStyle name="Normal 58 6 2 2 2 2 3 3" xfId="29556" xr:uid="{00000000-0005-0000-0000-0000E5A50000}"/>
    <cellStyle name="Normal 58 6 2 2 2 2 4" xfId="14375" xr:uid="{00000000-0005-0000-0000-0000E6A50000}"/>
    <cellStyle name="Normal 58 6 2 2 2 2 4 2" xfId="39249" xr:uid="{00000000-0005-0000-0000-0000E7A50000}"/>
    <cellStyle name="Normal 58 6 2 2 2 2 5" xfId="26808" xr:uid="{00000000-0005-0000-0000-0000E8A50000}"/>
    <cellStyle name="Normal 58 6 2 2 2 3" xfId="5720" xr:uid="{00000000-0005-0000-0000-0000E9A50000}"/>
    <cellStyle name="Normal 58 6 2 2 2 3 2" xfId="10736" xr:uid="{00000000-0005-0000-0000-0000EAA50000}"/>
    <cellStyle name="Normal 58 6 2 2 2 3 2 2" xfId="23179" xr:uid="{00000000-0005-0000-0000-0000EBA50000}"/>
    <cellStyle name="Normal 58 6 2 2 2 3 2 2 2" xfId="48053" xr:uid="{00000000-0005-0000-0000-0000ECA50000}"/>
    <cellStyle name="Normal 58 6 2 2 2 3 2 3" xfId="35620" xr:uid="{00000000-0005-0000-0000-0000EDA50000}"/>
    <cellStyle name="Normal 58 6 2 2 2 3 3" xfId="18172" xr:uid="{00000000-0005-0000-0000-0000EEA50000}"/>
    <cellStyle name="Normal 58 6 2 2 2 3 3 2" xfId="43046" xr:uid="{00000000-0005-0000-0000-0000EFA50000}"/>
    <cellStyle name="Normal 58 6 2 2 2 3 4" xfId="30613" xr:uid="{00000000-0005-0000-0000-0000F0A50000}"/>
    <cellStyle name="Normal 58 6 2 2 2 4" xfId="8795" xr:uid="{00000000-0005-0000-0000-0000F1A50000}"/>
    <cellStyle name="Normal 58 6 2 2 2 4 2" xfId="21239" xr:uid="{00000000-0005-0000-0000-0000F2A50000}"/>
    <cellStyle name="Normal 58 6 2 2 2 4 2 2" xfId="46113" xr:uid="{00000000-0005-0000-0000-0000F3A50000}"/>
    <cellStyle name="Normal 58 6 2 2 2 4 3" xfId="33680" xr:uid="{00000000-0005-0000-0000-0000F4A50000}"/>
    <cellStyle name="Normal 58 6 2 2 2 5" xfId="12190" xr:uid="{00000000-0005-0000-0000-0000F5A50000}"/>
    <cellStyle name="Normal 58 6 2 2 2 5 2" xfId="24624" xr:uid="{00000000-0005-0000-0000-0000F6A50000}"/>
    <cellStyle name="Normal 58 6 2 2 2 5 2 2" xfId="49498" xr:uid="{00000000-0005-0000-0000-0000F7A50000}"/>
    <cellStyle name="Normal 58 6 2 2 2 5 3" xfId="37065" xr:uid="{00000000-0005-0000-0000-0000F8A50000}"/>
    <cellStyle name="Normal 58 6 2 2 2 6" xfId="7272" xr:uid="{00000000-0005-0000-0000-0000F9A50000}"/>
    <cellStyle name="Normal 58 6 2 2 2 6 2" xfId="19721" xr:uid="{00000000-0005-0000-0000-0000FAA50000}"/>
    <cellStyle name="Normal 58 6 2 2 2 6 2 2" xfId="44595" xr:uid="{00000000-0005-0000-0000-0000FBA50000}"/>
    <cellStyle name="Normal 58 6 2 2 2 6 3" xfId="32162" xr:uid="{00000000-0005-0000-0000-0000FCA50000}"/>
    <cellStyle name="Normal 58 6 2 2 2 7" xfId="3726" xr:uid="{00000000-0005-0000-0000-0000FDA50000}"/>
    <cellStyle name="Normal 58 6 2 2 2 7 2" xfId="16232" xr:uid="{00000000-0005-0000-0000-0000FEA50000}"/>
    <cellStyle name="Normal 58 6 2 2 2 7 2 2" xfId="41106" xr:uid="{00000000-0005-0000-0000-0000FFA50000}"/>
    <cellStyle name="Normal 58 6 2 2 2 7 3" xfId="28665" xr:uid="{00000000-0005-0000-0000-000000A60000}"/>
    <cellStyle name="Normal 58 6 2 2 2 8" xfId="13588" xr:uid="{00000000-0005-0000-0000-000001A60000}"/>
    <cellStyle name="Normal 58 6 2 2 2 8 2" xfId="38462" xr:uid="{00000000-0005-0000-0000-000002A60000}"/>
    <cellStyle name="Normal 58 6 2 2 2 9" xfId="26021" xr:uid="{00000000-0005-0000-0000-000003A60000}"/>
    <cellStyle name="Normal 58 6 2 2 3" xfId="1923" xr:uid="{00000000-0005-0000-0000-000004A60000}"/>
    <cellStyle name="Normal 58 6 2 2 3 2" xfId="4970" xr:uid="{00000000-0005-0000-0000-000005A60000}"/>
    <cellStyle name="Normal 58 6 2 2 3 2 2" xfId="9987" xr:uid="{00000000-0005-0000-0000-000006A60000}"/>
    <cellStyle name="Normal 58 6 2 2 3 2 2 2" xfId="22430" xr:uid="{00000000-0005-0000-0000-000007A60000}"/>
    <cellStyle name="Normal 58 6 2 2 3 2 2 2 2" xfId="47304" xr:uid="{00000000-0005-0000-0000-000008A60000}"/>
    <cellStyle name="Normal 58 6 2 2 3 2 2 3" xfId="34871" xr:uid="{00000000-0005-0000-0000-000009A60000}"/>
    <cellStyle name="Normal 58 6 2 2 3 2 3" xfId="17423" xr:uid="{00000000-0005-0000-0000-00000AA60000}"/>
    <cellStyle name="Normal 58 6 2 2 3 2 3 2" xfId="42297" xr:uid="{00000000-0005-0000-0000-00000BA60000}"/>
    <cellStyle name="Normal 58 6 2 2 3 2 4" xfId="29864" xr:uid="{00000000-0005-0000-0000-00000CA60000}"/>
    <cellStyle name="Normal 58 6 2 2 3 3" xfId="6069" xr:uid="{00000000-0005-0000-0000-00000DA60000}"/>
    <cellStyle name="Normal 58 6 2 2 3 3 2" xfId="11084" xr:uid="{00000000-0005-0000-0000-00000EA60000}"/>
    <cellStyle name="Normal 58 6 2 2 3 3 2 2" xfId="23527" xr:uid="{00000000-0005-0000-0000-00000FA60000}"/>
    <cellStyle name="Normal 58 6 2 2 3 3 2 2 2" xfId="48401" xr:uid="{00000000-0005-0000-0000-000010A60000}"/>
    <cellStyle name="Normal 58 6 2 2 3 3 2 3" xfId="35968" xr:uid="{00000000-0005-0000-0000-000011A60000}"/>
    <cellStyle name="Normal 58 6 2 2 3 3 3" xfId="18520" xr:uid="{00000000-0005-0000-0000-000012A60000}"/>
    <cellStyle name="Normal 58 6 2 2 3 3 3 2" xfId="43394" xr:uid="{00000000-0005-0000-0000-000013A60000}"/>
    <cellStyle name="Normal 58 6 2 2 3 3 4" xfId="30961" xr:uid="{00000000-0005-0000-0000-000014A60000}"/>
    <cellStyle name="Normal 58 6 2 2 3 4" xfId="8394" xr:uid="{00000000-0005-0000-0000-000015A60000}"/>
    <cellStyle name="Normal 58 6 2 2 3 4 2" xfId="20838" xr:uid="{00000000-0005-0000-0000-000016A60000}"/>
    <cellStyle name="Normal 58 6 2 2 3 4 2 2" xfId="45712" xr:uid="{00000000-0005-0000-0000-000017A60000}"/>
    <cellStyle name="Normal 58 6 2 2 3 4 3" xfId="33279" xr:uid="{00000000-0005-0000-0000-000018A60000}"/>
    <cellStyle name="Normal 58 6 2 2 3 5" xfId="12538" xr:uid="{00000000-0005-0000-0000-000019A60000}"/>
    <cellStyle name="Normal 58 6 2 2 3 5 2" xfId="24972" xr:uid="{00000000-0005-0000-0000-00001AA60000}"/>
    <cellStyle name="Normal 58 6 2 2 3 5 2 2" xfId="49846" xr:uid="{00000000-0005-0000-0000-00001BA60000}"/>
    <cellStyle name="Normal 58 6 2 2 3 5 3" xfId="37413" xr:uid="{00000000-0005-0000-0000-00001CA60000}"/>
    <cellStyle name="Normal 58 6 2 2 3 6" xfId="7581" xr:uid="{00000000-0005-0000-0000-00001DA60000}"/>
    <cellStyle name="Normal 58 6 2 2 3 6 2" xfId="20029" xr:uid="{00000000-0005-0000-0000-00001EA60000}"/>
    <cellStyle name="Normal 58 6 2 2 3 6 2 2" xfId="44903" xr:uid="{00000000-0005-0000-0000-00001FA60000}"/>
    <cellStyle name="Normal 58 6 2 2 3 6 3" xfId="32470" xr:uid="{00000000-0005-0000-0000-000020A60000}"/>
    <cellStyle name="Normal 58 6 2 2 3 7" xfId="3325" xr:uid="{00000000-0005-0000-0000-000021A60000}"/>
    <cellStyle name="Normal 58 6 2 2 3 7 2" xfId="15831" xr:uid="{00000000-0005-0000-0000-000022A60000}"/>
    <cellStyle name="Normal 58 6 2 2 3 7 2 2" xfId="40705" xr:uid="{00000000-0005-0000-0000-000023A60000}"/>
    <cellStyle name="Normal 58 6 2 2 3 7 3" xfId="28264" xr:uid="{00000000-0005-0000-0000-000024A60000}"/>
    <cellStyle name="Normal 58 6 2 2 3 8" xfId="14723" xr:uid="{00000000-0005-0000-0000-000025A60000}"/>
    <cellStyle name="Normal 58 6 2 2 3 8 2" xfId="39597" xr:uid="{00000000-0005-0000-0000-000026A60000}"/>
    <cellStyle name="Normal 58 6 2 2 3 9" xfId="27156" xr:uid="{00000000-0005-0000-0000-000027A60000}"/>
    <cellStyle name="Normal 58 6 2 2 4" xfId="2344" xr:uid="{00000000-0005-0000-0000-000028A60000}"/>
    <cellStyle name="Normal 58 6 2 2 4 2" xfId="6368" xr:uid="{00000000-0005-0000-0000-000029A60000}"/>
    <cellStyle name="Normal 58 6 2 2 4 2 2" xfId="11383" xr:uid="{00000000-0005-0000-0000-00002AA60000}"/>
    <cellStyle name="Normal 58 6 2 2 4 2 2 2" xfId="23826" xr:uid="{00000000-0005-0000-0000-00002BA60000}"/>
    <cellStyle name="Normal 58 6 2 2 4 2 2 2 2" xfId="48700" xr:uid="{00000000-0005-0000-0000-00002CA60000}"/>
    <cellStyle name="Normal 58 6 2 2 4 2 2 3" xfId="36267" xr:uid="{00000000-0005-0000-0000-00002DA60000}"/>
    <cellStyle name="Normal 58 6 2 2 4 2 3" xfId="18819" xr:uid="{00000000-0005-0000-0000-00002EA60000}"/>
    <cellStyle name="Normal 58 6 2 2 4 2 3 2" xfId="43693" xr:uid="{00000000-0005-0000-0000-00002FA60000}"/>
    <cellStyle name="Normal 58 6 2 2 4 2 4" xfId="31260" xr:uid="{00000000-0005-0000-0000-000030A60000}"/>
    <cellStyle name="Normal 58 6 2 2 4 3" xfId="12837" xr:uid="{00000000-0005-0000-0000-000031A60000}"/>
    <cellStyle name="Normal 58 6 2 2 4 3 2" xfId="25271" xr:uid="{00000000-0005-0000-0000-000032A60000}"/>
    <cellStyle name="Normal 58 6 2 2 4 3 2 2" xfId="50145" xr:uid="{00000000-0005-0000-0000-000033A60000}"/>
    <cellStyle name="Normal 58 6 2 2 4 3 3" xfId="37712" xr:uid="{00000000-0005-0000-0000-000034A60000}"/>
    <cellStyle name="Normal 58 6 2 2 4 4" xfId="9278" xr:uid="{00000000-0005-0000-0000-000035A60000}"/>
    <cellStyle name="Normal 58 6 2 2 4 4 2" xfId="21721" xr:uid="{00000000-0005-0000-0000-000036A60000}"/>
    <cellStyle name="Normal 58 6 2 2 4 4 2 2" xfId="46595" xr:uid="{00000000-0005-0000-0000-000037A60000}"/>
    <cellStyle name="Normal 58 6 2 2 4 4 3" xfId="34162" xr:uid="{00000000-0005-0000-0000-000038A60000}"/>
    <cellStyle name="Normal 58 6 2 2 4 5" xfId="4260" xr:uid="{00000000-0005-0000-0000-000039A60000}"/>
    <cellStyle name="Normal 58 6 2 2 4 5 2" xfId="16714" xr:uid="{00000000-0005-0000-0000-00003AA60000}"/>
    <cellStyle name="Normal 58 6 2 2 4 5 2 2" xfId="41588" xr:uid="{00000000-0005-0000-0000-00003BA60000}"/>
    <cellStyle name="Normal 58 6 2 2 4 5 3" xfId="29155" xr:uid="{00000000-0005-0000-0000-00003CA60000}"/>
    <cellStyle name="Normal 58 6 2 2 4 6" xfId="15022" xr:uid="{00000000-0005-0000-0000-00003DA60000}"/>
    <cellStyle name="Normal 58 6 2 2 4 6 2" xfId="39896" xr:uid="{00000000-0005-0000-0000-00003EA60000}"/>
    <cellStyle name="Normal 58 6 2 2 4 7" xfId="27455" xr:uid="{00000000-0005-0000-0000-00003FA60000}"/>
    <cellStyle name="Normal 58 6 2 2 5" xfId="1179" xr:uid="{00000000-0005-0000-0000-000040A60000}"/>
    <cellStyle name="Normal 58 6 2 2 5 2" xfId="10340" xr:uid="{00000000-0005-0000-0000-000041A60000}"/>
    <cellStyle name="Normal 58 6 2 2 5 2 2" xfId="22783" xr:uid="{00000000-0005-0000-0000-000042A60000}"/>
    <cellStyle name="Normal 58 6 2 2 5 2 2 2" xfId="47657" xr:uid="{00000000-0005-0000-0000-000043A60000}"/>
    <cellStyle name="Normal 58 6 2 2 5 2 3" xfId="35224" xr:uid="{00000000-0005-0000-0000-000044A60000}"/>
    <cellStyle name="Normal 58 6 2 2 5 3" xfId="5324" xr:uid="{00000000-0005-0000-0000-000045A60000}"/>
    <cellStyle name="Normal 58 6 2 2 5 3 2" xfId="17776" xr:uid="{00000000-0005-0000-0000-000046A60000}"/>
    <cellStyle name="Normal 58 6 2 2 5 3 2 2" xfId="42650" xr:uid="{00000000-0005-0000-0000-000047A60000}"/>
    <cellStyle name="Normal 58 6 2 2 5 3 3" xfId="30217" xr:uid="{00000000-0005-0000-0000-000048A60000}"/>
    <cellStyle name="Normal 58 6 2 2 5 4" xfId="13979" xr:uid="{00000000-0005-0000-0000-000049A60000}"/>
    <cellStyle name="Normal 58 6 2 2 5 4 2" xfId="38853" xr:uid="{00000000-0005-0000-0000-00004AA60000}"/>
    <cellStyle name="Normal 58 6 2 2 5 5" xfId="26412" xr:uid="{00000000-0005-0000-0000-00004BA60000}"/>
    <cellStyle name="Normal 58 6 2 2 6" xfId="7901" xr:uid="{00000000-0005-0000-0000-00004CA60000}"/>
    <cellStyle name="Normal 58 6 2 2 6 2" xfId="20347" xr:uid="{00000000-0005-0000-0000-00004DA60000}"/>
    <cellStyle name="Normal 58 6 2 2 6 2 2" xfId="45221" xr:uid="{00000000-0005-0000-0000-00004EA60000}"/>
    <cellStyle name="Normal 58 6 2 2 6 3" xfId="32788" xr:uid="{00000000-0005-0000-0000-00004FA60000}"/>
    <cellStyle name="Normal 58 6 2 2 7" xfId="11794" xr:uid="{00000000-0005-0000-0000-000050A60000}"/>
    <cellStyle name="Normal 58 6 2 2 7 2" xfId="24228" xr:uid="{00000000-0005-0000-0000-000051A60000}"/>
    <cellStyle name="Normal 58 6 2 2 7 2 2" xfId="49102" xr:uid="{00000000-0005-0000-0000-000052A60000}"/>
    <cellStyle name="Normal 58 6 2 2 7 3" xfId="36669" xr:uid="{00000000-0005-0000-0000-000053A60000}"/>
    <cellStyle name="Normal 58 6 2 2 8" xfId="6871" xr:uid="{00000000-0005-0000-0000-000054A60000}"/>
    <cellStyle name="Normal 58 6 2 2 8 2" xfId="19320" xr:uid="{00000000-0005-0000-0000-000055A60000}"/>
    <cellStyle name="Normal 58 6 2 2 8 2 2" xfId="44194" xr:uid="{00000000-0005-0000-0000-000056A60000}"/>
    <cellStyle name="Normal 58 6 2 2 8 3" xfId="31761" xr:uid="{00000000-0005-0000-0000-000057A60000}"/>
    <cellStyle name="Normal 58 6 2 2 9" xfId="2822" xr:uid="{00000000-0005-0000-0000-000058A60000}"/>
    <cellStyle name="Normal 58 6 2 2 9 2" xfId="15340" xr:uid="{00000000-0005-0000-0000-000059A60000}"/>
    <cellStyle name="Normal 58 6 2 2 9 2 2" xfId="40214" xr:uid="{00000000-0005-0000-0000-00005AA60000}"/>
    <cellStyle name="Normal 58 6 2 2 9 3" xfId="27773" xr:uid="{00000000-0005-0000-0000-00005BA60000}"/>
    <cellStyle name="Normal 58 6 2 2_Degree data" xfId="2540" xr:uid="{00000000-0005-0000-0000-00005CA60000}"/>
    <cellStyle name="Normal 58 6 2 3" xfId="685" xr:uid="{00000000-0005-0000-0000-00005DA60000}"/>
    <cellStyle name="Normal 58 6 2 3 2" xfId="1574" xr:uid="{00000000-0005-0000-0000-00005EA60000}"/>
    <cellStyle name="Normal 58 6 2 3 2 2" xfId="9178" xr:uid="{00000000-0005-0000-0000-00005FA60000}"/>
    <cellStyle name="Normal 58 6 2 3 2 2 2" xfId="21621" xr:uid="{00000000-0005-0000-0000-000060A60000}"/>
    <cellStyle name="Normal 58 6 2 3 2 2 2 2" xfId="46495" xr:uid="{00000000-0005-0000-0000-000061A60000}"/>
    <cellStyle name="Normal 58 6 2 3 2 2 3" xfId="34062" xr:uid="{00000000-0005-0000-0000-000062A60000}"/>
    <cellStyle name="Normal 58 6 2 3 2 3" xfId="4160" xr:uid="{00000000-0005-0000-0000-000063A60000}"/>
    <cellStyle name="Normal 58 6 2 3 2 3 2" xfId="16614" xr:uid="{00000000-0005-0000-0000-000064A60000}"/>
    <cellStyle name="Normal 58 6 2 3 2 3 2 2" xfId="41488" xr:uid="{00000000-0005-0000-0000-000065A60000}"/>
    <cellStyle name="Normal 58 6 2 3 2 3 3" xfId="29055" xr:uid="{00000000-0005-0000-0000-000066A60000}"/>
    <cellStyle name="Normal 58 6 2 3 2 4" xfId="14374" xr:uid="{00000000-0005-0000-0000-000067A60000}"/>
    <cellStyle name="Normal 58 6 2 3 2 4 2" xfId="39248" xr:uid="{00000000-0005-0000-0000-000068A60000}"/>
    <cellStyle name="Normal 58 6 2 3 2 5" xfId="26807" xr:uid="{00000000-0005-0000-0000-000069A60000}"/>
    <cellStyle name="Normal 58 6 2 3 3" xfId="5719" xr:uid="{00000000-0005-0000-0000-00006AA60000}"/>
    <cellStyle name="Normal 58 6 2 3 3 2" xfId="10735" xr:uid="{00000000-0005-0000-0000-00006BA60000}"/>
    <cellStyle name="Normal 58 6 2 3 3 2 2" xfId="23178" xr:uid="{00000000-0005-0000-0000-00006CA60000}"/>
    <cellStyle name="Normal 58 6 2 3 3 2 2 2" xfId="48052" xr:uid="{00000000-0005-0000-0000-00006DA60000}"/>
    <cellStyle name="Normal 58 6 2 3 3 2 3" xfId="35619" xr:uid="{00000000-0005-0000-0000-00006EA60000}"/>
    <cellStyle name="Normal 58 6 2 3 3 3" xfId="18171" xr:uid="{00000000-0005-0000-0000-00006FA60000}"/>
    <cellStyle name="Normal 58 6 2 3 3 3 2" xfId="43045" xr:uid="{00000000-0005-0000-0000-000070A60000}"/>
    <cellStyle name="Normal 58 6 2 3 3 4" xfId="30612" xr:uid="{00000000-0005-0000-0000-000071A60000}"/>
    <cellStyle name="Normal 58 6 2 3 4" xfId="8294" xr:uid="{00000000-0005-0000-0000-000072A60000}"/>
    <cellStyle name="Normal 58 6 2 3 4 2" xfId="20738" xr:uid="{00000000-0005-0000-0000-000073A60000}"/>
    <cellStyle name="Normal 58 6 2 3 4 2 2" xfId="45612" xr:uid="{00000000-0005-0000-0000-000074A60000}"/>
    <cellStyle name="Normal 58 6 2 3 4 3" xfId="33179" xr:uid="{00000000-0005-0000-0000-000075A60000}"/>
    <cellStyle name="Normal 58 6 2 3 5" xfId="12189" xr:uid="{00000000-0005-0000-0000-000076A60000}"/>
    <cellStyle name="Normal 58 6 2 3 5 2" xfId="24623" xr:uid="{00000000-0005-0000-0000-000077A60000}"/>
    <cellStyle name="Normal 58 6 2 3 5 2 2" xfId="49497" xr:uid="{00000000-0005-0000-0000-000078A60000}"/>
    <cellStyle name="Normal 58 6 2 3 5 3" xfId="37064" xr:uid="{00000000-0005-0000-0000-000079A60000}"/>
    <cellStyle name="Normal 58 6 2 3 6" xfId="6771" xr:uid="{00000000-0005-0000-0000-00007AA60000}"/>
    <cellStyle name="Normal 58 6 2 3 6 2" xfId="19220" xr:uid="{00000000-0005-0000-0000-00007BA60000}"/>
    <cellStyle name="Normal 58 6 2 3 6 2 2" xfId="44094" xr:uid="{00000000-0005-0000-0000-00007CA60000}"/>
    <cellStyle name="Normal 58 6 2 3 6 3" xfId="31661" xr:uid="{00000000-0005-0000-0000-00007DA60000}"/>
    <cellStyle name="Normal 58 6 2 3 7" xfId="3225" xr:uid="{00000000-0005-0000-0000-00007EA60000}"/>
    <cellStyle name="Normal 58 6 2 3 7 2" xfId="15731" xr:uid="{00000000-0005-0000-0000-00007FA60000}"/>
    <cellStyle name="Normal 58 6 2 3 7 2 2" xfId="40605" xr:uid="{00000000-0005-0000-0000-000080A60000}"/>
    <cellStyle name="Normal 58 6 2 3 7 3" xfId="28164" xr:uid="{00000000-0005-0000-0000-000081A60000}"/>
    <cellStyle name="Normal 58 6 2 3 8" xfId="13488" xr:uid="{00000000-0005-0000-0000-000082A60000}"/>
    <cellStyle name="Normal 58 6 2 3 8 2" xfId="38362" xr:uid="{00000000-0005-0000-0000-000083A60000}"/>
    <cellStyle name="Normal 58 6 2 3 9" xfId="25921" xr:uid="{00000000-0005-0000-0000-000084A60000}"/>
    <cellStyle name="Normal 58 6 2 4" xfId="1922" xr:uid="{00000000-0005-0000-0000-000085A60000}"/>
    <cellStyle name="Normal 58 6 2 4 2" xfId="4660" xr:uid="{00000000-0005-0000-0000-000086A60000}"/>
    <cellStyle name="Normal 58 6 2 4 2 2" xfId="9678" xr:uid="{00000000-0005-0000-0000-000087A60000}"/>
    <cellStyle name="Normal 58 6 2 4 2 2 2" xfId="22121" xr:uid="{00000000-0005-0000-0000-000088A60000}"/>
    <cellStyle name="Normal 58 6 2 4 2 2 2 2" xfId="46995" xr:uid="{00000000-0005-0000-0000-000089A60000}"/>
    <cellStyle name="Normal 58 6 2 4 2 2 3" xfId="34562" xr:uid="{00000000-0005-0000-0000-00008AA60000}"/>
    <cellStyle name="Normal 58 6 2 4 2 3" xfId="17114" xr:uid="{00000000-0005-0000-0000-00008BA60000}"/>
    <cellStyle name="Normal 58 6 2 4 2 3 2" xfId="41988" xr:uid="{00000000-0005-0000-0000-00008CA60000}"/>
    <cellStyle name="Normal 58 6 2 4 2 4" xfId="29555" xr:uid="{00000000-0005-0000-0000-00008DA60000}"/>
    <cellStyle name="Normal 58 6 2 4 3" xfId="6068" xr:uid="{00000000-0005-0000-0000-00008EA60000}"/>
    <cellStyle name="Normal 58 6 2 4 3 2" xfId="11083" xr:uid="{00000000-0005-0000-0000-00008FA60000}"/>
    <cellStyle name="Normal 58 6 2 4 3 2 2" xfId="23526" xr:uid="{00000000-0005-0000-0000-000090A60000}"/>
    <cellStyle name="Normal 58 6 2 4 3 2 2 2" xfId="48400" xr:uid="{00000000-0005-0000-0000-000091A60000}"/>
    <cellStyle name="Normal 58 6 2 4 3 2 3" xfId="35967" xr:uid="{00000000-0005-0000-0000-000092A60000}"/>
    <cellStyle name="Normal 58 6 2 4 3 3" xfId="18519" xr:uid="{00000000-0005-0000-0000-000093A60000}"/>
    <cellStyle name="Normal 58 6 2 4 3 3 2" xfId="43393" xr:uid="{00000000-0005-0000-0000-000094A60000}"/>
    <cellStyle name="Normal 58 6 2 4 3 4" xfId="30960" xr:uid="{00000000-0005-0000-0000-000095A60000}"/>
    <cellStyle name="Normal 58 6 2 4 4" xfId="8794" xr:uid="{00000000-0005-0000-0000-000096A60000}"/>
    <cellStyle name="Normal 58 6 2 4 4 2" xfId="21238" xr:uid="{00000000-0005-0000-0000-000097A60000}"/>
    <cellStyle name="Normal 58 6 2 4 4 2 2" xfId="46112" xr:uid="{00000000-0005-0000-0000-000098A60000}"/>
    <cellStyle name="Normal 58 6 2 4 4 3" xfId="33679" xr:uid="{00000000-0005-0000-0000-000099A60000}"/>
    <cellStyle name="Normal 58 6 2 4 5" xfId="12537" xr:uid="{00000000-0005-0000-0000-00009AA60000}"/>
    <cellStyle name="Normal 58 6 2 4 5 2" xfId="24971" xr:uid="{00000000-0005-0000-0000-00009BA60000}"/>
    <cellStyle name="Normal 58 6 2 4 5 2 2" xfId="49845" xr:uid="{00000000-0005-0000-0000-00009CA60000}"/>
    <cellStyle name="Normal 58 6 2 4 5 3" xfId="37412" xr:uid="{00000000-0005-0000-0000-00009DA60000}"/>
    <cellStyle name="Normal 58 6 2 4 6" xfId="7271" xr:uid="{00000000-0005-0000-0000-00009EA60000}"/>
    <cellStyle name="Normal 58 6 2 4 6 2" xfId="19720" xr:uid="{00000000-0005-0000-0000-00009FA60000}"/>
    <cellStyle name="Normal 58 6 2 4 6 2 2" xfId="44594" xr:uid="{00000000-0005-0000-0000-0000A0A60000}"/>
    <cellStyle name="Normal 58 6 2 4 6 3" xfId="32161" xr:uid="{00000000-0005-0000-0000-0000A1A60000}"/>
    <cellStyle name="Normal 58 6 2 4 7" xfId="3725" xr:uid="{00000000-0005-0000-0000-0000A2A60000}"/>
    <cellStyle name="Normal 58 6 2 4 7 2" xfId="16231" xr:uid="{00000000-0005-0000-0000-0000A3A60000}"/>
    <cellStyle name="Normal 58 6 2 4 7 2 2" xfId="41105" xr:uid="{00000000-0005-0000-0000-0000A4A60000}"/>
    <cellStyle name="Normal 58 6 2 4 7 3" xfId="28664" xr:uid="{00000000-0005-0000-0000-0000A5A60000}"/>
    <cellStyle name="Normal 58 6 2 4 8" xfId="14722" xr:uid="{00000000-0005-0000-0000-0000A6A60000}"/>
    <cellStyle name="Normal 58 6 2 4 8 2" xfId="39596" xr:uid="{00000000-0005-0000-0000-0000A7A60000}"/>
    <cellStyle name="Normal 58 6 2 4 9" xfId="27155" xr:uid="{00000000-0005-0000-0000-0000A8A60000}"/>
    <cellStyle name="Normal 58 6 2 5" xfId="2242" xr:uid="{00000000-0005-0000-0000-0000A9A60000}"/>
    <cellStyle name="Normal 58 6 2 5 2" xfId="4870" xr:uid="{00000000-0005-0000-0000-0000AAA60000}"/>
    <cellStyle name="Normal 58 6 2 5 2 2" xfId="9887" xr:uid="{00000000-0005-0000-0000-0000ABA60000}"/>
    <cellStyle name="Normal 58 6 2 5 2 2 2" xfId="22330" xr:uid="{00000000-0005-0000-0000-0000ACA60000}"/>
    <cellStyle name="Normal 58 6 2 5 2 2 2 2" xfId="47204" xr:uid="{00000000-0005-0000-0000-0000ADA60000}"/>
    <cellStyle name="Normal 58 6 2 5 2 2 3" xfId="34771" xr:uid="{00000000-0005-0000-0000-0000AEA60000}"/>
    <cellStyle name="Normal 58 6 2 5 2 3" xfId="17323" xr:uid="{00000000-0005-0000-0000-0000AFA60000}"/>
    <cellStyle name="Normal 58 6 2 5 2 3 2" xfId="42197" xr:uid="{00000000-0005-0000-0000-0000B0A60000}"/>
    <cellStyle name="Normal 58 6 2 5 2 4" xfId="29764" xr:uid="{00000000-0005-0000-0000-0000B1A60000}"/>
    <cellStyle name="Normal 58 6 2 5 3" xfId="6268" xr:uid="{00000000-0005-0000-0000-0000B2A60000}"/>
    <cellStyle name="Normal 58 6 2 5 3 2" xfId="11283" xr:uid="{00000000-0005-0000-0000-0000B3A60000}"/>
    <cellStyle name="Normal 58 6 2 5 3 2 2" xfId="23726" xr:uid="{00000000-0005-0000-0000-0000B4A60000}"/>
    <cellStyle name="Normal 58 6 2 5 3 2 2 2" xfId="48600" xr:uid="{00000000-0005-0000-0000-0000B5A60000}"/>
    <cellStyle name="Normal 58 6 2 5 3 2 3" xfId="36167" xr:uid="{00000000-0005-0000-0000-0000B6A60000}"/>
    <cellStyle name="Normal 58 6 2 5 3 3" xfId="18719" xr:uid="{00000000-0005-0000-0000-0000B7A60000}"/>
    <cellStyle name="Normal 58 6 2 5 3 3 2" xfId="43593" xr:uid="{00000000-0005-0000-0000-0000B8A60000}"/>
    <cellStyle name="Normal 58 6 2 5 3 4" xfId="31160" xr:uid="{00000000-0005-0000-0000-0000B9A60000}"/>
    <cellStyle name="Normal 58 6 2 5 4" xfId="8075" xr:uid="{00000000-0005-0000-0000-0000BAA60000}"/>
    <cellStyle name="Normal 58 6 2 5 4 2" xfId="20521" xr:uid="{00000000-0005-0000-0000-0000BBA60000}"/>
    <cellStyle name="Normal 58 6 2 5 4 2 2" xfId="45395" xr:uid="{00000000-0005-0000-0000-0000BCA60000}"/>
    <cellStyle name="Normal 58 6 2 5 4 3" xfId="32962" xr:uid="{00000000-0005-0000-0000-0000BDA60000}"/>
    <cellStyle name="Normal 58 6 2 5 5" xfId="12737" xr:uid="{00000000-0005-0000-0000-0000BEA60000}"/>
    <cellStyle name="Normal 58 6 2 5 5 2" xfId="25171" xr:uid="{00000000-0005-0000-0000-0000BFA60000}"/>
    <cellStyle name="Normal 58 6 2 5 5 2 2" xfId="50045" xr:uid="{00000000-0005-0000-0000-0000C0A60000}"/>
    <cellStyle name="Normal 58 6 2 5 5 3" xfId="37612" xr:uid="{00000000-0005-0000-0000-0000C1A60000}"/>
    <cellStyle name="Normal 58 6 2 5 6" xfId="7481" xr:uid="{00000000-0005-0000-0000-0000C2A60000}"/>
    <cellStyle name="Normal 58 6 2 5 6 2" xfId="19929" xr:uid="{00000000-0005-0000-0000-0000C3A60000}"/>
    <cellStyle name="Normal 58 6 2 5 6 2 2" xfId="44803" xr:uid="{00000000-0005-0000-0000-0000C4A60000}"/>
    <cellStyle name="Normal 58 6 2 5 6 3" xfId="32370" xr:uid="{00000000-0005-0000-0000-0000C5A60000}"/>
    <cellStyle name="Normal 58 6 2 5 7" xfId="3004" xr:uid="{00000000-0005-0000-0000-0000C6A60000}"/>
    <cellStyle name="Normal 58 6 2 5 7 2" xfId="15514" xr:uid="{00000000-0005-0000-0000-0000C7A60000}"/>
    <cellStyle name="Normal 58 6 2 5 7 2 2" xfId="40388" xr:uid="{00000000-0005-0000-0000-0000C8A60000}"/>
    <cellStyle name="Normal 58 6 2 5 7 3" xfId="27947" xr:uid="{00000000-0005-0000-0000-0000C9A60000}"/>
    <cellStyle name="Normal 58 6 2 5 8" xfId="14922" xr:uid="{00000000-0005-0000-0000-0000CAA60000}"/>
    <cellStyle name="Normal 58 6 2 5 8 2" xfId="39796" xr:uid="{00000000-0005-0000-0000-0000CBA60000}"/>
    <cellStyle name="Normal 58 6 2 5 9" xfId="27355" xr:uid="{00000000-0005-0000-0000-0000CCA60000}"/>
    <cellStyle name="Normal 58 6 2 6" xfId="1079" xr:uid="{00000000-0005-0000-0000-0000CDA60000}"/>
    <cellStyle name="Normal 58 6 2 6 2" xfId="8961" xr:uid="{00000000-0005-0000-0000-0000CEA60000}"/>
    <cellStyle name="Normal 58 6 2 6 2 2" xfId="21404" xr:uid="{00000000-0005-0000-0000-0000CFA60000}"/>
    <cellStyle name="Normal 58 6 2 6 2 2 2" xfId="46278" xr:uid="{00000000-0005-0000-0000-0000D0A60000}"/>
    <cellStyle name="Normal 58 6 2 6 2 3" xfId="33845" xr:uid="{00000000-0005-0000-0000-0000D1A60000}"/>
    <cellStyle name="Normal 58 6 2 6 3" xfId="3943" xr:uid="{00000000-0005-0000-0000-0000D2A60000}"/>
    <cellStyle name="Normal 58 6 2 6 3 2" xfId="16397" xr:uid="{00000000-0005-0000-0000-0000D3A60000}"/>
    <cellStyle name="Normal 58 6 2 6 3 2 2" xfId="41271" xr:uid="{00000000-0005-0000-0000-0000D4A60000}"/>
    <cellStyle name="Normal 58 6 2 6 3 3" xfId="28838" xr:uid="{00000000-0005-0000-0000-0000D5A60000}"/>
    <cellStyle name="Normal 58 6 2 6 4" xfId="13879" xr:uid="{00000000-0005-0000-0000-0000D6A60000}"/>
    <cellStyle name="Normal 58 6 2 6 4 2" xfId="38753" xr:uid="{00000000-0005-0000-0000-0000D7A60000}"/>
    <cellStyle name="Normal 58 6 2 6 5" xfId="26312" xr:uid="{00000000-0005-0000-0000-0000D8A60000}"/>
    <cellStyle name="Normal 58 6 2 7" xfId="5224" xr:uid="{00000000-0005-0000-0000-0000D9A60000}"/>
    <cellStyle name="Normal 58 6 2 7 2" xfId="10240" xr:uid="{00000000-0005-0000-0000-0000DAA60000}"/>
    <cellStyle name="Normal 58 6 2 7 2 2" xfId="22683" xr:uid="{00000000-0005-0000-0000-0000DBA60000}"/>
    <cellStyle name="Normal 58 6 2 7 2 2 2" xfId="47557" xr:uid="{00000000-0005-0000-0000-0000DCA60000}"/>
    <cellStyle name="Normal 58 6 2 7 2 3" xfId="35124" xr:uid="{00000000-0005-0000-0000-0000DDA60000}"/>
    <cellStyle name="Normal 58 6 2 7 3" xfId="17676" xr:uid="{00000000-0005-0000-0000-0000DEA60000}"/>
    <cellStyle name="Normal 58 6 2 7 3 2" xfId="42550" xr:uid="{00000000-0005-0000-0000-0000DFA60000}"/>
    <cellStyle name="Normal 58 6 2 7 4" xfId="30117" xr:uid="{00000000-0005-0000-0000-0000E0A60000}"/>
    <cellStyle name="Normal 58 6 2 8" xfId="7801" xr:uid="{00000000-0005-0000-0000-0000E1A60000}"/>
    <cellStyle name="Normal 58 6 2 8 2" xfId="20247" xr:uid="{00000000-0005-0000-0000-0000E2A60000}"/>
    <cellStyle name="Normal 58 6 2 8 2 2" xfId="45121" xr:uid="{00000000-0005-0000-0000-0000E3A60000}"/>
    <cellStyle name="Normal 58 6 2 8 3" xfId="32688" xr:uid="{00000000-0005-0000-0000-0000E4A60000}"/>
    <cellStyle name="Normal 58 6 2 9" xfId="11694" xr:uid="{00000000-0005-0000-0000-0000E5A60000}"/>
    <cellStyle name="Normal 58 6 2 9 2" xfId="24128" xr:uid="{00000000-0005-0000-0000-0000E6A60000}"/>
    <cellStyle name="Normal 58 6 2 9 2 2" xfId="49002" xr:uid="{00000000-0005-0000-0000-0000E7A60000}"/>
    <cellStyle name="Normal 58 6 2 9 3" xfId="36569" xr:uid="{00000000-0005-0000-0000-0000E8A60000}"/>
    <cellStyle name="Normal 58 6 2_Degree data" xfId="2539" xr:uid="{00000000-0005-0000-0000-0000E9A60000}"/>
    <cellStyle name="Normal 58 6 3" xfId="279" xr:uid="{00000000-0005-0000-0000-0000EAA60000}"/>
    <cellStyle name="Normal 58 6 3 10" xfId="6616" xr:uid="{00000000-0005-0000-0000-0000EBA60000}"/>
    <cellStyle name="Normal 58 6 3 10 2" xfId="19065" xr:uid="{00000000-0005-0000-0000-0000ECA60000}"/>
    <cellStyle name="Normal 58 6 3 10 2 2" xfId="43939" xr:uid="{00000000-0005-0000-0000-0000EDA60000}"/>
    <cellStyle name="Normal 58 6 3 10 3" xfId="31506" xr:uid="{00000000-0005-0000-0000-0000EEA60000}"/>
    <cellStyle name="Normal 58 6 3 11" xfId="2679" xr:uid="{00000000-0005-0000-0000-0000EFA60000}"/>
    <cellStyle name="Normal 58 6 3 11 2" xfId="15197" xr:uid="{00000000-0005-0000-0000-0000F0A60000}"/>
    <cellStyle name="Normal 58 6 3 11 2 2" xfId="40071" xr:uid="{00000000-0005-0000-0000-0000F1A60000}"/>
    <cellStyle name="Normal 58 6 3 11 3" xfId="27630" xr:uid="{00000000-0005-0000-0000-0000F2A60000}"/>
    <cellStyle name="Normal 58 6 3 12" xfId="13098" xr:uid="{00000000-0005-0000-0000-0000F3A60000}"/>
    <cellStyle name="Normal 58 6 3 12 2" xfId="37972" xr:uid="{00000000-0005-0000-0000-0000F4A60000}"/>
    <cellStyle name="Normal 58 6 3 13" xfId="25531" xr:uid="{00000000-0005-0000-0000-0000F5A60000}"/>
    <cellStyle name="Normal 58 6 3 2" xfId="490" xr:uid="{00000000-0005-0000-0000-0000F6A60000}"/>
    <cellStyle name="Normal 58 6 3 2 10" xfId="13303" xr:uid="{00000000-0005-0000-0000-0000F7A60000}"/>
    <cellStyle name="Normal 58 6 3 2 10 2" xfId="38177" xr:uid="{00000000-0005-0000-0000-0000F8A60000}"/>
    <cellStyle name="Normal 58 6 3 2 11" xfId="25736" xr:uid="{00000000-0005-0000-0000-0000F9A60000}"/>
    <cellStyle name="Normal 58 6 3 2 2" xfId="849" xr:uid="{00000000-0005-0000-0000-0000FAA60000}"/>
    <cellStyle name="Normal 58 6 3 2 2 2" xfId="1577" xr:uid="{00000000-0005-0000-0000-0000FBA60000}"/>
    <cellStyle name="Normal 58 6 3 2 2 2 2" xfId="9681" xr:uid="{00000000-0005-0000-0000-0000FCA60000}"/>
    <cellStyle name="Normal 58 6 3 2 2 2 2 2" xfId="22124" xr:uid="{00000000-0005-0000-0000-0000FDA60000}"/>
    <cellStyle name="Normal 58 6 3 2 2 2 2 2 2" xfId="46998" xr:uid="{00000000-0005-0000-0000-0000FEA60000}"/>
    <cellStyle name="Normal 58 6 3 2 2 2 2 3" xfId="34565" xr:uid="{00000000-0005-0000-0000-0000FFA60000}"/>
    <cellStyle name="Normal 58 6 3 2 2 2 3" xfId="4663" xr:uid="{00000000-0005-0000-0000-000000A70000}"/>
    <cellStyle name="Normal 58 6 3 2 2 2 3 2" xfId="17117" xr:uid="{00000000-0005-0000-0000-000001A70000}"/>
    <cellStyle name="Normal 58 6 3 2 2 2 3 2 2" xfId="41991" xr:uid="{00000000-0005-0000-0000-000002A70000}"/>
    <cellStyle name="Normal 58 6 3 2 2 2 3 3" xfId="29558" xr:uid="{00000000-0005-0000-0000-000003A70000}"/>
    <cellStyle name="Normal 58 6 3 2 2 2 4" xfId="14377" xr:uid="{00000000-0005-0000-0000-000004A70000}"/>
    <cellStyle name="Normal 58 6 3 2 2 2 4 2" xfId="39251" xr:uid="{00000000-0005-0000-0000-000005A70000}"/>
    <cellStyle name="Normal 58 6 3 2 2 2 5" xfId="26810" xr:uid="{00000000-0005-0000-0000-000006A70000}"/>
    <cellStyle name="Normal 58 6 3 2 2 3" xfId="5722" xr:uid="{00000000-0005-0000-0000-000007A70000}"/>
    <cellStyle name="Normal 58 6 3 2 2 3 2" xfId="10738" xr:uid="{00000000-0005-0000-0000-000008A70000}"/>
    <cellStyle name="Normal 58 6 3 2 2 3 2 2" xfId="23181" xr:uid="{00000000-0005-0000-0000-000009A70000}"/>
    <cellStyle name="Normal 58 6 3 2 2 3 2 2 2" xfId="48055" xr:uid="{00000000-0005-0000-0000-00000AA70000}"/>
    <cellStyle name="Normal 58 6 3 2 2 3 2 3" xfId="35622" xr:uid="{00000000-0005-0000-0000-00000BA70000}"/>
    <cellStyle name="Normal 58 6 3 2 2 3 3" xfId="18174" xr:uid="{00000000-0005-0000-0000-00000CA70000}"/>
    <cellStyle name="Normal 58 6 3 2 2 3 3 2" xfId="43048" xr:uid="{00000000-0005-0000-0000-00000DA70000}"/>
    <cellStyle name="Normal 58 6 3 2 2 3 4" xfId="30615" xr:uid="{00000000-0005-0000-0000-00000EA70000}"/>
    <cellStyle name="Normal 58 6 3 2 2 4" xfId="8797" xr:uid="{00000000-0005-0000-0000-00000FA70000}"/>
    <cellStyle name="Normal 58 6 3 2 2 4 2" xfId="21241" xr:uid="{00000000-0005-0000-0000-000010A70000}"/>
    <cellStyle name="Normal 58 6 3 2 2 4 2 2" xfId="46115" xr:uid="{00000000-0005-0000-0000-000011A70000}"/>
    <cellStyle name="Normal 58 6 3 2 2 4 3" xfId="33682" xr:uid="{00000000-0005-0000-0000-000012A70000}"/>
    <cellStyle name="Normal 58 6 3 2 2 5" xfId="12192" xr:uid="{00000000-0005-0000-0000-000013A70000}"/>
    <cellStyle name="Normal 58 6 3 2 2 5 2" xfId="24626" xr:uid="{00000000-0005-0000-0000-000014A70000}"/>
    <cellStyle name="Normal 58 6 3 2 2 5 2 2" xfId="49500" xr:uid="{00000000-0005-0000-0000-000015A70000}"/>
    <cellStyle name="Normal 58 6 3 2 2 5 3" xfId="37067" xr:uid="{00000000-0005-0000-0000-000016A70000}"/>
    <cellStyle name="Normal 58 6 3 2 2 6" xfId="7274" xr:uid="{00000000-0005-0000-0000-000017A70000}"/>
    <cellStyle name="Normal 58 6 3 2 2 6 2" xfId="19723" xr:uid="{00000000-0005-0000-0000-000018A70000}"/>
    <cellStyle name="Normal 58 6 3 2 2 6 2 2" xfId="44597" xr:uid="{00000000-0005-0000-0000-000019A70000}"/>
    <cellStyle name="Normal 58 6 3 2 2 6 3" xfId="32164" xr:uid="{00000000-0005-0000-0000-00001AA70000}"/>
    <cellStyle name="Normal 58 6 3 2 2 7" xfId="3728" xr:uid="{00000000-0005-0000-0000-00001BA70000}"/>
    <cellStyle name="Normal 58 6 3 2 2 7 2" xfId="16234" xr:uid="{00000000-0005-0000-0000-00001CA70000}"/>
    <cellStyle name="Normal 58 6 3 2 2 7 2 2" xfId="41108" xr:uid="{00000000-0005-0000-0000-00001DA70000}"/>
    <cellStyle name="Normal 58 6 3 2 2 7 3" xfId="28667" xr:uid="{00000000-0005-0000-0000-00001EA70000}"/>
    <cellStyle name="Normal 58 6 3 2 2 8" xfId="13650" xr:uid="{00000000-0005-0000-0000-00001FA70000}"/>
    <cellStyle name="Normal 58 6 3 2 2 8 2" xfId="38524" xr:uid="{00000000-0005-0000-0000-000020A70000}"/>
    <cellStyle name="Normal 58 6 3 2 2 9" xfId="26083" xr:uid="{00000000-0005-0000-0000-000021A70000}"/>
    <cellStyle name="Normal 58 6 3 2 3" xfId="1925" xr:uid="{00000000-0005-0000-0000-000022A70000}"/>
    <cellStyle name="Normal 58 6 3 2 3 2" xfId="5032" xr:uid="{00000000-0005-0000-0000-000023A70000}"/>
    <cellStyle name="Normal 58 6 3 2 3 2 2" xfId="10049" xr:uid="{00000000-0005-0000-0000-000024A70000}"/>
    <cellStyle name="Normal 58 6 3 2 3 2 2 2" xfId="22492" xr:uid="{00000000-0005-0000-0000-000025A70000}"/>
    <cellStyle name="Normal 58 6 3 2 3 2 2 2 2" xfId="47366" xr:uid="{00000000-0005-0000-0000-000026A70000}"/>
    <cellStyle name="Normal 58 6 3 2 3 2 2 3" xfId="34933" xr:uid="{00000000-0005-0000-0000-000027A70000}"/>
    <cellStyle name="Normal 58 6 3 2 3 2 3" xfId="17485" xr:uid="{00000000-0005-0000-0000-000028A70000}"/>
    <cellStyle name="Normal 58 6 3 2 3 2 3 2" xfId="42359" xr:uid="{00000000-0005-0000-0000-000029A70000}"/>
    <cellStyle name="Normal 58 6 3 2 3 2 4" xfId="29926" xr:uid="{00000000-0005-0000-0000-00002AA70000}"/>
    <cellStyle name="Normal 58 6 3 2 3 3" xfId="6071" xr:uid="{00000000-0005-0000-0000-00002BA70000}"/>
    <cellStyle name="Normal 58 6 3 2 3 3 2" xfId="11086" xr:uid="{00000000-0005-0000-0000-00002CA70000}"/>
    <cellStyle name="Normal 58 6 3 2 3 3 2 2" xfId="23529" xr:uid="{00000000-0005-0000-0000-00002DA70000}"/>
    <cellStyle name="Normal 58 6 3 2 3 3 2 2 2" xfId="48403" xr:uid="{00000000-0005-0000-0000-00002EA70000}"/>
    <cellStyle name="Normal 58 6 3 2 3 3 2 3" xfId="35970" xr:uid="{00000000-0005-0000-0000-00002FA70000}"/>
    <cellStyle name="Normal 58 6 3 2 3 3 3" xfId="18522" xr:uid="{00000000-0005-0000-0000-000030A70000}"/>
    <cellStyle name="Normal 58 6 3 2 3 3 3 2" xfId="43396" xr:uid="{00000000-0005-0000-0000-000031A70000}"/>
    <cellStyle name="Normal 58 6 3 2 3 3 4" xfId="30963" xr:uid="{00000000-0005-0000-0000-000032A70000}"/>
    <cellStyle name="Normal 58 6 3 2 3 4" xfId="8456" xr:uid="{00000000-0005-0000-0000-000033A70000}"/>
    <cellStyle name="Normal 58 6 3 2 3 4 2" xfId="20900" xr:uid="{00000000-0005-0000-0000-000034A70000}"/>
    <cellStyle name="Normal 58 6 3 2 3 4 2 2" xfId="45774" xr:uid="{00000000-0005-0000-0000-000035A70000}"/>
    <cellStyle name="Normal 58 6 3 2 3 4 3" xfId="33341" xr:uid="{00000000-0005-0000-0000-000036A70000}"/>
    <cellStyle name="Normal 58 6 3 2 3 5" xfId="12540" xr:uid="{00000000-0005-0000-0000-000037A70000}"/>
    <cellStyle name="Normal 58 6 3 2 3 5 2" xfId="24974" xr:uid="{00000000-0005-0000-0000-000038A70000}"/>
    <cellStyle name="Normal 58 6 3 2 3 5 2 2" xfId="49848" xr:uid="{00000000-0005-0000-0000-000039A70000}"/>
    <cellStyle name="Normal 58 6 3 2 3 5 3" xfId="37415" xr:uid="{00000000-0005-0000-0000-00003AA70000}"/>
    <cellStyle name="Normal 58 6 3 2 3 6" xfId="7643" xr:uid="{00000000-0005-0000-0000-00003BA70000}"/>
    <cellStyle name="Normal 58 6 3 2 3 6 2" xfId="20091" xr:uid="{00000000-0005-0000-0000-00003CA70000}"/>
    <cellStyle name="Normal 58 6 3 2 3 6 2 2" xfId="44965" xr:uid="{00000000-0005-0000-0000-00003DA70000}"/>
    <cellStyle name="Normal 58 6 3 2 3 6 3" xfId="32532" xr:uid="{00000000-0005-0000-0000-00003EA70000}"/>
    <cellStyle name="Normal 58 6 3 2 3 7" xfId="3387" xr:uid="{00000000-0005-0000-0000-00003FA70000}"/>
    <cellStyle name="Normal 58 6 3 2 3 7 2" xfId="15893" xr:uid="{00000000-0005-0000-0000-000040A70000}"/>
    <cellStyle name="Normal 58 6 3 2 3 7 2 2" xfId="40767" xr:uid="{00000000-0005-0000-0000-000041A70000}"/>
    <cellStyle name="Normal 58 6 3 2 3 7 3" xfId="28326" xr:uid="{00000000-0005-0000-0000-000042A70000}"/>
    <cellStyle name="Normal 58 6 3 2 3 8" xfId="14725" xr:uid="{00000000-0005-0000-0000-000043A70000}"/>
    <cellStyle name="Normal 58 6 3 2 3 8 2" xfId="39599" xr:uid="{00000000-0005-0000-0000-000044A70000}"/>
    <cellStyle name="Normal 58 6 3 2 3 9" xfId="27158" xr:uid="{00000000-0005-0000-0000-000045A70000}"/>
    <cellStyle name="Normal 58 6 3 2 4" xfId="2408" xr:uid="{00000000-0005-0000-0000-000046A70000}"/>
    <cellStyle name="Normal 58 6 3 2 4 2" xfId="6430" xr:uid="{00000000-0005-0000-0000-000047A70000}"/>
    <cellStyle name="Normal 58 6 3 2 4 2 2" xfId="11445" xr:uid="{00000000-0005-0000-0000-000048A70000}"/>
    <cellStyle name="Normal 58 6 3 2 4 2 2 2" xfId="23888" xr:uid="{00000000-0005-0000-0000-000049A70000}"/>
    <cellStyle name="Normal 58 6 3 2 4 2 2 2 2" xfId="48762" xr:uid="{00000000-0005-0000-0000-00004AA70000}"/>
    <cellStyle name="Normal 58 6 3 2 4 2 2 3" xfId="36329" xr:uid="{00000000-0005-0000-0000-00004BA70000}"/>
    <cellStyle name="Normal 58 6 3 2 4 2 3" xfId="18881" xr:uid="{00000000-0005-0000-0000-00004CA70000}"/>
    <cellStyle name="Normal 58 6 3 2 4 2 3 2" xfId="43755" xr:uid="{00000000-0005-0000-0000-00004DA70000}"/>
    <cellStyle name="Normal 58 6 3 2 4 2 4" xfId="31322" xr:uid="{00000000-0005-0000-0000-00004EA70000}"/>
    <cellStyle name="Normal 58 6 3 2 4 3" xfId="12899" xr:uid="{00000000-0005-0000-0000-00004FA70000}"/>
    <cellStyle name="Normal 58 6 3 2 4 3 2" xfId="25333" xr:uid="{00000000-0005-0000-0000-000050A70000}"/>
    <cellStyle name="Normal 58 6 3 2 4 3 2 2" xfId="50207" xr:uid="{00000000-0005-0000-0000-000051A70000}"/>
    <cellStyle name="Normal 58 6 3 2 4 3 3" xfId="37774" xr:uid="{00000000-0005-0000-0000-000052A70000}"/>
    <cellStyle name="Normal 58 6 3 2 4 4" xfId="9340" xr:uid="{00000000-0005-0000-0000-000053A70000}"/>
    <cellStyle name="Normal 58 6 3 2 4 4 2" xfId="21783" xr:uid="{00000000-0005-0000-0000-000054A70000}"/>
    <cellStyle name="Normal 58 6 3 2 4 4 2 2" xfId="46657" xr:uid="{00000000-0005-0000-0000-000055A70000}"/>
    <cellStyle name="Normal 58 6 3 2 4 4 3" xfId="34224" xr:uid="{00000000-0005-0000-0000-000056A70000}"/>
    <cellStyle name="Normal 58 6 3 2 4 5" xfId="4322" xr:uid="{00000000-0005-0000-0000-000057A70000}"/>
    <cellStyle name="Normal 58 6 3 2 4 5 2" xfId="16776" xr:uid="{00000000-0005-0000-0000-000058A70000}"/>
    <cellStyle name="Normal 58 6 3 2 4 5 2 2" xfId="41650" xr:uid="{00000000-0005-0000-0000-000059A70000}"/>
    <cellStyle name="Normal 58 6 3 2 4 5 3" xfId="29217" xr:uid="{00000000-0005-0000-0000-00005AA70000}"/>
    <cellStyle name="Normal 58 6 3 2 4 6" xfId="15084" xr:uid="{00000000-0005-0000-0000-00005BA70000}"/>
    <cellStyle name="Normal 58 6 3 2 4 6 2" xfId="39958" xr:uid="{00000000-0005-0000-0000-00005CA70000}"/>
    <cellStyle name="Normal 58 6 3 2 4 7" xfId="27517" xr:uid="{00000000-0005-0000-0000-00005DA70000}"/>
    <cellStyle name="Normal 58 6 3 2 5" xfId="1241" xr:uid="{00000000-0005-0000-0000-00005EA70000}"/>
    <cellStyle name="Normal 58 6 3 2 5 2" xfId="10402" xr:uid="{00000000-0005-0000-0000-00005FA70000}"/>
    <cellStyle name="Normal 58 6 3 2 5 2 2" xfId="22845" xr:uid="{00000000-0005-0000-0000-000060A70000}"/>
    <cellStyle name="Normal 58 6 3 2 5 2 2 2" xfId="47719" xr:uid="{00000000-0005-0000-0000-000061A70000}"/>
    <cellStyle name="Normal 58 6 3 2 5 2 3" xfId="35286" xr:uid="{00000000-0005-0000-0000-000062A70000}"/>
    <cellStyle name="Normal 58 6 3 2 5 3" xfId="5386" xr:uid="{00000000-0005-0000-0000-000063A70000}"/>
    <cellStyle name="Normal 58 6 3 2 5 3 2" xfId="17838" xr:uid="{00000000-0005-0000-0000-000064A70000}"/>
    <cellStyle name="Normal 58 6 3 2 5 3 2 2" xfId="42712" xr:uid="{00000000-0005-0000-0000-000065A70000}"/>
    <cellStyle name="Normal 58 6 3 2 5 3 3" xfId="30279" xr:uid="{00000000-0005-0000-0000-000066A70000}"/>
    <cellStyle name="Normal 58 6 3 2 5 4" xfId="14041" xr:uid="{00000000-0005-0000-0000-000067A70000}"/>
    <cellStyle name="Normal 58 6 3 2 5 4 2" xfId="38915" xr:uid="{00000000-0005-0000-0000-000068A70000}"/>
    <cellStyle name="Normal 58 6 3 2 5 5" xfId="26474" xr:uid="{00000000-0005-0000-0000-000069A70000}"/>
    <cellStyle name="Normal 58 6 3 2 6" xfId="7963" xr:uid="{00000000-0005-0000-0000-00006AA70000}"/>
    <cellStyle name="Normal 58 6 3 2 6 2" xfId="20409" xr:uid="{00000000-0005-0000-0000-00006BA70000}"/>
    <cellStyle name="Normal 58 6 3 2 6 2 2" xfId="45283" xr:uid="{00000000-0005-0000-0000-00006CA70000}"/>
    <cellStyle name="Normal 58 6 3 2 6 3" xfId="32850" xr:uid="{00000000-0005-0000-0000-00006DA70000}"/>
    <cellStyle name="Normal 58 6 3 2 7" xfId="11856" xr:uid="{00000000-0005-0000-0000-00006EA70000}"/>
    <cellStyle name="Normal 58 6 3 2 7 2" xfId="24290" xr:uid="{00000000-0005-0000-0000-00006FA70000}"/>
    <cellStyle name="Normal 58 6 3 2 7 2 2" xfId="49164" xr:uid="{00000000-0005-0000-0000-000070A70000}"/>
    <cellStyle name="Normal 58 6 3 2 7 3" xfId="36731" xr:uid="{00000000-0005-0000-0000-000071A70000}"/>
    <cellStyle name="Normal 58 6 3 2 8" xfId="6933" xr:uid="{00000000-0005-0000-0000-000072A70000}"/>
    <cellStyle name="Normal 58 6 3 2 8 2" xfId="19382" xr:uid="{00000000-0005-0000-0000-000073A70000}"/>
    <cellStyle name="Normal 58 6 3 2 8 2 2" xfId="44256" xr:uid="{00000000-0005-0000-0000-000074A70000}"/>
    <cellStyle name="Normal 58 6 3 2 8 3" xfId="31823" xr:uid="{00000000-0005-0000-0000-000075A70000}"/>
    <cellStyle name="Normal 58 6 3 2 9" xfId="2884" xr:uid="{00000000-0005-0000-0000-000076A70000}"/>
    <cellStyle name="Normal 58 6 3 2 9 2" xfId="15402" xr:uid="{00000000-0005-0000-0000-000077A70000}"/>
    <cellStyle name="Normal 58 6 3 2 9 2 2" xfId="40276" xr:uid="{00000000-0005-0000-0000-000078A70000}"/>
    <cellStyle name="Normal 58 6 3 2 9 3" xfId="27835" xr:uid="{00000000-0005-0000-0000-000079A70000}"/>
    <cellStyle name="Normal 58 6 3 2_Degree data" xfId="2542" xr:uid="{00000000-0005-0000-0000-00007AA70000}"/>
    <cellStyle name="Normal 58 6 3 3" xfId="641" xr:uid="{00000000-0005-0000-0000-00007BA70000}"/>
    <cellStyle name="Normal 58 6 3 3 2" xfId="1576" xr:uid="{00000000-0005-0000-0000-00007CA70000}"/>
    <cellStyle name="Normal 58 6 3 3 2 2" xfId="9135" xr:uid="{00000000-0005-0000-0000-00007DA70000}"/>
    <cellStyle name="Normal 58 6 3 3 2 2 2" xfId="21578" xr:uid="{00000000-0005-0000-0000-00007EA70000}"/>
    <cellStyle name="Normal 58 6 3 3 2 2 2 2" xfId="46452" xr:uid="{00000000-0005-0000-0000-00007FA70000}"/>
    <cellStyle name="Normal 58 6 3 3 2 2 3" xfId="34019" xr:uid="{00000000-0005-0000-0000-000080A70000}"/>
    <cellStyle name="Normal 58 6 3 3 2 3" xfId="4117" xr:uid="{00000000-0005-0000-0000-000081A70000}"/>
    <cellStyle name="Normal 58 6 3 3 2 3 2" xfId="16571" xr:uid="{00000000-0005-0000-0000-000082A70000}"/>
    <cellStyle name="Normal 58 6 3 3 2 3 2 2" xfId="41445" xr:uid="{00000000-0005-0000-0000-000083A70000}"/>
    <cellStyle name="Normal 58 6 3 3 2 3 3" xfId="29012" xr:uid="{00000000-0005-0000-0000-000084A70000}"/>
    <cellStyle name="Normal 58 6 3 3 2 4" xfId="14376" xr:uid="{00000000-0005-0000-0000-000085A70000}"/>
    <cellStyle name="Normal 58 6 3 3 2 4 2" xfId="39250" xr:uid="{00000000-0005-0000-0000-000086A70000}"/>
    <cellStyle name="Normal 58 6 3 3 2 5" xfId="26809" xr:uid="{00000000-0005-0000-0000-000087A70000}"/>
    <cellStyle name="Normal 58 6 3 3 3" xfId="5721" xr:uid="{00000000-0005-0000-0000-000088A70000}"/>
    <cellStyle name="Normal 58 6 3 3 3 2" xfId="10737" xr:uid="{00000000-0005-0000-0000-000089A70000}"/>
    <cellStyle name="Normal 58 6 3 3 3 2 2" xfId="23180" xr:uid="{00000000-0005-0000-0000-00008AA70000}"/>
    <cellStyle name="Normal 58 6 3 3 3 2 2 2" xfId="48054" xr:uid="{00000000-0005-0000-0000-00008BA70000}"/>
    <cellStyle name="Normal 58 6 3 3 3 2 3" xfId="35621" xr:uid="{00000000-0005-0000-0000-00008CA70000}"/>
    <cellStyle name="Normal 58 6 3 3 3 3" xfId="18173" xr:uid="{00000000-0005-0000-0000-00008DA70000}"/>
    <cellStyle name="Normal 58 6 3 3 3 3 2" xfId="43047" xr:uid="{00000000-0005-0000-0000-00008EA70000}"/>
    <cellStyle name="Normal 58 6 3 3 3 4" xfId="30614" xr:uid="{00000000-0005-0000-0000-00008FA70000}"/>
    <cellStyle name="Normal 58 6 3 3 4" xfId="8251" xr:uid="{00000000-0005-0000-0000-000090A70000}"/>
    <cellStyle name="Normal 58 6 3 3 4 2" xfId="20695" xr:uid="{00000000-0005-0000-0000-000091A70000}"/>
    <cellStyle name="Normal 58 6 3 3 4 2 2" xfId="45569" xr:uid="{00000000-0005-0000-0000-000092A70000}"/>
    <cellStyle name="Normal 58 6 3 3 4 3" xfId="33136" xr:uid="{00000000-0005-0000-0000-000093A70000}"/>
    <cellStyle name="Normal 58 6 3 3 5" xfId="12191" xr:uid="{00000000-0005-0000-0000-000094A70000}"/>
    <cellStyle name="Normal 58 6 3 3 5 2" xfId="24625" xr:uid="{00000000-0005-0000-0000-000095A70000}"/>
    <cellStyle name="Normal 58 6 3 3 5 2 2" xfId="49499" xr:uid="{00000000-0005-0000-0000-000096A70000}"/>
    <cellStyle name="Normal 58 6 3 3 5 3" xfId="37066" xr:uid="{00000000-0005-0000-0000-000097A70000}"/>
    <cellStyle name="Normal 58 6 3 3 6" xfId="6728" xr:uid="{00000000-0005-0000-0000-000098A70000}"/>
    <cellStyle name="Normal 58 6 3 3 6 2" xfId="19177" xr:uid="{00000000-0005-0000-0000-000099A70000}"/>
    <cellStyle name="Normal 58 6 3 3 6 2 2" xfId="44051" xr:uid="{00000000-0005-0000-0000-00009AA70000}"/>
    <cellStyle name="Normal 58 6 3 3 6 3" xfId="31618" xr:uid="{00000000-0005-0000-0000-00009BA70000}"/>
    <cellStyle name="Normal 58 6 3 3 7" xfId="3182" xr:uid="{00000000-0005-0000-0000-00009CA70000}"/>
    <cellStyle name="Normal 58 6 3 3 7 2" xfId="15688" xr:uid="{00000000-0005-0000-0000-00009DA70000}"/>
    <cellStyle name="Normal 58 6 3 3 7 2 2" xfId="40562" xr:uid="{00000000-0005-0000-0000-00009EA70000}"/>
    <cellStyle name="Normal 58 6 3 3 7 3" xfId="28121" xr:uid="{00000000-0005-0000-0000-00009FA70000}"/>
    <cellStyle name="Normal 58 6 3 3 8" xfId="13445" xr:uid="{00000000-0005-0000-0000-0000A0A70000}"/>
    <cellStyle name="Normal 58 6 3 3 8 2" xfId="38319" xr:uid="{00000000-0005-0000-0000-0000A1A70000}"/>
    <cellStyle name="Normal 58 6 3 3 9" xfId="25878" xr:uid="{00000000-0005-0000-0000-0000A2A70000}"/>
    <cellStyle name="Normal 58 6 3 4" xfId="1924" xr:uid="{00000000-0005-0000-0000-0000A3A70000}"/>
    <cellStyle name="Normal 58 6 3 4 2" xfId="4662" xr:uid="{00000000-0005-0000-0000-0000A4A70000}"/>
    <cellStyle name="Normal 58 6 3 4 2 2" xfId="9680" xr:uid="{00000000-0005-0000-0000-0000A5A70000}"/>
    <cellStyle name="Normal 58 6 3 4 2 2 2" xfId="22123" xr:uid="{00000000-0005-0000-0000-0000A6A70000}"/>
    <cellStyle name="Normal 58 6 3 4 2 2 2 2" xfId="46997" xr:uid="{00000000-0005-0000-0000-0000A7A70000}"/>
    <cellStyle name="Normal 58 6 3 4 2 2 3" xfId="34564" xr:uid="{00000000-0005-0000-0000-0000A8A70000}"/>
    <cellStyle name="Normal 58 6 3 4 2 3" xfId="17116" xr:uid="{00000000-0005-0000-0000-0000A9A70000}"/>
    <cellStyle name="Normal 58 6 3 4 2 3 2" xfId="41990" xr:uid="{00000000-0005-0000-0000-0000AAA70000}"/>
    <cellStyle name="Normal 58 6 3 4 2 4" xfId="29557" xr:uid="{00000000-0005-0000-0000-0000ABA70000}"/>
    <cellStyle name="Normal 58 6 3 4 3" xfId="6070" xr:uid="{00000000-0005-0000-0000-0000ACA70000}"/>
    <cellStyle name="Normal 58 6 3 4 3 2" xfId="11085" xr:uid="{00000000-0005-0000-0000-0000ADA70000}"/>
    <cellStyle name="Normal 58 6 3 4 3 2 2" xfId="23528" xr:uid="{00000000-0005-0000-0000-0000AEA70000}"/>
    <cellStyle name="Normal 58 6 3 4 3 2 2 2" xfId="48402" xr:uid="{00000000-0005-0000-0000-0000AFA70000}"/>
    <cellStyle name="Normal 58 6 3 4 3 2 3" xfId="35969" xr:uid="{00000000-0005-0000-0000-0000B0A70000}"/>
    <cellStyle name="Normal 58 6 3 4 3 3" xfId="18521" xr:uid="{00000000-0005-0000-0000-0000B1A70000}"/>
    <cellStyle name="Normal 58 6 3 4 3 3 2" xfId="43395" xr:uid="{00000000-0005-0000-0000-0000B2A70000}"/>
    <cellStyle name="Normal 58 6 3 4 3 4" xfId="30962" xr:uid="{00000000-0005-0000-0000-0000B3A70000}"/>
    <cellStyle name="Normal 58 6 3 4 4" xfId="8796" xr:uid="{00000000-0005-0000-0000-0000B4A70000}"/>
    <cellStyle name="Normal 58 6 3 4 4 2" xfId="21240" xr:uid="{00000000-0005-0000-0000-0000B5A70000}"/>
    <cellStyle name="Normal 58 6 3 4 4 2 2" xfId="46114" xr:uid="{00000000-0005-0000-0000-0000B6A70000}"/>
    <cellStyle name="Normal 58 6 3 4 4 3" xfId="33681" xr:uid="{00000000-0005-0000-0000-0000B7A70000}"/>
    <cellStyle name="Normal 58 6 3 4 5" xfId="12539" xr:uid="{00000000-0005-0000-0000-0000B8A70000}"/>
    <cellStyle name="Normal 58 6 3 4 5 2" xfId="24973" xr:uid="{00000000-0005-0000-0000-0000B9A70000}"/>
    <cellStyle name="Normal 58 6 3 4 5 2 2" xfId="49847" xr:uid="{00000000-0005-0000-0000-0000BAA70000}"/>
    <cellStyle name="Normal 58 6 3 4 5 3" xfId="37414" xr:uid="{00000000-0005-0000-0000-0000BBA70000}"/>
    <cellStyle name="Normal 58 6 3 4 6" xfId="7273" xr:uid="{00000000-0005-0000-0000-0000BCA70000}"/>
    <cellStyle name="Normal 58 6 3 4 6 2" xfId="19722" xr:uid="{00000000-0005-0000-0000-0000BDA70000}"/>
    <cellStyle name="Normal 58 6 3 4 6 2 2" xfId="44596" xr:uid="{00000000-0005-0000-0000-0000BEA70000}"/>
    <cellStyle name="Normal 58 6 3 4 6 3" xfId="32163" xr:uid="{00000000-0005-0000-0000-0000BFA70000}"/>
    <cellStyle name="Normal 58 6 3 4 7" xfId="3727" xr:uid="{00000000-0005-0000-0000-0000C0A70000}"/>
    <cellStyle name="Normal 58 6 3 4 7 2" xfId="16233" xr:uid="{00000000-0005-0000-0000-0000C1A70000}"/>
    <cellStyle name="Normal 58 6 3 4 7 2 2" xfId="41107" xr:uid="{00000000-0005-0000-0000-0000C2A70000}"/>
    <cellStyle name="Normal 58 6 3 4 7 3" xfId="28666" xr:uid="{00000000-0005-0000-0000-0000C3A70000}"/>
    <cellStyle name="Normal 58 6 3 4 8" xfId="14724" xr:uid="{00000000-0005-0000-0000-0000C4A70000}"/>
    <cellStyle name="Normal 58 6 3 4 8 2" xfId="39598" xr:uid="{00000000-0005-0000-0000-0000C5A70000}"/>
    <cellStyle name="Normal 58 6 3 4 9" xfId="27157" xr:uid="{00000000-0005-0000-0000-0000C6A70000}"/>
    <cellStyle name="Normal 58 6 3 5" xfId="2197" xr:uid="{00000000-0005-0000-0000-0000C7A70000}"/>
    <cellStyle name="Normal 58 6 3 5 2" xfId="4827" xr:uid="{00000000-0005-0000-0000-0000C8A70000}"/>
    <cellStyle name="Normal 58 6 3 5 2 2" xfId="9844" xr:uid="{00000000-0005-0000-0000-0000C9A70000}"/>
    <cellStyle name="Normal 58 6 3 5 2 2 2" xfId="22287" xr:uid="{00000000-0005-0000-0000-0000CAA70000}"/>
    <cellStyle name="Normal 58 6 3 5 2 2 2 2" xfId="47161" xr:uid="{00000000-0005-0000-0000-0000CBA70000}"/>
    <cellStyle name="Normal 58 6 3 5 2 2 3" xfId="34728" xr:uid="{00000000-0005-0000-0000-0000CCA70000}"/>
    <cellStyle name="Normal 58 6 3 5 2 3" xfId="17280" xr:uid="{00000000-0005-0000-0000-0000CDA70000}"/>
    <cellStyle name="Normal 58 6 3 5 2 3 2" xfId="42154" xr:uid="{00000000-0005-0000-0000-0000CEA70000}"/>
    <cellStyle name="Normal 58 6 3 5 2 4" xfId="29721" xr:uid="{00000000-0005-0000-0000-0000CFA70000}"/>
    <cellStyle name="Normal 58 6 3 5 3" xfId="6225" xr:uid="{00000000-0005-0000-0000-0000D0A70000}"/>
    <cellStyle name="Normal 58 6 3 5 3 2" xfId="11240" xr:uid="{00000000-0005-0000-0000-0000D1A70000}"/>
    <cellStyle name="Normal 58 6 3 5 3 2 2" xfId="23683" xr:uid="{00000000-0005-0000-0000-0000D2A70000}"/>
    <cellStyle name="Normal 58 6 3 5 3 2 2 2" xfId="48557" xr:uid="{00000000-0005-0000-0000-0000D3A70000}"/>
    <cellStyle name="Normal 58 6 3 5 3 2 3" xfId="36124" xr:uid="{00000000-0005-0000-0000-0000D4A70000}"/>
    <cellStyle name="Normal 58 6 3 5 3 3" xfId="18676" xr:uid="{00000000-0005-0000-0000-0000D5A70000}"/>
    <cellStyle name="Normal 58 6 3 5 3 3 2" xfId="43550" xr:uid="{00000000-0005-0000-0000-0000D6A70000}"/>
    <cellStyle name="Normal 58 6 3 5 3 4" xfId="31117" xr:uid="{00000000-0005-0000-0000-0000D7A70000}"/>
    <cellStyle name="Normal 58 6 3 5 4" xfId="8137" xr:uid="{00000000-0005-0000-0000-0000D8A70000}"/>
    <cellStyle name="Normal 58 6 3 5 4 2" xfId="20583" xr:uid="{00000000-0005-0000-0000-0000D9A70000}"/>
    <cellStyle name="Normal 58 6 3 5 4 2 2" xfId="45457" xr:uid="{00000000-0005-0000-0000-0000DAA70000}"/>
    <cellStyle name="Normal 58 6 3 5 4 3" xfId="33024" xr:uid="{00000000-0005-0000-0000-0000DBA70000}"/>
    <cellStyle name="Normal 58 6 3 5 5" xfId="12694" xr:uid="{00000000-0005-0000-0000-0000DCA70000}"/>
    <cellStyle name="Normal 58 6 3 5 5 2" xfId="25128" xr:uid="{00000000-0005-0000-0000-0000DDA70000}"/>
    <cellStyle name="Normal 58 6 3 5 5 2 2" xfId="50002" xr:uid="{00000000-0005-0000-0000-0000DEA70000}"/>
    <cellStyle name="Normal 58 6 3 5 5 3" xfId="37569" xr:uid="{00000000-0005-0000-0000-0000DFA70000}"/>
    <cellStyle name="Normal 58 6 3 5 6" xfId="7438" xr:uid="{00000000-0005-0000-0000-0000E0A70000}"/>
    <cellStyle name="Normal 58 6 3 5 6 2" xfId="19886" xr:uid="{00000000-0005-0000-0000-0000E1A70000}"/>
    <cellStyle name="Normal 58 6 3 5 6 2 2" xfId="44760" xr:uid="{00000000-0005-0000-0000-0000E2A70000}"/>
    <cellStyle name="Normal 58 6 3 5 6 3" xfId="32327" xr:uid="{00000000-0005-0000-0000-0000E3A70000}"/>
    <cellStyle name="Normal 58 6 3 5 7" xfId="3067" xr:uid="{00000000-0005-0000-0000-0000E4A70000}"/>
    <cellStyle name="Normal 58 6 3 5 7 2" xfId="15576" xr:uid="{00000000-0005-0000-0000-0000E5A70000}"/>
    <cellStyle name="Normal 58 6 3 5 7 2 2" xfId="40450" xr:uid="{00000000-0005-0000-0000-0000E6A70000}"/>
    <cellStyle name="Normal 58 6 3 5 7 3" xfId="28009" xr:uid="{00000000-0005-0000-0000-0000E7A70000}"/>
    <cellStyle name="Normal 58 6 3 5 8" xfId="14879" xr:uid="{00000000-0005-0000-0000-0000E8A70000}"/>
    <cellStyle name="Normal 58 6 3 5 8 2" xfId="39753" xr:uid="{00000000-0005-0000-0000-0000E9A70000}"/>
    <cellStyle name="Normal 58 6 3 5 9" xfId="27312" xr:uid="{00000000-0005-0000-0000-0000EAA70000}"/>
    <cellStyle name="Normal 58 6 3 6" xfId="1036" xr:uid="{00000000-0005-0000-0000-0000EBA70000}"/>
    <cellStyle name="Normal 58 6 3 6 2" xfId="9023" xr:uid="{00000000-0005-0000-0000-0000ECA70000}"/>
    <cellStyle name="Normal 58 6 3 6 2 2" xfId="21466" xr:uid="{00000000-0005-0000-0000-0000EDA70000}"/>
    <cellStyle name="Normal 58 6 3 6 2 2 2" xfId="46340" xr:uid="{00000000-0005-0000-0000-0000EEA70000}"/>
    <cellStyle name="Normal 58 6 3 6 2 3" xfId="33907" xr:uid="{00000000-0005-0000-0000-0000EFA70000}"/>
    <cellStyle name="Normal 58 6 3 6 3" xfId="4005" xr:uid="{00000000-0005-0000-0000-0000F0A70000}"/>
    <cellStyle name="Normal 58 6 3 6 3 2" xfId="16459" xr:uid="{00000000-0005-0000-0000-0000F1A70000}"/>
    <cellStyle name="Normal 58 6 3 6 3 2 2" xfId="41333" xr:uid="{00000000-0005-0000-0000-0000F2A70000}"/>
    <cellStyle name="Normal 58 6 3 6 3 3" xfId="28900" xr:uid="{00000000-0005-0000-0000-0000F3A70000}"/>
    <cellStyle name="Normal 58 6 3 6 4" xfId="13836" xr:uid="{00000000-0005-0000-0000-0000F4A70000}"/>
    <cellStyle name="Normal 58 6 3 6 4 2" xfId="38710" xr:uid="{00000000-0005-0000-0000-0000F5A70000}"/>
    <cellStyle name="Normal 58 6 3 6 5" xfId="26269" xr:uid="{00000000-0005-0000-0000-0000F6A70000}"/>
    <cellStyle name="Normal 58 6 3 7" xfId="5181" xr:uid="{00000000-0005-0000-0000-0000F7A70000}"/>
    <cellStyle name="Normal 58 6 3 7 2" xfId="10197" xr:uid="{00000000-0005-0000-0000-0000F8A70000}"/>
    <cellStyle name="Normal 58 6 3 7 2 2" xfId="22640" xr:uid="{00000000-0005-0000-0000-0000F9A70000}"/>
    <cellStyle name="Normal 58 6 3 7 2 2 2" xfId="47514" xr:uid="{00000000-0005-0000-0000-0000FAA70000}"/>
    <cellStyle name="Normal 58 6 3 7 2 3" xfId="35081" xr:uid="{00000000-0005-0000-0000-0000FBA70000}"/>
    <cellStyle name="Normal 58 6 3 7 3" xfId="17633" xr:uid="{00000000-0005-0000-0000-0000FCA70000}"/>
    <cellStyle name="Normal 58 6 3 7 3 2" xfId="42507" xr:uid="{00000000-0005-0000-0000-0000FDA70000}"/>
    <cellStyle name="Normal 58 6 3 7 4" xfId="30074" xr:uid="{00000000-0005-0000-0000-0000FEA70000}"/>
    <cellStyle name="Normal 58 6 3 8" xfId="7758" xr:uid="{00000000-0005-0000-0000-0000FFA70000}"/>
    <cellStyle name="Normal 58 6 3 8 2" xfId="20204" xr:uid="{00000000-0005-0000-0000-000000A80000}"/>
    <cellStyle name="Normal 58 6 3 8 2 2" xfId="45078" xr:uid="{00000000-0005-0000-0000-000001A80000}"/>
    <cellStyle name="Normal 58 6 3 8 3" xfId="32645" xr:uid="{00000000-0005-0000-0000-000002A80000}"/>
    <cellStyle name="Normal 58 6 3 9" xfId="11651" xr:uid="{00000000-0005-0000-0000-000003A80000}"/>
    <cellStyle name="Normal 58 6 3 9 2" xfId="24085" xr:uid="{00000000-0005-0000-0000-000004A80000}"/>
    <cellStyle name="Normal 58 6 3 9 2 2" xfId="48959" xr:uid="{00000000-0005-0000-0000-000005A80000}"/>
    <cellStyle name="Normal 58 6 3 9 3" xfId="36526" xr:uid="{00000000-0005-0000-0000-000006A80000}"/>
    <cellStyle name="Normal 58 6 3_Degree data" xfId="2541" xr:uid="{00000000-0005-0000-0000-000007A80000}"/>
    <cellStyle name="Normal 58 6 4" xfId="382" xr:uid="{00000000-0005-0000-0000-000008A80000}"/>
    <cellStyle name="Normal 58 6 4 10" xfId="13198" xr:uid="{00000000-0005-0000-0000-000009A80000}"/>
    <cellStyle name="Normal 58 6 4 10 2" xfId="38072" xr:uid="{00000000-0005-0000-0000-00000AA80000}"/>
    <cellStyle name="Normal 58 6 4 11" xfId="25631" xr:uid="{00000000-0005-0000-0000-00000BA80000}"/>
    <cellStyle name="Normal 58 6 4 2" xfId="742" xr:uid="{00000000-0005-0000-0000-00000CA80000}"/>
    <cellStyle name="Normal 58 6 4 2 2" xfId="1578" xr:uid="{00000000-0005-0000-0000-00000DA80000}"/>
    <cellStyle name="Normal 58 6 4 2 2 2" xfId="9682" xr:uid="{00000000-0005-0000-0000-00000EA80000}"/>
    <cellStyle name="Normal 58 6 4 2 2 2 2" xfId="22125" xr:uid="{00000000-0005-0000-0000-00000FA80000}"/>
    <cellStyle name="Normal 58 6 4 2 2 2 2 2" xfId="46999" xr:uid="{00000000-0005-0000-0000-000010A80000}"/>
    <cellStyle name="Normal 58 6 4 2 2 2 3" xfId="34566" xr:uid="{00000000-0005-0000-0000-000011A80000}"/>
    <cellStyle name="Normal 58 6 4 2 2 3" xfId="4664" xr:uid="{00000000-0005-0000-0000-000012A80000}"/>
    <cellStyle name="Normal 58 6 4 2 2 3 2" xfId="17118" xr:uid="{00000000-0005-0000-0000-000013A80000}"/>
    <cellStyle name="Normal 58 6 4 2 2 3 2 2" xfId="41992" xr:uid="{00000000-0005-0000-0000-000014A80000}"/>
    <cellStyle name="Normal 58 6 4 2 2 3 3" xfId="29559" xr:uid="{00000000-0005-0000-0000-000015A80000}"/>
    <cellStyle name="Normal 58 6 4 2 2 4" xfId="14378" xr:uid="{00000000-0005-0000-0000-000016A80000}"/>
    <cellStyle name="Normal 58 6 4 2 2 4 2" xfId="39252" xr:uid="{00000000-0005-0000-0000-000017A80000}"/>
    <cellStyle name="Normal 58 6 4 2 2 5" xfId="26811" xr:uid="{00000000-0005-0000-0000-000018A80000}"/>
    <cellStyle name="Normal 58 6 4 2 3" xfId="5723" xr:uid="{00000000-0005-0000-0000-000019A80000}"/>
    <cellStyle name="Normal 58 6 4 2 3 2" xfId="10739" xr:uid="{00000000-0005-0000-0000-00001AA80000}"/>
    <cellStyle name="Normal 58 6 4 2 3 2 2" xfId="23182" xr:uid="{00000000-0005-0000-0000-00001BA80000}"/>
    <cellStyle name="Normal 58 6 4 2 3 2 2 2" xfId="48056" xr:uid="{00000000-0005-0000-0000-00001CA80000}"/>
    <cellStyle name="Normal 58 6 4 2 3 2 3" xfId="35623" xr:uid="{00000000-0005-0000-0000-00001DA80000}"/>
    <cellStyle name="Normal 58 6 4 2 3 3" xfId="18175" xr:uid="{00000000-0005-0000-0000-00001EA80000}"/>
    <cellStyle name="Normal 58 6 4 2 3 3 2" xfId="43049" xr:uid="{00000000-0005-0000-0000-00001FA80000}"/>
    <cellStyle name="Normal 58 6 4 2 3 4" xfId="30616" xr:uid="{00000000-0005-0000-0000-000020A80000}"/>
    <cellStyle name="Normal 58 6 4 2 4" xfId="8798" xr:uid="{00000000-0005-0000-0000-000021A80000}"/>
    <cellStyle name="Normal 58 6 4 2 4 2" xfId="21242" xr:uid="{00000000-0005-0000-0000-000022A80000}"/>
    <cellStyle name="Normal 58 6 4 2 4 2 2" xfId="46116" xr:uid="{00000000-0005-0000-0000-000023A80000}"/>
    <cellStyle name="Normal 58 6 4 2 4 3" xfId="33683" xr:uid="{00000000-0005-0000-0000-000024A80000}"/>
    <cellStyle name="Normal 58 6 4 2 5" xfId="12193" xr:uid="{00000000-0005-0000-0000-000025A80000}"/>
    <cellStyle name="Normal 58 6 4 2 5 2" xfId="24627" xr:uid="{00000000-0005-0000-0000-000026A80000}"/>
    <cellStyle name="Normal 58 6 4 2 5 2 2" xfId="49501" xr:uid="{00000000-0005-0000-0000-000027A80000}"/>
    <cellStyle name="Normal 58 6 4 2 5 3" xfId="37068" xr:uid="{00000000-0005-0000-0000-000028A80000}"/>
    <cellStyle name="Normal 58 6 4 2 6" xfId="7275" xr:uid="{00000000-0005-0000-0000-000029A80000}"/>
    <cellStyle name="Normal 58 6 4 2 6 2" xfId="19724" xr:uid="{00000000-0005-0000-0000-00002AA80000}"/>
    <cellStyle name="Normal 58 6 4 2 6 2 2" xfId="44598" xr:uid="{00000000-0005-0000-0000-00002BA80000}"/>
    <cellStyle name="Normal 58 6 4 2 6 3" xfId="32165" xr:uid="{00000000-0005-0000-0000-00002CA80000}"/>
    <cellStyle name="Normal 58 6 4 2 7" xfId="3729" xr:uid="{00000000-0005-0000-0000-00002DA80000}"/>
    <cellStyle name="Normal 58 6 4 2 7 2" xfId="16235" xr:uid="{00000000-0005-0000-0000-00002EA80000}"/>
    <cellStyle name="Normal 58 6 4 2 7 2 2" xfId="41109" xr:uid="{00000000-0005-0000-0000-00002FA80000}"/>
    <cellStyle name="Normal 58 6 4 2 7 3" xfId="28668" xr:uid="{00000000-0005-0000-0000-000030A80000}"/>
    <cellStyle name="Normal 58 6 4 2 8" xfId="13545" xr:uid="{00000000-0005-0000-0000-000031A80000}"/>
    <cellStyle name="Normal 58 6 4 2 8 2" xfId="38419" xr:uid="{00000000-0005-0000-0000-000032A80000}"/>
    <cellStyle name="Normal 58 6 4 2 9" xfId="25978" xr:uid="{00000000-0005-0000-0000-000033A80000}"/>
    <cellStyle name="Normal 58 6 4 3" xfId="1926" xr:uid="{00000000-0005-0000-0000-000034A80000}"/>
    <cellStyle name="Normal 58 6 4 3 2" xfId="4927" xr:uid="{00000000-0005-0000-0000-000035A80000}"/>
    <cellStyle name="Normal 58 6 4 3 2 2" xfId="9944" xr:uid="{00000000-0005-0000-0000-000036A80000}"/>
    <cellStyle name="Normal 58 6 4 3 2 2 2" xfId="22387" xr:uid="{00000000-0005-0000-0000-000037A80000}"/>
    <cellStyle name="Normal 58 6 4 3 2 2 2 2" xfId="47261" xr:uid="{00000000-0005-0000-0000-000038A80000}"/>
    <cellStyle name="Normal 58 6 4 3 2 2 3" xfId="34828" xr:uid="{00000000-0005-0000-0000-000039A80000}"/>
    <cellStyle name="Normal 58 6 4 3 2 3" xfId="17380" xr:uid="{00000000-0005-0000-0000-00003AA80000}"/>
    <cellStyle name="Normal 58 6 4 3 2 3 2" xfId="42254" xr:uid="{00000000-0005-0000-0000-00003BA80000}"/>
    <cellStyle name="Normal 58 6 4 3 2 4" xfId="29821" xr:uid="{00000000-0005-0000-0000-00003CA80000}"/>
    <cellStyle name="Normal 58 6 4 3 3" xfId="6072" xr:uid="{00000000-0005-0000-0000-00003DA80000}"/>
    <cellStyle name="Normal 58 6 4 3 3 2" xfId="11087" xr:uid="{00000000-0005-0000-0000-00003EA80000}"/>
    <cellStyle name="Normal 58 6 4 3 3 2 2" xfId="23530" xr:uid="{00000000-0005-0000-0000-00003FA80000}"/>
    <cellStyle name="Normal 58 6 4 3 3 2 2 2" xfId="48404" xr:uid="{00000000-0005-0000-0000-000040A80000}"/>
    <cellStyle name="Normal 58 6 4 3 3 2 3" xfId="35971" xr:uid="{00000000-0005-0000-0000-000041A80000}"/>
    <cellStyle name="Normal 58 6 4 3 3 3" xfId="18523" xr:uid="{00000000-0005-0000-0000-000042A80000}"/>
    <cellStyle name="Normal 58 6 4 3 3 3 2" xfId="43397" xr:uid="{00000000-0005-0000-0000-000043A80000}"/>
    <cellStyle name="Normal 58 6 4 3 3 4" xfId="30964" xr:uid="{00000000-0005-0000-0000-000044A80000}"/>
    <cellStyle name="Normal 58 6 4 3 4" xfId="8351" xr:uid="{00000000-0005-0000-0000-000045A80000}"/>
    <cellStyle name="Normal 58 6 4 3 4 2" xfId="20795" xr:uid="{00000000-0005-0000-0000-000046A80000}"/>
    <cellStyle name="Normal 58 6 4 3 4 2 2" xfId="45669" xr:uid="{00000000-0005-0000-0000-000047A80000}"/>
    <cellStyle name="Normal 58 6 4 3 4 3" xfId="33236" xr:uid="{00000000-0005-0000-0000-000048A80000}"/>
    <cellStyle name="Normal 58 6 4 3 5" xfId="12541" xr:uid="{00000000-0005-0000-0000-000049A80000}"/>
    <cellStyle name="Normal 58 6 4 3 5 2" xfId="24975" xr:uid="{00000000-0005-0000-0000-00004AA80000}"/>
    <cellStyle name="Normal 58 6 4 3 5 2 2" xfId="49849" xr:uid="{00000000-0005-0000-0000-00004BA80000}"/>
    <cellStyle name="Normal 58 6 4 3 5 3" xfId="37416" xr:uid="{00000000-0005-0000-0000-00004CA80000}"/>
    <cellStyle name="Normal 58 6 4 3 6" xfId="7538" xr:uid="{00000000-0005-0000-0000-00004DA80000}"/>
    <cellStyle name="Normal 58 6 4 3 6 2" xfId="19986" xr:uid="{00000000-0005-0000-0000-00004EA80000}"/>
    <cellStyle name="Normal 58 6 4 3 6 2 2" xfId="44860" xr:uid="{00000000-0005-0000-0000-00004FA80000}"/>
    <cellStyle name="Normal 58 6 4 3 6 3" xfId="32427" xr:uid="{00000000-0005-0000-0000-000050A80000}"/>
    <cellStyle name="Normal 58 6 4 3 7" xfId="3282" xr:uid="{00000000-0005-0000-0000-000051A80000}"/>
    <cellStyle name="Normal 58 6 4 3 7 2" xfId="15788" xr:uid="{00000000-0005-0000-0000-000052A80000}"/>
    <cellStyle name="Normal 58 6 4 3 7 2 2" xfId="40662" xr:uid="{00000000-0005-0000-0000-000053A80000}"/>
    <cellStyle name="Normal 58 6 4 3 7 3" xfId="28221" xr:uid="{00000000-0005-0000-0000-000054A80000}"/>
    <cellStyle name="Normal 58 6 4 3 8" xfId="14726" xr:uid="{00000000-0005-0000-0000-000055A80000}"/>
    <cellStyle name="Normal 58 6 4 3 8 2" xfId="39600" xr:uid="{00000000-0005-0000-0000-000056A80000}"/>
    <cellStyle name="Normal 58 6 4 3 9" xfId="27159" xr:uid="{00000000-0005-0000-0000-000057A80000}"/>
    <cellStyle name="Normal 58 6 4 4" xfId="2300" xr:uid="{00000000-0005-0000-0000-000058A80000}"/>
    <cellStyle name="Normal 58 6 4 4 2" xfId="6325" xr:uid="{00000000-0005-0000-0000-000059A80000}"/>
    <cellStyle name="Normal 58 6 4 4 2 2" xfId="11340" xr:uid="{00000000-0005-0000-0000-00005AA80000}"/>
    <cellStyle name="Normal 58 6 4 4 2 2 2" xfId="23783" xr:uid="{00000000-0005-0000-0000-00005BA80000}"/>
    <cellStyle name="Normal 58 6 4 4 2 2 2 2" xfId="48657" xr:uid="{00000000-0005-0000-0000-00005CA80000}"/>
    <cellStyle name="Normal 58 6 4 4 2 2 3" xfId="36224" xr:uid="{00000000-0005-0000-0000-00005DA80000}"/>
    <cellStyle name="Normal 58 6 4 4 2 3" xfId="18776" xr:uid="{00000000-0005-0000-0000-00005EA80000}"/>
    <cellStyle name="Normal 58 6 4 4 2 3 2" xfId="43650" xr:uid="{00000000-0005-0000-0000-00005FA80000}"/>
    <cellStyle name="Normal 58 6 4 4 2 4" xfId="31217" xr:uid="{00000000-0005-0000-0000-000060A80000}"/>
    <cellStyle name="Normal 58 6 4 4 3" xfId="12794" xr:uid="{00000000-0005-0000-0000-000061A80000}"/>
    <cellStyle name="Normal 58 6 4 4 3 2" xfId="25228" xr:uid="{00000000-0005-0000-0000-000062A80000}"/>
    <cellStyle name="Normal 58 6 4 4 3 2 2" xfId="50102" xr:uid="{00000000-0005-0000-0000-000063A80000}"/>
    <cellStyle name="Normal 58 6 4 4 3 3" xfId="37669" xr:uid="{00000000-0005-0000-0000-000064A80000}"/>
    <cellStyle name="Normal 58 6 4 4 4" xfId="9235" xr:uid="{00000000-0005-0000-0000-000065A80000}"/>
    <cellStyle name="Normal 58 6 4 4 4 2" xfId="21678" xr:uid="{00000000-0005-0000-0000-000066A80000}"/>
    <cellStyle name="Normal 58 6 4 4 4 2 2" xfId="46552" xr:uid="{00000000-0005-0000-0000-000067A80000}"/>
    <cellStyle name="Normal 58 6 4 4 4 3" xfId="34119" xr:uid="{00000000-0005-0000-0000-000068A80000}"/>
    <cellStyle name="Normal 58 6 4 4 5" xfId="4217" xr:uid="{00000000-0005-0000-0000-000069A80000}"/>
    <cellStyle name="Normal 58 6 4 4 5 2" xfId="16671" xr:uid="{00000000-0005-0000-0000-00006AA80000}"/>
    <cellStyle name="Normal 58 6 4 4 5 2 2" xfId="41545" xr:uid="{00000000-0005-0000-0000-00006BA80000}"/>
    <cellStyle name="Normal 58 6 4 4 5 3" xfId="29112" xr:uid="{00000000-0005-0000-0000-00006CA80000}"/>
    <cellStyle name="Normal 58 6 4 4 6" xfId="14979" xr:uid="{00000000-0005-0000-0000-00006DA80000}"/>
    <cellStyle name="Normal 58 6 4 4 6 2" xfId="39853" xr:uid="{00000000-0005-0000-0000-00006EA80000}"/>
    <cellStyle name="Normal 58 6 4 4 7" xfId="27412" xr:uid="{00000000-0005-0000-0000-00006FA80000}"/>
    <cellStyle name="Normal 58 6 4 5" xfId="1136" xr:uid="{00000000-0005-0000-0000-000070A80000}"/>
    <cellStyle name="Normal 58 6 4 5 2" xfId="10297" xr:uid="{00000000-0005-0000-0000-000071A80000}"/>
    <cellStyle name="Normal 58 6 4 5 2 2" xfId="22740" xr:uid="{00000000-0005-0000-0000-000072A80000}"/>
    <cellStyle name="Normal 58 6 4 5 2 2 2" xfId="47614" xr:uid="{00000000-0005-0000-0000-000073A80000}"/>
    <cellStyle name="Normal 58 6 4 5 2 3" xfId="35181" xr:uid="{00000000-0005-0000-0000-000074A80000}"/>
    <cellStyle name="Normal 58 6 4 5 3" xfId="5281" xr:uid="{00000000-0005-0000-0000-000075A80000}"/>
    <cellStyle name="Normal 58 6 4 5 3 2" xfId="17733" xr:uid="{00000000-0005-0000-0000-000076A80000}"/>
    <cellStyle name="Normal 58 6 4 5 3 2 2" xfId="42607" xr:uid="{00000000-0005-0000-0000-000077A80000}"/>
    <cellStyle name="Normal 58 6 4 5 3 3" xfId="30174" xr:uid="{00000000-0005-0000-0000-000078A80000}"/>
    <cellStyle name="Normal 58 6 4 5 4" xfId="13936" xr:uid="{00000000-0005-0000-0000-000079A80000}"/>
    <cellStyle name="Normal 58 6 4 5 4 2" xfId="38810" xr:uid="{00000000-0005-0000-0000-00007AA80000}"/>
    <cellStyle name="Normal 58 6 4 5 5" xfId="26369" xr:uid="{00000000-0005-0000-0000-00007BA80000}"/>
    <cellStyle name="Normal 58 6 4 6" xfId="7858" xr:uid="{00000000-0005-0000-0000-00007CA80000}"/>
    <cellStyle name="Normal 58 6 4 6 2" xfId="20304" xr:uid="{00000000-0005-0000-0000-00007DA80000}"/>
    <cellStyle name="Normal 58 6 4 6 2 2" xfId="45178" xr:uid="{00000000-0005-0000-0000-00007EA80000}"/>
    <cellStyle name="Normal 58 6 4 6 3" xfId="32745" xr:uid="{00000000-0005-0000-0000-00007FA80000}"/>
    <cellStyle name="Normal 58 6 4 7" xfId="11751" xr:uid="{00000000-0005-0000-0000-000080A80000}"/>
    <cellStyle name="Normal 58 6 4 7 2" xfId="24185" xr:uid="{00000000-0005-0000-0000-000081A80000}"/>
    <cellStyle name="Normal 58 6 4 7 2 2" xfId="49059" xr:uid="{00000000-0005-0000-0000-000082A80000}"/>
    <cellStyle name="Normal 58 6 4 7 3" xfId="36626" xr:uid="{00000000-0005-0000-0000-000083A80000}"/>
    <cellStyle name="Normal 58 6 4 8" xfId="6828" xr:uid="{00000000-0005-0000-0000-000084A80000}"/>
    <cellStyle name="Normal 58 6 4 8 2" xfId="19277" xr:uid="{00000000-0005-0000-0000-000085A80000}"/>
    <cellStyle name="Normal 58 6 4 8 2 2" xfId="44151" xr:uid="{00000000-0005-0000-0000-000086A80000}"/>
    <cellStyle name="Normal 58 6 4 8 3" xfId="31718" xr:uid="{00000000-0005-0000-0000-000087A80000}"/>
    <cellStyle name="Normal 58 6 4 9" xfId="2779" xr:uid="{00000000-0005-0000-0000-000088A80000}"/>
    <cellStyle name="Normal 58 6 4 9 2" xfId="15297" xr:uid="{00000000-0005-0000-0000-000089A80000}"/>
    <cellStyle name="Normal 58 6 4 9 2 2" xfId="40171" xr:uid="{00000000-0005-0000-0000-00008AA80000}"/>
    <cellStyle name="Normal 58 6 4 9 3" xfId="27730" xr:uid="{00000000-0005-0000-0000-00008BA80000}"/>
    <cellStyle name="Normal 58 6 4_Degree data" xfId="2543" xr:uid="{00000000-0005-0000-0000-00008CA80000}"/>
    <cellStyle name="Normal 58 6 5" xfId="211" xr:uid="{00000000-0005-0000-0000-00008DA80000}"/>
    <cellStyle name="Normal 58 6 5 2" xfId="1573" xr:uid="{00000000-0005-0000-0000-00008EA80000}"/>
    <cellStyle name="Normal 58 6 5 2 2" xfId="9076" xr:uid="{00000000-0005-0000-0000-00008FA80000}"/>
    <cellStyle name="Normal 58 6 5 2 2 2" xfId="21519" xr:uid="{00000000-0005-0000-0000-000090A80000}"/>
    <cellStyle name="Normal 58 6 5 2 2 2 2" xfId="46393" xr:uid="{00000000-0005-0000-0000-000091A80000}"/>
    <cellStyle name="Normal 58 6 5 2 2 3" xfId="33960" xr:uid="{00000000-0005-0000-0000-000092A80000}"/>
    <cellStyle name="Normal 58 6 5 2 3" xfId="4058" xr:uid="{00000000-0005-0000-0000-000093A80000}"/>
    <cellStyle name="Normal 58 6 5 2 3 2" xfId="16512" xr:uid="{00000000-0005-0000-0000-000094A80000}"/>
    <cellStyle name="Normal 58 6 5 2 3 2 2" xfId="41386" xr:uid="{00000000-0005-0000-0000-000095A80000}"/>
    <cellStyle name="Normal 58 6 5 2 3 3" xfId="28953" xr:uid="{00000000-0005-0000-0000-000096A80000}"/>
    <cellStyle name="Normal 58 6 5 2 4" xfId="14373" xr:uid="{00000000-0005-0000-0000-000097A80000}"/>
    <cellStyle name="Normal 58 6 5 2 4 2" xfId="39247" xr:uid="{00000000-0005-0000-0000-000098A80000}"/>
    <cellStyle name="Normal 58 6 5 2 5" xfId="26806" xr:uid="{00000000-0005-0000-0000-000099A80000}"/>
    <cellStyle name="Normal 58 6 5 3" xfId="5718" xr:uid="{00000000-0005-0000-0000-00009AA80000}"/>
    <cellStyle name="Normal 58 6 5 3 2" xfId="10734" xr:uid="{00000000-0005-0000-0000-00009BA80000}"/>
    <cellStyle name="Normal 58 6 5 3 2 2" xfId="23177" xr:uid="{00000000-0005-0000-0000-00009CA80000}"/>
    <cellStyle name="Normal 58 6 5 3 2 2 2" xfId="48051" xr:uid="{00000000-0005-0000-0000-00009DA80000}"/>
    <cellStyle name="Normal 58 6 5 3 2 3" xfId="35618" xr:uid="{00000000-0005-0000-0000-00009EA80000}"/>
    <cellStyle name="Normal 58 6 5 3 3" xfId="18170" xr:uid="{00000000-0005-0000-0000-00009FA80000}"/>
    <cellStyle name="Normal 58 6 5 3 3 2" xfId="43044" xr:uid="{00000000-0005-0000-0000-0000A0A80000}"/>
    <cellStyle name="Normal 58 6 5 3 4" xfId="30611" xr:uid="{00000000-0005-0000-0000-0000A1A80000}"/>
    <cellStyle name="Normal 58 6 5 4" xfId="8192" xr:uid="{00000000-0005-0000-0000-0000A2A80000}"/>
    <cellStyle name="Normal 58 6 5 4 2" xfId="20636" xr:uid="{00000000-0005-0000-0000-0000A3A80000}"/>
    <cellStyle name="Normal 58 6 5 4 2 2" xfId="45510" xr:uid="{00000000-0005-0000-0000-0000A4A80000}"/>
    <cellStyle name="Normal 58 6 5 4 3" xfId="33077" xr:uid="{00000000-0005-0000-0000-0000A5A80000}"/>
    <cellStyle name="Normal 58 6 5 5" xfId="12188" xr:uid="{00000000-0005-0000-0000-0000A6A80000}"/>
    <cellStyle name="Normal 58 6 5 5 2" xfId="24622" xr:uid="{00000000-0005-0000-0000-0000A7A80000}"/>
    <cellStyle name="Normal 58 6 5 5 2 2" xfId="49496" xr:uid="{00000000-0005-0000-0000-0000A8A80000}"/>
    <cellStyle name="Normal 58 6 5 5 3" xfId="37063" xr:uid="{00000000-0005-0000-0000-0000A9A80000}"/>
    <cellStyle name="Normal 58 6 5 6" xfId="6669" xr:uid="{00000000-0005-0000-0000-0000AAA80000}"/>
    <cellStyle name="Normal 58 6 5 6 2" xfId="19118" xr:uid="{00000000-0005-0000-0000-0000ABA80000}"/>
    <cellStyle name="Normal 58 6 5 6 2 2" xfId="43992" xr:uid="{00000000-0005-0000-0000-0000ACA80000}"/>
    <cellStyle name="Normal 58 6 5 6 3" xfId="31559" xr:uid="{00000000-0005-0000-0000-0000ADA80000}"/>
    <cellStyle name="Normal 58 6 5 7" xfId="3123" xr:uid="{00000000-0005-0000-0000-0000AEA80000}"/>
    <cellStyle name="Normal 58 6 5 7 2" xfId="15629" xr:uid="{00000000-0005-0000-0000-0000AFA80000}"/>
    <cellStyle name="Normal 58 6 5 7 2 2" xfId="40503" xr:uid="{00000000-0005-0000-0000-0000B0A80000}"/>
    <cellStyle name="Normal 58 6 5 7 3" xfId="28062" xr:uid="{00000000-0005-0000-0000-0000B1A80000}"/>
    <cellStyle name="Normal 58 6 5 8" xfId="13039" xr:uid="{00000000-0005-0000-0000-0000B2A80000}"/>
    <cellStyle name="Normal 58 6 5 8 2" xfId="37913" xr:uid="{00000000-0005-0000-0000-0000B3A80000}"/>
    <cellStyle name="Normal 58 6 5 9" xfId="25472" xr:uid="{00000000-0005-0000-0000-0000B4A80000}"/>
    <cellStyle name="Normal 58 6 6" xfId="577" xr:uid="{00000000-0005-0000-0000-0000B5A80000}"/>
    <cellStyle name="Normal 58 6 6 2" xfId="1921" xr:uid="{00000000-0005-0000-0000-0000B6A80000}"/>
    <cellStyle name="Normal 58 6 6 2 2" xfId="9677" xr:uid="{00000000-0005-0000-0000-0000B7A80000}"/>
    <cellStyle name="Normal 58 6 6 2 2 2" xfId="22120" xr:uid="{00000000-0005-0000-0000-0000B8A80000}"/>
    <cellStyle name="Normal 58 6 6 2 2 2 2" xfId="46994" xr:uid="{00000000-0005-0000-0000-0000B9A80000}"/>
    <cellStyle name="Normal 58 6 6 2 2 3" xfId="34561" xr:uid="{00000000-0005-0000-0000-0000BAA80000}"/>
    <cellStyle name="Normal 58 6 6 2 3" xfId="4659" xr:uid="{00000000-0005-0000-0000-0000BBA80000}"/>
    <cellStyle name="Normal 58 6 6 2 3 2" xfId="17113" xr:uid="{00000000-0005-0000-0000-0000BCA80000}"/>
    <cellStyle name="Normal 58 6 6 2 3 2 2" xfId="41987" xr:uid="{00000000-0005-0000-0000-0000BDA80000}"/>
    <cellStyle name="Normal 58 6 6 2 3 3" xfId="29554" xr:uid="{00000000-0005-0000-0000-0000BEA80000}"/>
    <cellStyle name="Normal 58 6 6 2 4" xfId="14721" xr:uid="{00000000-0005-0000-0000-0000BFA80000}"/>
    <cellStyle name="Normal 58 6 6 2 4 2" xfId="39595" xr:uid="{00000000-0005-0000-0000-0000C0A80000}"/>
    <cellStyle name="Normal 58 6 6 2 5" xfId="27154" xr:uid="{00000000-0005-0000-0000-0000C1A80000}"/>
    <cellStyle name="Normal 58 6 6 3" xfId="6067" xr:uid="{00000000-0005-0000-0000-0000C2A80000}"/>
    <cellStyle name="Normal 58 6 6 3 2" xfId="11082" xr:uid="{00000000-0005-0000-0000-0000C3A80000}"/>
    <cellStyle name="Normal 58 6 6 3 2 2" xfId="23525" xr:uid="{00000000-0005-0000-0000-0000C4A80000}"/>
    <cellStyle name="Normal 58 6 6 3 2 2 2" xfId="48399" xr:uid="{00000000-0005-0000-0000-0000C5A80000}"/>
    <cellStyle name="Normal 58 6 6 3 2 3" xfId="35966" xr:uid="{00000000-0005-0000-0000-0000C6A80000}"/>
    <cellStyle name="Normal 58 6 6 3 3" xfId="18518" xr:uid="{00000000-0005-0000-0000-0000C7A80000}"/>
    <cellStyle name="Normal 58 6 6 3 3 2" xfId="43392" xr:uid="{00000000-0005-0000-0000-0000C8A80000}"/>
    <cellStyle name="Normal 58 6 6 3 4" xfId="30959" xr:uid="{00000000-0005-0000-0000-0000C9A80000}"/>
    <cellStyle name="Normal 58 6 6 4" xfId="8793" xr:uid="{00000000-0005-0000-0000-0000CAA80000}"/>
    <cellStyle name="Normal 58 6 6 4 2" xfId="21237" xr:uid="{00000000-0005-0000-0000-0000CBA80000}"/>
    <cellStyle name="Normal 58 6 6 4 2 2" xfId="46111" xr:uid="{00000000-0005-0000-0000-0000CCA80000}"/>
    <cellStyle name="Normal 58 6 6 4 3" xfId="33678" xr:uid="{00000000-0005-0000-0000-0000CDA80000}"/>
    <cellStyle name="Normal 58 6 6 5" xfId="12536" xr:uid="{00000000-0005-0000-0000-0000CEA80000}"/>
    <cellStyle name="Normal 58 6 6 5 2" xfId="24970" xr:uid="{00000000-0005-0000-0000-0000CFA80000}"/>
    <cellStyle name="Normal 58 6 6 5 2 2" xfId="49844" xr:uid="{00000000-0005-0000-0000-0000D0A80000}"/>
    <cellStyle name="Normal 58 6 6 5 3" xfId="37411" xr:uid="{00000000-0005-0000-0000-0000D1A80000}"/>
    <cellStyle name="Normal 58 6 6 6" xfId="7270" xr:uid="{00000000-0005-0000-0000-0000D2A80000}"/>
    <cellStyle name="Normal 58 6 6 6 2" xfId="19719" xr:uid="{00000000-0005-0000-0000-0000D3A80000}"/>
    <cellStyle name="Normal 58 6 6 6 2 2" xfId="44593" xr:uid="{00000000-0005-0000-0000-0000D4A80000}"/>
    <cellStyle name="Normal 58 6 6 6 3" xfId="32160" xr:uid="{00000000-0005-0000-0000-0000D5A80000}"/>
    <cellStyle name="Normal 58 6 6 7" xfId="3724" xr:uid="{00000000-0005-0000-0000-0000D6A80000}"/>
    <cellStyle name="Normal 58 6 6 7 2" xfId="16230" xr:uid="{00000000-0005-0000-0000-0000D7A80000}"/>
    <cellStyle name="Normal 58 6 6 7 2 2" xfId="41104" xr:uid="{00000000-0005-0000-0000-0000D8A80000}"/>
    <cellStyle name="Normal 58 6 6 7 3" xfId="28663" xr:uid="{00000000-0005-0000-0000-0000D9A80000}"/>
    <cellStyle name="Normal 58 6 6 8" xfId="13386" xr:uid="{00000000-0005-0000-0000-0000DAA80000}"/>
    <cellStyle name="Normal 58 6 6 8 2" xfId="38260" xr:uid="{00000000-0005-0000-0000-0000DBA80000}"/>
    <cellStyle name="Normal 58 6 6 9" xfId="25819" xr:uid="{00000000-0005-0000-0000-0000DCA80000}"/>
    <cellStyle name="Normal 58 6 7" xfId="2129" xr:uid="{00000000-0005-0000-0000-0000DDA80000}"/>
    <cellStyle name="Normal 58 6 7 2" xfId="4768" xr:uid="{00000000-0005-0000-0000-0000DEA80000}"/>
    <cellStyle name="Normal 58 6 7 2 2" xfId="9785" xr:uid="{00000000-0005-0000-0000-0000DFA80000}"/>
    <cellStyle name="Normal 58 6 7 2 2 2" xfId="22228" xr:uid="{00000000-0005-0000-0000-0000E0A80000}"/>
    <cellStyle name="Normal 58 6 7 2 2 2 2" xfId="47102" xr:uid="{00000000-0005-0000-0000-0000E1A80000}"/>
    <cellStyle name="Normal 58 6 7 2 2 3" xfId="34669" xr:uid="{00000000-0005-0000-0000-0000E2A80000}"/>
    <cellStyle name="Normal 58 6 7 2 3" xfId="17221" xr:uid="{00000000-0005-0000-0000-0000E3A80000}"/>
    <cellStyle name="Normal 58 6 7 2 3 2" xfId="42095" xr:uid="{00000000-0005-0000-0000-0000E4A80000}"/>
    <cellStyle name="Normal 58 6 7 2 4" xfId="29662" xr:uid="{00000000-0005-0000-0000-0000E5A80000}"/>
    <cellStyle name="Normal 58 6 7 3" xfId="6166" xr:uid="{00000000-0005-0000-0000-0000E6A80000}"/>
    <cellStyle name="Normal 58 6 7 3 2" xfId="11181" xr:uid="{00000000-0005-0000-0000-0000E7A80000}"/>
    <cellStyle name="Normal 58 6 7 3 2 2" xfId="23624" xr:uid="{00000000-0005-0000-0000-0000E8A80000}"/>
    <cellStyle name="Normal 58 6 7 3 2 2 2" xfId="48498" xr:uid="{00000000-0005-0000-0000-0000E9A80000}"/>
    <cellStyle name="Normal 58 6 7 3 2 3" xfId="36065" xr:uid="{00000000-0005-0000-0000-0000EAA80000}"/>
    <cellStyle name="Normal 58 6 7 3 3" xfId="18617" xr:uid="{00000000-0005-0000-0000-0000EBA80000}"/>
    <cellStyle name="Normal 58 6 7 3 3 2" xfId="43491" xr:uid="{00000000-0005-0000-0000-0000ECA80000}"/>
    <cellStyle name="Normal 58 6 7 3 4" xfId="31058" xr:uid="{00000000-0005-0000-0000-0000EDA80000}"/>
    <cellStyle name="Normal 58 6 7 4" xfId="8031" xr:uid="{00000000-0005-0000-0000-0000EEA80000}"/>
    <cellStyle name="Normal 58 6 7 4 2" xfId="20477" xr:uid="{00000000-0005-0000-0000-0000EFA80000}"/>
    <cellStyle name="Normal 58 6 7 4 2 2" xfId="45351" xr:uid="{00000000-0005-0000-0000-0000F0A80000}"/>
    <cellStyle name="Normal 58 6 7 4 3" xfId="32918" xr:uid="{00000000-0005-0000-0000-0000F1A80000}"/>
    <cellStyle name="Normal 58 6 7 5" xfId="12635" xr:uid="{00000000-0005-0000-0000-0000F2A80000}"/>
    <cellStyle name="Normal 58 6 7 5 2" xfId="25069" xr:uid="{00000000-0005-0000-0000-0000F3A80000}"/>
    <cellStyle name="Normal 58 6 7 5 2 2" xfId="49943" xr:uid="{00000000-0005-0000-0000-0000F4A80000}"/>
    <cellStyle name="Normal 58 6 7 5 3" xfId="37510" xr:uid="{00000000-0005-0000-0000-0000F5A80000}"/>
    <cellStyle name="Normal 58 6 7 6" xfId="7379" xr:uid="{00000000-0005-0000-0000-0000F6A80000}"/>
    <cellStyle name="Normal 58 6 7 6 2" xfId="19827" xr:uid="{00000000-0005-0000-0000-0000F7A80000}"/>
    <cellStyle name="Normal 58 6 7 6 2 2" xfId="44701" xr:uid="{00000000-0005-0000-0000-0000F8A80000}"/>
    <cellStyle name="Normal 58 6 7 6 3" xfId="32268" xr:uid="{00000000-0005-0000-0000-0000F9A80000}"/>
    <cellStyle name="Normal 58 6 7 7" xfId="2958" xr:uid="{00000000-0005-0000-0000-0000FAA80000}"/>
    <cellStyle name="Normal 58 6 7 7 2" xfId="15470" xr:uid="{00000000-0005-0000-0000-0000FBA80000}"/>
    <cellStyle name="Normal 58 6 7 7 2 2" xfId="40344" xr:uid="{00000000-0005-0000-0000-0000FCA80000}"/>
    <cellStyle name="Normal 58 6 7 7 3" xfId="27903" xr:uid="{00000000-0005-0000-0000-0000FDA80000}"/>
    <cellStyle name="Normal 58 6 7 8" xfId="14820" xr:uid="{00000000-0005-0000-0000-0000FEA80000}"/>
    <cellStyle name="Normal 58 6 7 8 2" xfId="39694" xr:uid="{00000000-0005-0000-0000-0000FFA80000}"/>
    <cellStyle name="Normal 58 6 7 9" xfId="27253" xr:uid="{00000000-0005-0000-0000-000000A90000}"/>
    <cellStyle name="Normal 58 6 8" xfId="977" xr:uid="{00000000-0005-0000-0000-000001A90000}"/>
    <cellStyle name="Normal 58 6 8 2" xfId="11592" xr:uid="{00000000-0005-0000-0000-000002A90000}"/>
    <cellStyle name="Normal 58 6 8 2 2" xfId="24026" xr:uid="{00000000-0005-0000-0000-000003A90000}"/>
    <cellStyle name="Normal 58 6 8 2 2 2" xfId="48900" xr:uid="{00000000-0005-0000-0000-000004A90000}"/>
    <cellStyle name="Normal 58 6 8 2 3" xfId="36467" xr:uid="{00000000-0005-0000-0000-000005A90000}"/>
    <cellStyle name="Normal 58 6 8 3" xfId="8918" xr:uid="{00000000-0005-0000-0000-000006A90000}"/>
    <cellStyle name="Normal 58 6 8 3 2" xfId="21361" xr:uid="{00000000-0005-0000-0000-000007A90000}"/>
    <cellStyle name="Normal 58 6 8 3 2 2" xfId="46235" xr:uid="{00000000-0005-0000-0000-000008A90000}"/>
    <cellStyle name="Normal 58 6 8 3 3" xfId="33802" xr:uid="{00000000-0005-0000-0000-000009A90000}"/>
    <cellStyle name="Normal 58 6 8 4" xfId="3900" xr:uid="{00000000-0005-0000-0000-00000AA90000}"/>
    <cellStyle name="Normal 58 6 8 4 2" xfId="16354" xr:uid="{00000000-0005-0000-0000-00000BA90000}"/>
    <cellStyle name="Normal 58 6 8 4 2 2" xfId="41228" xr:uid="{00000000-0005-0000-0000-00000CA90000}"/>
    <cellStyle name="Normal 58 6 8 4 3" xfId="28795" xr:uid="{00000000-0005-0000-0000-00000DA90000}"/>
    <cellStyle name="Normal 58 6 8 5" xfId="13777" xr:uid="{00000000-0005-0000-0000-00000EA90000}"/>
    <cellStyle name="Normal 58 6 8 5 2" xfId="38651" xr:uid="{00000000-0005-0000-0000-00000FA90000}"/>
    <cellStyle name="Normal 58 6 8 6" xfId="26210" xr:uid="{00000000-0005-0000-0000-000010A90000}"/>
    <cellStyle name="Normal 58 6 9" xfId="904" xr:uid="{00000000-0005-0000-0000-000011A90000}"/>
    <cellStyle name="Normal 58 6 9 2" xfId="10136" xr:uid="{00000000-0005-0000-0000-000012A90000}"/>
    <cellStyle name="Normal 58 6 9 2 2" xfId="22579" xr:uid="{00000000-0005-0000-0000-000013A90000}"/>
    <cellStyle name="Normal 58 6 9 2 2 2" xfId="47453" xr:uid="{00000000-0005-0000-0000-000014A90000}"/>
    <cellStyle name="Normal 58 6 9 2 3" xfId="35020" xr:uid="{00000000-0005-0000-0000-000015A90000}"/>
    <cellStyle name="Normal 58 6 9 3" xfId="5120" xr:uid="{00000000-0005-0000-0000-000016A90000}"/>
    <cellStyle name="Normal 58 6 9 3 2" xfId="17572" xr:uid="{00000000-0005-0000-0000-000017A90000}"/>
    <cellStyle name="Normal 58 6 9 3 2 2" xfId="42446" xr:uid="{00000000-0005-0000-0000-000018A90000}"/>
    <cellStyle name="Normal 58 6 9 3 3" xfId="30013" xr:uid="{00000000-0005-0000-0000-000019A90000}"/>
    <cellStyle name="Normal 58 6 9 4" xfId="13704" xr:uid="{00000000-0005-0000-0000-00001AA90000}"/>
    <cellStyle name="Normal 58 6 9 4 2" xfId="38578" xr:uid="{00000000-0005-0000-0000-00001BA90000}"/>
    <cellStyle name="Normal 58 6 9 5" xfId="26137" xr:uid="{00000000-0005-0000-0000-00001CA90000}"/>
    <cellStyle name="Normal 58 6_Degree data" xfId="2538" xr:uid="{00000000-0005-0000-0000-00001DA90000}"/>
    <cellStyle name="Normal 58 7" xfId="166" xr:uid="{00000000-0005-0000-0000-00001EA90000}"/>
    <cellStyle name="Normal 58 7 10" xfId="6537" xr:uid="{00000000-0005-0000-0000-00001FA90000}"/>
    <cellStyle name="Normal 58 7 10 2" xfId="18986" xr:uid="{00000000-0005-0000-0000-000020A90000}"/>
    <cellStyle name="Normal 58 7 10 2 2" xfId="43860" xr:uid="{00000000-0005-0000-0000-000021A90000}"/>
    <cellStyle name="Normal 58 7 10 3" xfId="31427" xr:uid="{00000000-0005-0000-0000-000022A90000}"/>
    <cellStyle name="Normal 58 7 11" xfId="2705" xr:uid="{00000000-0005-0000-0000-000023A90000}"/>
    <cellStyle name="Normal 58 7 11 2" xfId="15223" xr:uid="{00000000-0005-0000-0000-000024A90000}"/>
    <cellStyle name="Normal 58 7 11 2 2" xfId="40097" xr:uid="{00000000-0005-0000-0000-000025A90000}"/>
    <cellStyle name="Normal 58 7 11 3" xfId="27656" xr:uid="{00000000-0005-0000-0000-000026A90000}"/>
    <cellStyle name="Normal 58 7 12" xfId="12996" xr:uid="{00000000-0005-0000-0000-000027A90000}"/>
    <cellStyle name="Normal 58 7 12 2" xfId="37870" xr:uid="{00000000-0005-0000-0000-000028A90000}"/>
    <cellStyle name="Normal 58 7 13" xfId="25429" xr:uid="{00000000-0005-0000-0000-000029A90000}"/>
    <cellStyle name="Normal 58 7 2" xfId="409" xr:uid="{00000000-0005-0000-0000-00002AA90000}"/>
    <cellStyle name="Normal 58 7 2 10" xfId="13224" xr:uid="{00000000-0005-0000-0000-00002BA90000}"/>
    <cellStyle name="Normal 58 7 2 10 2" xfId="38098" xr:uid="{00000000-0005-0000-0000-00002CA90000}"/>
    <cellStyle name="Normal 58 7 2 11" xfId="25657" xr:uid="{00000000-0005-0000-0000-00002DA90000}"/>
    <cellStyle name="Normal 58 7 2 2" xfId="769" xr:uid="{00000000-0005-0000-0000-00002EA90000}"/>
    <cellStyle name="Normal 58 7 2 2 2" xfId="1580" xr:uid="{00000000-0005-0000-0000-00002FA90000}"/>
    <cellStyle name="Normal 58 7 2 2 2 2" xfId="9684" xr:uid="{00000000-0005-0000-0000-000030A90000}"/>
    <cellStyle name="Normal 58 7 2 2 2 2 2" xfId="22127" xr:uid="{00000000-0005-0000-0000-000031A90000}"/>
    <cellStyle name="Normal 58 7 2 2 2 2 2 2" xfId="47001" xr:uid="{00000000-0005-0000-0000-000032A90000}"/>
    <cellStyle name="Normal 58 7 2 2 2 2 3" xfId="34568" xr:uid="{00000000-0005-0000-0000-000033A90000}"/>
    <cellStyle name="Normal 58 7 2 2 2 3" xfId="4666" xr:uid="{00000000-0005-0000-0000-000034A90000}"/>
    <cellStyle name="Normal 58 7 2 2 2 3 2" xfId="17120" xr:uid="{00000000-0005-0000-0000-000035A90000}"/>
    <cellStyle name="Normal 58 7 2 2 2 3 2 2" xfId="41994" xr:uid="{00000000-0005-0000-0000-000036A90000}"/>
    <cellStyle name="Normal 58 7 2 2 2 3 3" xfId="29561" xr:uid="{00000000-0005-0000-0000-000037A90000}"/>
    <cellStyle name="Normal 58 7 2 2 2 4" xfId="14380" xr:uid="{00000000-0005-0000-0000-000038A90000}"/>
    <cellStyle name="Normal 58 7 2 2 2 4 2" xfId="39254" xr:uid="{00000000-0005-0000-0000-000039A90000}"/>
    <cellStyle name="Normal 58 7 2 2 2 5" xfId="26813" xr:uid="{00000000-0005-0000-0000-00003AA90000}"/>
    <cellStyle name="Normal 58 7 2 2 3" xfId="5725" xr:uid="{00000000-0005-0000-0000-00003BA90000}"/>
    <cellStyle name="Normal 58 7 2 2 3 2" xfId="10741" xr:uid="{00000000-0005-0000-0000-00003CA90000}"/>
    <cellStyle name="Normal 58 7 2 2 3 2 2" xfId="23184" xr:uid="{00000000-0005-0000-0000-00003DA90000}"/>
    <cellStyle name="Normal 58 7 2 2 3 2 2 2" xfId="48058" xr:uid="{00000000-0005-0000-0000-00003EA90000}"/>
    <cellStyle name="Normal 58 7 2 2 3 2 3" xfId="35625" xr:uid="{00000000-0005-0000-0000-00003FA90000}"/>
    <cellStyle name="Normal 58 7 2 2 3 3" xfId="18177" xr:uid="{00000000-0005-0000-0000-000040A90000}"/>
    <cellStyle name="Normal 58 7 2 2 3 3 2" xfId="43051" xr:uid="{00000000-0005-0000-0000-000041A90000}"/>
    <cellStyle name="Normal 58 7 2 2 3 4" xfId="30618" xr:uid="{00000000-0005-0000-0000-000042A90000}"/>
    <cellStyle name="Normal 58 7 2 2 4" xfId="8800" xr:uid="{00000000-0005-0000-0000-000043A90000}"/>
    <cellStyle name="Normal 58 7 2 2 4 2" xfId="21244" xr:uid="{00000000-0005-0000-0000-000044A90000}"/>
    <cellStyle name="Normal 58 7 2 2 4 2 2" xfId="46118" xr:uid="{00000000-0005-0000-0000-000045A90000}"/>
    <cellStyle name="Normal 58 7 2 2 4 3" xfId="33685" xr:uid="{00000000-0005-0000-0000-000046A90000}"/>
    <cellStyle name="Normal 58 7 2 2 5" xfId="12195" xr:uid="{00000000-0005-0000-0000-000047A90000}"/>
    <cellStyle name="Normal 58 7 2 2 5 2" xfId="24629" xr:uid="{00000000-0005-0000-0000-000048A90000}"/>
    <cellStyle name="Normal 58 7 2 2 5 2 2" xfId="49503" xr:uid="{00000000-0005-0000-0000-000049A90000}"/>
    <cellStyle name="Normal 58 7 2 2 5 3" xfId="37070" xr:uid="{00000000-0005-0000-0000-00004AA90000}"/>
    <cellStyle name="Normal 58 7 2 2 6" xfId="7277" xr:uid="{00000000-0005-0000-0000-00004BA90000}"/>
    <cellStyle name="Normal 58 7 2 2 6 2" xfId="19726" xr:uid="{00000000-0005-0000-0000-00004CA90000}"/>
    <cellStyle name="Normal 58 7 2 2 6 2 2" xfId="44600" xr:uid="{00000000-0005-0000-0000-00004DA90000}"/>
    <cellStyle name="Normal 58 7 2 2 6 3" xfId="32167" xr:uid="{00000000-0005-0000-0000-00004EA90000}"/>
    <cellStyle name="Normal 58 7 2 2 7" xfId="3731" xr:uid="{00000000-0005-0000-0000-00004FA90000}"/>
    <cellStyle name="Normal 58 7 2 2 7 2" xfId="16237" xr:uid="{00000000-0005-0000-0000-000050A90000}"/>
    <cellStyle name="Normal 58 7 2 2 7 2 2" xfId="41111" xr:uid="{00000000-0005-0000-0000-000051A90000}"/>
    <cellStyle name="Normal 58 7 2 2 7 3" xfId="28670" xr:uid="{00000000-0005-0000-0000-000052A90000}"/>
    <cellStyle name="Normal 58 7 2 2 8" xfId="13571" xr:uid="{00000000-0005-0000-0000-000053A90000}"/>
    <cellStyle name="Normal 58 7 2 2 8 2" xfId="38445" xr:uid="{00000000-0005-0000-0000-000054A90000}"/>
    <cellStyle name="Normal 58 7 2 2 9" xfId="26004" xr:uid="{00000000-0005-0000-0000-000055A90000}"/>
    <cellStyle name="Normal 58 7 2 3" xfId="1928" xr:uid="{00000000-0005-0000-0000-000056A90000}"/>
    <cellStyle name="Normal 58 7 2 3 2" xfId="4953" xr:uid="{00000000-0005-0000-0000-000057A90000}"/>
    <cellStyle name="Normal 58 7 2 3 2 2" xfId="9970" xr:uid="{00000000-0005-0000-0000-000058A90000}"/>
    <cellStyle name="Normal 58 7 2 3 2 2 2" xfId="22413" xr:uid="{00000000-0005-0000-0000-000059A90000}"/>
    <cellStyle name="Normal 58 7 2 3 2 2 2 2" xfId="47287" xr:uid="{00000000-0005-0000-0000-00005AA90000}"/>
    <cellStyle name="Normal 58 7 2 3 2 2 3" xfId="34854" xr:uid="{00000000-0005-0000-0000-00005BA90000}"/>
    <cellStyle name="Normal 58 7 2 3 2 3" xfId="17406" xr:uid="{00000000-0005-0000-0000-00005CA90000}"/>
    <cellStyle name="Normal 58 7 2 3 2 3 2" xfId="42280" xr:uid="{00000000-0005-0000-0000-00005DA90000}"/>
    <cellStyle name="Normal 58 7 2 3 2 4" xfId="29847" xr:uid="{00000000-0005-0000-0000-00005EA90000}"/>
    <cellStyle name="Normal 58 7 2 3 3" xfId="6074" xr:uid="{00000000-0005-0000-0000-00005FA90000}"/>
    <cellStyle name="Normal 58 7 2 3 3 2" xfId="11089" xr:uid="{00000000-0005-0000-0000-000060A90000}"/>
    <cellStyle name="Normal 58 7 2 3 3 2 2" xfId="23532" xr:uid="{00000000-0005-0000-0000-000061A90000}"/>
    <cellStyle name="Normal 58 7 2 3 3 2 2 2" xfId="48406" xr:uid="{00000000-0005-0000-0000-000062A90000}"/>
    <cellStyle name="Normal 58 7 2 3 3 2 3" xfId="35973" xr:uid="{00000000-0005-0000-0000-000063A90000}"/>
    <cellStyle name="Normal 58 7 2 3 3 3" xfId="18525" xr:uid="{00000000-0005-0000-0000-000064A90000}"/>
    <cellStyle name="Normal 58 7 2 3 3 3 2" xfId="43399" xr:uid="{00000000-0005-0000-0000-000065A90000}"/>
    <cellStyle name="Normal 58 7 2 3 3 4" xfId="30966" xr:uid="{00000000-0005-0000-0000-000066A90000}"/>
    <cellStyle name="Normal 58 7 2 3 4" xfId="8377" xr:uid="{00000000-0005-0000-0000-000067A90000}"/>
    <cellStyle name="Normal 58 7 2 3 4 2" xfId="20821" xr:uid="{00000000-0005-0000-0000-000068A90000}"/>
    <cellStyle name="Normal 58 7 2 3 4 2 2" xfId="45695" xr:uid="{00000000-0005-0000-0000-000069A90000}"/>
    <cellStyle name="Normal 58 7 2 3 4 3" xfId="33262" xr:uid="{00000000-0005-0000-0000-00006AA90000}"/>
    <cellStyle name="Normal 58 7 2 3 5" xfId="12543" xr:uid="{00000000-0005-0000-0000-00006BA90000}"/>
    <cellStyle name="Normal 58 7 2 3 5 2" xfId="24977" xr:uid="{00000000-0005-0000-0000-00006CA90000}"/>
    <cellStyle name="Normal 58 7 2 3 5 2 2" xfId="49851" xr:uid="{00000000-0005-0000-0000-00006DA90000}"/>
    <cellStyle name="Normal 58 7 2 3 5 3" xfId="37418" xr:uid="{00000000-0005-0000-0000-00006EA90000}"/>
    <cellStyle name="Normal 58 7 2 3 6" xfId="7564" xr:uid="{00000000-0005-0000-0000-00006FA90000}"/>
    <cellStyle name="Normal 58 7 2 3 6 2" xfId="20012" xr:uid="{00000000-0005-0000-0000-000070A90000}"/>
    <cellStyle name="Normal 58 7 2 3 6 2 2" xfId="44886" xr:uid="{00000000-0005-0000-0000-000071A90000}"/>
    <cellStyle name="Normal 58 7 2 3 6 3" xfId="32453" xr:uid="{00000000-0005-0000-0000-000072A90000}"/>
    <cellStyle name="Normal 58 7 2 3 7" xfId="3308" xr:uid="{00000000-0005-0000-0000-000073A90000}"/>
    <cellStyle name="Normal 58 7 2 3 7 2" xfId="15814" xr:uid="{00000000-0005-0000-0000-000074A90000}"/>
    <cellStyle name="Normal 58 7 2 3 7 2 2" xfId="40688" xr:uid="{00000000-0005-0000-0000-000075A90000}"/>
    <cellStyle name="Normal 58 7 2 3 7 3" xfId="28247" xr:uid="{00000000-0005-0000-0000-000076A90000}"/>
    <cellStyle name="Normal 58 7 2 3 8" xfId="14728" xr:uid="{00000000-0005-0000-0000-000077A90000}"/>
    <cellStyle name="Normal 58 7 2 3 8 2" xfId="39602" xr:uid="{00000000-0005-0000-0000-000078A90000}"/>
    <cellStyle name="Normal 58 7 2 3 9" xfId="27161" xr:uid="{00000000-0005-0000-0000-000079A90000}"/>
    <cellStyle name="Normal 58 7 2 4" xfId="2327" xr:uid="{00000000-0005-0000-0000-00007AA90000}"/>
    <cellStyle name="Normal 58 7 2 4 2" xfId="6351" xr:uid="{00000000-0005-0000-0000-00007BA90000}"/>
    <cellStyle name="Normal 58 7 2 4 2 2" xfId="11366" xr:uid="{00000000-0005-0000-0000-00007CA90000}"/>
    <cellStyle name="Normal 58 7 2 4 2 2 2" xfId="23809" xr:uid="{00000000-0005-0000-0000-00007DA90000}"/>
    <cellStyle name="Normal 58 7 2 4 2 2 2 2" xfId="48683" xr:uid="{00000000-0005-0000-0000-00007EA90000}"/>
    <cellStyle name="Normal 58 7 2 4 2 2 3" xfId="36250" xr:uid="{00000000-0005-0000-0000-00007FA90000}"/>
    <cellStyle name="Normal 58 7 2 4 2 3" xfId="18802" xr:uid="{00000000-0005-0000-0000-000080A90000}"/>
    <cellStyle name="Normal 58 7 2 4 2 3 2" xfId="43676" xr:uid="{00000000-0005-0000-0000-000081A90000}"/>
    <cellStyle name="Normal 58 7 2 4 2 4" xfId="31243" xr:uid="{00000000-0005-0000-0000-000082A90000}"/>
    <cellStyle name="Normal 58 7 2 4 3" xfId="12820" xr:uid="{00000000-0005-0000-0000-000083A90000}"/>
    <cellStyle name="Normal 58 7 2 4 3 2" xfId="25254" xr:uid="{00000000-0005-0000-0000-000084A90000}"/>
    <cellStyle name="Normal 58 7 2 4 3 2 2" xfId="50128" xr:uid="{00000000-0005-0000-0000-000085A90000}"/>
    <cellStyle name="Normal 58 7 2 4 3 3" xfId="37695" xr:uid="{00000000-0005-0000-0000-000086A90000}"/>
    <cellStyle name="Normal 58 7 2 4 4" xfId="9261" xr:uid="{00000000-0005-0000-0000-000087A90000}"/>
    <cellStyle name="Normal 58 7 2 4 4 2" xfId="21704" xr:uid="{00000000-0005-0000-0000-000088A90000}"/>
    <cellStyle name="Normal 58 7 2 4 4 2 2" xfId="46578" xr:uid="{00000000-0005-0000-0000-000089A90000}"/>
    <cellStyle name="Normal 58 7 2 4 4 3" xfId="34145" xr:uid="{00000000-0005-0000-0000-00008AA90000}"/>
    <cellStyle name="Normal 58 7 2 4 5" xfId="4243" xr:uid="{00000000-0005-0000-0000-00008BA90000}"/>
    <cellStyle name="Normal 58 7 2 4 5 2" xfId="16697" xr:uid="{00000000-0005-0000-0000-00008CA90000}"/>
    <cellStyle name="Normal 58 7 2 4 5 2 2" xfId="41571" xr:uid="{00000000-0005-0000-0000-00008DA90000}"/>
    <cellStyle name="Normal 58 7 2 4 5 3" xfId="29138" xr:uid="{00000000-0005-0000-0000-00008EA90000}"/>
    <cellStyle name="Normal 58 7 2 4 6" xfId="15005" xr:uid="{00000000-0005-0000-0000-00008FA90000}"/>
    <cellStyle name="Normal 58 7 2 4 6 2" xfId="39879" xr:uid="{00000000-0005-0000-0000-000090A90000}"/>
    <cellStyle name="Normal 58 7 2 4 7" xfId="27438" xr:uid="{00000000-0005-0000-0000-000091A90000}"/>
    <cellStyle name="Normal 58 7 2 5" xfId="1162" xr:uid="{00000000-0005-0000-0000-000092A90000}"/>
    <cellStyle name="Normal 58 7 2 5 2" xfId="10323" xr:uid="{00000000-0005-0000-0000-000093A90000}"/>
    <cellStyle name="Normal 58 7 2 5 2 2" xfId="22766" xr:uid="{00000000-0005-0000-0000-000094A90000}"/>
    <cellStyle name="Normal 58 7 2 5 2 2 2" xfId="47640" xr:uid="{00000000-0005-0000-0000-000095A90000}"/>
    <cellStyle name="Normal 58 7 2 5 2 3" xfId="35207" xr:uid="{00000000-0005-0000-0000-000096A90000}"/>
    <cellStyle name="Normal 58 7 2 5 3" xfId="5307" xr:uid="{00000000-0005-0000-0000-000097A90000}"/>
    <cellStyle name="Normal 58 7 2 5 3 2" xfId="17759" xr:uid="{00000000-0005-0000-0000-000098A90000}"/>
    <cellStyle name="Normal 58 7 2 5 3 2 2" xfId="42633" xr:uid="{00000000-0005-0000-0000-000099A90000}"/>
    <cellStyle name="Normal 58 7 2 5 3 3" xfId="30200" xr:uid="{00000000-0005-0000-0000-00009AA90000}"/>
    <cellStyle name="Normal 58 7 2 5 4" xfId="13962" xr:uid="{00000000-0005-0000-0000-00009BA90000}"/>
    <cellStyle name="Normal 58 7 2 5 4 2" xfId="38836" xr:uid="{00000000-0005-0000-0000-00009CA90000}"/>
    <cellStyle name="Normal 58 7 2 5 5" xfId="26395" xr:uid="{00000000-0005-0000-0000-00009DA90000}"/>
    <cellStyle name="Normal 58 7 2 6" xfId="7884" xr:uid="{00000000-0005-0000-0000-00009EA90000}"/>
    <cellStyle name="Normal 58 7 2 6 2" xfId="20330" xr:uid="{00000000-0005-0000-0000-00009FA90000}"/>
    <cellStyle name="Normal 58 7 2 6 2 2" xfId="45204" xr:uid="{00000000-0005-0000-0000-0000A0A90000}"/>
    <cellStyle name="Normal 58 7 2 6 3" xfId="32771" xr:uid="{00000000-0005-0000-0000-0000A1A90000}"/>
    <cellStyle name="Normal 58 7 2 7" xfId="11777" xr:uid="{00000000-0005-0000-0000-0000A2A90000}"/>
    <cellStyle name="Normal 58 7 2 7 2" xfId="24211" xr:uid="{00000000-0005-0000-0000-0000A3A90000}"/>
    <cellStyle name="Normal 58 7 2 7 2 2" xfId="49085" xr:uid="{00000000-0005-0000-0000-0000A4A90000}"/>
    <cellStyle name="Normal 58 7 2 7 3" xfId="36652" xr:uid="{00000000-0005-0000-0000-0000A5A90000}"/>
    <cellStyle name="Normal 58 7 2 8" xfId="6854" xr:uid="{00000000-0005-0000-0000-0000A6A90000}"/>
    <cellStyle name="Normal 58 7 2 8 2" xfId="19303" xr:uid="{00000000-0005-0000-0000-0000A7A90000}"/>
    <cellStyle name="Normal 58 7 2 8 2 2" xfId="44177" xr:uid="{00000000-0005-0000-0000-0000A8A90000}"/>
    <cellStyle name="Normal 58 7 2 8 3" xfId="31744" xr:uid="{00000000-0005-0000-0000-0000A9A90000}"/>
    <cellStyle name="Normal 58 7 2 9" xfId="2805" xr:uid="{00000000-0005-0000-0000-0000AAA90000}"/>
    <cellStyle name="Normal 58 7 2 9 2" xfId="15323" xr:uid="{00000000-0005-0000-0000-0000ABA90000}"/>
    <cellStyle name="Normal 58 7 2 9 2 2" xfId="40197" xr:uid="{00000000-0005-0000-0000-0000ACA90000}"/>
    <cellStyle name="Normal 58 7 2 9 3" xfId="27756" xr:uid="{00000000-0005-0000-0000-0000ADA90000}"/>
    <cellStyle name="Normal 58 7 2_Degree data" xfId="2545" xr:uid="{00000000-0005-0000-0000-0000AEA90000}"/>
    <cellStyle name="Normal 58 7 3" xfId="307" xr:uid="{00000000-0005-0000-0000-0000AFA90000}"/>
    <cellStyle name="Normal 58 7 3 2" xfId="1579" xr:uid="{00000000-0005-0000-0000-0000B0A90000}"/>
    <cellStyle name="Normal 58 7 3 2 2" xfId="9161" xr:uid="{00000000-0005-0000-0000-0000B1A90000}"/>
    <cellStyle name="Normal 58 7 3 2 2 2" xfId="21604" xr:uid="{00000000-0005-0000-0000-0000B2A90000}"/>
    <cellStyle name="Normal 58 7 3 2 2 2 2" xfId="46478" xr:uid="{00000000-0005-0000-0000-0000B3A90000}"/>
    <cellStyle name="Normal 58 7 3 2 2 3" xfId="34045" xr:uid="{00000000-0005-0000-0000-0000B4A90000}"/>
    <cellStyle name="Normal 58 7 3 2 3" xfId="4143" xr:uid="{00000000-0005-0000-0000-0000B5A90000}"/>
    <cellStyle name="Normal 58 7 3 2 3 2" xfId="16597" xr:uid="{00000000-0005-0000-0000-0000B6A90000}"/>
    <cellStyle name="Normal 58 7 3 2 3 2 2" xfId="41471" xr:uid="{00000000-0005-0000-0000-0000B7A90000}"/>
    <cellStyle name="Normal 58 7 3 2 3 3" xfId="29038" xr:uid="{00000000-0005-0000-0000-0000B8A90000}"/>
    <cellStyle name="Normal 58 7 3 2 4" xfId="14379" xr:uid="{00000000-0005-0000-0000-0000B9A90000}"/>
    <cellStyle name="Normal 58 7 3 2 4 2" xfId="39253" xr:uid="{00000000-0005-0000-0000-0000BAA90000}"/>
    <cellStyle name="Normal 58 7 3 2 5" xfId="26812" xr:uid="{00000000-0005-0000-0000-0000BBA90000}"/>
    <cellStyle name="Normal 58 7 3 3" xfId="5724" xr:uid="{00000000-0005-0000-0000-0000BCA90000}"/>
    <cellStyle name="Normal 58 7 3 3 2" xfId="10740" xr:uid="{00000000-0005-0000-0000-0000BDA90000}"/>
    <cellStyle name="Normal 58 7 3 3 2 2" xfId="23183" xr:uid="{00000000-0005-0000-0000-0000BEA90000}"/>
    <cellStyle name="Normal 58 7 3 3 2 2 2" xfId="48057" xr:uid="{00000000-0005-0000-0000-0000BFA90000}"/>
    <cellStyle name="Normal 58 7 3 3 2 3" xfId="35624" xr:uid="{00000000-0005-0000-0000-0000C0A90000}"/>
    <cellStyle name="Normal 58 7 3 3 3" xfId="18176" xr:uid="{00000000-0005-0000-0000-0000C1A90000}"/>
    <cellStyle name="Normal 58 7 3 3 3 2" xfId="43050" xr:uid="{00000000-0005-0000-0000-0000C2A90000}"/>
    <cellStyle name="Normal 58 7 3 3 4" xfId="30617" xr:uid="{00000000-0005-0000-0000-0000C3A90000}"/>
    <cellStyle name="Normal 58 7 3 4" xfId="8277" xr:uid="{00000000-0005-0000-0000-0000C4A90000}"/>
    <cellStyle name="Normal 58 7 3 4 2" xfId="20721" xr:uid="{00000000-0005-0000-0000-0000C5A90000}"/>
    <cellStyle name="Normal 58 7 3 4 2 2" xfId="45595" xr:uid="{00000000-0005-0000-0000-0000C6A90000}"/>
    <cellStyle name="Normal 58 7 3 4 3" xfId="33162" xr:uid="{00000000-0005-0000-0000-0000C7A90000}"/>
    <cellStyle name="Normal 58 7 3 5" xfId="12194" xr:uid="{00000000-0005-0000-0000-0000C8A90000}"/>
    <cellStyle name="Normal 58 7 3 5 2" xfId="24628" xr:uid="{00000000-0005-0000-0000-0000C9A90000}"/>
    <cellStyle name="Normal 58 7 3 5 2 2" xfId="49502" xr:uid="{00000000-0005-0000-0000-0000CAA90000}"/>
    <cellStyle name="Normal 58 7 3 5 3" xfId="37069" xr:uid="{00000000-0005-0000-0000-0000CBA90000}"/>
    <cellStyle name="Normal 58 7 3 6" xfId="6754" xr:uid="{00000000-0005-0000-0000-0000CCA90000}"/>
    <cellStyle name="Normal 58 7 3 6 2" xfId="19203" xr:uid="{00000000-0005-0000-0000-0000CDA90000}"/>
    <cellStyle name="Normal 58 7 3 6 2 2" xfId="44077" xr:uid="{00000000-0005-0000-0000-0000CEA90000}"/>
    <cellStyle name="Normal 58 7 3 6 3" xfId="31644" xr:uid="{00000000-0005-0000-0000-0000CFA90000}"/>
    <cellStyle name="Normal 58 7 3 7" xfId="3208" xr:uid="{00000000-0005-0000-0000-0000D0A90000}"/>
    <cellStyle name="Normal 58 7 3 7 2" xfId="15714" xr:uid="{00000000-0005-0000-0000-0000D1A90000}"/>
    <cellStyle name="Normal 58 7 3 7 2 2" xfId="40588" xr:uid="{00000000-0005-0000-0000-0000D2A90000}"/>
    <cellStyle name="Normal 58 7 3 7 3" xfId="28147" xr:uid="{00000000-0005-0000-0000-0000D3A90000}"/>
    <cellStyle name="Normal 58 7 3 8" xfId="13124" xr:uid="{00000000-0005-0000-0000-0000D4A90000}"/>
    <cellStyle name="Normal 58 7 3 8 2" xfId="37998" xr:uid="{00000000-0005-0000-0000-0000D5A90000}"/>
    <cellStyle name="Normal 58 7 3 9" xfId="25557" xr:uid="{00000000-0005-0000-0000-0000D6A90000}"/>
    <cellStyle name="Normal 58 7 4" xfId="668" xr:uid="{00000000-0005-0000-0000-0000D7A90000}"/>
    <cellStyle name="Normal 58 7 4 2" xfId="1927" xr:uid="{00000000-0005-0000-0000-0000D8A90000}"/>
    <cellStyle name="Normal 58 7 4 2 2" xfId="9683" xr:uid="{00000000-0005-0000-0000-0000D9A90000}"/>
    <cellStyle name="Normal 58 7 4 2 2 2" xfId="22126" xr:uid="{00000000-0005-0000-0000-0000DAA90000}"/>
    <cellStyle name="Normal 58 7 4 2 2 2 2" xfId="47000" xr:uid="{00000000-0005-0000-0000-0000DBA90000}"/>
    <cellStyle name="Normal 58 7 4 2 2 3" xfId="34567" xr:uid="{00000000-0005-0000-0000-0000DCA90000}"/>
    <cellStyle name="Normal 58 7 4 2 3" xfId="4665" xr:uid="{00000000-0005-0000-0000-0000DDA90000}"/>
    <cellStyle name="Normal 58 7 4 2 3 2" xfId="17119" xr:uid="{00000000-0005-0000-0000-0000DEA90000}"/>
    <cellStyle name="Normal 58 7 4 2 3 2 2" xfId="41993" xr:uid="{00000000-0005-0000-0000-0000DFA90000}"/>
    <cellStyle name="Normal 58 7 4 2 3 3" xfId="29560" xr:uid="{00000000-0005-0000-0000-0000E0A90000}"/>
    <cellStyle name="Normal 58 7 4 2 4" xfId="14727" xr:uid="{00000000-0005-0000-0000-0000E1A90000}"/>
    <cellStyle name="Normal 58 7 4 2 4 2" xfId="39601" xr:uid="{00000000-0005-0000-0000-0000E2A90000}"/>
    <cellStyle name="Normal 58 7 4 2 5" xfId="27160" xr:uid="{00000000-0005-0000-0000-0000E3A90000}"/>
    <cellStyle name="Normal 58 7 4 3" xfId="6073" xr:uid="{00000000-0005-0000-0000-0000E4A90000}"/>
    <cellStyle name="Normal 58 7 4 3 2" xfId="11088" xr:uid="{00000000-0005-0000-0000-0000E5A90000}"/>
    <cellStyle name="Normal 58 7 4 3 2 2" xfId="23531" xr:uid="{00000000-0005-0000-0000-0000E6A90000}"/>
    <cellStyle name="Normal 58 7 4 3 2 2 2" xfId="48405" xr:uid="{00000000-0005-0000-0000-0000E7A90000}"/>
    <cellStyle name="Normal 58 7 4 3 2 3" xfId="35972" xr:uid="{00000000-0005-0000-0000-0000E8A90000}"/>
    <cellStyle name="Normal 58 7 4 3 3" xfId="18524" xr:uid="{00000000-0005-0000-0000-0000E9A90000}"/>
    <cellStyle name="Normal 58 7 4 3 3 2" xfId="43398" xr:uid="{00000000-0005-0000-0000-0000EAA90000}"/>
    <cellStyle name="Normal 58 7 4 3 4" xfId="30965" xr:uid="{00000000-0005-0000-0000-0000EBA90000}"/>
    <cellStyle name="Normal 58 7 4 4" xfId="8799" xr:uid="{00000000-0005-0000-0000-0000ECA90000}"/>
    <cellStyle name="Normal 58 7 4 4 2" xfId="21243" xr:uid="{00000000-0005-0000-0000-0000EDA90000}"/>
    <cellStyle name="Normal 58 7 4 4 2 2" xfId="46117" xr:uid="{00000000-0005-0000-0000-0000EEA90000}"/>
    <cellStyle name="Normal 58 7 4 4 3" xfId="33684" xr:uid="{00000000-0005-0000-0000-0000EFA90000}"/>
    <cellStyle name="Normal 58 7 4 5" xfId="12542" xr:uid="{00000000-0005-0000-0000-0000F0A90000}"/>
    <cellStyle name="Normal 58 7 4 5 2" xfId="24976" xr:uid="{00000000-0005-0000-0000-0000F1A90000}"/>
    <cellStyle name="Normal 58 7 4 5 2 2" xfId="49850" xr:uid="{00000000-0005-0000-0000-0000F2A90000}"/>
    <cellStyle name="Normal 58 7 4 5 3" xfId="37417" xr:uid="{00000000-0005-0000-0000-0000F3A90000}"/>
    <cellStyle name="Normal 58 7 4 6" xfId="7276" xr:uid="{00000000-0005-0000-0000-0000F4A90000}"/>
    <cellStyle name="Normal 58 7 4 6 2" xfId="19725" xr:uid="{00000000-0005-0000-0000-0000F5A90000}"/>
    <cellStyle name="Normal 58 7 4 6 2 2" xfId="44599" xr:uid="{00000000-0005-0000-0000-0000F6A90000}"/>
    <cellStyle name="Normal 58 7 4 6 3" xfId="32166" xr:uid="{00000000-0005-0000-0000-0000F7A90000}"/>
    <cellStyle name="Normal 58 7 4 7" xfId="3730" xr:uid="{00000000-0005-0000-0000-0000F8A90000}"/>
    <cellStyle name="Normal 58 7 4 7 2" xfId="16236" xr:uid="{00000000-0005-0000-0000-0000F9A90000}"/>
    <cellStyle name="Normal 58 7 4 7 2 2" xfId="41110" xr:uid="{00000000-0005-0000-0000-0000FAA90000}"/>
    <cellStyle name="Normal 58 7 4 7 3" xfId="28669" xr:uid="{00000000-0005-0000-0000-0000FBA90000}"/>
    <cellStyle name="Normal 58 7 4 8" xfId="13471" xr:uid="{00000000-0005-0000-0000-0000FCA90000}"/>
    <cellStyle name="Normal 58 7 4 8 2" xfId="38345" xr:uid="{00000000-0005-0000-0000-0000FDA90000}"/>
    <cellStyle name="Normal 58 7 4 9" xfId="25904" xr:uid="{00000000-0005-0000-0000-0000FEA90000}"/>
    <cellStyle name="Normal 58 7 5" xfId="2225" xr:uid="{00000000-0005-0000-0000-0000FFA90000}"/>
    <cellStyle name="Normal 58 7 5 2" xfId="4853" xr:uid="{00000000-0005-0000-0000-000000AA0000}"/>
    <cellStyle name="Normal 58 7 5 2 2" xfId="9870" xr:uid="{00000000-0005-0000-0000-000001AA0000}"/>
    <cellStyle name="Normal 58 7 5 2 2 2" xfId="22313" xr:uid="{00000000-0005-0000-0000-000002AA0000}"/>
    <cellStyle name="Normal 58 7 5 2 2 2 2" xfId="47187" xr:uid="{00000000-0005-0000-0000-000003AA0000}"/>
    <cellStyle name="Normal 58 7 5 2 2 3" xfId="34754" xr:uid="{00000000-0005-0000-0000-000004AA0000}"/>
    <cellStyle name="Normal 58 7 5 2 3" xfId="17306" xr:uid="{00000000-0005-0000-0000-000005AA0000}"/>
    <cellStyle name="Normal 58 7 5 2 3 2" xfId="42180" xr:uid="{00000000-0005-0000-0000-000006AA0000}"/>
    <cellStyle name="Normal 58 7 5 2 4" xfId="29747" xr:uid="{00000000-0005-0000-0000-000007AA0000}"/>
    <cellStyle name="Normal 58 7 5 3" xfId="6251" xr:uid="{00000000-0005-0000-0000-000008AA0000}"/>
    <cellStyle name="Normal 58 7 5 3 2" xfId="11266" xr:uid="{00000000-0005-0000-0000-000009AA0000}"/>
    <cellStyle name="Normal 58 7 5 3 2 2" xfId="23709" xr:uid="{00000000-0005-0000-0000-00000AAA0000}"/>
    <cellStyle name="Normal 58 7 5 3 2 2 2" xfId="48583" xr:uid="{00000000-0005-0000-0000-00000BAA0000}"/>
    <cellStyle name="Normal 58 7 5 3 2 3" xfId="36150" xr:uid="{00000000-0005-0000-0000-00000CAA0000}"/>
    <cellStyle name="Normal 58 7 5 3 3" xfId="18702" xr:uid="{00000000-0005-0000-0000-00000DAA0000}"/>
    <cellStyle name="Normal 58 7 5 3 3 2" xfId="43576" xr:uid="{00000000-0005-0000-0000-00000EAA0000}"/>
    <cellStyle name="Normal 58 7 5 3 4" xfId="31143" xr:uid="{00000000-0005-0000-0000-00000FAA0000}"/>
    <cellStyle name="Normal 58 7 5 4" xfId="8058" xr:uid="{00000000-0005-0000-0000-000010AA0000}"/>
    <cellStyle name="Normal 58 7 5 4 2" xfId="20504" xr:uid="{00000000-0005-0000-0000-000011AA0000}"/>
    <cellStyle name="Normal 58 7 5 4 2 2" xfId="45378" xr:uid="{00000000-0005-0000-0000-000012AA0000}"/>
    <cellStyle name="Normal 58 7 5 4 3" xfId="32945" xr:uid="{00000000-0005-0000-0000-000013AA0000}"/>
    <cellStyle name="Normal 58 7 5 5" xfId="12720" xr:uid="{00000000-0005-0000-0000-000014AA0000}"/>
    <cellStyle name="Normal 58 7 5 5 2" xfId="25154" xr:uid="{00000000-0005-0000-0000-000015AA0000}"/>
    <cellStyle name="Normal 58 7 5 5 2 2" xfId="50028" xr:uid="{00000000-0005-0000-0000-000016AA0000}"/>
    <cellStyle name="Normal 58 7 5 5 3" xfId="37595" xr:uid="{00000000-0005-0000-0000-000017AA0000}"/>
    <cellStyle name="Normal 58 7 5 6" xfId="7464" xr:uid="{00000000-0005-0000-0000-000018AA0000}"/>
    <cellStyle name="Normal 58 7 5 6 2" xfId="19912" xr:uid="{00000000-0005-0000-0000-000019AA0000}"/>
    <cellStyle name="Normal 58 7 5 6 2 2" xfId="44786" xr:uid="{00000000-0005-0000-0000-00001AAA0000}"/>
    <cellStyle name="Normal 58 7 5 6 3" xfId="32353" xr:uid="{00000000-0005-0000-0000-00001BAA0000}"/>
    <cellStyle name="Normal 58 7 5 7" xfId="2987" xr:uid="{00000000-0005-0000-0000-00001CAA0000}"/>
    <cellStyle name="Normal 58 7 5 7 2" xfId="15497" xr:uid="{00000000-0005-0000-0000-00001DAA0000}"/>
    <cellStyle name="Normal 58 7 5 7 2 2" xfId="40371" xr:uid="{00000000-0005-0000-0000-00001EAA0000}"/>
    <cellStyle name="Normal 58 7 5 7 3" xfId="27930" xr:uid="{00000000-0005-0000-0000-00001FAA0000}"/>
    <cellStyle name="Normal 58 7 5 8" xfId="14905" xr:uid="{00000000-0005-0000-0000-000020AA0000}"/>
    <cellStyle name="Normal 58 7 5 8 2" xfId="39779" xr:uid="{00000000-0005-0000-0000-000021AA0000}"/>
    <cellStyle name="Normal 58 7 5 9" xfId="27338" xr:uid="{00000000-0005-0000-0000-000022AA0000}"/>
    <cellStyle name="Normal 58 7 6" xfId="1062" xr:uid="{00000000-0005-0000-0000-000023AA0000}"/>
    <cellStyle name="Normal 58 7 6 2" xfId="8944" xr:uid="{00000000-0005-0000-0000-000024AA0000}"/>
    <cellStyle name="Normal 58 7 6 2 2" xfId="21387" xr:uid="{00000000-0005-0000-0000-000025AA0000}"/>
    <cellStyle name="Normal 58 7 6 2 2 2" xfId="46261" xr:uid="{00000000-0005-0000-0000-000026AA0000}"/>
    <cellStyle name="Normal 58 7 6 2 3" xfId="33828" xr:uid="{00000000-0005-0000-0000-000027AA0000}"/>
    <cellStyle name="Normal 58 7 6 3" xfId="3926" xr:uid="{00000000-0005-0000-0000-000028AA0000}"/>
    <cellStyle name="Normal 58 7 6 3 2" xfId="16380" xr:uid="{00000000-0005-0000-0000-000029AA0000}"/>
    <cellStyle name="Normal 58 7 6 3 2 2" xfId="41254" xr:uid="{00000000-0005-0000-0000-00002AAA0000}"/>
    <cellStyle name="Normal 58 7 6 3 3" xfId="28821" xr:uid="{00000000-0005-0000-0000-00002BAA0000}"/>
    <cellStyle name="Normal 58 7 6 4" xfId="13862" xr:uid="{00000000-0005-0000-0000-00002CAA0000}"/>
    <cellStyle name="Normal 58 7 6 4 2" xfId="38736" xr:uid="{00000000-0005-0000-0000-00002DAA0000}"/>
    <cellStyle name="Normal 58 7 6 5" xfId="26295" xr:uid="{00000000-0005-0000-0000-00002EAA0000}"/>
    <cellStyle name="Normal 58 7 7" xfId="5207" xr:uid="{00000000-0005-0000-0000-00002FAA0000}"/>
    <cellStyle name="Normal 58 7 7 2" xfId="10223" xr:uid="{00000000-0005-0000-0000-000030AA0000}"/>
    <cellStyle name="Normal 58 7 7 2 2" xfId="22666" xr:uid="{00000000-0005-0000-0000-000031AA0000}"/>
    <cellStyle name="Normal 58 7 7 2 2 2" xfId="47540" xr:uid="{00000000-0005-0000-0000-000032AA0000}"/>
    <cellStyle name="Normal 58 7 7 2 3" xfId="35107" xr:uid="{00000000-0005-0000-0000-000033AA0000}"/>
    <cellStyle name="Normal 58 7 7 3" xfId="17659" xr:uid="{00000000-0005-0000-0000-000034AA0000}"/>
    <cellStyle name="Normal 58 7 7 3 2" xfId="42533" xr:uid="{00000000-0005-0000-0000-000035AA0000}"/>
    <cellStyle name="Normal 58 7 7 4" xfId="30100" xr:uid="{00000000-0005-0000-0000-000036AA0000}"/>
    <cellStyle name="Normal 58 7 8" xfId="7784" xr:uid="{00000000-0005-0000-0000-000037AA0000}"/>
    <cellStyle name="Normal 58 7 8 2" xfId="20230" xr:uid="{00000000-0005-0000-0000-000038AA0000}"/>
    <cellStyle name="Normal 58 7 8 2 2" xfId="45104" xr:uid="{00000000-0005-0000-0000-000039AA0000}"/>
    <cellStyle name="Normal 58 7 8 3" xfId="32671" xr:uid="{00000000-0005-0000-0000-00003AAA0000}"/>
    <cellStyle name="Normal 58 7 9" xfId="11677" xr:uid="{00000000-0005-0000-0000-00003BAA0000}"/>
    <cellStyle name="Normal 58 7 9 2" xfId="24111" xr:uid="{00000000-0005-0000-0000-00003CAA0000}"/>
    <cellStyle name="Normal 58 7 9 2 2" xfId="48985" xr:uid="{00000000-0005-0000-0000-00003DAA0000}"/>
    <cellStyle name="Normal 58 7 9 3" xfId="36552" xr:uid="{00000000-0005-0000-0000-00003EAA0000}"/>
    <cellStyle name="Normal 58 7_Degree data" xfId="2544" xr:uid="{00000000-0005-0000-0000-00003FAA0000}"/>
    <cellStyle name="Normal 58 8" xfId="245" xr:uid="{00000000-0005-0000-0000-000040AA0000}"/>
    <cellStyle name="Normal 58 8 10" xfId="6585" xr:uid="{00000000-0005-0000-0000-000041AA0000}"/>
    <cellStyle name="Normal 58 8 10 2" xfId="19034" xr:uid="{00000000-0005-0000-0000-000042AA0000}"/>
    <cellStyle name="Normal 58 8 10 2 2" xfId="43908" xr:uid="{00000000-0005-0000-0000-000043AA0000}"/>
    <cellStyle name="Normal 58 8 10 3" xfId="31475" xr:uid="{00000000-0005-0000-0000-000044AA0000}"/>
    <cellStyle name="Normal 58 8 11" xfId="2648" xr:uid="{00000000-0005-0000-0000-000045AA0000}"/>
    <cellStyle name="Normal 58 8 11 2" xfId="15166" xr:uid="{00000000-0005-0000-0000-000046AA0000}"/>
    <cellStyle name="Normal 58 8 11 2 2" xfId="40040" xr:uid="{00000000-0005-0000-0000-000047AA0000}"/>
    <cellStyle name="Normal 58 8 11 3" xfId="27599" xr:uid="{00000000-0005-0000-0000-000048AA0000}"/>
    <cellStyle name="Normal 58 8 12" xfId="13067" xr:uid="{00000000-0005-0000-0000-000049AA0000}"/>
    <cellStyle name="Normal 58 8 12 2" xfId="37941" xr:uid="{00000000-0005-0000-0000-00004AAA0000}"/>
    <cellStyle name="Normal 58 8 13" xfId="25500" xr:uid="{00000000-0005-0000-0000-00004BAA0000}"/>
    <cellStyle name="Normal 58 8 2" xfId="459" xr:uid="{00000000-0005-0000-0000-00004CAA0000}"/>
    <cellStyle name="Normal 58 8 2 10" xfId="13272" xr:uid="{00000000-0005-0000-0000-00004DAA0000}"/>
    <cellStyle name="Normal 58 8 2 10 2" xfId="38146" xr:uid="{00000000-0005-0000-0000-00004EAA0000}"/>
    <cellStyle name="Normal 58 8 2 11" xfId="25705" xr:uid="{00000000-0005-0000-0000-00004FAA0000}"/>
    <cellStyle name="Normal 58 8 2 2" xfId="818" xr:uid="{00000000-0005-0000-0000-000050AA0000}"/>
    <cellStyle name="Normal 58 8 2 2 2" xfId="1582" xr:uid="{00000000-0005-0000-0000-000051AA0000}"/>
    <cellStyle name="Normal 58 8 2 2 2 2" xfId="9686" xr:uid="{00000000-0005-0000-0000-000052AA0000}"/>
    <cellStyle name="Normal 58 8 2 2 2 2 2" xfId="22129" xr:uid="{00000000-0005-0000-0000-000053AA0000}"/>
    <cellStyle name="Normal 58 8 2 2 2 2 2 2" xfId="47003" xr:uid="{00000000-0005-0000-0000-000054AA0000}"/>
    <cellStyle name="Normal 58 8 2 2 2 2 3" xfId="34570" xr:uid="{00000000-0005-0000-0000-000055AA0000}"/>
    <cellStyle name="Normal 58 8 2 2 2 3" xfId="4668" xr:uid="{00000000-0005-0000-0000-000056AA0000}"/>
    <cellStyle name="Normal 58 8 2 2 2 3 2" xfId="17122" xr:uid="{00000000-0005-0000-0000-000057AA0000}"/>
    <cellStyle name="Normal 58 8 2 2 2 3 2 2" xfId="41996" xr:uid="{00000000-0005-0000-0000-000058AA0000}"/>
    <cellStyle name="Normal 58 8 2 2 2 3 3" xfId="29563" xr:uid="{00000000-0005-0000-0000-000059AA0000}"/>
    <cellStyle name="Normal 58 8 2 2 2 4" xfId="14382" xr:uid="{00000000-0005-0000-0000-00005AAA0000}"/>
    <cellStyle name="Normal 58 8 2 2 2 4 2" xfId="39256" xr:uid="{00000000-0005-0000-0000-00005BAA0000}"/>
    <cellStyle name="Normal 58 8 2 2 2 5" xfId="26815" xr:uid="{00000000-0005-0000-0000-00005CAA0000}"/>
    <cellStyle name="Normal 58 8 2 2 3" xfId="5727" xr:uid="{00000000-0005-0000-0000-00005DAA0000}"/>
    <cellStyle name="Normal 58 8 2 2 3 2" xfId="10743" xr:uid="{00000000-0005-0000-0000-00005EAA0000}"/>
    <cellStyle name="Normal 58 8 2 2 3 2 2" xfId="23186" xr:uid="{00000000-0005-0000-0000-00005FAA0000}"/>
    <cellStyle name="Normal 58 8 2 2 3 2 2 2" xfId="48060" xr:uid="{00000000-0005-0000-0000-000060AA0000}"/>
    <cellStyle name="Normal 58 8 2 2 3 2 3" xfId="35627" xr:uid="{00000000-0005-0000-0000-000061AA0000}"/>
    <cellStyle name="Normal 58 8 2 2 3 3" xfId="18179" xr:uid="{00000000-0005-0000-0000-000062AA0000}"/>
    <cellStyle name="Normal 58 8 2 2 3 3 2" xfId="43053" xr:uid="{00000000-0005-0000-0000-000063AA0000}"/>
    <cellStyle name="Normal 58 8 2 2 3 4" xfId="30620" xr:uid="{00000000-0005-0000-0000-000064AA0000}"/>
    <cellStyle name="Normal 58 8 2 2 4" xfId="8802" xr:uid="{00000000-0005-0000-0000-000065AA0000}"/>
    <cellStyle name="Normal 58 8 2 2 4 2" xfId="21246" xr:uid="{00000000-0005-0000-0000-000066AA0000}"/>
    <cellStyle name="Normal 58 8 2 2 4 2 2" xfId="46120" xr:uid="{00000000-0005-0000-0000-000067AA0000}"/>
    <cellStyle name="Normal 58 8 2 2 4 3" xfId="33687" xr:uid="{00000000-0005-0000-0000-000068AA0000}"/>
    <cellStyle name="Normal 58 8 2 2 5" xfId="12197" xr:uid="{00000000-0005-0000-0000-000069AA0000}"/>
    <cellStyle name="Normal 58 8 2 2 5 2" xfId="24631" xr:uid="{00000000-0005-0000-0000-00006AAA0000}"/>
    <cellStyle name="Normal 58 8 2 2 5 2 2" xfId="49505" xr:uid="{00000000-0005-0000-0000-00006BAA0000}"/>
    <cellStyle name="Normal 58 8 2 2 5 3" xfId="37072" xr:uid="{00000000-0005-0000-0000-00006CAA0000}"/>
    <cellStyle name="Normal 58 8 2 2 6" xfId="7279" xr:uid="{00000000-0005-0000-0000-00006DAA0000}"/>
    <cellStyle name="Normal 58 8 2 2 6 2" xfId="19728" xr:uid="{00000000-0005-0000-0000-00006EAA0000}"/>
    <cellStyle name="Normal 58 8 2 2 6 2 2" xfId="44602" xr:uid="{00000000-0005-0000-0000-00006FAA0000}"/>
    <cellStyle name="Normal 58 8 2 2 6 3" xfId="32169" xr:uid="{00000000-0005-0000-0000-000070AA0000}"/>
    <cellStyle name="Normal 58 8 2 2 7" xfId="3733" xr:uid="{00000000-0005-0000-0000-000071AA0000}"/>
    <cellStyle name="Normal 58 8 2 2 7 2" xfId="16239" xr:uid="{00000000-0005-0000-0000-000072AA0000}"/>
    <cellStyle name="Normal 58 8 2 2 7 2 2" xfId="41113" xr:uid="{00000000-0005-0000-0000-000073AA0000}"/>
    <cellStyle name="Normal 58 8 2 2 7 3" xfId="28672" xr:uid="{00000000-0005-0000-0000-000074AA0000}"/>
    <cellStyle name="Normal 58 8 2 2 8" xfId="13619" xr:uid="{00000000-0005-0000-0000-000075AA0000}"/>
    <cellStyle name="Normal 58 8 2 2 8 2" xfId="38493" xr:uid="{00000000-0005-0000-0000-000076AA0000}"/>
    <cellStyle name="Normal 58 8 2 2 9" xfId="26052" xr:uid="{00000000-0005-0000-0000-000077AA0000}"/>
    <cellStyle name="Normal 58 8 2 3" xfId="1930" xr:uid="{00000000-0005-0000-0000-000078AA0000}"/>
    <cellStyle name="Normal 58 8 2 3 2" xfId="5001" xr:uid="{00000000-0005-0000-0000-000079AA0000}"/>
    <cellStyle name="Normal 58 8 2 3 2 2" xfId="10018" xr:uid="{00000000-0005-0000-0000-00007AAA0000}"/>
    <cellStyle name="Normal 58 8 2 3 2 2 2" xfId="22461" xr:uid="{00000000-0005-0000-0000-00007BAA0000}"/>
    <cellStyle name="Normal 58 8 2 3 2 2 2 2" xfId="47335" xr:uid="{00000000-0005-0000-0000-00007CAA0000}"/>
    <cellStyle name="Normal 58 8 2 3 2 2 3" xfId="34902" xr:uid="{00000000-0005-0000-0000-00007DAA0000}"/>
    <cellStyle name="Normal 58 8 2 3 2 3" xfId="17454" xr:uid="{00000000-0005-0000-0000-00007EAA0000}"/>
    <cellStyle name="Normal 58 8 2 3 2 3 2" xfId="42328" xr:uid="{00000000-0005-0000-0000-00007FAA0000}"/>
    <cellStyle name="Normal 58 8 2 3 2 4" xfId="29895" xr:uid="{00000000-0005-0000-0000-000080AA0000}"/>
    <cellStyle name="Normal 58 8 2 3 3" xfId="6076" xr:uid="{00000000-0005-0000-0000-000081AA0000}"/>
    <cellStyle name="Normal 58 8 2 3 3 2" xfId="11091" xr:uid="{00000000-0005-0000-0000-000082AA0000}"/>
    <cellStyle name="Normal 58 8 2 3 3 2 2" xfId="23534" xr:uid="{00000000-0005-0000-0000-000083AA0000}"/>
    <cellStyle name="Normal 58 8 2 3 3 2 2 2" xfId="48408" xr:uid="{00000000-0005-0000-0000-000084AA0000}"/>
    <cellStyle name="Normal 58 8 2 3 3 2 3" xfId="35975" xr:uid="{00000000-0005-0000-0000-000085AA0000}"/>
    <cellStyle name="Normal 58 8 2 3 3 3" xfId="18527" xr:uid="{00000000-0005-0000-0000-000086AA0000}"/>
    <cellStyle name="Normal 58 8 2 3 3 3 2" xfId="43401" xr:uid="{00000000-0005-0000-0000-000087AA0000}"/>
    <cellStyle name="Normal 58 8 2 3 3 4" xfId="30968" xr:uid="{00000000-0005-0000-0000-000088AA0000}"/>
    <cellStyle name="Normal 58 8 2 3 4" xfId="8425" xr:uid="{00000000-0005-0000-0000-000089AA0000}"/>
    <cellStyle name="Normal 58 8 2 3 4 2" xfId="20869" xr:uid="{00000000-0005-0000-0000-00008AAA0000}"/>
    <cellStyle name="Normal 58 8 2 3 4 2 2" xfId="45743" xr:uid="{00000000-0005-0000-0000-00008BAA0000}"/>
    <cellStyle name="Normal 58 8 2 3 4 3" xfId="33310" xr:uid="{00000000-0005-0000-0000-00008CAA0000}"/>
    <cellStyle name="Normal 58 8 2 3 5" xfId="12545" xr:uid="{00000000-0005-0000-0000-00008DAA0000}"/>
    <cellStyle name="Normal 58 8 2 3 5 2" xfId="24979" xr:uid="{00000000-0005-0000-0000-00008EAA0000}"/>
    <cellStyle name="Normal 58 8 2 3 5 2 2" xfId="49853" xr:uid="{00000000-0005-0000-0000-00008FAA0000}"/>
    <cellStyle name="Normal 58 8 2 3 5 3" xfId="37420" xr:uid="{00000000-0005-0000-0000-000090AA0000}"/>
    <cellStyle name="Normal 58 8 2 3 6" xfId="7612" xr:uid="{00000000-0005-0000-0000-000091AA0000}"/>
    <cellStyle name="Normal 58 8 2 3 6 2" xfId="20060" xr:uid="{00000000-0005-0000-0000-000092AA0000}"/>
    <cellStyle name="Normal 58 8 2 3 6 2 2" xfId="44934" xr:uid="{00000000-0005-0000-0000-000093AA0000}"/>
    <cellStyle name="Normal 58 8 2 3 6 3" xfId="32501" xr:uid="{00000000-0005-0000-0000-000094AA0000}"/>
    <cellStyle name="Normal 58 8 2 3 7" xfId="3356" xr:uid="{00000000-0005-0000-0000-000095AA0000}"/>
    <cellStyle name="Normal 58 8 2 3 7 2" xfId="15862" xr:uid="{00000000-0005-0000-0000-000096AA0000}"/>
    <cellStyle name="Normal 58 8 2 3 7 2 2" xfId="40736" xr:uid="{00000000-0005-0000-0000-000097AA0000}"/>
    <cellStyle name="Normal 58 8 2 3 7 3" xfId="28295" xr:uid="{00000000-0005-0000-0000-000098AA0000}"/>
    <cellStyle name="Normal 58 8 2 3 8" xfId="14730" xr:uid="{00000000-0005-0000-0000-000099AA0000}"/>
    <cellStyle name="Normal 58 8 2 3 8 2" xfId="39604" xr:uid="{00000000-0005-0000-0000-00009AAA0000}"/>
    <cellStyle name="Normal 58 8 2 3 9" xfId="27163" xr:uid="{00000000-0005-0000-0000-00009BAA0000}"/>
    <cellStyle name="Normal 58 8 2 4" xfId="2377" xr:uid="{00000000-0005-0000-0000-00009CAA0000}"/>
    <cellStyle name="Normal 58 8 2 4 2" xfId="6399" xr:uid="{00000000-0005-0000-0000-00009DAA0000}"/>
    <cellStyle name="Normal 58 8 2 4 2 2" xfId="11414" xr:uid="{00000000-0005-0000-0000-00009EAA0000}"/>
    <cellStyle name="Normal 58 8 2 4 2 2 2" xfId="23857" xr:uid="{00000000-0005-0000-0000-00009FAA0000}"/>
    <cellStyle name="Normal 58 8 2 4 2 2 2 2" xfId="48731" xr:uid="{00000000-0005-0000-0000-0000A0AA0000}"/>
    <cellStyle name="Normal 58 8 2 4 2 2 3" xfId="36298" xr:uid="{00000000-0005-0000-0000-0000A1AA0000}"/>
    <cellStyle name="Normal 58 8 2 4 2 3" xfId="18850" xr:uid="{00000000-0005-0000-0000-0000A2AA0000}"/>
    <cellStyle name="Normal 58 8 2 4 2 3 2" xfId="43724" xr:uid="{00000000-0005-0000-0000-0000A3AA0000}"/>
    <cellStyle name="Normal 58 8 2 4 2 4" xfId="31291" xr:uid="{00000000-0005-0000-0000-0000A4AA0000}"/>
    <cellStyle name="Normal 58 8 2 4 3" xfId="12868" xr:uid="{00000000-0005-0000-0000-0000A5AA0000}"/>
    <cellStyle name="Normal 58 8 2 4 3 2" xfId="25302" xr:uid="{00000000-0005-0000-0000-0000A6AA0000}"/>
    <cellStyle name="Normal 58 8 2 4 3 2 2" xfId="50176" xr:uid="{00000000-0005-0000-0000-0000A7AA0000}"/>
    <cellStyle name="Normal 58 8 2 4 3 3" xfId="37743" xr:uid="{00000000-0005-0000-0000-0000A8AA0000}"/>
    <cellStyle name="Normal 58 8 2 4 4" xfId="9309" xr:uid="{00000000-0005-0000-0000-0000A9AA0000}"/>
    <cellStyle name="Normal 58 8 2 4 4 2" xfId="21752" xr:uid="{00000000-0005-0000-0000-0000AAAA0000}"/>
    <cellStyle name="Normal 58 8 2 4 4 2 2" xfId="46626" xr:uid="{00000000-0005-0000-0000-0000ABAA0000}"/>
    <cellStyle name="Normal 58 8 2 4 4 3" xfId="34193" xr:uid="{00000000-0005-0000-0000-0000ACAA0000}"/>
    <cellStyle name="Normal 58 8 2 4 5" xfId="4291" xr:uid="{00000000-0005-0000-0000-0000ADAA0000}"/>
    <cellStyle name="Normal 58 8 2 4 5 2" xfId="16745" xr:uid="{00000000-0005-0000-0000-0000AEAA0000}"/>
    <cellStyle name="Normal 58 8 2 4 5 2 2" xfId="41619" xr:uid="{00000000-0005-0000-0000-0000AFAA0000}"/>
    <cellStyle name="Normal 58 8 2 4 5 3" xfId="29186" xr:uid="{00000000-0005-0000-0000-0000B0AA0000}"/>
    <cellStyle name="Normal 58 8 2 4 6" xfId="15053" xr:uid="{00000000-0005-0000-0000-0000B1AA0000}"/>
    <cellStyle name="Normal 58 8 2 4 6 2" xfId="39927" xr:uid="{00000000-0005-0000-0000-0000B2AA0000}"/>
    <cellStyle name="Normal 58 8 2 4 7" xfId="27486" xr:uid="{00000000-0005-0000-0000-0000B3AA0000}"/>
    <cellStyle name="Normal 58 8 2 5" xfId="1210" xr:uid="{00000000-0005-0000-0000-0000B4AA0000}"/>
    <cellStyle name="Normal 58 8 2 5 2" xfId="10371" xr:uid="{00000000-0005-0000-0000-0000B5AA0000}"/>
    <cellStyle name="Normal 58 8 2 5 2 2" xfId="22814" xr:uid="{00000000-0005-0000-0000-0000B6AA0000}"/>
    <cellStyle name="Normal 58 8 2 5 2 2 2" xfId="47688" xr:uid="{00000000-0005-0000-0000-0000B7AA0000}"/>
    <cellStyle name="Normal 58 8 2 5 2 3" xfId="35255" xr:uid="{00000000-0005-0000-0000-0000B8AA0000}"/>
    <cellStyle name="Normal 58 8 2 5 3" xfId="5355" xr:uid="{00000000-0005-0000-0000-0000B9AA0000}"/>
    <cellStyle name="Normal 58 8 2 5 3 2" xfId="17807" xr:uid="{00000000-0005-0000-0000-0000BAAA0000}"/>
    <cellStyle name="Normal 58 8 2 5 3 2 2" xfId="42681" xr:uid="{00000000-0005-0000-0000-0000BBAA0000}"/>
    <cellStyle name="Normal 58 8 2 5 3 3" xfId="30248" xr:uid="{00000000-0005-0000-0000-0000BCAA0000}"/>
    <cellStyle name="Normal 58 8 2 5 4" xfId="14010" xr:uid="{00000000-0005-0000-0000-0000BDAA0000}"/>
    <cellStyle name="Normal 58 8 2 5 4 2" xfId="38884" xr:uid="{00000000-0005-0000-0000-0000BEAA0000}"/>
    <cellStyle name="Normal 58 8 2 5 5" xfId="26443" xr:uid="{00000000-0005-0000-0000-0000BFAA0000}"/>
    <cellStyle name="Normal 58 8 2 6" xfId="7932" xr:uid="{00000000-0005-0000-0000-0000C0AA0000}"/>
    <cellStyle name="Normal 58 8 2 6 2" xfId="20378" xr:uid="{00000000-0005-0000-0000-0000C1AA0000}"/>
    <cellStyle name="Normal 58 8 2 6 2 2" xfId="45252" xr:uid="{00000000-0005-0000-0000-0000C2AA0000}"/>
    <cellStyle name="Normal 58 8 2 6 3" xfId="32819" xr:uid="{00000000-0005-0000-0000-0000C3AA0000}"/>
    <cellStyle name="Normal 58 8 2 7" xfId="11825" xr:uid="{00000000-0005-0000-0000-0000C4AA0000}"/>
    <cellStyle name="Normal 58 8 2 7 2" xfId="24259" xr:uid="{00000000-0005-0000-0000-0000C5AA0000}"/>
    <cellStyle name="Normal 58 8 2 7 2 2" xfId="49133" xr:uid="{00000000-0005-0000-0000-0000C6AA0000}"/>
    <cellStyle name="Normal 58 8 2 7 3" xfId="36700" xr:uid="{00000000-0005-0000-0000-0000C7AA0000}"/>
    <cellStyle name="Normal 58 8 2 8" xfId="6902" xr:uid="{00000000-0005-0000-0000-0000C8AA0000}"/>
    <cellStyle name="Normal 58 8 2 8 2" xfId="19351" xr:uid="{00000000-0005-0000-0000-0000C9AA0000}"/>
    <cellStyle name="Normal 58 8 2 8 2 2" xfId="44225" xr:uid="{00000000-0005-0000-0000-0000CAAA0000}"/>
    <cellStyle name="Normal 58 8 2 8 3" xfId="31792" xr:uid="{00000000-0005-0000-0000-0000CBAA0000}"/>
    <cellStyle name="Normal 58 8 2 9" xfId="2853" xr:uid="{00000000-0005-0000-0000-0000CCAA0000}"/>
    <cellStyle name="Normal 58 8 2 9 2" xfId="15371" xr:uid="{00000000-0005-0000-0000-0000CDAA0000}"/>
    <cellStyle name="Normal 58 8 2 9 2 2" xfId="40245" xr:uid="{00000000-0005-0000-0000-0000CEAA0000}"/>
    <cellStyle name="Normal 58 8 2 9 3" xfId="27804" xr:uid="{00000000-0005-0000-0000-0000CFAA0000}"/>
    <cellStyle name="Normal 58 8 2_Degree data" xfId="2547" xr:uid="{00000000-0005-0000-0000-0000D0AA0000}"/>
    <cellStyle name="Normal 58 8 3" xfId="607" xr:uid="{00000000-0005-0000-0000-0000D1AA0000}"/>
    <cellStyle name="Normal 58 8 3 2" xfId="1581" xr:uid="{00000000-0005-0000-0000-0000D2AA0000}"/>
    <cellStyle name="Normal 58 8 3 2 2" xfId="9104" xr:uid="{00000000-0005-0000-0000-0000D3AA0000}"/>
    <cellStyle name="Normal 58 8 3 2 2 2" xfId="21547" xr:uid="{00000000-0005-0000-0000-0000D4AA0000}"/>
    <cellStyle name="Normal 58 8 3 2 2 2 2" xfId="46421" xr:uid="{00000000-0005-0000-0000-0000D5AA0000}"/>
    <cellStyle name="Normal 58 8 3 2 2 3" xfId="33988" xr:uid="{00000000-0005-0000-0000-0000D6AA0000}"/>
    <cellStyle name="Normal 58 8 3 2 3" xfId="4086" xr:uid="{00000000-0005-0000-0000-0000D7AA0000}"/>
    <cellStyle name="Normal 58 8 3 2 3 2" xfId="16540" xr:uid="{00000000-0005-0000-0000-0000D8AA0000}"/>
    <cellStyle name="Normal 58 8 3 2 3 2 2" xfId="41414" xr:uid="{00000000-0005-0000-0000-0000D9AA0000}"/>
    <cellStyle name="Normal 58 8 3 2 3 3" xfId="28981" xr:uid="{00000000-0005-0000-0000-0000DAAA0000}"/>
    <cellStyle name="Normal 58 8 3 2 4" xfId="14381" xr:uid="{00000000-0005-0000-0000-0000DBAA0000}"/>
    <cellStyle name="Normal 58 8 3 2 4 2" xfId="39255" xr:uid="{00000000-0005-0000-0000-0000DCAA0000}"/>
    <cellStyle name="Normal 58 8 3 2 5" xfId="26814" xr:uid="{00000000-0005-0000-0000-0000DDAA0000}"/>
    <cellStyle name="Normal 58 8 3 3" xfId="5726" xr:uid="{00000000-0005-0000-0000-0000DEAA0000}"/>
    <cellStyle name="Normal 58 8 3 3 2" xfId="10742" xr:uid="{00000000-0005-0000-0000-0000DFAA0000}"/>
    <cellStyle name="Normal 58 8 3 3 2 2" xfId="23185" xr:uid="{00000000-0005-0000-0000-0000E0AA0000}"/>
    <cellStyle name="Normal 58 8 3 3 2 2 2" xfId="48059" xr:uid="{00000000-0005-0000-0000-0000E1AA0000}"/>
    <cellStyle name="Normal 58 8 3 3 2 3" xfId="35626" xr:uid="{00000000-0005-0000-0000-0000E2AA0000}"/>
    <cellStyle name="Normal 58 8 3 3 3" xfId="18178" xr:uid="{00000000-0005-0000-0000-0000E3AA0000}"/>
    <cellStyle name="Normal 58 8 3 3 3 2" xfId="43052" xr:uid="{00000000-0005-0000-0000-0000E4AA0000}"/>
    <cellStyle name="Normal 58 8 3 3 4" xfId="30619" xr:uid="{00000000-0005-0000-0000-0000E5AA0000}"/>
    <cellStyle name="Normal 58 8 3 4" xfId="8220" xr:uid="{00000000-0005-0000-0000-0000E6AA0000}"/>
    <cellStyle name="Normal 58 8 3 4 2" xfId="20664" xr:uid="{00000000-0005-0000-0000-0000E7AA0000}"/>
    <cellStyle name="Normal 58 8 3 4 2 2" xfId="45538" xr:uid="{00000000-0005-0000-0000-0000E8AA0000}"/>
    <cellStyle name="Normal 58 8 3 4 3" xfId="33105" xr:uid="{00000000-0005-0000-0000-0000E9AA0000}"/>
    <cellStyle name="Normal 58 8 3 5" xfId="12196" xr:uid="{00000000-0005-0000-0000-0000EAAA0000}"/>
    <cellStyle name="Normal 58 8 3 5 2" xfId="24630" xr:uid="{00000000-0005-0000-0000-0000EBAA0000}"/>
    <cellStyle name="Normal 58 8 3 5 2 2" xfId="49504" xr:uid="{00000000-0005-0000-0000-0000ECAA0000}"/>
    <cellStyle name="Normal 58 8 3 5 3" xfId="37071" xr:uid="{00000000-0005-0000-0000-0000EDAA0000}"/>
    <cellStyle name="Normal 58 8 3 6" xfId="6697" xr:uid="{00000000-0005-0000-0000-0000EEAA0000}"/>
    <cellStyle name="Normal 58 8 3 6 2" xfId="19146" xr:uid="{00000000-0005-0000-0000-0000EFAA0000}"/>
    <cellStyle name="Normal 58 8 3 6 2 2" xfId="44020" xr:uid="{00000000-0005-0000-0000-0000F0AA0000}"/>
    <cellStyle name="Normal 58 8 3 6 3" xfId="31587" xr:uid="{00000000-0005-0000-0000-0000F1AA0000}"/>
    <cellStyle name="Normal 58 8 3 7" xfId="3151" xr:uid="{00000000-0005-0000-0000-0000F2AA0000}"/>
    <cellStyle name="Normal 58 8 3 7 2" xfId="15657" xr:uid="{00000000-0005-0000-0000-0000F3AA0000}"/>
    <cellStyle name="Normal 58 8 3 7 2 2" xfId="40531" xr:uid="{00000000-0005-0000-0000-0000F4AA0000}"/>
    <cellStyle name="Normal 58 8 3 7 3" xfId="28090" xr:uid="{00000000-0005-0000-0000-0000F5AA0000}"/>
    <cellStyle name="Normal 58 8 3 8" xfId="13414" xr:uid="{00000000-0005-0000-0000-0000F6AA0000}"/>
    <cellStyle name="Normal 58 8 3 8 2" xfId="38288" xr:uid="{00000000-0005-0000-0000-0000F7AA0000}"/>
    <cellStyle name="Normal 58 8 3 9" xfId="25847" xr:uid="{00000000-0005-0000-0000-0000F8AA0000}"/>
    <cellStyle name="Normal 58 8 4" xfId="1929" xr:uid="{00000000-0005-0000-0000-0000F9AA0000}"/>
    <cellStyle name="Normal 58 8 4 2" xfId="4667" xr:uid="{00000000-0005-0000-0000-0000FAAA0000}"/>
    <cellStyle name="Normal 58 8 4 2 2" xfId="9685" xr:uid="{00000000-0005-0000-0000-0000FBAA0000}"/>
    <cellStyle name="Normal 58 8 4 2 2 2" xfId="22128" xr:uid="{00000000-0005-0000-0000-0000FCAA0000}"/>
    <cellStyle name="Normal 58 8 4 2 2 2 2" xfId="47002" xr:uid="{00000000-0005-0000-0000-0000FDAA0000}"/>
    <cellStyle name="Normal 58 8 4 2 2 3" xfId="34569" xr:uid="{00000000-0005-0000-0000-0000FEAA0000}"/>
    <cellStyle name="Normal 58 8 4 2 3" xfId="17121" xr:uid="{00000000-0005-0000-0000-0000FFAA0000}"/>
    <cellStyle name="Normal 58 8 4 2 3 2" xfId="41995" xr:uid="{00000000-0005-0000-0000-000000AB0000}"/>
    <cellStyle name="Normal 58 8 4 2 4" xfId="29562" xr:uid="{00000000-0005-0000-0000-000001AB0000}"/>
    <cellStyle name="Normal 58 8 4 3" xfId="6075" xr:uid="{00000000-0005-0000-0000-000002AB0000}"/>
    <cellStyle name="Normal 58 8 4 3 2" xfId="11090" xr:uid="{00000000-0005-0000-0000-000003AB0000}"/>
    <cellStyle name="Normal 58 8 4 3 2 2" xfId="23533" xr:uid="{00000000-0005-0000-0000-000004AB0000}"/>
    <cellStyle name="Normal 58 8 4 3 2 2 2" xfId="48407" xr:uid="{00000000-0005-0000-0000-000005AB0000}"/>
    <cellStyle name="Normal 58 8 4 3 2 3" xfId="35974" xr:uid="{00000000-0005-0000-0000-000006AB0000}"/>
    <cellStyle name="Normal 58 8 4 3 3" xfId="18526" xr:uid="{00000000-0005-0000-0000-000007AB0000}"/>
    <cellStyle name="Normal 58 8 4 3 3 2" xfId="43400" xr:uid="{00000000-0005-0000-0000-000008AB0000}"/>
    <cellStyle name="Normal 58 8 4 3 4" xfId="30967" xr:uid="{00000000-0005-0000-0000-000009AB0000}"/>
    <cellStyle name="Normal 58 8 4 4" xfId="8801" xr:uid="{00000000-0005-0000-0000-00000AAB0000}"/>
    <cellStyle name="Normal 58 8 4 4 2" xfId="21245" xr:uid="{00000000-0005-0000-0000-00000BAB0000}"/>
    <cellStyle name="Normal 58 8 4 4 2 2" xfId="46119" xr:uid="{00000000-0005-0000-0000-00000CAB0000}"/>
    <cellStyle name="Normal 58 8 4 4 3" xfId="33686" xr:uid="{00000000-0005-0000-0000-00000DAB0000}"/>
    <cellStyle name="Normal 58 8 4 5" xfId="12544" xr:uid="{00000000-0005-0000-0000-00000EAB0000}"/>
    <cellStyle name="Normal 58 8 4 5 2" xfId="24978" xr:uid="{00000000-0005-0000-0000-00000FAB0000}"/>
    <cellStyle name="Normal 58 8 4 5 2 2" xfId="49852" xr:uid="{00000000-0005-0000-0000-000010AB0000}"/>
    <cellStyle name="Normal 58 8 4 5 3" xfId="37419" xr:uid="{00000000-0005-0000-0000-000011AB0000}"/>
    <cellStyle name="Normal 58 8 4 6" xfId="7278" xr:uid="{00000000-0005-0000-0000-000012AB0000}"/>
    <cellStyle name="Normal 58 8 4 6 2" xfId="19727" xr:uid="{00000000-0005-0000-0000-000013AB0000}"/>
    <cellStyle name="Normal 58 8 4 6 2 2" xfId="44601" xr:uid="{00000000-0005-0000-0000-000014AB0000}"/>
    <cellStyle name="Normal 58 8 4 6 3" xfId="32168" xr:uid="{00000000-0005-0000-0000-000015AB0000}"/>
    <cellStyle name="Normal 58 8 4 7" xfId="3732" xr:uid="{00000000-0005-0000-0000-000016AB0000}"/>
    <cellStyle name="Normal 58 8 4 7 2" xfId="16238" xr:uid="{00000000-0005-0000-0000-000017AB0000}"/>
    <cellStyle name="Normal 58 8 4 7 2 2" xfId="41112" xr:uid="{00000000-0005-0000-0000-000018AB0000}"/>
    <cellStyle name="Normal 58 8 4 7 3" xfId="28671" xr:uid="{00000000-0005-0000-0000-000019AB0000}"/>
    <cellStyle name="Normal 58 8 4 8" xfId="14729" xr:uid="{00000000-0005-0000-0000-00001AAB0000}"/>
    <cellStyle name="Normal 58 8 4 8 2" xfId="39603" xr:uid="{00000000-0005-0000-0000-00001BAB0000}"/>
    <cellStyle name="Normal 58 8 4 9" xfId="27162" xr:uid="{00000000-0005-0000-0000-00001CAB0000}"/>
    <cellStyle name="Normal 58 8 5" xfId="2163" xr:uid="{00000000-0005-0000-0000-00001DAB0000}"/>
    <cellStyle name="Normal 58 8 5 2" xfId="4796" xr:uid="{00000000-0005-0000-0000-00001EAB0000}"/>
    <cellStyle name="Normal 58 8 5 2 2" xfId="9813" xr:uid="{00000000-0005-0000-0000-00001FAB0000}"/>
    <cellStyle name="Normal 58 8 5 2 2 2" xfId="22256" xr:uid="{00000000-0005-0000-0000-000020AB0000}"/>
    <cellStyle name="Normal 58 8 5 2 2 2 2" xfId="47130" xr:uid="{00000000-0005-0000-0000-000021AB0000}"/>
    <cellStyle name="Normal 58 8 5 2 2 3" xfId="34697" xr:uid="{00000000-0005-0000-0000-000022AB0000}"/>
    <cellStyle name="Normal 58 8 5 2 3" xfId="17249" xr:uid="{00000000-0005-0000-0000-000023AB0000}"/>
    <cellStyle name="Normal 58 8 5 2 3 2" xfId="42123" xr:uid="{00000000-0005-0000-0000-000024AB0000}"/>
    <cellStyle name="Normal 58 8 5 2 4" xfId="29690" xr:uid="{00000000-0005-0000-0000-000025AB0000}"/>
    <cellStyle name="Normal 58 8 5 3" xfId="6194" xr:uid="{00000000-0005-0000-0000-000026AB0000}"/>
    <cellStyle name="Normal 58 8 5 3 2" xfId="11209" xr:uid="{00000000-0005-0000-0000-000027AB0000}"/>
    <cellStyle name="Normal 58 8 5 3 2 2" xfId="23652" xr:uid="{00000000-0005-0000-0000-000028AB0000}"/>
    <cellStyle name="Normal 58 8 5 3 2 2 2" xfId="48526" xr:uid="{00000000-0005-0000-0000-000029AB0000}"/>
    <cellStyle name="Normal 58 8 5 3 2 3" xfId="36093" xr:uid="{00000000-0005-0000-0000-00002AAB0000}"/>
    <cellStyle name="Normal 58 8 5 3 3" xfId="18645" xr:uid="{00000000-0005-0000-0000-00002BAB0000}"/>
    <cellStyle name="Normal 58 8 5 3 3 2" xfId="43519" xr:uid="{00000000-0005-0000-0000-00002CAB0000}"/>
    <cellStyle name="Normal 58 8 5 3 4" xfId="31086" xr:uid="{00000000-0005-0000-0000-00002DAB0000}"/>
    <cellStyle name="Normal 58 8 5 4" xfId="8106" xr:uid="{00000000-0005-0000-0000-00002EAB0000}"/>
    <cellStyle name="Normal 58 8 5 4 2" xfId="20552" xr:uid="{00000000-0005-0000-0000-00002FAB0000}"/>
    <cellStyle name="Normal 58 8 5 4 2 2" xfId="45426" xr:uid="{00000000-0005-0000-0000-000030AB0000}"/>
    <cellStyle name="Normal 58 8 5 4 3" xfId="32993" xr:uid="{00000000-0005-0000-0000-000031AB0000}"/>
    <cellStyle name="Normal 58 8 5 5" xfId="12663" xr:uid="{00000000-0005-0000-0000-000032AB0000}"/>
    <cellStyle name="Normal 58 8 5 5 2" xfId="25097" xr:uid="{00000000-0005-0000-0000-000033AB0000}"/>
    <cellStyle name="Normal 58 8 5 5 2 2" xfId="49971" xr:uid="{00000000-0005-0000-0000-000034AB0000}"/>
    <cellStyle name="Normal 58 8 5 5 3" xfId="37538" xr:uid="{00000000-0005-0000-0000-000035AB0000}"/>
    <cellStyle name="Normal 58 8 5 6" xfId="7407" xr:uid="{00000000-0005-0000-0000-000036AB0000}"/>
    <cellStyle name="Normal 58 8 5 6 2" xfId="19855" xr:uid="{00000000-0005-0000-0000-000037AB0000}"/>
    <cellStyle name="Normal 58 8 5 6 2 2" xfId="44729" xr:uid="{00000000-0005-0000-0000-000038AB0000}"/>
    <cellStyle name="Normal 58 8 5 6 3" xfId="32296" xr:uid="{00000000-0005-0000-0000-000039AB0000}"/>
    <cellStyle name="Normal 58 8 5 7" xfId="3036" xr:uid="{00000000-0005-0000-0000-00003AAB0000}"/>
    <cellStyle name="Normal 58 8 5 7 2" xfId="15545" xr:uid="{00000000-0005-0000-0000-00003BAB0000}"/>
    <cellStyle name="Normal 58 8 5 7 2 2" xfId="40419" xr:uid="{00000000-0005-0000-0000-00003CAB0000}"/>
    <cellStyle name="Normal 58 8 5 7 3" xfId="27978" xr:uid="{00000000-0005-0000-0000-00003DAB0000}"/>
    <cellStyle name="Normal 58 8 5 8" xfId="14848" xr:uid="{00000000-0005-0000-0000-00003EAB0000}"/>
    <cellStyle name="Normal 58 8 5 8 2" xfId="39722" xr:uid="{00000000-0005-0000-0000-00003FAB0000}"/>
    <cellStyle name="Normal 58 8 5 9" xfId="27281" xr:uid="{00000000-0005-0000-0000-000040AB0000}"/>
    <cellStyle name="Normal 58 8 6" xfId="1005" xr:uid="{00000000-0005-0000-0000-000041AB0000}"/>
    <cellStyle name="Normal 58 8 6 2" xfId="8992" xr:uid="{00000000-0005-0000-0000-000042AB0000}"/>
    <cellStyle name="Normal 58 8 6 2 2" xfId="21435" xr:uid="{00000000-0005-0000-0000-000043AB0000}"/>
    <cellStyle name="Normal 58 8 6 2 2 2" xfId="46309" xr:uid="{00000000-0005-0000-0000-000044AB0000}"/>
    <cellStyle name="Normal 58 8 6 2 3" xfId="33876" xr:uid="{00000000-0005-0000-0000-000045AB0000}"/>
    <cellStyle name="Normal 58 8 6 3" xfId="3974" xr:uid="{00000000-0005-0000-0000-000046AB0000}"/>
    <cellStyle name="Normal 58 8 6 3 2" xfId="16428" xr:uid="{00000000-0005-0000-0000-000047AB0000}"/>
    <cellStyle name="Normal 58 8 6 3 2 2" xfId="41302" xr:uid="{00000000-0005-0000-0000-000048AB0000}"/>
    <cellStyle name="Normal 58 8 6 3 3" xfId="28869" xr:uid="{00000000-0005-0000-0000-000049AB0000}"/>
    <cellStyle name="Normal 58 8 6 4" xfId="13805" xr:uid="{00000000-0005-0000-0000-00004AAB0000}"/>
    <cellStyle name="Normal 58 8 6 4 2" xfId="38679" xr:uid="{00000000-0005-0000-0000-00004BAB0000}"/>
    <cellStyle name="Normal 58 8 6 5" xfId="26238" xr:uid="{00000000-0005-0000-0000-00004CAB0000}"/>
    <cellStyle name="Normal 58 8 7" xfId="5150" xr:uid="{00000000-0005-0000-0000-00004DAB0000}"/>
    <cellStyle name="Normal 58 8 7 2" xfId="10166" xr:uid="{00000000-0005-0000-0000-00004EAB0000}"/>
    <cellStyle name="Normal 58 8 7 2 2" xfId="22609" xr:uid="{00000000-0005-0000-0000-00004FAB0000}"/>
    <cellStyle name="Normal 58 8 7 2 2 2" xfId="47483" xr:uid="{00000000-0005-0000-0000-000050AB0000}"/>
    <cellStyle name="Normal 58 8 7 2 3" xfId="35050" xr:uid="{00000000-0005-0000-0000-000051AB0000}"/>
    <cellStyle name="Normal 58 8 7 3" xfId="17602" xr:uid="{00000000-0005-0000-0000-000052AB0000}"/>
    <cellStyle name="Normal 58 8 7 3 2" xfId="42476" xr:uid="{00000000-0005-0000-0000-000053AB0000}"/>
    <cellStyle name="Normal 58 8 7 4" xfId="30043" xr:uid="{00000000-0005-0000-0000-000054AB0000}"/>
    <cellStyle name="Normal 58 8 8" xfId="7727" xr:uid="{00000000-0005-0000-0000-000055AB0000}"/>
    <cellStyle name="Normal 58 8 8 2" xfId="20173" xr:uid="{00000000-0005-0000-0000-000056AB0000}"/>
    <cellStyle name="Normal 58 8 8 2 2" xfId="45047" xr:uid="{00000000-0005-0000-0000-000057AB0000}"/>
    <cellStyle name="Normal 58 8 8 3" xfId="32614" xr:uid="{00000000-0005-0000-0000-000058AB0000}"/>
    <cellStyle name="Normal 58 8 9" xfId="11620" xr:uid="{00000000-0005-0000-0000-000059AB0000}"/>
    <cellStyle name="Normal 58 8 9 2" xfId="24054" xr:uid="{00000000-0005-0000-0000-00005AAB0000}"/>
    <cellStyle name="Normal 58 8 9 2 2" xfId="48928" xr:uid="{00000000-0005-0000-0000-00005BAB0000}"/>
    <cellStyle name="Normal 58 8 9 3" xfId="36495" xr:uid="{00000000-0005-0000-0000-00005CAB0000}"/>
    <cellStyle name="Normal 58 8_Degree data" xfId="2546" xr:uid="{00000000-0005-0000-0000-00005DAB0000}"/>
    <cellStyle name="Normal 58 9" xfId="515" xr:uid="{00000000-0005-0000-0000-00005EAB0000}"/>
    <cellStyle name="Normal 58 9 10" xfId="2909" xr:uid="{00000000-0005-0000-0000-00005FAB0000}"/>
    <cellStyle name="Normal 58 9 10 2" xfId="15427" xr:uid="{00000000-0005-0000-0000-000060AB0000}"/>
    <cellStyle name="Normal 58 9 10 2 2" xfId="40301" xr:uid="{00000000-0005-0000-0000-000061AB0000}"/>
    <cellStyle name="Normal 58 9 10 3" xfId="27860" xr:uid="{00000000-0005-0000-0000-000062AB0000}"/>
    <cellStyle name="Normal 58 9 11" xfId="13328" xr:uid="{00000000-0005-0000-0000-000063AB0000}"/>
    <cellStyle name="Normal 58 9 11 2" xfId="38202" xr:uid="{00000000-0005-0000-0000-000064AB0000}"/>
    <cellStyle name="Normal 58 9 12" xfId="25761" xr:uid="{00000000-0005-0000-0000-000065AB0000}"/>
    <cellStyle name="Normal 58 9 2" xfId="874" xr:uid="{00000000-0005-0000-0000-000066AB0000}"/>
    <cellStyle name="Normal 58 9 2 2" xfId="1583" xr:uid="{00000000-0005-0000-0000-000067AB0000}"/>
    <cellStyle name="Normal 58 9 2 2 2" xfId="9365" xr:uid="{00000000-0005-0000-0000-000068AB0000}"/>
    <cellStyle name="Normal 58 9 2 2 2 2" xfId="21808" xr:uid="{00000000-0005-0000-0000-000069AB0000}"/>
    <cellStyle name="Normal 58 9 2 2 2 2 2" xfId="46682" xr:uid="{00000000-0005-0000-0000-00006AAB0000}"/>
    <cellStyle name="Normal 58 9 2 2 2 3" xfId="34249" xr:uid="{00000000-0005-0000-0000-00006BAB0000}"/>
    <cellStyle name="Normal 58 9 2 2 3" xfId="4347" xr:uid="{00000000-0005-0000-0000-00006CAB0000}"/>
    <cellStyle name="Normal 58 9 2 2 3 2" xfId="16801" xr:uid="{00000000-0005-0000-0000-00006DAB0000}"/>
    <cellStyle name="Normal 58 9 2 2 3 2 2" xfId="41675" xr:uid="{00000000-0005-0000-0000-00006EAB0000}"/>
    <cellStyle name="Normal 58 9 2 2 3 3" xfId="29242" xr:uid="{00000000-0005-0000-0000-00006FAB0000}"/>
    <cellStyle name="Normal 58 9 2 2 4" xfId="14383" xr:uid="{00000000-0005-0000-0000-000070AB0000}"/>
    <cellStyle name="Normal 58 9 2 2 4 2" xfId="39257" xr:uid="{00000000-0005-0000-0000-000071AB0000}"/>
    <cellStyle name="Normal 58 9 2 2 5" xfId="26816" xr:uid="{00000000-0005-0000-0000-000072AB0000}"/>
    <cellStyle name="Normal 58 9 2 3" xfId="5728" xr:uid="{00000000-0005-0000-0000-000073AB0000}"/>
    <cellStyle name="Normal 58 9 2 3 2" xfId="10744" xr:uid="{00000000-0005-0000-0000-000074AB0000}"/>
    <cellStyle name="Normal 58 9 2 3 2 2" xfId="23187" xr:uid="{00000000-0005-0000-0000-000075AB0000}"/>
    <cellStyle name="Normal 58 9 2 3 2 2 2" xfId="48061" xr:uid="{00000000-0005-0000-0000-000076AB0000}"/>
    <cellStyle name="Normal 58 9 2 3 2 3" xfId="35628" xr:uid="{00000000-0005-0000-0000-000077AB0000}"/>
    <cellStyle name="Normal 58 9 2 3 3" xfId="18180" xr:uid="{00000000-0005-0000-0000-000078AB0000}"/>
    <cellStyle name="Normal 58 9 2 3 3 2" xfId="43054" xr:uid="{00000000-0005-0000-0000-000079AB0000}"/>
    <cellStyle name="Normal 58 9 2 3 4" xfId="30621" xr:uid="{00000000-0005-0000-0000-00007AAB0000}"/>
    <cellStyle name="Normal 58 9 2 4" xfId="8481" xr:uid="{00000000-0005-0000-0000-00007BAB0000}"/>
    <cellStyle name="Normal 58 9 2 4 2" xfId="20925" xr:uid="{00000000-0005-0000-0000-00007CAB0000}"/>
    <cellStyle name="Normal 58 9 2 4 2 2" xfId="45799" xr:uid="{00000000-0005-0000-0000-00007DAB0000}"/>
    <cellStyle name="Normal 58 9 2 4 3" xfId="33366" xr:uid="{00000000-0005-0000-0000-00007EAB0000}"/>
    <cellStyle name="Normal 58 9 2 5" xfId="12198" xr:uid="{00000000-0005-0000-0000-00007FAB0000}"/>
    <cellStyle name="Normal 58 9 2 5 2" xfId="24632" xr:uid="{00000000-0005-0000-0000-000080AB0000}"/>
    <cellStyle name="Normal 58 9 2 5 2 2" xfId="49506" xr:uid="{00000000-0005-0000-0000-000081AB0000}"/>
    <cellStyle name="Normal 58 9 2 5 3" xfId="37073" xr:uid="{00000000-0005-0000-0000-000082AB0000}"/>
    <cellStyle name="Normal 58 9 2 6" xfId="6958" xr:uid="{00000000-0005-0000-0000-000083AB0000}"/>
    <cellStyle name="Normal 58 9 2 6 2" xfId="19407" xr:uid="{00000000-0005-0000-0000-000084AB0000}"/>
    <cellStyle name="Normal 58 9 2 6 2 2" xfId="44281" xr:uid="{00000000-0005-0000-0000-000085AB0000}"/>
    <cellStyle name="Normal 58 9 2 6 3" xfId="31848" xr:uid="{00000000-0005-0000-0000-000086AB0000}"/>
    <cellStyle name="Normal 58 9 2 7" xfId="3412" xr:uid="{00000000-0005-0000-0000-000087AB0000}"/>
    <cellStyle name="Normal 58 9 2 7 2" xfId="15918" xr:uid="{00000000-0005-0000-0000-000088AB0000}"/>
    <cellStyle name="Normal 58 9 2 7 2 2" xfId="40792" xr:uid="{00000000-0005-0000-0000-000089AB0000}"/>
    <cellStyle name="Normal 58 9 2 7 3" xfId="28351" xr:uid="{00000000-0005-0000-0000-00008AAB0000}"/>
    <cellStyle name="Normal 58 9 2 8" xfId="13675" xr:uid="{00000000-0005-0000-0000-00008BAB0000}"/>
    <cellStyle name="Normal 58 9 2 8 2" xfId="38549" xr:uid="{00000000-0005-0000-0000-00008CAB0000}"/>
    <cellStyle name="Normal 58 9 2 9" xfId="26108" xr:uid="{00000000-0005-0000-0000-00008DAB0000}"/>
    <cellStyle name="Normal 58 9 3" xfId="1931" xr:uid="{00000000-0005-0000-0000-00008EAB0000}"/>
    <cellStyle name="Normal 58 9 3 2" xfId="4669" xr:uid="{00000000-0005-0000-0000-00008FAB0000}"/>
    <cellStyle name="Normal 58 9 3 2 2" xfId="9687" xr:uid="{00000000-0005-0000-0000-000090AB0000}"/>
    <cellStyle name="Normal 58 9 3 2 2 2" xfId="22130" xr:uid="{00000000-0005-0000-0000-000091AB0000}"/>
    <cellStyle name="Normal 58 9 3 2 2 2 2" xfId="47004" xr:uid="{00000000-0005-0000-0000-000092AB0000}"/>
    <cellStyle name="Normal 58 9 3 2 2 3" xfId="34571" xr:uid="{00000000-0005-0000-0000-000093AB0000}"/>
    <cellStyle name="Normal 58 9 3 2 3" xfId="17123" xr:uid="{00000000-0005-0000-0000-000094AB0000}"/>
    <cellStyle name="Normal 58 9 3 2 3 2" xfId="41997" xr:uid="{00000000-0005-0000-0000-000095AB0000}"/>
    <cellStyle name="Normal 58 9 3 2 4" xfId="29564" xr:uid="{00000000-0005-0000-0000-000096AB0000}"/>
    <cellStyle name="Normal 58 9 3 3" xfId="6077" xr:uid="{00000000-0005-0000-0000-000097AB0000}"/>
    <cellStyle name="Normal 58 9 3 3 2" xfId="11092" xr:uid="{00000000-0005-0000-0000-000098AB0000}"/>
    <cellStyle name="Normal 58 9 3 3 2 2" xfId="23535" xr:uid="{00000000-0005-0000-0000-000099AB0000}"/>
    <cellStyle name="Normal 58 9 3 3 2 2 2" xfId="48409" xr:uid="{00000000-0005-0000-0000-00009AAB0000}"/>
    <cellStyle name="Normal 58 9 3 3 2 3" xfId="35976" xr:uid="{00000000-0005-0000-0000-00009BAB0000}"/>
    <cellStyle name="Normal 58 9 3 3 3" xfId="18528" xr:uid="{00000000-0005-0000-0000-00009CAB0000}"/>
    <cellStyle name="Normal 58 9 3 3 3 2" xfId="43402" xr:uid="{00000000-0005-0000-0000-00009DAB0000}"/>
    <cellStyle name="Normal 58 9 3 3 4" xfId="30969" xr:uid="{00000000-0005-0000-0000-00009EAB0000}"/>
    <cellStyle name="Normal 58 9 3 4" xfId="8803" xr:uid="{00000000-0005-0000-0000-00009FAB0000}"/>
    <cellStyle name="Normal 58 9 3 4 2" xfId="21247" xr:uid="{00000000-0005-0000-0000-0000A0AB0000}"/>
    <cellStyle name="Normal 58 9 3 4 2 2" xfId="46121" xr:uid="{00000000-0005-0000-0000-0000A1AB0000}"/>
    <cellStyle name="Normal 58 9 3 4 3" xfId="33688" xr:uid="{00000000-0005-0000-0000-0000A2AB0000}"/>
    <cellStyle name="Normal 58 9 3 5" xfId="12546" xr:uid="{00000000-0005-0000-0000-0000A3AB0000}"/>
    <cellStyle name="Normal 58 9 3 5 2" xfId="24980" xr:uid="{00000000-0005-0000-0000-0000A4AB0000}"/>
    <cellStyle name="Normal 58 9 3 5 2 2" xfId="49854" xr:uid="{00000000-0005-0000-0000-0000A5AB0000}"/>
    <cellStyle name="Normal 58 9 3 5 3" xfId="37421" xr:uid="{00000000-0005-0000-0000-0000A6AB0000}"/>
    <cellStyle name="Normal 58 9 3 6" xfId="7280" xr:uid="{00000000-0005-0000-0000-0000A7AB0000}"/>
    <cellStyle name="Normal 58 9 3 6 2" xfId="19729" xr:uid="{00000000-0005-0000-0000-0000A8AB0000}"/>
    <cellStyle name="Normal 58 9 3 6 2 2" xfId="44603" xr:uid="{00000000-0005-0000-0000-0000A9AB0000}"/>
    <cellStyle name="Normal 58 9 3 6 3" xfId="32170" xr:uid="{00000000-0005-0000-0000-0000AAAB0000}"/>
    <cellStyle name="Normal 58 9 3 7" xfId="3734" xr:uid="{00000000-0005-0000-0000-0000ABAB0000}"/>
    <cellStyle name="Normal 58 9 3 7 2" xfId="16240" xr:uid="{00000000-0005-0000-0000-0000ACAB0000}"/>
    <cellStyle name="Normal 58 9 3 7 2 2" xfId="41114" xr:uid="{00000000-0005-0000-0000-0000ADAB0000}"/>
    <cellStyle name="Normal 58 9 3 7 3" xfId="28673" xr:uid="{00000000-0005-0000-0000-0000AEAB0000}"/>
    <cellStyle name="Normal 58 9 3 8" xfId="14731" xr:uid="{00000000-0005-0000-0000-0000AFAB0000}"/>
    <cellStyle name="Normal 58 9 3 8 2" xfId="39605" xr:uid="{00000000-0005-0000-0000-0000B0AB0000}"/>
    <cellStyle name="Normal 58 9 3 9" xfId="27164" xr:uid="{00000000-0005-0000-0000-0000B1AB0000}"/>
    <cellStyle name="Normal 58 9 4" xfId="2433" xr:uid="{00000000-0005-0000-0000-0000B2AB0000}"/>
    <cellStyle name="Normal 58 9 4 2" xfId="5057" xr:uid="{00000000-0005-0000-0000-0000B3AB0000}"/>
    <cellStyle name="Normal 58 9 4 2 2" xfId="10074" xr:uid="{00000000-0005-0000-0000-0000B4AB0000}"/>
    <cellStyle name="Normal 58 9 4 2 2 2" xfId="22517" xr:uid="{00000000-0005-0000-0000-0000B5AB0000}"/>
    <cellStyle name="Normal 58 9 4 2 2 2 2" xfId="47391" xr:uid="{00000000-0005-0000-0000-0000B6AB0000}"/>
    <cellStyle name="Normal 58 9 4 2 2 3" xfId="34958" xr:uid="{00000000-0005-0000-0000-0000B7AB0000}"/>
    <cellStyle name="Normal 58 9 4 2 3" xfId="17510" xr:uid="{00000000-0005-0000-0000-0000B8AB0000}"/>
    <cellStyle name="Normal 58 9 4 2 3 2" xfId="42384" xr:uid="{00000000-0005-0000-0000-0000B9AB0000}"/>
    <cellStyle name="Normal 58 9 4 2 4" xfId="29951" xr:uid="{00000000-0005-0000-0000-0000BAAB0000}"/>
    <cellStyle name="Normal 58 9 4 3" xfId="6455" xr:uid="{00000000-0005-0000-0000-0000BBAB0000}"/>
    <cellStyle name="Normal 58 9 4 3 2" xfId="11470" xr:uid="{00000000-0005-0000-0000-0000BCAB0000}"/>
    <cellStyle name="Normal 58 9 4 3 2 2" xfId="23913" xr:uid="{00000000-0005-0000-0000-0000BDAB0000}"/>
    <cellStyle name="Normal 58 9 4 3 2 2 2" xfId="48787" xr:uid="{00000000-0005-0000-0000-0000BEAB0000}"/>
    <cellStyle name="Normal 58 9 4 3 2 3" xfId="36354" xr:uid="{00000000-0005-0000-0000-0000BFAB0000}"/>
    <cellStyle name="Normal 58 9 4 3 3" xfId="18906" xr:uid="{00000000-0005-0000-0000-0000C0AB0000}"/>
    <cellStyle name="Normal 58 9 4 3 3 2" xfId="43780" xr:uid="{00000000-0005-0000-0000-0000C1AB0000}"/>
    <cellStyle name="Normal 58 9 4 3 4" xfId="31347" xr:uid="{00000000-0005-0000-0000-0000C2AB0000}"/>
    <cellStyle name="Normal 58 9 4 4" xfId="8162" xr:uid="{00000000-0005-0000-0000-0000C3AB0000}"/>
    <cellStyle name="Normal 58 9 4 4 2" xfId="20608" xr:uid="{00000000-0005-0000-0000-0000C4AB0000}"/>
    <cellStyle name="Normal 58 9 4 4 2 2" xfId="45482" xr:uid="{00000000-0005-0000-0000-0000C5AB0000}"/>
    <cellStyle name="Normal 58 9 4 4 3" xfId="33049" xr:uid="{00000000-0005-0000-0000-0000C6AB0000}"/>
    <cellStyle name="Normal 58 9 4 5" xfId="12924" xr:uid="{00000000-0005-0000-0000-0000C7AB0000}"/>
    <cellStyle name="Normal 58 9 4 5 2" xfId="25358" xr:uid="{00000000-0005-0000-0000-0000C8AB0000}"/>
    <cellStyle name="Normal 58 9 4 5 2 2" xfId="50232" xr:uid="{00000000-0005-0000-0000-0000C9AB0000}"/>
    <cellStyle name="Normal 58 9 4 5 3" xfId="37799" xr:uid="{00000000-0005-0000-0000-0000CAAB0000}"/>
    <cellStyle name="Normal 58 9 4 6" xfId="7668" xr:uid="{00000000-0005-0000-0000-0000CBAB0000}"/>
    <cellStyle name="Normal 58 9 4 6 2" xfId="20116" xr:uid="{00000000-0005-0000-0000-0000CCAB0000}"/>
    <cellStyle name="Normal 58 9 4 6 2 2" xfId="44990" xr:uid="{00000000-0005-0000-0000-0000CDAB0000}"/>
    <cellStyle name="Normal 58 9 4 6 3" xfId="32557" xr:uid="{00000000-0005-0000-0000-0000CEAB0000}"/>
    <cellStyle name="Normal 58 9 4 7" xfId="3092" xr:uid="{00000000-0005-0000-0000-0000CFAB0000}"/>
    <cellStyle name="Normal 58 9 4 7 2" xfId="15601" xr:uid="{00000000-0005-0000-0000-0000D0AB0000}"/>
    <cellStyle name="Normal 58 9 4 7 2 2" xfId="40475" xr:uid="{00000000-0005-0000-0000-0000D1AB0000}"/>
    <cellStyle name="Normal 58 9 4 7 3" xfId="28034" xr:uid="{00000000-0005-0000-0000-0000D2AB0000}"/>
    <cellStyle name="Normal 58 9 4 8" xfId="15109" xr:uid="{00000000-0005-0000-0000-0000D3AB0000}"/>
    <cellStyle name="Normal 58 9 4 8 2" xfId="39983" xr:uid="{00000000-0005-0000-0000-0000D4AB0000}"/>
    <cellStyle name="Normal 58 9 4 9" xfId="27542" xr:uid="{00000000-0005-0000-0000-0000D5AB0000}"/>
    <cellStyle name="Normal 58 9 5" xfId="1266" xr:uid="{00000000-0005-0000-0000-0000D6AB0000}"/>
    <cellStyle name="Normal 58 9 5 2" xfId="9048" xr:uid="{00000000-0005-0000-0000-0000D7AB0000}"/>
    <cellStyle name="Normal 58 9 5 2 2" xfId="21491" xr:uid="{00000000-0005-0000-0000-0000D8AB0000}"/>
    <cellStyle name="Normal 58 9 5 2 2 2" xfId="46365" xr:uid="{00000000-0005-0000-0000-0000D9AB0000}"/>
    <cellStyle name="Normal 58 9 5 2 3" xfId="33932" xr:uid="{00000000-0005-0000-0000-0000DAAB0000}"/>
    <cellStyle name="Normal 58 9 5 3" xfId="4030" xr:uid="{00000000-0005-0000-0000-0000DBAB0000}"/>
    <cellStyle name="Normal 58 9 5 3 2" xfId="16484" xr:uid="{00000000-0005-0000-0000-0000DCAB0000}"/>
    <cellStyle name="Normal 58 9 5 3 2 2" xfId="41358" xr:uid="{00000000-0005-0000-0000-0000DDAB0000}"/>
    <cellStyle name="Normal 58 9 5 3 3" xfId="28925" xr:uid="{00000000-0005-0000-0000-0000DEAB0000}"/>
    <cellStyle name="Normal 58 9 5 4" xfId="14066" xr:uid="{00000000-0005-0000-0000-0000DFAB0000}"/>
    <cellStyle name="Normal 58 9 5 4 2" xfId="38940" xr:uid="{00000000-0005-0000-0000-0000E0AB0000}"/>
    <cellStyle name="Normal 58 9 5 5" xfId="26499" xr:uid="{00000000-0005-0000-0000-0000E1AB0000}"/>
    <cellStyle name="Normal 58 9 6" xfId="5411" xr:uid="{00000000-0005-0000-0000-0000E2AB0000}"/>
    <cellStyle name="Normal 58 9 6 2" xfId="10427" xr:uid="{00000000-0005-0000-0000-0000E3AB0000}"/>
    <cellStyle name="Normal 58 9 6 2 2" xfId="22870" xr:uid="{00000000-0005-0000-0000-0000E4AB0000}"/>
    <cellStyle name="Normal 58 9 6 2 2 2" xfId="47744" xr:uid="{00000000-0005-0000-0000-0000E5AB0000}"/>
    <cellStyle name="Normal 58 9 6 2 3" xfId="35311" xr:uid="{00000000-0005-0000-0000-0000E6AB0000}"/>
    <cellStyle name="Normal 58 9 6 3" xfId="17863" xr:uid="{00000000-0005-0000-0000-0000E7AB0000}"/>
    <cellStyle name="Normal 58 9 6 3 2" xfId="42737" xr:uid="{00000000-0005-0000-0000-0000E8AB0000}"/>
    <cellStyle name="Normal 58 9 6 4" xfId="30304" xr:uid="{00000000-0005-0000-0000-0000E9AB0000}"/>
    <cellStyle name="Normal 58 9 7" xfId="7988" xr:uid="{00000000-0005-0000-0000-0000EAAB0000}"/>
    <cellStyle name="Normal 58 9 7 2" xfId="20434" xr:uid="{00000000-0005-0000-0000-0000EBAB0000}"/>
    <cellStyle name="Normal 58 9 7 2 2" xfId="45308" xr:uid="{00000000-0005-0000-0000-0000ECAB0000}"/>
    <cellStyle name="Normal 58 9 7 3" xfId="32875" xr:uid="{00000000-0005-0000-0000-0000EDAB0000}"/>
    <cellStyle name="Normal 58 9 8" xfId="11881" xr:uid="{00000000-0005-0000-0000-0000EEAB0000}"/>
    <cellStyle name="Normal 58 9 8 2" xfId="24315" xr:uid="{00000000-0005-0000-0000-0000EFAB0000}"/>
    <cellStyle name="Normal 58 9 8 2 2" xfId="49189" xr:uid="{00000000-0005-0000-0000-0000F0AB0000}"/>
    <cellStyle name="Normal 58 9 8 3" xfId="36756" xr:uid="{00000000-0005-0000-0000-0000F1AB0000}"/>
    <cellStyle name="Normal 58 9 9" xfId="6641" xr:uid="{00000000-0005-0000-0000-0000F2AB0000}"/>
    <cellStyle name="Normal 58 9 9 2" xfId="19090" xr:uid="{00000000-0005-0000-0000-0000F3AB0000}"/>
    <cellStyle name="Normal 58 9 9 2 2" xfId="43964" xr:uid="{00000000-0005-0000-0000-0000F4AB0000}"/>
    <cellStyle name="Normal 58 9 9 3" xfId="31531" xr:uid="{00000000-0005-0000-0000-0000F5AB0000}"/>
    <cellStyle name="Normal 58 9_Degree data" xfId="2548" xr:uid="{00000000-0005-0000-0000-0000F6AB0000}"/>
    <cellStyle name="Normal 58_Degree data" xfId="2506" xr:uid="{00000000-0005-0000-0000-0000F7AB0000}"/>
    <cellStyle name="Normal 59" xfId="81" xr:uid="{00000000-0005-0000-0000-0000F8AB0000}"/>
    <cellStyle name="Normal 6" xfId="62" xr:uid="{00000000-0005-0000-0000-0000F9AB0000}"/>
    <cellStyle name="Normal 6 2 2" xfId="80" xr:uid="{00000000-0005-0000-0000-0000FAAB0000}"/>
    <cellStyle name="Normal 6_sreb progression tab 2 redo" xfId="69" xr:uid="{00000000-0005-0000-0000-0000FBAB0000}"/>
    <cellStyle name="Normal 60" xfId="242" xr:uid="{00000000-0005-0000-0000-0000FCAB0000}"/>
    <cellStyle name="Normal 60 2" xfId="605" xr:uid="{00000000-0005-0000-0000-0000FDAB0000}"/>
    <cellStyle name="Normal 60 3" xfId="2926" xr:uid="{00000000-0005-0000-0000-0000FEAB0000}"/>
    <cellStyle name="Normal 60_Degree data" xfId="2549" xr:uid="{00000000-0005-0000-0000-0000FFAB0000}"/>
    <cellStyle name="Normal 61" xfId="240" xr:uid="{00000000-0005-0000-0000-000000AC0000}"/>
    <cellStyle name="Normal 61 2" xfId="604" xr:uid="{00000000-0005-0000-0000-000001AC0000}"/>
    <cellStyle name="Normal 61 3" xfId="2927" xr:uid="{00000000-0005-0000-0000-000002AC0000}"/>
    <cellStyle name="Normal 61_Degree data" xfId="2550" xr:uid="{00000000-0005-0000-0000-000003AC0000}"/>
    <cellStyle name="Normal 62" xfId="204" xr:uid="{00000000-0005-0000-0000-000004AC0000}"/>
    <cellStyle name="Normal 62 2" xfId="571" xr:uid="{00000000-0005-0000-0000-000005AC0000}"/>
    <cellStyle name="Normal 62 3" xfId="2928" xr:uid="{00000000-0005-0000-0000-000006AC0000}"/>
    <cellStyle name="Normal 62_Degree data" xfId="2551" xr:uid="{00000000-0005-0000-0000-000007AC0000}"/>
    <cellStyle name="Normal 63" xfId="223" xr:uid="{00000000-0005-0000-0000-000008AC0000}"/>
    <cellStyle name="Normal 63 10" xfId="7710" xr:uid="{00000000-0005-0000-0000-000009AC0000}"/>
    <cellStyle name="Normal 63 10 2" xfId="20156" xr:uid="{00000000-0005-0000-0000-00000AAC0000}"/>
    <cellStyle name="Normal 63 10 2 2" xfId="45030" xr:uid="{00000000-0005-0000-0000-00000BAC0000}"/>
    <cellStyle name="Normal 63 10 3" xfId="32597" xr:uid="{00000000-0005-0000-0000-00000CAC0000}"/>
    <cellStyle name="Normal 63 11" xfId="11603" xr:uid="{00000000-0005-0000-0000-00000DAC0000}"/>
    <cellStyle name="Normal 63 11 2" xfId="24037" xr:uid="{00000000-0005-0000-0000-00000EAC0000}"/>
    <cellStyle name="Normal 63 11 2 2" xfId="48911" xr:uid="{00000000-0005-0000-0000-00000FAC0000}"/>
    <cellStyle name="Normal 63 11 3" xfId="36478" xr:uid="{00000000-0005-0000-0000-000010AC0000}"/>
    <cellStyle name="Normal 63 12" xfId="6499" xr:uid="{00000000-0005-0000-0000-000011AC0000}"/>
    <cellStyle name="Normal 63 12 2" xfId="18948" xr:uid="{00000000-0005-0000-0000-000012AC0000}"/>
    <cellStyle name="Normal 63 12 2 2" xfId="43822" xr:uid="{00000000-0005-0000-0000-000013AC0000}"/>
    <cellStyle name="Normal 63 12 3" xfId="31389" xr:uid="{00000000-0005-0000-0000-000014AC0000}"/>
    <cellStyle name="Normal 63 13" xfId="2631" xr:uid="{00000000-0005-0000-0000-000015AC0000}"/>
    <cellStyle name="Normal 63 13 2" xfId="15149" xr:uid="{00000000-0005-0000-0000-000016AC0000}"/>
    <cellStyle name="Normal 63 13 2 2" xfId="40023" xr:uid="{00000000-0005-0000-0000-000017AC0000}"/>
    <cellStyle name="Normal 63 13 3" xfId="27582" xr:uid="{00000000-0005-0000-0000-000018AC0000}"/>
    <cellStyle name="Normal 63 14" xfId="13050" xr:uid="{00000000-0005-0000-0000-000019AC0000}"/>
    <cellStyle name="Normal 63 14 2" xfId="37924" xr:uid="{00000000-0005-0000-0000-00001AAC0000}"/>
    <cellStyle name="Normal 63 15" xfId="25483" xr:uid="{00000000-0005-0000-0000-00001BAC0000}"/>
    <cellStyle name="Normal 63 2" xfId="264" xr:uid="{00000000-0005-0000-0000-00001CAC0000}"/>
    <cellStyle name="Normal 63 2 10" xfId="6604" xr:uid="{00000000-0005-0000-0000-00001DAC0000}"/>
    <cellStyle name="Normal 63 2 10 2" xfId="19053" xr:uid="{00000000-0005-0000-0000-00001EAC0000}"/>
    <cellStyle name="Normal 63 2 10 2 2" xfId="43927" xr:uid="{00000000-0005-0000-0000-00001FAC0000}"/>
    <cellStyle name="Normal 63 2 10 3" xfId="31494" xr:uid="{00000000-0005-0000-0000-000020AC0000}"/>
    <cellStyle name="Normal 63 2 11" xfId="2667" xr:uid="{00000000-0005-0000-0000-000021AC0000}"/>
    <cellStyle name="Normal 63 2 11 2" xfId="15185" xr:uid="{00000000-0005-0000-0000-000022AC0000}"/>
    <cellStyle name="Normal 63 2 11 2 2" xfId="40059" xr:uid="{00000000-0005-0000-0000-000023AC0000}"/>
    <cellStyle name="Normal 63 2 11 3" xfId="27618" xr:uid="{00000000-0005-0000-0000-000024AC0000}"/>
    <cellStyle name="Normal 63 2 12" xfId="13086" xr:uid="{00000000-0005-0000-0000-000025AC0000}"/>
    <cellStyle name="Normal 63 2 12 2" xfId="37960" xr:uid="{00000000-0005-0000-0000-000026AC0000}"/>
    <cellStyle name="Normal 63 2 13" xfId="25519" xr:uid="{00000000-0005-0000-0000-000027AC0000}"/>
    <cellStyle name="Normal 63 2 2" xfId="478" xr:uid="{00000000-0005-0000-0000-000028AC0000}"/>
    <cellStyle name="Normal 63 2 2 10" xfId="13291" xr:uid="{00000000-0005-0000-0000-000029AC0000}"/>
    <cellStyle name="Normal 63 2 2 10 2" xfId="38165" xr:uid="{00000000-0005-0000-0000-00002AAC0000}"/>
    <cellStyle name="Normal 63 2 2 11" xfId="25724" xr:uid="{00000000-0005-0000-0000-00002BAC0000}"/>
    <cellStyle name="Normal 63 2 2 2" xfId="837" xr:uid="{00000000-0005-0000-0000-00002CAC0000}"/>
    <cellStyle name="Normal 63 2 2 2 2" xfId="1586" xr:uid="{00000000-0005-0000-0000-00002DAC0000}"/>
    <cellStyle name="Normal 63 2 2 2 2 2" xfId="9690" xr:uid="{00000000-0005-0000-0000-00002EAC0000}"/>
    <cellStyle name="Normal 63 2 2 2 2 2 2" xfId="22133" xr:uid="{00000000-0005-0000-0000-00002FAC0000}"/>
    <cellStyle name="Normal 63 2 2 2 2 2 2 2" xfId="47007" xr:uid="{00000000-0005-0000-0000-000030AC0000}"/>
    <cellStyle name="Normal 63 2 2 2 2 2 3" xfId="34574" xr:uid="{00000000-0005-0000-0000-000031AC0000}"/>
    <cellStyle name="Normal 63 2 2 2 2 3" xfId="4672" xr:uid="{00000000-0005-0000-0000-000032AC0000}"/>
    <cellStyle name="Normal 63 2 2 2 2 3 2" xfId="17126" xr:uid="{00000000-0005-0000-0000-000033AC0000}"/>
    <cellStyle name="Normal 63 2 2 2 2 3 2 2" xfId="42000" xr:uid="{00000000-0005-0000-0000-000034AC0000}"/>
    <cellStyle name="Normal 63 2 2 2 2 3 3" xfId="29567" xr:uid="{00000000-0005-0000-0000-000035AC0000}"/>
    <cellStyle name="Normal 63 2 2 2 2 4" xfId="14386" xr:uid="{00000000-0005-0000-0000-000036AC0000}"/>
    <cellStyle name="Normal 63 2 2 2 2 4 2" xfId="39260" xr:uid="{00000000-0005-0000-0000-000037AC0000}"/>
    <cellStyle name="Normal 63 2 2 2 2 5" xfId="26819" xr:uid="{00000000-0005-0000-0000-000038AC0000}"/>
    <cellStyle name="Normal 63 2 2 2 3" xfId="5731" xr:uid="{00000000-0005-0000-0000-000039AC0000}"/>
    <cellStyle name="Normal 63 2 2 2 3 2" xfId="10747" xr:uid="{00000000-0005-0000-0000-00003AAC0000}"/>
    <cellStyle name="Normal 63 2 2 2 3 2 2" xfId="23190" xr:uid="{00000000-0005-0000-0000-00003BAC0000}"/>
    <cellStyle name="Normal 63 2 2 2 3 2 2 2" xfId="48064" xr:uid="{00000000-0005-0000-0000-00003CAC0000}"/>
    <cellStyle name="Normal 63 2 2 2 3 2 3" xfId="35631" xr:uid="{00000000-0005-0000-0000-00003DAC0000}"/>
    <cellStyle name="Normal 63 2 2 2 3 3" xfId="18183" xr:uid="{00000000-0005-0000-0000-00003EAC0000}"/>
    <cellStyle name="Normal 63 2 2 2 3 3 2" xfId="43057" xr:uid="{00000000-0005-0000-0000-00003FAC0000}"/>
    <cellStyle name="Normal 63 2 2 2 3 4" xfId="30624" xr:uid="{00000000-0005-0000-0000-000040AC0000}"/>
    <cellStyle name="Normal 63 2 2 2 4" xfId="8806" xr:uid="{00000000-0005-0000-0000-000041AC0000}"/>
    <cellStyle name="Normal 63 2 2 2 4 2" xfId="21250" xr:uid="{00000000-0005-0000-0000-000042AC0000}"/>
    <cellStyle name="Normal 63 2 2 2 4 2 2" xfId="46124" xr:uid="{00000000-0005-0000-0000-000043AC0000}"/>
    <cellStyle name="Normal 63 2 2 2 4 3" xfId="33691" xr:uid="{00000000-0005-0000-0000-000044AC0000}"/>
    <cellStyle name="Normal 63 2 2 2 5" xfId="12201" xr:uid="{00000000-0005-0000-0000-000045AC0000}"/>
    <cellStyle name="Normal 63 2 2 2 5 2" xfId="24635" xr:uid="{00000000-0005-0000-0000-000046AC0000}"/>
    <cellStyle name="Normal 63 2 2 2 5 2 2" xfId="49509" xr:uid="{00000000-0005-0000-0000-000047AC0000}"/>
    <cellStyle name="Normal 63 2 2 2 5 3" xfId="37076" xr:uid="{00000000-0005-0000-0000-000048AC0000}"/>
    <cellStyle name="Normal 63 2 2 2 6" xfId="7283" xr:uid="{00000000-0005-0000-0000-000049AC0000}"/>
    <cellStyle name="Normal 63 2 2 2 6 2" xfId="19732" xr:uid="{00000000-0005-0000-0000-00004AAC0000}"/>
    <cellStyle name="Normal 63 2 2 2 6 2 2" xfId="44606" xr:uid="{00000000-0005-0000-0000-00004BAC0000}"/>
    <cellStyle name="Normal 63 2 2 2 6 3" xfId="32173" xr:uid="{00000000-0005-0000-0000-00004CAC0000}"/>
    <cellStyle name="Normal 63 2 2 2 7" xfId="3737" xr:uid="{00000000-0005-0000-0000-00004DAC0000}"/>
    <cellStyle name="Normal 63 2 2 2 7 2" xfId="16243" xr:uid="{00000000-0005-0000-0000-00004EAC0000}"/>
    <cellStyle name="Normal 63 2 2 2 7 2 2" xfId="41117" xr:uid="{00000000-0005-0000-0000-00004FAC0000}"/>
    <cellStyle name="Normal 63 2 2 2 7 3" xfId="28676" xr:uid="{00000000-0005-0000-0000-000050AC0000}"/>
    <cellStyle name="Normal 63 2 2 2 8" xfId="13638" xr:uid="{00000000-0005-0000-0000-000051AC0000}"/>
    <cellStyle name="Normal 63 2 2 2 8 2" xfId="38512" xr:uid="{00000000-0005-0000-0000-000052AC0000}"/>
    <cellStyle name="Normal 63 2 2 2 9" xfId="26071" xr:uid="{00000000-0005-0000-0000-000053AC0000}"/>
    <cellStyle name="Normal 63 2 2 3" xfId="1934" xr:uid="{00000000-0005-0000-0000-000054AC0000}"/>
    <cellStyle name="Normal 63 2 2 3 2" xfId="5020" xr:uid="{00000000-0005-0000-0000-000055AC0000}"/>
    <cellStyle name="Normal 63 2 2 3 2 2" xfId="10037" xr:uid="{00000000-0005-0000-0000-000056AC0000}"/>
    <cellStyle name="Normal 63 2 2 3 2 2 2" xfId="22480" xr:uid="{00000000-0005-0000-0000-000057AC0000}"/>
    <cellStyle name="Normal 63 2 2 3 2 2 2 2" xfId="47354" xr:uid="{00000000-0005-0000-0000-000058AC0000}"/>
    <cellStyle name="Normal 63 2 2 3 2 2 3" xfId="34921" xr:uid="{00000000-0005-0000-0000-000059AC0000}"/>
    <cellStyle name="Normal 63 2 2 3 2 3" xfId="17473" xr:uid="{00000000-0005-0000-0000-00005AAC0000}"/>
    <cellStyle name="Normal 63 2 2 3 2 3 2" xfId="42347" xr:uid="{00000000-0005-0000-0000-00005BAC0000}"/>
    <cellStyle name="Normal 63 2 2 3 2 4" xfId="29914" xr:uid="{00000000-0005-0000-0000-00005CAC0000}"/>
    <cellStyle name="Normal 63 2 2 3 3" xfId="6080" xr:uid="{00000000-0005-0000-0000-00005DAC0000}"/>
    <cellStyle name="Normal 63 2 2 3 3 2" xfId="11095" xr:uid="{00000000-0005-0000-0000-00005EAC0000}"/>
    <cellStyle name="Normal 63 2 2 3 3 2 2" xfId="23538" xr:uid="{00000000-0005-0000-0000-00005FAC0000}"/>
    <cellStyle name="Normal 63 2 2 3 3 2 2 2" xfId="48412" xr:uid="{00000000-0005-0000-0000-000060AC0000}"/>
    <cellStyle name="Normal 63 2 2 3 3 2 3" xfId="35979" xr:uid="{00000000-0005-0000-0000-000061AC0000}"/>
    <cellStyle name="Normal 63 2 2 3 3 3" xfId="18531" xr:uid="{00000000-0005-0000-0000-000062AC0000}"/>
    <cellStyle name="Normal 63 2 2 3 3 3 2" xfId="43405" xr:uid="{00000000-0005-0000-0000-000063AC0000}"/>
    <cellStyle name="Normal 63 2 2 3 3 4" xfId="30972" xr:uid="{00000000-0005-0000-0000-000064AC0000}"/>
    <cellStyle name="Normal 63 2 2 3 4" xfId="8444" xr:uid="{00000000-0005-0000-0000-000065AC0000}"/>
    <cellStyle name="Normal 63 2 2 3 4 2" xfId="20888" xr:uid="{00000000-0005-0000-0000-000066AC0000}"/>
    <cellStyle name="Normal 63 2 2 3 4 2 2" xfId="45762" xr:uid="{00000000-0005-0000-0000-000067AC0000}"/>
    <cellStyle name="Normal 63 2 2 3 4 3" xfId="33329" xr:uid="{00000000-0005-0000-0000-000068AC0000}"/>
    <cellStyle name="Normal 63 2 2 3 5" xfId="12549" xr:uid="{00000000-0005-0000-0000-000069AC0000}"/>
    <cellStyle name="Normal 63 2 2 3 5 2" xfId="24983" xr:uid="{00000000-0005-0000-0000-00006AAC0000}"/>
    <cellStyle name="Normal 63 2 2 3 5 2 2" xfId="49857" xr:uid="{00000000-0005-0000-0000-00006BAC0000}"/>
    <cellStyle name="Normal 63 2 2 3 5 3" xfId="37424" xr:uid="{00000000-0005-0000-0000-00006CAC0000}"/>
    <cellStyle name="Normal 63 2 2 3 6" xfId="7631" xr:uid="{00000000-0005-0000-0000-00006DAC0000}"/>
    <cellStyle name="Normal 63 2 2 3 6 2" xfId="20079" xr:uid="{00000000-0005-0000-0000-00006EAC0000}"/>
    <cellStyle name="Normal 63 2 2 3 6 2 2" xfId="44953" xr:uid="{00000000-0005-0000-0000-00006FAC0000}"/>
    <cellStyle name="Normal 63 2 2 3 6 3" xfId="32520" xr:uid="{00000000-0005-0000-0000-000070AC0000}"/>
    <cellStyle name="Normal 63 2 2 3 7" xfId="3375" xr:uid="{00000000-0005-0000-0000-000071AC0000}"/>
    <cellStyle name="Normal 63 2 2 3 7 2" xfId="15881" xr:uid="{00000000-0005-0000-0000-000072AC0000}"/>
    <cellStyle name="Normal 63 2 2 3 7 2 2" xfId="40755" xr:uid="{00000000-0005-0000-0000-000073AC0000}"/>
    <cellStyle name="Normal 63 2 2 3 7 3" xfId="28314" xr:uid="{00000000-0005-0000-0000-000074AC0000}"/>
    <cellStyle name="Normal 63 2 2 3 8" xfId="14734" xr:uid="{00000000-0005-0000-0000-000075AC0000}"/>
    <cellStyle name="Normal 63 2 2 3 8 2" xfId="39608" xr:uid="{00000000-0005-0000-0000-000076AC0000}"/>
    <cellStyle name="Normal 63 2 2 3 9" xfId="27167" xr:uid="{00000000-0005-0000-0000-000077AC0000}"/>
    <cellStyle name="Normal 63 2 2 4" xfId="2396" xr:uid="{00000000-0005-0000-0000-000078AC0000}"/>
    <cellStyle name="Normal 63 2 2 4 2" xfId="6418" xr:uid="{00000000-0005-0000-0000-000079AC0000}"/>
    <cellStyle name="Normal 63 2 2 4 2 2" xfId="11433" xr:uid="{00000000-0005-0000-0000-00007AAC0000}"/>
    <cellStyle name="Normal 63 2 2 4 2 2 2" xfId="23876" xr:uid="{00000000-0005-0000-0000-00007BAC0000}"/>
    <cellStyle name="Normal 63 2 2 4 2 2 2 2" xfId="48750" xr:uid="{00000000-0005-0000-0000-00007CAC0000}"/>
    <cellStyle name="Normal 63 2 2 4 2 2 3" xfId="36317" xr:uid="{00000000-0005-0000-0000-00007DAC0000}"/>
    <cellStyle name="Normal 63 2 2 4 2 3" xfId="18869" xr:uid="{00000000-0005-0000-0000-00007EAC0000}"/>
    <cellStyle name="Normal 63 2 2 4 2 3 2" xfId="43743" xr:uid="{00000000-0005-0000-0000-00007FAC0000}"/>
    <cellStyle name="Normal 63 2 2 4 2 4" xfId="31310" xr:uid="{00000000-0005-0000-0000-000080AC0000}"/>
    <cellStyle name="Normal 63 2 2 4 3" xfId="12887" xr:uid="{00000000-0005-0000-0000-000081AC0000}"/>
    <cellStyle name="Normal 63 2 2 4 3 2" xfId="25321" xr:uid="{00000000-0005-0000-0000-000082AC0000}"/>
    <cellStyle name="Normal 63 2 2 4 3 2 2" xfId="50195" xr:uid="{00000000-0005-0000-0000-000083AC0000}"/>
    <cellStyle name="Normal 63 2 2 4 3 3" xfId="37762" xr:uid="{00000000-0005-0000-0000-000084AC0000}"/>
    <cellStyle name="Normal 63 2 2 4 4" xfId="9328" xr:uid="{00000000-0005-0000-0000-000085AC0000}"/>
    <cellStyle name="Normal 63 2 2 4 4 2" xfId="21771" xr:uid="{00000000-0005-0000-0000-000086AC0000}"/>
    <cellStyle name="Normal 63 2 2 4 4 2 2" xfId="46645" xr:uid="{00000000-0005-0000-0000-000087AC0000}"/>
    <cellStyle name="Normal 63 2 2 4 4 3" xfId="34212" xr:uid="{00000000-0005-0000-0000-000088AC0000}"/>
    <cellStyle name="Normal 63 2 2 4 5" xfId="4310" xr:uid="{00000000-0005-0000-0000-000089AC0000}"/>
    <cellStyle name="Normal 63 2 2 4 5 2" xfId="16764" xr:uid="{00000000-0005-0000-0000-00008AAC0000}"/>
    <cellStyle name="Normal 63 2 2 4 5 2 2" xfId="41638" xr:uid="{00000000-0005-0000-0000-00008BAC0000}"/>
    <cellStyle name="Normal 63 2 2 4 5 3" xfId="29205" xr:uid="{00000000-0005-0000-0000-00008CAC0000}"/>
    <cellStyle name="Normal 63 2 2 4 6" xfId="15072" xr:uid="{00000000-0005-0000-0000-00008DAC0000}"/>
    <cellStyle name="Normal 63 2 2 4 6 2" xfId="39946" xr:uid="{00000000-0005-0000-0000-00008EAC0000}"/>
    <cellStyle name="Normal 63 2 2 4 7" xfId="27505" xr:uid="{00000000-0005-0000-0000-00008FAC0000}"/>
    <cellStyle name="Normal 63 2 2 5" xfId="1229" xr:uid="{00000000-0005-0000-0000-000090AC0000}"/>
    <cellStyle name="Normal 63 2 2 5 2" xfId="10390" xr:uid="{00000000-0005-0000-0000-000091AC0000}"/>
    <cellStyle name="Normal 63 2 2 5 2 2" xfId="22833" xr:uid="{00000000-0005-0000-0000-000092AC0000}"/>
    <cellStyle name="Normal 63 2 2 5 2 2 2" xfId="47707" xr:uid="{00000000-0005-0000-0000-000093AC0000}"/>
    <cellStyle name="Normal 63 2 2 5 2 3" xfId="35274" xr:uid="{00000000-0005-0000-0000-000094AC0000}"/>
    <cellStyle name="Normal 63 2 2 5 3" xfId="5374" xr:uid="{00000000-0005-0000-0000-000095AC0000}"/>
    <cellStyle name="Normal 63 2 2 5 3 2" xfId="17826" xr:uid="{00000000-0005-0000-0000-000096AC0000}"/>
    <cellStyle name="Normal 63 2 2 5 3 2 2" xfId="42700" xr:uid="{00000000-0005-0000-0000-000097AC0000}"/>
    <cellStyle name="Normal 63 2 2 5 3 3" xfId="30267" xr:uid="{00000000-0005-0000-0000-000098AC0000}"/>
    <cellStyle name="Normal 63 2 2 5 4" xfId="14029" xr:uid="{00000000-0005-0000-0000-000099AC0000}"/>
    <cellStyle name="Normal 63 2 2 5 4 2" xfId="38903" xr:uid="{00000000-0005-0000-0000-00009AAC0000}"/>
    <cellStyle name="Normal 63 2 2 5 5" xfId="26462" xr:uid="{00000000-0005-0000-0000-00009BAC0000}"/>
    <cellStyle name="Normal 63 2 2 6" xfId="7951" xr:uid="{00000000-0005-0000-0000-00009CAC0000}"/>
    <cellStyle name="Normal 63 2 2 6 2" xfId="20397" xr:uid="{00000000-0005-0000-0000-00009DAC0000}"/>
    <cellStyle name="Normal 63 2 2 6 2 2" xfId="45271" xr:uid="{00000000-0005-0000-0000-00009EAC0000}"/>
    <cellStyle name="Normal 63 2 2 6 3" xfId="32838" xr:uid="{00000000-0005-0000-0000-00009FAC0000}"/>
    <cellStyle name="Normal 63 2 2 7" xfId="11844" xr:uid="{00000000-0005-0000-0000-0000A0AC0000}"/>
    <cellStyle name="Normal 63 2 2 7 2" xfId="24278" xr:uid="{00000000-0005-0000-0000-0000A1AC0000}"/>
    <cellStyle name="Normal 63 2 2 7 2 2" xfId="49152" xr:uid="{00000000-0005-0000-0000-0000A2AC0000}"/>
    <cellStyle name="Normal 63 2 2 7 3" xfId="36719" xr:uid="{00000000-0005-0000-0000-0000A3AC0000}"/>
    <cellStyle name="Normal 63 2 2 8" xfId="6921" xr:uid="{00000000-0005-0000-0000-0000A4AC0000}"/>
    <cellStyle name="Normal 63 2 2 8 2" xfId="19370" xr:uid="{00000000-0005-0000-0000-0000A5AC0000}"/>
    <cellStyle name="Normal 63 2 2 8 2 2" xfId="44244" xr:uid="{00000000-0005-0000-0000-0000A6AC0000}"/>
    <cellStyle name="Normal 63 2 2 8 3" xfId="31811" xr:uid="{00000000-0005-0000-0000-0000A7AC0000}"/>
    <cellStyle name="Normal 63 2 2 9" xfId="2872" xr:uid="{00000000-0005-0000-0000-0000A8AC0000}"/>
    <cellStyle name="Normal 63 2 2 9 2" xfId="15390" xr:uid="{00000000-0005-0000-0000-0000A9AC0000}"/>
    <cellStyle name="Normal 63 2 2 9 2 2" xfId="40264" xr:uid="{00000000-0005-0000-0000-0000AAAC0000}"/>
    <cellStyle name="Normal 63 2 2 9 3" xfId="27823" xr:uid="{00000000-0005-0000-0000-0000ABAC0000}"/>
    <cellStyle name="Normal 63 2 2_Degree data" xfId="2554" xr:uid="{00000000-0005-0000-0000-0000ACAC0000}"/>
    <cellStyle name="Normal 63 2 3" xfId="626" xr:uid="{00000000-0005-0000-0000-0000ADAC0000}"/>
    <cellStyle name="Normal 63 2 3 2" xfId="1585" xr:uid="{00000000-0005-0000-0000-0000AEAC0000}"/>
    <cellStyle name="Normal 63 2 3 2 2" xfId="9123" xr:uid="{00000000-0005-0000-0000-0000AFAC0000}"/>
    <cellStyle name="Normal 63 2 3 2 2 2" xfId="21566" xr:uid="{00000000-0005-0000-0000-0000B0AC0000}"/>
    <cellStyle name="Normal 63 2 3 2 2 2 2" xfId="46440" xr:uid="{00000000-0005-0000-0000-0000B1AC0000}"/>
    <cellStyle name="Normal 63 2 3 2 2 3" xfId="34007" xr:uid="{00000000-0005-0000-0000-0000B2AC0000}"/>
    <cellStyle name="Normal 63 2 3 2 3" xfId="4105" xr:uid="{00000000-0005-0000-0000-0000B3AC0000}"/>
    <cellStyle name="Normal 63 2 3 2 3 2" xfId="16559" xr:uid="{00000000-0005-0000-0000-0000B4AC0000}"/>
    <cellStyle name="Normal 63 2 3 2 3 2 2" xfId="41433" xr:uid="{00000000-0005-0000-0000-0000B5AC0000}"/>
    <cellStyle name="Normal 63 2 3 2 3 3" xfId="29000" xr:uid="{00000000-0005-0000-0000-0000B6AC0000}"/>
    <cellStyle name="Normal 63 2 3 2 4" xfId="14385" xr:uid="{00000000-0005-0000-0000-0000B7AC0000}"/>
    <cellStyle name="Normal 63 2 3 2 4 2" xfId="39259" xr:uid="{00000000-0005-0000-0000-0000B8AC0000}"/>
    <cellStyle name="Normal 63 2 3 2 5" xfId="26818" xr:uid="{00000000-0005-0000-0000-0000B9AC0000}"/>
    <cellStyle name="Normal 63 2 3 3" xfId="5730" xr:uid="{00000000-0005-0000-0000-0000BAAC0000}"/>
    <cellStyle name="Normal 63 2 3 3 2" xfId="10746" xr:uid="{00000000-0005-0000-0000-0000BBAC0000}"/>
    <cellStyle name="Normal 63 2 3 3 2 2" xfId="23189" xr:uid="{00000000-0005-0000-0000-0000BCAC0000}"/>
    <cellStyle name="Normal 63 2 3 3 2 2 2" xfId="48063" xr:uid="{00000000-0005-0000-0000-0000BDAC0000}"/>
    <cellStyle name="Normal 63 2 3 3 2 3" xfId="35630" xr:uid="{00000000-0005-0000-0000-0000BEAC0000}"/>
    <cellStyle name="Normal 63 2 3 3 3" xfId="18182" xr:uid="{00000000-0005-0000-0000-0000BFAC0000}"/>
    <cellStyle name="Normal 63 2 3 3 3 2" xfId="43056" xr:uid="{00000000-0005-0000-0000-0000C0AC0000}"/>
    <cellStyle name="Normal 63 2 3 3 4" xfId="30623" xr:uid="{00000000-0005-0000-0000-0000C1AC0000}"/>
    <cellStyle name="Normal 63 2 3 4" xfId="8239" xr:uid="{00000000-0005-0000-0000-0000C2AC0000}"/>
    <cellStyle name="Normal 63 2 3 4 2" xfId="20683" xr:uid="{00000000-0005-0000-0000-0000C3AC0000}"/>
    <cellStyle name="Normal 63 2 3 4 2 2" xfId="45557" xr:uid="{00000000-0005-0000-0000-0000C4AC0000}"/>
    <cellStyle name="Normal 63 2 3 4 3" xfId="33124" xr:uid="{00000000-0005-0000-0000-0000C5AC0000}"/>
    <cellStyle name="Normal 63 2 3 5" xfId="12200" xr:uid="{00000000-0005-0000-0000-0000C6AC0000}"/>
    <cellStyle name="Normal 63 2 3 5 2" xfId="24634" xr:uid="{00000000-0005-0000-0000-0000C7AC0000}"/>
    <cellStyle name="Normal 63 2 3 5 2 2" xfId="49508" xr:uid="{00000000-0005-0000-0000-0000C8AC0000}"/>
    <cellStyle name="Normal 63 2 3 5 3" xfId="37075" xr:uid="{00000000-0005-0000-0000-0000C9AC0000}"/>
    <cellStyle name="Normal 63 2 3 6" xfId="6716" xr:uid="{00000000-0005-0000-0000-0000CAAC0000}"/>
    <cellStyle name="Normal 63 2 3 6 2" xfId="19165" xr:uid="{00000000-0005-0000-0000-0000CBAC0000}"/>
    <cellStyle name="Normal 63 2 3 6 2 2" xfId="44039" xr:uid="{00000000-0005-0000-0000-0000CCAC0000}"/>
    <cellStyle name="Normal 63 2 3 6 3" xfId="31606" xr:uid="{00000000-0005-0000-0000-0000CDAC0000}"/>
    <cellStyle name="Normal 63 2 3 7" xfId="3170" xr:uid="{00000000-0005-0000-0000-0000CEAC0000}"/>
    <cellStyle name="Normal 63 2 3 7 2" xfId="15676" xr:uid="{00000000-0005-0000-0000-0000CFAC0000}"/>
    <cellStyle name="Normal 63 2 3 7 2 2" xfId="40550" xr:uid="{00000000-0005-0000-0000-0000D0AC0000}"/>
    <cellStyle name="Normal 63 2 3 7 3" xfId="28109" xr:uid="{00000000-0005-0000-0000-0000D1AC0000}"/>
    <cellStyle name="Normal 63 2 3 8" xfId="13433" xr:uid="{00000000-0005-0000-0000-0000D2AC0000}"/>
    <cellStyle name="Normal 63 2 3 8 2" xfId="38307" xr:uid="{00000000-0005-0000-0000-0000D3AC0000}"/>
    <cellStyle name="Normal 63 2 3 9" xfId="25866" xr:uid="{00000000-0005-0000-0000-0000D4AC0000}"/>
    <cellStyle name="Normal 63 2 4" xfId="1933" xr:uid="{00000000-0005-0000-0000-0000D5AC0000}"/>
    <cellStyle name="Normal 63 2 4 2" xfId="4671" xr:uid="{00000000-0005-0000-0000-0000D6AC0000}"/>
    <cellStyle name="Normal 63 2 4 2 2" xfId="9689" xr:uid="{00000000-0005-0000-0000-0000D7AC0000}"/>
    <cellStyle name="Normal 63 2 4 2 2 2" xfId="22132" xr:uid="{00000000-0005-0000-0000-0000D8AC0000}"/>
    <cellStyle name="Normal 63 2 4 2 2 2 2" xfId="47006" xr:uid="{00000000-0005-0000-0000-0000D9AC0000}"/>
    <cellStyle name="Normal 63 2 4 2 2 3" xfId="34573" xr:uid="{00000000-0005-0000-0000-0000DAAC0000}"/>
    <cellStyle name="Normal 63 2 4 2 3" xfId="17125" xr:uid="{00000000-0005-0000-0000-0000DBAC0000}"/>
    <cellStyle name="Normal 63 2 4 2 3 2" xfId="41999" xr:uid="{00000000-0005-0000-0000-0000DCAC0000}"/>
    <cellStyle name="Normal 63 2 4 2 4" xfId="29566" xr:uid="{00000000-0005-0000-0000-0000DDAC0000}"/>
    <cellStyle name="Normal 63 2 4 3" xfId="6079" xr:uid="{00000000-0005-0000-0000-0000DEAC0000}"/>
    <cellStyle name="Normal 63 2 4 3 2" xfId="11094" xr:uid="{00000000-0005-0000-0000-0000DFAC0000}"/>
    <cellStyle name="Normal 63 2 4 3 2 2" xfId="23537" xr:uid="{00000000-0005-0000-0000-0000E0AC0000}"/>
    <cellStyle name="Normal 63 2 4 3 2 2 2" xfId="48411" xr:uid="{00000000-0005-0000-0000-0000E1AC0000}"/>
    <cellStyle name="Normal 63 2 4 3 2 3" xfId="35978" xr:uid="{00000000-0005-0000-0000-0000E2AC0000}"/>
    <cellStyle name="Normal 63 2 4 3 3" xfId="18530" xr:uid="{00000000-0005-0000-0000-0000E3AC0000}"/>
    <cellStyle name="Normal 63 2 4 3 3 2" xfId="43404" xr:uid="{00000000-0005-0000-0000-0000E4AC0000}"/>
    <cellStyle name="Normal 63 2 4 3 4" xfId="30971" xr:uid="{00000000-0005-0000-0000-0000E5AC0000}"/>
    <cellStyle name="Normal 63 2 4 4" xfId="8805" xr:uid="{00000000-0005-0000-0000-0000E6AC0000}"/>
    <cellStyle name="Normal 63 2 4 4 2" xfId="21249" xr:uid="{00000000-0005-0000-0000-0000E7AC0000}"/>
    <cellStyle name="Normal 63 2 4 4 2 2" xfId="46123" xr:uid="{00000000-0005-0000-0000-0000E8AC0000}"/>
    <cellStyle name="Normal 63 2 4 4 3" xfId="33690" xr:uid="{00000000-0005-0000-0000-0000E9AC0000}"/>
    <cellStyle name="Normal 63 2 4 5" xfId="12548" xr:uid="{00000000-0005-0000-0000-0000EAAC0000}"/>
    <cellStyle name="Normal 63 2 4 5 2" xfId="24982" xr:uid="{00000000-0005-0000-0000-0000EBAC0000}"/>
    <cellStyle name="Normal 63 2 4 5 2 2" xfId="49856" xr:uid="{00000000-0005-0000-0000-0000ECAC0000}"/>
    <cellStyle name="Normal 63 2 4 5 3" xfId="37423" xr:uid="{00000000-0005-0000-0000-0000EDAC0000}"/>
    <cellStyle name="Normal 63 2 4 6" xfId="7282" xr:uid="{00000000-0005-0000-0000-0000EEAC0000}"/>
    <cellStyle name="Normal 63 2 4 6 2" xfId="19731" xr:uid="{00000000-0005-0000-0000-0000EFAC0000}"/>
    <cellStyle name="Normal 63 2 4 6 2 2" xfId="44605" xr:uid="{00000000-0005-0000-0000-0000F0AC0000}"/>
    <cellStyle name="Normal 63 2 4 6 3" xfId="32172" xr:uid="{00000000-0005-0000-0000-0000F1AC0000}"/>
    <cellStyle name="Normal 63 2 4 7" xfId="3736" xr:uid="{00000000-0005-0000-0000-0000F2AC0000}"/>
    <cellStyle name="Normal 63 2 4 7 2" xfId="16242" xr:uid="{00000000-0005-0000-0000-0000F3AC0000}"/>
    <cellStyle name="Normal 63 2 4 7 2 2" xfId="41116" xr:uid="{00000000-0005-0000-0000-0000F4AC0000}"/>
    <cellStyle name="Normal 63 2 4 7 3" xfId="28675" xr:uid="{00000000-0005-0000-0000-0000F5AC0000}"/>
    <cellStyle name="Normal 63 2 4 8" xfId="14733" xr:uid="{00000000-0005-0000-0000-0000F6AC0000}"/>
    <cellStyle name="Normal 63 2 4 8 2" xfId="39607" xr:uid="{00000000-0005-0000-0000-0000F7AC0000}"/>
    <cellStyle name="Normal 63 2 4 9" xfId="27166" xr:uid="{00000000-0005-0000-0000-0000F8AC0000}"/>
    <cellStyle name="Normal 63 2 5" xfId="2182" xr:uid="{00000000-0005-0000-0000-0000F9AC0000}"/>
    <cellStyle name="Normal 63 2 5 2" xfId="4815" xr:uid="{00000000-0005-0000-0000-0000FAAC0000}"/>
    <cellStyle name="Normal 63 2 5 2 2" xfId="9832" xr:uid="{00000000-0005-0000-0000-0000FBAC0000}"/>
    <cellStyle name="Normal 63 2 5 2 2 2" xfId="22275" xr:uid="{00000000-0005-0000-0000-0000FCAC0000}"/>
    <cellStyle name="Normal 63 2 5 2 2 2 2" xfId="47149" xr:uid="{00000000-0005-0000-0000-0000FDAC0000}"/>
    <cellStyle name="Normal 63 2 5 2 2 3" xfId="34716" xr:uid="{00000000-0005-0000-0000-0000FEAC0000}"/>
    <cellStyle name="Normal 63 2 5 2 3" xfId="17268" xr:uid="{00000000-0005-0000-0000-0000FFAC0000}"/>
    <cellStyle name="Normal 63 2 5 2 3 2" xfId="42142" xr:uid="{00000000-0005-0000-0000-000000AD0000}"/>
    <cellStyle name="Normal 63 2 5 2 4" xfId="29709" xr:uid="{00000000-0005-0000-0000-000001AD0000}"/>
    <cellStyle name="Normal 63 2 5 3" xfId="6213" xr:uid="{00000000-0005-0000-0000-000002AD0000}"/>
    <cellStyle name="Normal 63 2 5 3 2" xfId="11228" xr:uid="{00000000-0005-0000-0000-000003AD0000}"/>
    <cellStyle name="Normal 63 2 5 3 2 2" xfId="23671" xr:uid="{00000000-0005-0000-0000-000004AD0000}"/>
    <cellStyle name="Normal 63 2 5 3 2 2 2" xfId="48545" xr:uid="{00000000-0005-0000-0000-000005AD0000}"/>
    <cellStyle name="Normal 63 2 5 3 2 3" xfId="36112" xr:uid="{00000000-0005-0000-0000-000006AD0000}"/>
    <cellStyle name="Normal 63 2 5 3 3" xfId="18664" xr:uid="{00000000-0005-0000-0000-000007AD0000}"/>
    <cellStyle name="Normal 63 2 5 3 3 2" xfId="43538" xr:uid="{00000000-0005-0000-0000-000008AD0000}"/>
    <cellStyle name="Normal 63 2 5 3 4" xfId="31105" xr:uid="{00000000-0005-0000-0000-000009AD0000}"/>
    <cellStyle name="Normal 63 2 5 4" xfId="8125" xr:uid="{00000000-0005-0000-0000-00000AAD0000}"/>
    <cellStyle name="Normal 63 2 5 4 2" xfId="20571" xr:uid="{00000000-0005-0000-0000-00000BAD0000}"/>
    <cellStyle name="Normal 63 2 5 4 2 2" xfId="45445" xr:uid="{00000000-0005-0000-0000-00000CAD0000}"/>
    <cellStyle name="Normal 63 2 5 4 3" xfId="33012" xr:uid="{00000000-0005-0000-0000-00000DAD0000}"/>
    <cellStyle name="Normal 63 2 5 5" xfId="12682" xr:uid="{00000000-0005-0000-0000-00000EAD0000}"/>
    <cellStyle name="Normal 63 2 5 5 2" xfId="25116" xr:uid="{00000000-0005-0000-0000-00000FAD0000}"/>
    <cellStyle name="Normal 63 2 5 5 2 2" xfId="49990" xr:uid="{00000000-0005-0000-0000-000010AD0000}"/>
    <cellStyle name="Normal 63 2 5 5 3" xfId="37557" xr:uid="{00000000-0005-0000-0000-000011AD0000}"/>
    <cellStyle name="Normal 63 2 5 6" xfId="7426" xr:uid="{00000000-0005-0000-0000-000012AD0000}"/>
    <cellStyle name="Normal 63 2 5 6 2" xfId="19874" xr:uid="{00000000-0005-0000-0000-000013AD0000}"/>
    <cellStyle name="Normal 63 2 5 6 2 2" xfId="44748" xr:uid="{00000000-0005-0000-0000-000014AD0000}"/>
    <cellStyle name="Normal 63 2 5 6 3" xfId="32315" xr:uid="{00000000-0005-0000-0000-000015AD0000}"/>
    <cellStyle name="Normal 63 2 5 7" xfId="3055" xr:uid="{00000000-0005-0000-0000-000016AD0000}"/>
    <cellStyle name="Normal 63 2 5 7 2" xfId="15564" xr:uid="{00000000-0005-0000-0000-000017AD0000}"/>
    <cellStyle name="Normal 63 2 5 7 2 2" xfId="40438" xr:uid="{00000000-0005-0000-0000-000018AD0000}"/>
    <cellStyle name="Normal 63 2 5 7 3" xfId="27997" xr:uid="{00000000-0005-0000-0000-000019AD0000}"/>
    <cellStyle name="Normal 63 2 5 8" xfId="14867" xr:uid="{00000000-0005-0000-0000-00001AAD0000}"/>
    <cellStyle name="Normal 63 2 5 8 2" xfId="39741" xr:uid="{00000000-0005-0000-0000-00001BAD0000}"/>
    <cellStyle name="Normal 63 2 5 9" xfId="27300" xr:uid="{00000000-0005-0000-0000-00001CAD0000}"/>
    <cellStyle name="Normal 63 2 6" xfId="1024" xr:uid="{00000000-0005-0000-0000-00001DAD0000}"/>
    <cellStyle name="Normal 63 2 6 2" xfId="9011" xr:uid="{00000000-0005-0000-0000-00001EAD0000}"/>
    <cellStyle name="Normal 63 2 6 2 2" xfId="21454" xr:uid="{00000000-0005-0000-0000-00001FAD0000}"/>
    <cellStyle name="Normal 63 2 6 2 2 2" xfId="46328" xr:uid="{00000000-0005-0000-0000-000020AD0000}"/>
    <cellStyle name="Normal 63 2 6 2 3" xfId="33895" xr:uid="{00000000-0005-0000-0000-000021AD0000}"/>
    <cellStyle name="Normal 63 2 6 3" xfId="3993" xr:uid="{00000000-0005-0000-0000-000022AD0000}"/>
    <cellStyle name="Normal 63 2 6 3 2" xfId="16447" xr:uid="{00000000-0005-0000-0000-000023AD0000}"/>
    <cellStyle name="Normal 63 2 6 3 2 2" xfId="41321" xr:uid="{00000000-0005-0000-0000-000024AD0000}"/>
    <cellStyle name="Normal 63 2 6 3 3" xfId="28888" xr:uid="{00000000-0005-0000-0000-000025AD0000}"/>
    <cellStyle name="Normal 63 2 6 4" xfId="13824" xr:uid="{00000000-0005-0000-0000-000026AD0000}"/>
    <cellStyle name="Normal 63 2 6 4 2" xfId="38698" xr:uid="{00000000-0005-0000-0000-000027AD0000}"/>
    <cellStyle name="Normal 63 2 6 5" xfId="26257" xr:uid="{00000000-0005-0000-0000-000028AD0000}"/>
    <cellStyle name="Normal 63 2 7" xfId="5169" xr:uid="{00000000-0005-0000-0000-000029AD0000}"/>
    <cellStyle name="Normal 63 2 7 2" xfId="10185" xr:uid="{00000000-0005-0000-0000-00002AAD0000}"/>
    <cellStyle name="Normal 63 2 7 2 2" xfId="22628" xr:uid="{00000000-0005-0000-0000-00002BAD0000}"/>
    <cellStyle name="Normal 63 2 7 2 2 2" xfId="47502" xr:uid="{00000000-0005-0000-0000-00002CAD0000}"/>
    <cellStyle name="Normal 63 2 7 2 3" xfId="35069" xr:uid="{00000000-0005-0000-0000-00002DAD0000}"/>
    <cellStyle name="Normal 63 2 7 3" xfId="17621" xr:uid="{00000000-0005-0000-0000-00002EAD0000}"/>
    <cellStyle name="Normal 63 2 7 3 2" xfId="42495" xr:uid="{00000000-0005-0000-0000-00002FAD0000}"/>
    <cellStyle name="Normal 63 2 7 4" xfId="30062" xr:uid="{00000000-0005-0000-0000-000030AD0000}"/>
    <cellStyle name="Normal 63 2 8" xfId="7746" xr:uid="{00000000-0005-0000-0000-000031AD0000}"/>
    <cellStyle name="Normal 63 2 8 2" xfId="20192" xr:uid="{00000000-0005-0000-0000-000032AD0000}"/>
    <cellStyle name="Normal 63 2 8 2 2" xfId="45066" xr:uid="{00000000-0005-0000-0000-000033AD0000}"/>
    <cellStyle name="Normal 63 2 8 3" xfId="32633" xr:uid="{00000000-0005-0000-0000-000034AD0000}"/>
    <cellStyle name="Normal 63 2 9" xfId="11639" xr:uid="{00000000-0005-0000-0000-000035AD0000}"/>
    <cellStyle name="Normal 63 2 9 2" xfId="24073" xr:uid="{00000000-0005-0000-0000-000036AD0000}"/>
    <cellStyle name="Normal 63 2 9 2 2" xfId="48947" xr:uid="{00000000-0005-0000-0000-000037AD0000}"/>
    <cellStyle name="Normal 63 2 9 3" xfId="36514" xr:uid="{00000000-0005-0000-0000-000038AD0000}"/>
    <cellStyle name="Normal 63 2_Degree data" xfId="2553" xr:uid="{00000000-0005-0000-0000-000039AD0000}"/>
    <cellStyle name="Normal 63 3" xfId="455" xr:uid="{00000000-0005-0000-0000-00003AAD0000}"/>
    <cellStyle name="Normal 63 3 10" xfId="2849" xr:uid="{00000000-0005-0000-0000-00003BAD0000}"/>
    <cellStyle name="Normal 63 3 10 2" xfId="15367" xr:uid="{00000000-0005-0000-0000-00003CAD0000}"/>
    <cellStyle name="Normal 63 3 10 2 2" xfId="40241" xr:uid="{00000000-0005-0000-0000-00003DAD0000}"/>
    <cellStyle name="Normal 63 3 10 3" xfId="27800" xr:uid="{00000000-0005-0000-0000-00003EAD0000}"/>
    <cellStyle name="Normal 63 3 11" xfId="13268" xr:uid="{00000000-0005-0000-0000-00003FAD0000}"/>
    <cellStyle name="Normal 63 3 11 2" xfId="38142" xr:uid="{00000000-0005-0000-0000-000040AD0000}"/>
    <cellStyle name="Normal 63 3 12" xfId="25701" xr:uid="{00000000-0005-0000-0000-000041AD0000}"/>
    <cellStyle name="Normal 63 3 2" xfId="814" xr:uid="{00000000-0005-0000-0000-000042AD0000}"/>
    <cellStyle name="Normal 63 3 2 2" xfId="1587" xr:uid="{00000000-0005-0000-0000-000043AD0000}"/>
    <cellStyle name="Normal 63 3 2 2 2" xfId="9305" xr:uid="{00000000-0005-0000-0000-000044AD0000}"/>
    <cellStyle name="Normal 63 3 2 2 2 2" xfId="21748" xr:uid="{00000000-0005-0000-0000-000045AD0000}"/>
    <cellStyle name="Normal 63 3 2 2 2 2 2" xfId="46622" xr:uid="{00000000-0005-0000-0000-000046AD0000}"/>
    <cellStyle name="Normal 63 3 2 2 2 3" xfId="34189" xr:uid="{00000000-0005-0000-0000-000047AD0000}"/>
    <cellStyle name="Normal 63 3 2 2 3" xfId="4287" xr:uid="{00000000-0005-0000-0000-000048AD0000}"/>
    <cellStyle name="Normal 63 3 2 2 3 2" xfId="16741" xr:uid="{00000000-0005-0000-0000-000049AD0000}"/>
    <cellStyle name="Normal 63 3 2 2 3 2 2" xfId="41615" xr:uid="{00000000-0005-0000-0000-00004AAD0000}"/>
    <cellStyle name="Normal 63 3 2 2 3 3" xfId="29182" xr:uid="{00000000-0005-0000-0000-00004BAD0000}"/>
    <cellStyle name="Normal 63 3 2 2 4" xfId="14387" xr:uid="{00000000-0005-0000-0000-00004CAD0000}"/>
    <cellStyle name="Normal 63 3 2 2 4 2" xfId="39261" xr:uid="{00000000-0005-0000-0000-00004DAD0000}"/>
    <cellStyle name="Normal 63 3 2 2 5" xfId="26820" xr:uid="{00000000-0005-0000-0000-00004EAD0000}"/>
    <cellStyle name="Normal 63 3 2 3" xfId="5732" xr:uid="{00000000-0005-0000-0000-00004FAD0000}"/>
    <cellStyle name="Normal 63 3 2 3 2" xfId="10748" xr:uid="{00000000-0005-0000-0000-000050AD0000}"/>
    <cellStyle name="Normal 63 3 2 3 2 2" xfId="23191" xr:uid="{00000000-0005-0000-0000-000051AD0000}"/>
    <cellStyle name="Normal 63 3 2 3 2 2 2" xfId="48065" xr:uid="{00000000-0005-0000-0000-000052AD0000}"/>
    <cellStyle name="Normal 63 3 2 3 2 3" xfId="35632" xr:uid="{00000000-0005-0000-0000-000053AD0000}"/>
    <cellStyle name="Normal 63 3 2 3 3" xfId="18184" xr:uid="{00000000-0005-0000-0000-000054AD0000}"/>
    <cellStyle name="Normal 63 3 2 3 3 2" xfId="43058" xr:uid="{00000000-0005-0000-0000-000055AD0000}"/>
    <cellStyle name="Normal 63 3 2 3 4" xfId="30625" xr:uid="{00000000-0005-0000-0000-000056AD0000}"/>
    <cellStyle name="Normal 63 3 2 4" xfId="8421" xr:uid="{00000000-0005-0000-0000-000057AD0000}"/>
    <cellStyle name="Normal 63 3 2 4 2" xfId="20865" xr:uid="{00000000-0005-0000-0000-000058AD0000}"/>
    <cellStyle name="Normal 63 3 2 4 2 2" xfId="45739" xr:uid="{00000000-0005-0000-0000-000059AD0000}"/>
    <cellStyle name="Normal 63 3 2 4 3" xfId="33306" xr:uid="{00000000-0005-0000-0000-00005AAD0000}"/>
    <cellStyle name="Normal 63 3 2 5" xfId="12202" xr:uid="{00000000-0005-0000-0000-00005BAD0000}"/>
    <cellStyle name="Normal 63 3 2 5 2" xfId="24636" xr:uid="{00000000-0005-0000-0000-00005CAD0000}"/>
    <cellStyle name="Normal 63 3 2 5 2 2" xfId="49510" xr:uid="{00000000-0005-0000-0000-00005DAD0000}"/>
    <cellStyle name="Normal 63 3 2 5 3" xfId="37077" xr:uid="{00000000-0005-0000-0000-00005EAD0000}"/>
    <cellStyle name="Normal 63 3 2 6" xfId="6898" xr:uid="{00000000-0005-0000-0000-00005FAD0000}"/>
    <cellStyle name="Normal 63 3 2 6 2" xfId="19347" xr:uid="{00000000-0005-0000-0000-000060AD0000}"/>
    <cellStyle name="Normal 63 3 2 6 2 2" xfId="44221" xr:uid="{00000000-0005-0000-0000-000061AD0000}"/>
    <cellStyle name="Normal 63 3 2 6 3" xfId="31788" xr:uid="{00000000-0005-0000-0000-000062AD0000}"/>
    <cellStyle name="Normal 63 3 2 7" xfId="3352" xr:uid="{00000000-0005-0000-0000-000063AD0000}"/>
    <cellStyle name="Normal 63 3 2 7 2" xfId="15858" xr:uid="{00000000-0005-0000-0000-000064AD0000}"/>
    <cellStyle name="Normal 63 3 2 7 2 2" xfId="40732" xr:uid="{00000000-0005-0000-0000-000065AD0000}"/>
    <cellStyle name="Normal 63 3 2 7 3" xfId="28291" xr:uid="{00000000-0005-0000-0000-000066AD0000}"/>
    <cellStyle name="Normal 63 3 2 8" xfId="13615" xr:uid="{00000000-0005-0000-0000-000067AD0000}"/>
    <cellStyle name="Normal 63 3 2 8 2" xfId="38489" xr:uid="{00000000-0005-0000-0000-000068AD0000}"/>
    <cellStyle name="Normal 63 3 2 9" xfId="26048" xr:uid="{00000000-0005-0000-0000-000069AD0000}"/>
    <cellStyle name="Normal 63 3 3" xfId="1935" xr:uid="{00000000-0005-0000-0000-00006AAD0000}"/>
    <cellStyle name="Normal 63 3 3 2" xfId="4673" xr:uid="{00000000-0005-0000-0000-00006BAD0000}"/>
    <cellStyle name="Normal 63 3 3 2 2" xfId="9691" xr:uid="{00000000-0005-0000-0000-00006CAD0000}"/>
    <cellStyle name="Normal 63 3 3 2 2 2" xfId="22134" xr:uid="{00000000-0005-0000-0000-00006DAD0000}"/>
    <cellStyle name="Normal 63 3 3 2 2 2 2" xfId="47008" xr:uid="{00000000-0005-0000-0000-00006EAD0000}"/>
    <cellStyle name="Normal 63 3 3 2 2 3" xfId="34575" xr:uid="{00000000-0005-0000-0000-00006FAD0000}"/>
    <cellStyle name="Normal 63 3 3 2 3" xfId="17127" xr:uid="{00000000-0005-0000-0000-000070AD0000}"/>
    <cellStyle name="Normal 63 3 3 2 3 2" xfId="42001" xr:uid="{00000000-0005-0000-0000-000071AD0000}"/>
    <cellStyle name="Normal 63 3 3 2 4" xfId="29568" xr:uid="{00000000-0005-0000-0000-000072AD0000}"/>
    <cellStyle name="Normal 63 3 3 3" xfId="6081" xr:uid="{00000000-0005-0000-0000-000073AD0000}"/>
    <cellStyle name="Normal 63 3 3 3 2" xfId="11096" xr:uid="{00000000-0005-0000-0000-000074AD0000}"/>
    <cellStyle name="Normal 63 3 3 3 2 2" xfId="23539" xr:uid="{00000000-0005-0000-0000-000075AD0000}"/>
    <cellStyle name="Normal 63 3 3 3 2 2 2" xfId="48413" xr:uid="{00000000-0005-0000-0000-000076AD0000}"/>
    <cellStyle name="Normal 63 3 3 3 2 3" xfId="35980" xr:uid="{00000000-0005-0000-0000-000077AD0000}"/>
    <cellStyle name="Normal 63 3 3 3 3" xfId="18532" xr:uid="{00000000-0005-0000-0000-000078AD0000}"/>
    <cellStyle name="Normal 63 3 3 3 3 2" xfId="43406" xr:uid="{00000000-0005-0000-0000-000079AD0000}"/>
    <cellStyle name="Normal 63 3 3 3 4" xfId="30973" xr:uid="{00000000-0005-0000-0000-00007AAD0000}"/>
    <cellStyle name="Normal 63 3 3 4" xfId="8807" xr:uid="{00000000-0005-0000-0000-00007BAD0000}"/>
    <cellStyle name="Normal 63 3 3 4 2" xfId="21251" xr:uid="{00000000-0005-0000-0000-00007CAD0000}"/>
    <cellStyle name="Normal 63 3 3 4 2 2" xfId="46125" xr:uid="{00000000-0005-0000-0000-00007DAD0000}"/>
    <cellStyle name="Normal 63 3 3 4 3" xfId="33692" xr:uid="{00000000-0005-0000-0000-00007EAD0000}"/>
    <cellStyle name="Normal 63 3 3 5" xfId="12550" xr:uid="{00000000-0005-0000-0000-00007FAD0000}"/>
    <cellStyle name="Normal 63 3 3 5 2" xfId="24984" xr:uid="{00000000-0005-0000-0000-000080AD0000}"/>
    <cellStyle name="Normal 63 3 3 5 2 2" xfId="49858" xr:uid="{00000000-0005-0000-0000-000081AD0000}"/>
    <cellStyle name="Normal 63 3 3 5 3" xfId="37425" xr:uid="{00000000-0005-0000-0000-000082AD0000}"/>
    <cellStyle name="Normal 63 3 3 6" xfId="7284" xr:uid="{00000000-0005-0000-0000-000083AD0000}"/>
    <cellStyle name="Normal 63 3 3 6 2" xfId="19733" xr:uid="{00000000-0005-0000-0000-000084AD0000}"/>
    <cellStyle name="Normal 63 3 3 6 2 2" xfId="44607" xr:uid="{00000000-0005-0000-0000-000085AD0000}"/>
    <cellStyle name="Normal 63 3 3 6 3" xfId="32174" xr:uid="{00000000-0005-0000-0000-000086AD0000}"/>
    <cellStyle name="Normal 63 3 3 7" xfId="3738" xr:uid="{00000000-0005-0000-0000-000087AD0000}"/>
    <cellStyle name="Normal 63 3 3 7 2" xfId="16244" xr:uid="{00000000-0005-0000-0000-000088AD0000}"/>
    <cellStyle name="Normal 63 3 3 7 2 2" xfId="41118" xr:uid="{00000000-0005-0000-0000-000089AD0000}"/>
    <cellStyle name="Normal 63 3 3 7 3" xfId="28677" xr:uid="{00000000-0005-0000-0000-00008AAD0000}"/>
    <cellStyle name="Normal 63 3 3 8" xfId="14735" xr:uid="{00000000-0005-0000-0000-00008BAD0000}"/>
    <cellStyle name="Normal 63 3 3 8 2" xfId="39609" xr:uid="{00000000-0005-0000-0000-00008CAD0000}"/>
    <cellStyle name="Normal 63 3 3 9" xfId="27168" xr:uid="{00000000-0005-0000-0000-00008DAD0000}"/>
    <cellStyle name="Normal 63 3 4" xfId="2373" xr:uid="{00000000-0005-0000-0000-00008EAD0000}"/>
    <cellStyle name="Normal 63 3 4 2" xfId="4997" xr:uid="{00000000-0005-0000-0000-00008FAD0000}"/>
    <cellStyle name="Normal 63 3 4 2 2" xfId="10014" xr:uid="{00000000-0005-0000-0000-000090AD0000}"/>
    <cellStyle name="Normal 63 3 4 2 2 2" xfId="22457" xr:uid="{00000000-0005-0000-0000-000091AD0000}"/>
    <cellStyle name="Normal 63 3 4 2 2 2 2" xfId="47331" xr:uid="{00000000-0005-0000-0000-000092AD0000}"/>
    <cellStyle name="Normal 63 3 4 2 2 3" xfId="34898" xr:uid="{00000000-0005-0000-0000-000093AD0000}"/>
    <cellStyle name="Normal 63 3 4 2 3" xfId="17450" xr:uid="{00000000-0005-0000-0000-000094AD0000}"/>
    <cellStyle name="Normal 63 3 4 2 3 2" xfId="42324" xr:uid="{00000000-0005-0000-0000-000095AD0000}"/>
    <cellStyle name="Normal 63 3 4 2 4" xfId="29891" xr:uid="{00000000-0005-0000-0000-000096AD0000}"/>
    <cellStyle name="Normal 63 3 4 3" xfId="6395" xr:uid="{00000000-0005-0000-0000-000097AD0000}"/>
    <cellStyle name="Normal 63 3 4 3 2" xfId="11410" xr:uid="{00000000-0005-0000-0000-000098AD0000}"/>
    <cellStyle name="Normal 63 3 4 3 2 2" xfId="23853" xr:uid="{00000000-0005-0000-0000-000099AD0000}"/>
    <cellStyle name="Normal 63 3 4 3 2 2 2" xfId="48727" xr:uid="{00000000-0005-0000-0000-00009AAD0000}"/>
    <cellStyle name="Normal 63 3 4 3 2 3" xfId="36294" xr:uid="{00000000-0005-0000-0000-00009BAD0000}"/>
    <cellStyle name="Normal 63 3 4 3 3" xfId="18846" xr:uid="{00000000-0005-0000-0000-00009CAD0000}"/>
    <cellStyle name="Normal 63 3 4 3 3 2" xfId="43720" xr:uid="{00000000-0005-0000-0000-00009DAD0000}"/>
    <cellStyle name="Normal 63 3 4 3 4" xfId="31287" xr:uid="{00000000-0005-0000-0000-00009EAD0000}"/>
    <cellStyle name="Normal 63 3 4 4" xfId="8102" xr:uid="{00000000-0005-0000-0000-00009FAD0000}"/>
    <cellStyle name="Normal 63 3 4 4 2" xfId="20548" xr:uid="{00000000-0005-0000-0000-0000A0AD0000}"/>
    <cellStyle name="Normal 63 3 4 4 2 2" xfId="45422" xr:uid="{00000000-0005-0000-0000-0000A1AD0000}"/>
    <cellStyle name="Normal 63 3 4 4 3" xfId="32989" xr:uid="{00000000-0005-0000-0000-0000A2AD0000}"/>
    <cellStyle name="Normal 63 3 4 5" xfId="12864" xr:uid="{00000000-0005-0000-0000-0000A3AD0000}"/>
    <cellStyle name="Normal 63 3 4 5 2" xfId="25298" xr:uid="{00000000-0005-0000-0000-0000A4AD0000}"/>
    <cellStyle name="Normal 63 3 4 5 2 2" xfId="50172" xr:uid="{00000000-0005-0000-0000-0000A5AD0000}"/>
    <cellStyle name="Normal 63 3 4 5 3" xfId="37739" xr:uid="{00000000-0005-0000-0000-0000A6AD0000}"/>
    <cellStyle name="Normal 63 3 4 6" xfId="7608" xr:uid="{00000000-0005-0000-0000-0000A7AD0000}"/>
    <cellStyle name="Normal 63 3 4 6 2" xfId="20056" xr:uid="{00000000-0005-0000-0000-0000A8AD0000}"/>
    <cellStyle name="Normal 63 3 4 6 2 2" xfId="44930" xr:uid="{00000000-0005-0000-0000-0000A9AD0000}"/>
    <cellStyle name="Normal 63 3 4 6 3" xfId="32497" xr:uid="{00000000-0005-0000-0000-0000AAAD0000}"/>
    <cellStyle name="Normal 63 3 4 7" xfId="3032" xr:uid="{00000000-0005-0000-0000-0000ABAD0000}"/>
    <cellStyle name="Normal 63 3 4 7 2" xfId="15541" xr:uid="{00000000-0005-0000-0000-0000ACAD0000}"/>
    <cellStyle name="Normal 63 3 4 7 2 2" xfId="40415" xr:uid="{00000000-0005-0000-0000-0000ADAD0000}"/>
    <cellStyle name="Normal 63 3 4 7 3" xfId="27974" xr:uid="{00000000-0005-0000-0000-0000AEAD0000}"/>
    <cellStyle name="Normal 63 3 4 8" xfId="15049" xr:uid="{00000000-0005-0000-0000-0000AFAD0000}"/>
    <cellStyle name="Normal 63 3 4 8 2" xfId="39923" xr:uid="{00000000-0005-0000-0000-0000B0AD0000}"/>
    <cellStyle name="Normal 63 3 4 9" xfId="27482" xr:uid="{00000000-0005-0000-0000-0000B1AD0000}"/>
    <cellStyle name="Normal 63 3 5" xfId="1206" xr:uid="{00000000-0005-0000-0000-0000B2AD0000}"/>
    <cellStyle name="Normal 63 3 5 2" xfId="8988" xr:uid="{00000000-0005-0000-0000-0000B3AD0000}"/>
    <cellStyle name="Normal 63 3 5 2 2" xfId="21431" xr:uid="{00000000-0005-0000-0000-0000B4AD0000}"/>
    <cellStyle name="Normal 63 3 5 2 2 2" xfId="46305" xr:uid="{00000000-0005-0000-0000-0000B5AD0000}"/>
    <cellStyle name="Normal 63 3 5 2 3" xfId="33872" xr:uid="{00000000-0005-0000-0000-0000B6AD0000}"/>
    <cellStyle name="Normal 63 3 5 3" xfId="3970" xr:uid="{00000000-0005-0000-0000-0000B7AD0000}"/>
    <cellStyle name="Normal 63 3 5 3 2" xfId="16424" xr:uid="{00000000-0005-0000-0000-0000B8AD0000}"/>
    <cellStyle name="Normal 63 3 5 3 2 2" xfId="41298" xr:uid="{00000000-0005-0000-0000-0000B9AD0000}"/>
    <cellStyle name="Normal 63 3 5 3 3" xfId="28865" xr:uid="{00000000-0005-0000-0000-0000BAAD0000}"/>
    <cellStyle name="Normal 63 3 5 4" xfId="14006" xr:uid="{00000000-0005-0000-0000-0000BBAD0000}"/>
    <cellStyle name="Normal 63 3 5 4 2" xfId="38880" xr:uid="{00000000-0005-0000-0000-0000BCAD0000}"/>
    <cellStyle name="Normal 63 3 5 5" xfId="26439" xr:uid="{00000000-0005-0000-0000-0000BDAD0000}"/>
    <cellStyle name="Normal 63 3 6" xfId="5351" xr:uid="{00000000-0005-0000-0000-0000BEAD0000}"/>
    <cellStyle name="Normal 63 3 6 2" xfId="10367" xr:uid="{00000000-0005-0000-0000-0000BFAD0000}"/>
    <cellStyle name="Normal 63 3 6 2 2" xfId="22810" xr:uid="{00000000-0005-0000-0000-0000C0AD0000}"/>
    <cellStyle name="Normal 63 3 6 2 2 2" xfId="47684" xr:uid="{00000000-0005-0000-0000-0000C1AD0000}"/>
    <cellStyle name="Normal 63 3 6 2 3" xfId="35251" xr:uid="{00000000-0005-0000-0000-0000C2AD0000}"/>
    <cellStyle name="Normal 63 3 6 3" xfId="17803" xr:uid="{00000000-0005-0000-0000-0000C3AD0000}"/>
    <cellStyle name="Normal 63 3 6 3 2" xfId="42677" xr:uid="{00000000-0005-0000-0000-0000C4AD0000}"/>
    <cellStyle name="Normal 63 3 6 4" xfId="30244" xr:uid="{00000000-0005-0000-0000-0000C5AD0000}"/>
    <cellStyle name="Normal 63 3 7" xfId="7928" xr:uid="{00000000-0005-0000-0000-0000C6AD0000}"/>
    <cellStyle name="Normal 63 3 7 2" xfId="20374" xr:uid="{00000000-0005-0000-0000-0000C7AD0000}"/>
    <cellStyle name="Normal 63 3 7 2 2" xfId="45248" xr:uid="{00000000-0005-0000-0000-0000C8AD0000}"/>
    <cellStyle name="Normal 63 3 7 3" xfId="32815" xr:uid="{00000000-0005-0000-0000-0000C9AD0000}"/>
    <cellStyle name="Normal 63 3 8" xfId="11821" xr:uid="{00000000-0005-0000-0000-0000CAAD0000}"/>
    <cellStyle name="Normal 63 3 8 2" xfId="24255" xr:uid="{00000000-0005-0000-0000-0000CBAD0000}"/>
    <cellStyle name="Normal 63 3 8 2 2" xfId="49129" xr:uid="{00000000-0005-0000-0000-0000CCAD0000}"/>
    <cellStyle name="Normal 63 3 8 3" xfId="36696" xr:uid="{00000000-0005-0000-0000-0000CDAD0000}"/>
    <cellStyle name="Normal 63 3 9" xfId="6581" xr:uid="{00000000-0005-0000-0000-0000CEAD0000}"/>
    <cellStyle name="Normal 63 3 9 2" xfId="19030" xr:uid="{00000000-0005-0000-0000-0000CFAD0000}"/>
    <cellStyle name="Normal 63 3 9 2 2" xfId="43904" xr:uid="{00000000-0005-0000-0000-0000D0AD0000}"/>
    <cellStyle name="Normal 63 3 9 3" xfId="31471" xr:uid="{00000000-0005-0000-0000-0000D1AD0000}"/>
    <cellStyle name="Normal 63 3_Degree data" xfId="2555" xr:uid="{00000000-0005-0000-0000-0000D2AD0000}"/>
    <cellStyle name="Normal 63 4" xfId="370" xr:uid="{00000000-0005-0000-0000-0000D3AD0000}"/>
    <cellStyle name="Normal 63 4 10" xfId="13186" xr:uid="{00000000-0005-0000-0000-0000D4AD0000}"/>
    <cellStyle name="Normal 63 4 10 2" xfId="38060" xr:uid="{00000000-0005-0000-0000-0000D5AD0000}"/>
    <cellStyle name="Normal 63 4 11" xfId="25619" xr:uid="{00000000-0005-0000-0000-0000D6AD0000}"/>
    <cellStyle name="Normal 63 4 2" xfId="730" xr:uid="{00000000-0005-0000-0000-0000D7AD0000}"/>
    <cellStyle name="Normal 63 4 2 2" xfId="1588" xr:uid="{00000000-0005-0000-0000-0000D8AD0000}"/>
    <cellStyle name="Normal 63 4 2 2 2" xfId="9692" xr:uid="{00000000-0005-0000-0000-0000D9AD0000}"/>
    <cellStyle name="Normal 63 4 2 2 2 2" xfId="22135" xr:uid="{00000000-0005-0000-0000-0000DAAD0000}"/>
    <cellStyle name="Normal 63 4 2 2 2 2 2" xfId="47009" xr:uid="{00000000-0005-0000-0000-0000DBAD0000}"/>
    <cellStyle name="Normal 63 4 2 2 2 3" xfId="34576" xr:uid="{00000000-0005-0000-0000-0000DCAD0000}"/>
    <cellStyle name="Normal 63 4 2 2 3" xfId="4674" xr:uid="{00000000-0005-0000-0000-0000DDAD0000}"/>
    <cellStyle name="Normal 63 4 2 2 3 2" xfId="17128" xr:uid="{00000000-0005-0000-0000-0000DEAD0000}"/>
    <cellStyle name="Normal 63 4 2 2 3 2 2" xfId="42002" xr:uid="{00000000-0005-0000-0000-0000DFAD0000}"/>
    <cellStyle name="Normal 63 4 2 2 3 3" xfId="29569" xr:uid="{00000000-0005-0000-0000-0000E0AD0000}"/>
    <cellStyle name="Normal 63 4 2 2 4" xfId="14388" xr:uid="{00000000-0005-0000-0000-0000E1AD0000}"/>
    <cellStyle name="Normal 63 4 2 2 4 2" xfId="39262" xr:uid="{00000000-0005-0000-0000-0000E2AD0000}"/>
    <cellStyle name="Normal 63 4 2 2 5" xfId="26821" xr:uid="{00000000-0005-0000-0000-0000E3AD0000}"/>
    <cellStyle name="Normal 63 4 2 3" xfId="5733" xr:uid="{00000000-0005-0000-0000-0000E4AD0000}"/>
    <cellStyle name="Normal 63 4 2 3 2" xfId="10749" xr:uid="{00000000-0005-0000-0000-0000E5AD0000}"/>
    <cellStyle name="Normal 63 4 2 3 2 2" xfId="23192" xr:uid="{00000000-0005-0000-0000-0000E6AD0000}"/>
    <cellStyle name="Normal 63 4 2 3 2 2 2" xfId="48066" xr:uid="{00000000-0005-0000-0000-0000E7AD0000}"/>
    <cellStyle name="Normal 63 4 2 3 2 3" xfId="35633" xr:uid="{00000000-0005-0000-0000-0000E8AD0000}"/>
    <cellStyle name="Normal 63 4 2 3 3" xfId="18185" xr:uid="{00000000-0005-0000-0000-0000E9AD0000}"/>
    <cellStyle name="Normal 63 4 2 3 3 2" xfId="43059" xr:uid="{00000000-0005-0000-0000-0000EAAD0000}"/>
    <cellStyle name="Normal 63 4 2 3 4" xfId="30626" xr:uid="{00000000-0005-0000-0000-0000EBAD0000}"/>
    <cellStyle name="Normal 63 4 2 4" xfId="8808" xr:uid="{00000000-0005-0000-0000-0000ECAD0000}"/>
    <cellStyle name="Normal 63 4 2 4 2" xfId="21252" xr:uid="{00000000-0005-0000-0000-0000EDAD0000}"/>
    <cellStyle name="Normal 63 4 2 4 2 2" xfId="46126" xr:uid="{00000000-0005-0000-0000-0000EEAD0000}"/>
    <cellStyle name="Normal 63 4 2 4 3" xfId="33693" xr:uid="{00000000-0005-0000-0000-0000EFAD0000}"/>
    <cellStyle name="Normal 63 4 2 5" xfId="12203" xr:uid="{00000000-0005-0000-0000-0000F0AD0000}"/>
    <cellStyle name="Normal 63 4 2 5 2" xfId="24637" xr:uid="{00000000-0005-0000-0000-0000F1AD0000}"/>
    <cellStyle name="Normal 63 4 2 5 2 2" xfId="49511" xr:uid="{00000000-0005-0000-0000-0000F2AD0000}"/>
    <cellStyle name="Normal 63 4 2 5 3" xfId="37078" xr:uid="{00000000-0005-0000-0000-0000F3AD0000}"/>
    <cellStyle name="Normal 63 4 2 6" xfId="7285" xr:uid="{00000000-0005-0000-0000-0000F4AD0000}"/>
    <cellStyle name="Normal 63 4 2 6 2" xfId="19734" xr:uid="{00000000-0005-0000-0000-0000F5AD0000}"/>
    <cellStyle name="Normal 63 4 2 6 2 2" xfId="44608" xr:uid="{00000000-0005-0000-0000-0000F6AD0000}"/>
    <cellStyle name="Normal 63 4 2 6 3" xfId="32175" xr:uid="{00000000-0005-0000-0000-0000F7AD0000}"/>
    <cellStyle name="Normal 63 4 2 7" xfId="3739" xr:uid="{00000000-0005-0000-0000-0000F8AD0000}"/>
    <cellStyle name="Normal 63 4 2 7 2" xfId="16245" xr:uid="{00000000-0005-0000-0000-0000F9AD0000}"/>
    <cellStyle name="Normal 63 4 2 7 2 2" xfId="41119" xr:uid="{00000000-0005-0000-0000-0000FAAD0000}"/>
    <cellStyle name="Normal 63 4 2 7 3" xfId="28678" xr:uid="{00000000-0005-0000-0000-0000FBAD0000}"/>
    <cellStyle name="Normal 63 4 2 8" xfId="13533" xr:uid="{00000000-0005-0000-0000-0000FCAD0000}"/>
    <cellStyle name="Normal 63 4 2 8 2" xfId="38407" xr:uid="{00000000-0005-0000-0000-0000FDAD0000}"/>
    <cellStyle name="Normal 63 4 2 9" xfId="25966" xr:uid="{00000000-0005-0000-0000-0000FEAD0000}"/>
    <cellStyle name="Normal 63 4 3" xfId="1936" xr:uid="{00000000-0005-0000-0000-0000FFAD0000}"/>
    <cellStyle name="Normal 63 4 3 2" xfId="4915" xr:uid="{00000000-0005-0000-0000-000000AE0000}"/>
    <cellStyle name="Normal 63 4 3 2 2" xfId="9932" xr:uid="{00000000-0005-0000-0000-000001AE0000}"/>
    <cellStyle name="Normal 63 4 3 2 2 2" xfId="22375" xr:uid="{00000000-0005-0000-0000-000002AE0000}"/>
    <cellStyle name="Normal 63 4 3 2 2 2 2" xfId="47249" xr:uid="{00000000-0005-0000-0000-000003AE0000}"/>
    <cellStyle name="Normal 63 4 3 2 2 3" xfId="34816" xr:uid="{00000000-0005-0000-0000-000004AE0000}"/>
    <cellStyle name="Normal 63 4 3 2 3" xfId="17368" xr:uid="{00000000-0005-0000-0000-000005AE0000}"/>
    <cellStyle name="Normal 63 4 3 2 3 2" xfId="42242" xr:uid="{00000000-0005-0000-0000-000006AE0000}"/>
    <cellStyle name="Normal 63 4 3 2 4" xfId="29809" xr:uid="{00000000-0005-0000-0000-000007AE0000}"/>
    <cellStyle name="Normal 63 4 3 3" xfId="6082" xr:uid="{00000000-0005-0000-0000-000008AE0000}"/>
    <cellStyle name="Normal 63 4 3 3 2" xfId="11097" xr:uid="{00000000-0005-0000-0000-000009AE0000}"/>
    <cellStyle name="Normal 63 4 3 3 2 2" xfId="23540" xr:uid="{00000000-0005-0000-0000-00000AAE0000}"/>
    <cellStyle name="Normal 63 4 3 3 2 2 2" xfId="48414" xr:uid="{00000000-0005-0000-0000-00000BAE0000}"/>
    <cellStyle name="Normal 63 4 3 3 2 3" xfId="35981" xr:uid="{00000000-0005-0000-0000-00000CAE0000}"/>
    <cellStyle name="Normal 63 4 3 3 3" xfId="18533" xr:uid="{00000000-0005-0000-0000-00000DAE0000}"/>
    <cellStyle name="Normal 63 4 3 3 3 2" xfId="43407" xr:uid="{00000000-0005-0000-0000-00000EAE0000}"/>
    <cellStyle name="Normal 63 4 3 3 4" xfId="30974" xr:uid="{00000000-0005-0000-0000-00000FAE0000}"/>
    <cellStyle name="Normal 63 4 3 4" xfId="8339" xr:uid="{00000000-0005-0000-0000-000010AE0000}"/>
    <cellStyle name="Normal 63 4 3 4 2" xfId="20783" xr:uid="{00000000-0005-0000-0000-000011AE0000}"/>
    <cellStyle name="Normal 63 4 3 4 2 2" xfId="45657" xr:uid="{00000000-0005-0000-0000-000012AE0000}"/>
    <cellStyle name="Normal 63 4 3 4 3" xfId="33224" xr:uid="{00000000-0005-0000-0000-000013AE0000}"/>
    <cellStyle name="Normal 63 4 3 5" xfId="12551" xr:uid="{00000000-0005-0000-0000-000014AE0000}"/>
    <cellStyle name="Normal 63 4 3 5 2" xfId="24985" xr:uid="{00000000-0005-0000-0000-000015AE0000}"/>
    <cellStyle name="Normal 63 4 3 5 2 2" xfId="49859" xr:uid="{00000000-0005-0000-0000-000016AE0000}"/>
    <cellStyle name="Normal 63 4 3 5 3" xfId="37426" xr:uid="{00000000-0005-0000-0000-000017AE0000}"/>
    <cellStyle name="Normal 63 4 3 6" xfId="7526" xr:uid="{00000000-0005-0000-0000-000018AE0000}"/>
    <cellStyle name="Normal 63 4 3 6 2" xfId="19974" xr:uid="{00000000-0005-0000-0000-000019AE0000}"/>
    <cellStyle name="Normal 63 4 3 6 2 2" xfId="44848" xr:uid="{00000000-0005-0000-0000-00001AAE0000}"/>
    <cellStyle name="Normal 63 4 3 6 3" xfId="32415" xr:uid="{00000000-0005-0000-0000-00001BAE0000}"/>
    <cellStyle name="Normal 63 4 3 7" xfId="3270" xr:uid="{00000000-0005-0000-0000-00001CAE0000}"/>
    <cellStyle name="Normal 63 4 3 7 2" xfId="15776" xr:uid="{00000000-0005-0000-0000-00001DAE0000}"/>
    <cellStyle name="Normal 63 4 3 7 2 2" xfId="40650" xr:uid="{00000000-0005-0000-0000-00001EAE0000}"/>
    <cellStyle name="Normal 63 4 3 7 3" xfId="28209" xr:uid="{00000000-0005-0000-0000-00001FAE0000}"/>
    <cellStyle name="Normal 63 4 3 8" xfId="14736" xr:uid="{00000000-0005-0000-0000-000020AE0000}"/>
    <cellStyle name="Normal 63 4 3 8 2" xfId="39610" xr:uid="{00000000-0005-0000-0000-000021AE0000}"/>
    <cellStyle name="Normal 63 4 3 9" xfId="27169" xr:uid="{00000000-0005-0000-0000-000022AE0000}"/>
    <cellStyle name="Normal 63 4 4" xfId="2288" xr:uid="{00000000-0005-0000-0000-000023AE0000}"/>
    <cellStyle name="Normal 63 4 4 2" xfId="6313" xr:uid="{00000000-0005-0000-0000-000024AE0000}"/>
    <cellStyle name="Normal 63 4 4 2 2" xfId="11328" xr:uid="{00000000-0005-0000-0000-000025AE0000}"/>
    <cellStyle name="Normal 63 4 4 2 2 2" xfId="23771" xr:uid="{00000000-0005-0000-0000-000026AE0000}"/>
    <cellStyle name="Normal 63 4 4 2 2 2 2" xfId="48645" xr:uid="{00000000-0005-0000-0000-000027AE0000}"/>
    <cellStyle name="Normal 63 4 4 2 2 3" xfId="36212" xr:uid="{00000000-0005-0000-0000-000028AE0000}"/>
    <cellStyle name="Normal 63 4 4 2 3" xfId="18764" xr:uid="{00000000-0005-0000-0000-000029AE0000}"/>
    <cellStyle name="Normal 63 4 4 2 3 2" xfId="43638" xr:uid="{00000000-0005-0000-0000-00002AAE0000}"/>
    <cellStyle name="Normal 63 4 4 2 4" xfId="31205" xr:uid="{00000000-0005-0000-0000-00002BAE0000}"/>
    <cellStyle name="Normal 63 4 4 3" xfId="12782" xr:uid="{00000000-0005-0000-0000-00002CAE0000}"/>
    <cellStyle name="Normal 63 4 4 3 2" xfId="25216" xr:uid="{00000000-0005-0000-0000-00002DAE0000}"/>
    <cellStyle name="Normal 63 4 4 3 2 2" xfId="50090" xr:uid="{00000000-0005-0000-0000-00002EAE0000}"/>
    <cellStyle name="Normal 63 4 4 3 3" xfId="37657" xr:uid="{00000000-0005-0000-0000-00002FAE0000}"/>
    <cellStyle name="Normal 63 4 4 4" xfId="9223" xr:uid="{00000000-0005-0000-0000-000030AE0000}"/>
    <cellStyle name="Normal 63 4 4 4 2" xfId="21666" xr:uid="{00000000-0005-0000-0000-000031AE0000}"/>
    <cellStyle name="Normal 63 4 4 4 2 2" xfId="46540" xr:uid="{00000000-0005-0000-0000-000032AE0000}"/>
    <cellStyle name="Normal 63 4 4 4 3" xfId="34107" xr:uid="{00000000-0005-0000-0000-000033AE0000}"/>
    <cellStyle name="Normal 63 4 4 5" xfId="4205" xr:uid="{00000000-0005-0000-0000-000034AE0000}"/>
    <cellStyle name="Normal 63 4 4 5 2" xfId="16659" xr:uid="{00000000-0005-0000-0000-000035AE0000}"/>
    <cellStyle name="Normal 63 4 4 5 2 2" xfId="41533" xr:uid="{00000000-0005-0000-0000-000036AE0000}"/>
    <cellStyle name="Normal 63 4 4 5 3" xfId="29100" xr:uid="{00000000-0005-0000-0000-000037AE0000}"/>
    <cellStyle name="Normal 63 4 4 6" xfId="14967" xr:uid="{00000000-0005-0000-0000-000038AE0000}"/>
    <cellStyle name="Normal 63 4 4 6 2" xfId="39841" xr:uid="{00000000-0005-0000-0000-000039AE0000}"/>
    <cellStyle name="Normal 63 4 4 7" xfId="27400" xr:uid="{00000000-0005-0000-0000-00003AAE0000}"/>
    <cellStyle name="Normal 63 4 5" xfId="1124" xr:uid="{00000000-0005-0000-0000-00003BAE0000}"/>
    <cellStyle name="Normal 63 4 5 2" xfId="10285" xr:uid="{00000000-0005-0000-0000-00003CAE0000}"/>
    <cellStyle name="Normal 63 4 5 2 2" xfId="22728" xr:uid="{00000000-0005-0000-0000-00003DAE0000}"/>
    <cellStyle name="Normal 63 4 5 2 2 2" xfId="47602" xr:uid="{00000000-0005-0000-0000-00003EAE0000}"/>
    <cellStyle name="Normal 63 4 5 2 3" xfId="35169" xr:uid="{00000000-0005-0000-0000-00003FAE0000}"/>
    <cellStyle name="Normal 63 4 5 3" xfId="5269" xr:uid="{00000000-0005-0000-0000-000040AE0000}"/>
    <cellStyle name="Normal 63 4 5 3 2" xfId="17721" xr:uid="{00000000-0005-0000-0000-000041AE0000}"/>
    <cellStyle name="Normal 63 4 5 3 2 2" xfId="42595" xr:uid="{00000000-0005-0000-0000-000042AE0000}"/>
    <cellStyle name="Normal 63 4 5 3 3" xfId="30162" xr:uid="{00000000-0005-0000-0000-000043AE0000}"/>
    <cellStyle name="Normal 63 4 5 4" xfId="13924" xr:uid="{00000000-0005-0000-0000-000044AE0000}"/>
    <cellStyle name="Normal 63 4 5 4 2" xfId="38798" xr:uid="{00000000-0005-0000-0000-000045AE0000}"/>
    <cellStyle name="Normal 63 4 5 5" xfId="26357" xr:uid="{00000000-0005-0000-0000-000046AE0000}"/>
    <cellStyle name="Normal 63 4 6" xfId="7846" xr:uid="{00000000-0005-0000-0000-000047AE0000}"/>
    <cellStyle name="Normal 63 4 6 2" xfId="20292" xr:uid="{00000000-0005-0000-0000-000048AE0000}"/>
    <cellStyle name="Normal 63 4 6 2 2" xfId="45166" xr:uid="{00000000-0005-0000-0000-000049AE0000}"/>
    <cellStyle name="Normal 63 4 6 3" xfId="32733" xr:uid="{00000000-0005-0000-0000-00004AAE0000}"/>
    <cellStyle name="Normal 63 4 7" xfId="11739" xr:uid="{00000000-0005-0000-0000-00004BAE0000}"/>
    <cellStyle name="Normal 63 4 7 2" xfId="24173" xr:uid="{00000000-0005-0000-0000-00004CAE0000}"/>
    <cellStyle name="Normal 63 4 7 2 2" xfId="49047" xr:uid="{00000000-0005-0000-0000-00004DAE0000}"/>
    <cellStyle name="Normal 63 4 7 3" xfId="36614" xr:uid="{00000000-0005-0000-0000-00004EAE0000}"/>
    <cellStyle name="Normal 63 4 8" xfId="6816" xr:uid="{00000000-0005-0000-0000-00004FAE0000}"/>
    <cellStyle name="Normal 63 4 8 2" xfId="19265" xr:uid="{00000000-0005-0000-0000-000050AE0000}"/>
    <cellStyle name="Normal 63 4 8 2 2" xfId="44139" xr:uid="{00000000-0005-0000-0000-000051AE0000}"/>
    <cellStyle name="Normal 63 4 8 3" xfId="31706" xr:uid="{00000000-0005-0000-0000-000052AE0000}"/>
    <cellStyle name="Normal 63 4 9" xfId="2767" xr:uid="{00000000-0005-0000-0000-000053AE0000}"/>
    <cellStyle name="Normal 63 4 9 2" xfId="15285" xr:uid="{00000000-0005-0000-0000-000054AE0000}"/>
    <cellStyle name="Normal 63 4 9 2 2" xfId="40159" xr:uid="{00000000-0005-0000-0000-000055AE0000}"/>
    <cellStyle name="Normal 63 4 9 3" xfId="27718" xr:uid="{00000000-0005-0000-0000-000056AE0000}"/>
    <cellStyle name="Normal 63 4_Degree data" xfId="2556" xr:uid="{00000000-0005-0000-0000-000057AE0000}"/>
    <cellStyle name="Normal 63 5" xfId="588" xr:uid="{00000000-0005-0000-0000-000058AE0000}"/>
    <cellStyle name="Normal 63 5 2" xfId="1584" xr:uid="{00000000-0005-0000-0000-000059AE0000}"/>
    <cellStyle name="Normal 63 5 2 2" xfId="9087" xr:uid="{00000000-0005-0000-0000-00005AAE0000}"/>
    <cellStyle name="Normal 63 5 2 2 2" xfId="21530" xr:uid="{00000000-0005-0000-0000-00005BAE0000}"/>
    <cellStyle name="Normal 63 5 2 2 2 2" xfId="46404" xr:uid="{00000000-0005-0000-0000-00005CAE0000}"/>
    <cellStyle name="Normal 63 5 2 2 3" xfId="33971" xr:uid="{00000000-0005-0000-0000-00005DAE0000}"/>
    <cellStyle name="Normal 63 5 2 3" xfId="4069" xr:uid="{00000000-0005-0000-0000-00005EAE0000}"/>
    <cellStyle name="Normal 63 5 2 3 2" xfId="16523" xr:uid="{00000000-0005-0000-0000-00005FAE0000}"/>
    <cellStyle name="Normal 63 5 2 3 2 2" xfId="41397" xr:uid="{00000000-0005-0000-0000-000060AE0000}"/>
    <cellStyle name="Normal 63 5 2 3 3" xfId="28964" xr:uid="{00000000-0005-0000-0000-000061AE0000}"/>
    <cellStyle name="Normal 63 5 2 4" xfId="14384" xr:uid="{00000000-0005-0000-0000-000062AE0000}"/>
    <cellStyle name="Normal 63 5 2 4 2" xfId="39258" xr:uid="{00000000-0005-0000-0000-000063AE0000}"/>
    <cellStyle name="Normal 63 5 2 5" xfId="26817" xr:uid="{00000000-0005-0000-0000-000064AE0000}"/>
    <cellStyle name="Normal 63 5 3" xfId="5729" xr:uid="{00000000-0005-0000-0000-000065AE0000}"/>
    <cellStyle name="Normal 63 5 3 2" xfId="10745" xr:uid="{00000000-0005-0000-0000-000066AE0000}"/>
    <cellStyle name="Normal 63 5 3 2 2" xfId="23188" xr:uid="{00000000-0005-0000-0000-000067AE0000}"/>
    <cellStyle name="Normal 63 5 3 2 2 2" xfId="48062" xr:uid="{00000000-0005-0000-0000-000068AE0000}"/>
    <cellStyle name="Normal 63 5 3 2 3" xfId="35629" xr:uid="{00000000-0005-0000-0000-000069AE0000}"/>
    <cellStyle name="Normal 63 5 3 3" xfId="18181" xr:uid="{00000000-0005-0000-0000-00006AAE0000}"/>
    <cellStyle name="Normal 63 5 3 3 2" xfId="43055" xr:uid="{00000000-0005-0000-0000-00006BAE0000}"/>
    <cellStyle name="Normal 63 5 3 4" xfId="30622" xr:uid="{00000000-0005-0000-0000-00006CAE0000}"/>
    <cellStyle name="Normal 63 5 4" xfId="8203" xr:uid="{00000000-0005-0000-0000-00006DAE0000}"/>
    <cellStyle name="Normal 63 5 4 2" xfId="20647" xr:uid="{00000000-0005-0000-0000-00006EAE0000}"/>
    <cellStyle name="Normal 63 5 4 2 2" xfId="45521" xr:uid="{00000000-0005-0000-0000-00006FAE0000}"/>
    <cellStyle name="Normal 63 5 4 3" xfId="33088" xr:uid="{00000000-0005-0000-0000-000070AE0000}"/>
    <cellStyle name="Normal 63 5 5" xfId="12199" xr:uid="{00000000-0005-0000-0000-000071AE0000}"/>
    <cellStyle name="Normal 63 5 5 2" xfId="24633" xr:uid="{00000000-0005-0000-0000-000072AE0000}"/>
    <cellStyle name="Normal 63 5 5 2 2" xfId="49507" xr:uid="{00000000-0005-0000-0000-000073AE0000}"/>
    <cellStyle name="Normal 63 5 5 3" xfId="37074" xr:uid="{00000000-0005-0000-0000-000074AE0000}"/>
    <cellStyle name="Normal 63 5 6" xfId="6680" xr:uid="{00000000-0005-0000-0000-000075AE0000}"/>
    <cellStyle name="Normal 63 5 6 2" xfId="19129" xr:uid="{00000000-0005-0000-0000-000076AE0000}"/>
    <cellStyle name="Normal 63 5 6 2 2" xfId="44003" xr:uid="{00000000-0005-0000-0000-000077AE0000}"/>
    <cellStyle name="Normal 63 5 6 3" xfId="31570" xr:uid="{00000000-0005-0000-0000-000078AE0000}"/>
    <cellStyle name="Normal 63 5 7" xfId="3134" xr:uid="{00000000-0005-0000-0000-000079AE0000}"/>
    <cellStyle name="Normal 63 5 7 2" xfId="15640" xr:uid="{00000000-0005-0000-0000-00007AAE0000}"/>
    <cellStyle name="Normal 63 5 7 2 2" xfId="40514" xr:uid="{00000000-0005-0000-0000-00007BAE0000}"/>
    <cellStyle name="Normal 63 5 7 3" xfId="28073" xr:uid="{00000000-0005-0000-0000-00007CAE0000}"/>
    <cellStyle name="Normal 63 5 8" xfId="13397" xr:uid="{00000000-0005-0000-0000-00007DAE0000}"/>
    <cellStyle name="Normal 63 5 8 2" xfId="38271" xr:uid="{00000000-0005-0000-0000-00007EAE0000}"/>
    <cellStyle name="Normal 63 5 9" xfId="25830" xr:uid="{00000000-0005-0000-0000-00007FAE0000}"/>
    <cellStyle name="Normal 63 6" xfId="1932" xr:uid="{00000000-0005-0000-0000-000080AE0000}"/>
    <cellStyle name="Normal 63 6 2" xfId="4670" xr:uid="{00000000-0005-0000-0000-000081AE0000}"/>
    <cellStyle name="Normal 63 6 2 2" xfId="9688" xr:uid="{00000000-0005-0000-0000-000082AE0000}"/>
    <cellStyle name="Normal 63 6 2 2 2" xfId="22131" xr:uid="{00000000-0005-0000-0000-000083AE0000}"/>
    <cellStyle name="Normal 63 6 2 2 2 2" xfId="47005" xr:uid="{00000000-0005-0000-0000-000084AE0000}"/>
    <cellStyle name="Normal 63 6 2 2 3" xfId="34572" xr:uid="{00000000-0005-0000-0000-000085AE0000}"/>
    <cellStyle name="Normal 63 6 2 3" xfId="17124" xr:uid="{00000000-0005-0000-0000-000086AE0000}"/>
    <cellStyle name="Normal 63 6 2 3 2" xfId="41998" xr:uid="{00000000-0005-0000-0000-000087AE0000}"/>
    <cellStyle name="Normal 63 6 2 4" xfId="29565" xr:uid="{00000000-0005-0000-0000-000088AE0000}"/>
    <cellStyle name="Normal 63 6 3" xfId="6078" xr:uid="{00000000-0005-0000-0000-000089AE0000}"/>
    <cellStyle name="Normal 63 6 3 2" xfId="11093" xr:uid="{00000000-0005-0000-0000-00008AAE0000}"/>
    <cellStyle name="Normal 63 6 3 2 2" xfId="23536" xr:uid="{00000000-0005-0000-0000-00008BAE0000}"/>
    <cellStyle name="Normal 63 6 3 2 2 2" xfId="48410" xr:uid="{00000000-0005-0000-0000-00008CAE0000}"/>
    <cellStyle name="Normal 63 6 3 2 3" xfId="35977" xr:uid="{00000000-0005-0000-0000-00008DAE0000}"/>
    <cellStyle name="Normal 63 6 3 3" xfId="18529" xr:uid="{00000000-0005-0000-0000-00008EAE0000}"/>
    <cellStyle name="Normal 63 6 3 3 2" xfId="43403" xr:uid="{00000000-0005-0000-0000-00008FAE0000}"/>
    <cellStyle name="Normal 63 6 3 4" xfId="30970" xr:uid="{00000000-0005-0000-0000-000090AE0000}"/>
    <cellStyle name="Normal 63 6 4" xfId="8804" xr:uid="{00000000-0005-0000-0000-000091AE0000}"/>
    <cellStyle name="Normal 63 6 4 2" xfId="21248" xr:uid="{00000000-0005-0000-0000-000092AE0000}"/>
    <cellStyle name="Normal 63 6 4 2 2" xfId="46122" xr:uid="{00000000-0005-0000-0000-000093AE0000}"/>
    <cellStyle name="Normal 63 6 4 3" xfId="33689" xr:uid="{00000000-0005-0000-0000-000094AE0000}"/>
    <cellStyle name="Normal 63 6 5" xfId="12547" xr:uid="{00000000-0005-0000-0000-000095AE0000}"/>
    <cellStyle name="Normal 63 6 5 2" xfId="24981" xr:uid="{00000000-0005-0000-0000-000096AE0000}"/>
    <cellStyle name="Normal 63 6 5 2 2" xfId="49855" xr:uid="{00000000-0005-0000-0000-000097AE0000}"/>
    <cellStyle name="Normal 63 6 5 3" xfId="37422" xr:uid="{00000000-0005-0000-0000-000098AE0000}"/>
    <cellStyle name="Normal 63 6 6" xfId="7281" xr:uid="{00000000-0005-0000-0000-000099AE0000}"/>
    <cellStyle name="Normal 63 6 6 2" xfId="19730" xr:uid="{00000000-0005-0000-0000-00009AAE0000}"/>
    <cellStyle name="Normal 63 6 6 2 2" xfId="44604" xr:uid="{00000000-0005-0000-0000-00009BAE0000}"/>
    <cellStyle name="Normal 63 6 6 3" xfId="32171" xr:uid="{00000000-0005-0000-0000-00009CAE0000}"/>
    <cellStyle name="Normal 63 6 7" xfId="3735" xr:uid="{00000000-0005-0000-0000-00009DAE0000}"/>
    <cellStyle name="Normal 63 6 7 2" xfId="16241" xr:uid="{00000000-0005-0000-0000-00009EAE0000}"/>
    <cellStyle name="Normal 63 6 7 2 2" xfId="41115" xr:uid="{00000000-0005-0000-0000-00009FAE0000}"/>
    <cellStyle name="Normal 63 6 7 3" xfId="28674" xr:uid="{00000000-0005-0000-0000-0000A0AE0000}"/>
    <cellStyle name="Normal 63 6 8" xfId="14732" xr:uid="{00000000-0005-0000-0000-0000A1AE0000}"/>
    <cellStyle name="Normal 63 6 8 2" xfId="39606" xr:uid="{00000000-0005-0000-0000-0000A2AE0000}"/>
    <cellStyle name="Normal 63 6 9" xfId="27165" xr:uid="{00000000-0005-0000-0000-0000A3AE0000}"/>
    <cellStyle name="Normal 63 7" xfId="2141" xr:uid="{00000000-0005-0000-0000-0000A4AE0000}"/>
    <cellStyle name="Normal 63 7 2" xfId="4779" xr:uid="{00000000-0005-0000-0000-0000A5AE0000}"/>
    <cellStyle name="Normal 63 7 2 2" xfId="9796" xr:uid="{00000000-0005-0000-0000-0000A6AE0000}"/>
    <cellStyle name="Normal 63 7 2 2 2" xfId="22239" xr:uid="{00000000-0005-0000-0000-0000A7AE0000}"/>
    <cellStyle name="Normal 63 7 2 2 2 2" xfId="47113" xr:uid="{00000000-0005-0000-0000-0000A8AE0000}"/>
    <cellStyle name="Normal 63 7 2 2 3" xfId="34680" xr:uid="{00000000-0005-0000-0000-0000A9AE0000}"/>
    <cellStyle name="Normal 63 7 2 3" xfId="17232" xr:uid="{00000000-0005-0000-0000-0000AAAE0000}"/>
    <cellStyle name="Normal 63 7 2 3 2" xfId="42106" xr:uid="{00000000-0005-0000-0000-0000ABAE0000}"/>
    <cellStyle name="Normal 63 7 2 4" xfId="29673" xr:uid="{00000000-0005-0000-0000-0000ACAE0000}"/>
    <cellStyle name="Normal 63 7 3" xfId="6177" xr:uid="{00000000-0005-0000-0000-0000ADAE0000}"/>
    <cellStyle name="Normal 63 7 3 2" xfId="11192" xr:uid="{00000000-0005-0000-0000-0000AEAE0000}"/>
    <cellStyle name="Normal 63 7 3 2 2" xfId="23635" xr:uid="{00000000-0005-0000-0000-0000AFAE0000}"/>
    <cellStyle name="Normal 63 7 3 2 2 2" xfId="48509" xr:uid="{00000000-0005-0000-0000-0000B0AE0000}"/>
    <cellStyle name="Normal 63 7 3 2 3" xfId="36076" xr:uid="{00000000-0005-0000-0000-0000B1AE0000}"/>
    <cellStyle name="Normal 63 7 3 3" xfId="18628" xr:uid="{00000000-0005-0000-0000-0000B2AE0000}"/>
    <cellStyle name="Normal 63 7 3 3 2" xfId="43502" xr:uid="{00000000-0005-0000-0000-0000B3AE0000}"/>
    <cellStyle name="Normal 63 7 3 4" xfId="31069" xr:uid="{00000000-0005-0000-0000-0000B4AE0000}"/>
    <cellStyle name="Normal 63 7 4" xfId="8019" xr:uid="{00000000-0005-0000-0000-0000B5AE0000}"/>
    <cellStyle name="Normal 63 7 4 2" xfId="20465" xr:uid="{00000000-0005-0000-0000-0000B6AE0000}"/>
    <cellStyle name="Normal 63 7 4 2 2" xfId="45339" xr:uid="{00000000-0005-0000-0000-0000B7AE0000}"/>
    <cellStyle name="Normal 63 7 4 3" xfId="32906" xr:uid="{00000000-0005-0000-0000-0000B8AE0000}"/>
    <cellStyle name="Normal 63 7 5" xfId="12646" xr:uid="{00000000-0005-0000-0000-0000B9AE0000}"/>
    <cellStyle name="Normal 63 7 5 2" xfId="25080" xr:uid="{00000000-0005-0000-0000-0000BAAE0000}"/>
    <cellStyle name="Normal 63 7 5 2 2" xfId="49954" xr:uid="{00000000-0005-0000-0000-0000BBAE0000}"/>
    <cellStyle name="Normal 63 7 5 3" xfId="37521" xr:uid="{00000000-0005-0000-0000-0000BCAE0000}"/>
    <cellStyle name="Normal 63 7 6" xfId="7390" xr:uid="{00000000-0005-0000-0000-0000BDAE0000}"/>
    <cellStyle name="Normal 63 7 6 2" xfId="19838" xr:uid="{00000000-0005-0000-0000-0000BEAE0000}"/>
    <cellStyle name="Normal 63 7 6 2 2" xfId="44712" xr:uid="{00000000-0005-0000-0000-0000BFAE0000}"/>
    <cellStyle name="Normal 63 7 6 3" xfId="32279" xr:uid="{00000000-0005-0000-0000-0000C0AE0000}"/>
    <cellStyle name="Normal 63 7 7" xfId="2943" xr:uid="{00000000-0005-0000-0000-0000C1AE0000}"/>
    <cellStyle name="Normal 63 7 7 2" xfId="15458" xr:uid="{00000000-0005-0000-0000-0000C2AE0000}"/>
    <cellStyle name="Normal 63 7 7 2 2" xfId="40332" xr:uid="{00000000-0005-0000-0000-0000C3AE0000}"/>
    <cellStyle name="Normal 63 7 7 3" xfId="27891" xr:uid="{00000000-0005-0000-0000-0000C4AE0000}"/>
    <cellStyle name="Normal 63 7 8" xfId="14831" xr:uid="{00000000-0005-0000-0000-0000C5AE0000}"/>
    <cellStyle name="Normal 63 7 8 2" xfId="39705" xr:uid="{00000000-0005-0000-0000-0000C6AE0000}"/>
    <cellStyle name="Normal 63 7 9" xfId="27264" xr:uid="{00000000-0005-0000-0000-0000C7AE0000}"/>
    <cellStyle name="Normal 63 8" xfId="988" xr:uid="{00000000-0005-0000-0000-0000C8AE0000}"/>
    <cellStyle name="Normal 63 8 2" xfId="8906" xr:uid="{00000000-0005-0000-0000-0000C9AE0000}"/>
    <cellStyle name="Normal 63 8 2 2" xfId="21349" xr:uid="{00000000-0005-0000-0000-0000CAAE0000}"/>
    <cellStyle name="Normal 63 8 2 2 2" xfId="46223" xr:uid="{00000000-0005-0000-0000-0000CBAE0000}"/>
    <cellStyle name="Normal 63 8 2 3" xfId="33790" xr:uid="{00000000-0005-0000-0000-0000CCAE0000}"/>
    <cellStyle name="Normal 63 8 3" xfId="3888" xr:uid="{00000000-0005-0000-0000-0000CDAE0000}"/>
    <cellStyle name="Normal 63 8 3 2" xfId="16342" xr:uid="{00000000-0005-0000-0000-0000CEAE0000}"/>
    <cellStyle name="Normal 63 8 3 2 2" xfId="41216" xr:uid="{00000000-0005-0000-0000-0000CFAE0000}"/>
    <cellStyle name="Normal 63 8 3 3" xfId="28783" xr:uid="{00000000-0005-0000-0000-0000D0AE0000}"/>
    <cellStyle name="Normal 63 8 4" xfId="13788" xr:uid="{00000000-0005-0000-0000-0000D1AE0000}"/>
    <cellStyle name="Normal 63 8 4 2" xfId="38662" xr:uid="{00000000-0005-0000-0000-0000D2AE0000}"/>
    <cellStyle name="Normal 63 8 5" xfId="26221" xr:uid="{00000000-0005-0000-0000-0000D3AE0000}"/>
    <cellStyle name="Normal 63 9" xfId="5131" xr:uid="{00000000-0005-0000-0000-0000D4AE0000}"/>
    <cellStyle name="Normal 63 9 2" xfId="10147" xr:uid="{00000000-0005-0000-0000-0000D5AE0000}"/>
    <cellStyle name="Normal 63 9 2 2" xfId="22590" xr:uid="{00000000-0005-0000-0000-0000D6AE0000}"/>
    <cellStyle name="Normal 63 9 2 2 2" xfId="47464" xr:uid="{00000000-0005-0000-0000-0000D7AE0000}"/>
    <cellStyle name="Normal 63 9 2 3" xfId="35031" xr:uid="{00000000-0005-0000-0000-0000D8AE0000}"/>
    <cellStyle name="Normal 63 9 3" xfId="17583" xr:uid="{00000000-0005-0000-0000-0000D9AE0000}"/>
    <cellStyle name="Normal 63 9 3 2" xfId="42457" xr:uid="{00000000-0005-0000-0000-0000DAAE0000}"/>
    <cellStyle name="Normal 63 9 4" xfId="30024" xr:uid="{00000000-0005-0000-0000-0000DBAE0000}"/>
    <cellStyle name="Normal 63_Degree data" xfId="2552" xr:uid="{00000000-0005-0000-0000-0000DCAE0000}"/>
    <cellStyle name="Normal 64" xfId="271" xr:uid="{00000000-0005-0000-0000-0000DDAE0000}"/>
    <cellStyle name="Normal 64 2" xfId="633" xr:uid="{00000000-0005-0000-0000-0000DEAE0000}"/>
    <cellStyle name="Normal 64 3" xfId="2950" xr:uid="{00000000-0005-0000-0000-0000DFAE0000}"/>
    <cellStyle name="Normal 64_Degree data" xfId="2557" xr:uid="{00000000-0005-0000-0000-0000E0AE0000}"/>
    <cellStyle name="Normal 65" xfId="273" xr:uid="{00000000-0005-0000-0000-0000E1AE0000}"/>
    <cellStyle name="Normal 65 2" xfId="635" xr:uid="{00000000-0005-0000-0000-0000E2AE0000}"/>
    <cellStyle name="Normal 65 3" xfId="2952" xr:uid="{00000000-0005-0000-0000-0000E3AE0000}"/>
    <cellStyle name="Normal 65_Degree data" xfId="2558" xr:uid="{00000000-0005-0000-0000-0000E4AE0000}"/>
    <cellStyle name="Normal 66" xfId="272" xr:uid="{00000000-0005-0000-0000-0000E5AE0000}"/>
    <cellStyle name="Normal 66 2" xfId="634" xr:uid="{00000000-0005-0000-0000-0000E6AE0000}"/>
    <cellStyle name="Normal 66 3" xfId="2951" xr:uid="{00000000-0005-0000-0000-0000E7AE0000}"/>
    <cellStyle name="Normal 66_Degree data" xfId="2559" xr:uid="{00000000-0005-0000-0000-0000E8AE0000}"/>
    <cellStyle name="Normal 67" xfId="305" xr:uid="{00000000-0005-0000-0000-0000E9AE0000}"/>
    <cellStyle name="Normal 67 2" xfId="666" xr:uid="{00000000-0005-0000-0000-0000EAAE0000}"/>
    <cellStyle name="Normal 67 3" xfId="2984" xr:uid="{00000000-0005-0000-0000-0000EBAE0000}"/>
    <cellStyle name="Normal 67_Degree data" xfId="2560" xr:uid="{00000000-0005-0000-0000-0000ECAE0000}"/>
    <cellStyle name="Normal 68" xfId="407" xr:uid="{00000000-0005-0000-0000-0000EDAE0000}"/>
    <cellStyle name="Normal 68 2" xfId="767" xr:uid="{00000000-0005-0000-0000-0000EEAE0000}"/>
    <cellStyle name="Normal 68 3" xfId="2985" xr:uid="{00000000-0005-0000-0000-0000EFAE0000}"/>
    <cellStyle name="Normal 68_Degree data" xfId="2561" xr:uid="{00000000-0005-0000-0000-0000F0AE0000}"/>
    <cellStyle name="Normal 69" xfId="436" xr:uid="{00000000-0005-0000-0000-0000F1AE0000}"/>
    <cellStyle name="Normal 69 2" xfId="796" xr:uid="{00000000-0005-0000-0000-0000F2AE0000}"/>
    <cellStyle name="Normal 69 3" xfId="3014" xr:uid="{00000000-0005-0000-0000-0000F3AE0000}"/>
    <cellStyle name="Normal 69_Degree data" xfId="2562" xr:uid="{00000000-0005-0000-0000-0000F4AE0000}"/>
    <cellStyle name="Normal 7" xfId="78" xr:uid="{00000000-0005-0000-0000-0000F5AE0000}"/>
    <cellStyle name="Normal 7 10" xfId="536" xr:uid="{00000000-0005-0000-0000-0000F6AE0000}"/>
    <cellStyle name="Normal 7 10 2" xfId="1589" xr:uid="{00000000-0005-0000-0000-0000F7AE0000}"/>
    <cellStyle name="Normal 7 10 2 2" xfId="9693" xr:uid="{00000000-0005-0000-0000-0000F8AE0000}"/>
    <cellStyle name="Normal 7 10 2 2 2" xfId="22136" xr:uid="{00000000-0005-0000-0000-0000F9AE0000}"/>
    <cellStyle name="Normal 7 10 2 2 2 2" xfId="47010" xr:uid="{00000000-0005-0000-0000-0000FAAE0000}"/>
    <cellStyle name="Normal 7 10 2 2 3" xfId="34577" xr:uid="{00000000-0005-0000-0000-0000FBAE0000}"/>
    <cellStyle name="Normal 7 10 2 3" xfId="4675" xr:uid="{00000000-0005-0000-0000-0000FCAE0000}"/>
    <cellStyle name="Normal 7 10 2 3 2" xfId="17129" xr:uid="{00000000-0005-0000-0000-0000FDAE0000}"/>
    <cellStyle name="Normal 7 10 2 3 2 2" xfId="42003" xr:uid="{00000000-0005-0000-0000-0000FEAE0000}"/>
    <cellStyle name="Normal 7 10 2 3 3" xfId="29570" xr:uid="{00000000-0005-0000-0000-0000FFAE0000}"/>
    <cellStyle name="Normal 7 10 2 4" xfId="14389" xr:uid="{00000000-0005-0000-0000-000000AF0000}"/>
    <cellStyle name="Normal 7 10 2 4 2" xfId="39263" xr:uid="{00000000-0005-0000-0000-000001AF0000}"/>
    <cellStyle name="Normal 7 10 2 5" xfId="26822" xr:uid="{00000000-0005-0000-0000-000002AF0000}"/>
    <cellStyle name="Normal 7 10 3" xfId="5735" xr:uid="{00000000-0005-0000-0000-000003AF0000}"/>
    <cellStyle name="Normal 7 10 3 2" xfId="10750" xr:uid="{00000000-0005-0000-0000-000004AF0000}"/>
    <cellStyle name="Normal 7 10 3 2 2" xfId="23193" xr:uid="{00000000-0005-0000-0000-000005AF0000}"/>
    <cellStyle name="Normal 7 10 3 2 2 2" xfId="48067" xr:uid="{00000000-0005-0000-0000-000006AF0000}"/>
    <cellStyle name="Normal 7 10 3 2 3" xfId="35634" xr:uid="{00000000-0005-0000-0000-000007AF0000}"/>
    <cellStyle name="Normal 7 10 3 3" xfId="18186" xr:uid="{00000000-0005-0000-0000-000008AF0000}"/>
    <cellStyle name="Normal 7 10 3 3 2" xfId="43060" xr:uid="{00000000-0005-0000-0000-000009AF0000}"/>
    <cellStyle name="Normal 7 10 3 4" xfId="30627" xr:uid="{00000000-0005-0000-0000-00000AAF0000}"/>
    <cellStyle name="Normal 7 10 4" xfId="8809" xr:uid="{00000000-0005-0000-0000-00000BAF0000}"/>
    <cellStyle name="Normal 7 10 4 2" xfId="21253" xr:uid="{00000000-0005-0000-0000-00000CAF0000}"/>
    <cellStyle name="Normal 7 10 4 2 2" xfId="46127" xr:uid="{00000000-0005-0000-0000-00000DAF0000}"/>
    <cellStyle name="Normal 7 10 4 3" xfId="33694" xr:uid="{00000000-0005-0000-0000-00000EAF0000}"/>
    <cellStyle name="Normal 7 10 5" xfId="12204" xr:uid="{00000000-0005-0000-0000-00000FAF0000}"/>
    <cellStyle name="Normal 7 10 5 2" xfId="24638" xr:uid="{00000000-0005-0000-0000-000010AF0000}"/>
    <cellStyle name="Normal 7 10 5 2 2" xfId="49512" xr:uid="{00000000-0005-0000-0000-000011AF0000}"/>
    <cellStyle name="Normal 7 10 5 3" xfId="37079" xr:uid="{00000000-0005-0000-0000-000012AF0000}"/>
    <cellStyle name="Normal 7 10 6" xfId="7286" xr:uid="{00000000-0005-0000-0000-000013AF0000}"/>
    <cellStyle name="Normal 7 10 6 2" xfId="19735" xr:uid="{00000000-0005-0000-0000-000014AF0000}"/>
    <cellStyle name="Normal 7 10 6 2 2" xfId="44609" xr:uid="{00000000-0005-0000-0000-000015AF0000}"/>
    <cellStyle name="Normal 7 10 6 3" xfId="32176" xr:uid="{00000000-0005-0000-0000-000016AF0000}"/>
    <cellStyle name="Normal 7 10 7" xfId="3740" xr:uid="{00000000-0005-0000-0000-000017AF0000}"/>
    <cellStyle name="Normal 7 10 7 2" xfId="16246" xr:uid="{00000000-0005-0000-0000-000018AF0000}"/>
    <cellStyle name="Normal 7 10 7 2 2" xfId="41120" xr:uid="{00000000-0005-0000-0000-000019AF0000}"/>
    <cellStyle name="Normal 7 10 7 3" xfId="28679" xr:uid="{00000000-0005-0000-0000-00001AAF0000}"/>
    <cellStyle name="Normal 7 10 8" xfId="13346" xr:uid="{00000000-0005-0000-0000-00001BAF0000}"/>
    <cellStyle name="Normal 7 10 8 2" xfId="38220" xr:uid="{00000000-0005-0000-0000-00001CAF0000}"/>
    <cellStyle name="Normal 7 10 9" xfId="25779" xr:uid="{00000000-0005-0000-0000-00001DAF0000}"/>
    <cellStyle name="Normal 7 11" xfId="1937" xr:uid="{00000000-0005-0000-0000-00001EAF0000}"/>
    <cellStyle name="Normal 7 11 2" xfId="4728" xr:uid="{00000000-0005-0000-0000-00001FAF0000}"/>
    <cellStyle name="Normal 7 11 2 2" xfId="9745" xr:uid="{00000000-0005-0000-0000-000020AF0000}"/>
    <cellStyle name="Normal 7 11 2 2 2" xfId="22188" xr:uid="{00000000-0005-0000-0000-000021AF0000}"/>
    <cellStyle name="Normal 7 11 2 2 2 2" xfId="47062" xr:uid="{00000000-0005-0000-0000-000022AF0000}"/>
    <cellStyle name="Normal 7 11 2 2 3" xfId="34629" xr:uid="{00000000-0005-0000-0000-000023AF0000}"/>
    <cellStyle name="Normal 7 11 2 3" xfId="17181" xr:uid="{00000000-0005-0000-0000-000024AF0000}"/>
    <cellStyle name="Normal 7 11 2 3 2" xfId="42055" xr:uid="{00000000-0005-0000-0000-000025AF0000}"/>
    <cellStyle name="Normal 7 11 2 4" xfId="29622" xr:uid="{00000000-0005-0000-0000-000026AF0000}"/>
    <cellStyle name="Normal 7 11 3" xfId="6083" xr:uid="{00000000-0005-0000-0000-000027AF0000}"/>
    <cellStyle name="Normal 7 11 3 2" xfId="11098" xr:uid="{00000000-0005-0000-0000-000028AF0000}"/>
    <cellStyle name="Normal 7 11 3 2 2" xfId="23541" xr:uid="{00000000-0005-0000-0000-000029AF0000}"/>
    <cellStyle name="Normal 7 11 3 2 2 2" xfId="48415" xr:uid="{00000000-0005-0000-0000-00002AAF0000}"/>
    <cellStyle name="Normal 7 11 3 2 3" xfId="35982" xr:uid="{00000000-0005-0000-0000-00002BAF0000}"/>
    <cellStyle name="Normal 7 11 3 3" xfId="18534" xr:uid="{00000000-0005-0000-0000-00002CAF0000}"/>
    <cellStyle name="Normal 7 11 3 3 2" xfId="43408" xr:uid="{00000000-0005-0000-0000-00002DAF0000}"/>
    <cellStyle name="Normal 7 11 3 4" xfId="30975" xr:uid="{00000000-0005-0000-0000-00002EAF0000}"/>
    <cellStyle name="Normal 7 11 4" xfId="8003" xr:uid="{00000000-0005-0000-0000-00002FAF0000}"/>
    <cellStyle name="Normal 7 11 4 2" xfId="20449" xr:uid="{00000000-0005-0000-0000-000030AF0000}"/>
    <cellStyle name="Normal 7 11 4 2 2" xfId="45323" xr:uid="{00000000-0005-0000-0000-000031AF0000}"/>
    <cellStyle name="Normal 7 11 4 3" xfId="32890" xr:uid="{00000000-0005-0000-0000-000032AF0000}"/>
    <cellStyle name="Normal 7 11 5" xfId="12552" xr:uid="{00000000-0005-0000-0000-000033AF0000}"/>
    <cellStyle name="Normal 7 11 5 2" xfId="24986" xr:uid="{00000000-0005-0000-0000-000034AF0000}"/>
    <cellStyle name="Normal 7 11 5 2 2" xfId="49860" xr:uid="{00000000-0005-0000-0000-000035AF0000}"/>
    <cellStyle name="Normal 7 11 5 3" xfId="37427" xr:uid="{00000000-0005-0000-0000-000036AF0000}"/>
    <cellStyle name="Normal 7 11 6" xfId="7339" xr:uid="{00000000-0005-0000-0000-000037AF0000}"/>
    <cellStyle name="Normal 7 11 6 2" xfId="19787" xr:uid="{00000000-0005-0000-0000-000038AF0000}"/>
    <cellStyle name="Normal 7 11 6 2 2" xfId="44661" xr:uid="{00000000-0005-0000-0000-000039AF0000}"/>
    <cellStyle name="Normal 7 11 6 3" xfId="32228" xr:uid="{00000000-0005-0000-0000-00003AAF0000}"/>
    <cellStyle name="Normal 7 11 7" xfId="2924" xr:uid="{00000000-0005-0000-0000-00003BAF0000}"/>
    <cellStyle name="Normal 7 11 7 2" xfId="15442" xr:uid="{00000000-0005-0000-0000-00003CAF0000}"/>
    <cellStyle name="Normal 7 11 7 2 2" xfId="40316" xr:uid="{00000000-0005-0000-0000-00003DAF0000}"/>
    <cellStyle name="Normal 7 11 7 3" xfId="27875" xr:uid="{00000000-0005-0000-0000-00003EAF0000}"/>
    <cellStyle name="Normal 7 11 8" xfId="14737" xr:uid="{00000000-0005-0000-0000-00003FAF0000}"/>
    <cellStyle name="Normal 7 11 8 2" xfId="39611" xr:uid="{00000000-0005-0000-0000-000040AF0000}"/>
    <cellStyle name="Normal 7 11 9" xfId="27170" xr:uid="{00000000-0005-0000-0000-000041AF0000}"/>
    <cellStyle name="Normal 7 12" xfId="2048" xr:uid="{00000000-0005-0000-0000-000042AF0000}"/>
    <cellStyle name="Normal 7 12 2" xfId="6126" xr:uid="{00000000-0005-0000-0000-000043AF0000}"/>
    <cellStyle name="Normal 7 12 2 2" xfId="11141" xr:uid="{00000000-0005-0000-0000-000044AF0000}"/>
    <cellStyle name="Normal 7 12 2 2 2" xfId="23584" xr:uid="{00000000-0005-0000-0000-000045AF0000}"/>
    <cellStyle name="Normal 7 12 2 2 2 2" xfId="48458" xr:uid="{00000000-0005-0000-0000-000046AF0000}"/>
    <cellStyle name="Normal 7 12 2 2 3" xfId="36025" xr:uid="{00000000-0005-0000-0000-000047AF0000}"/>
    <cellStyle name="Normal 7 12 2 3" xfId="18577" xr:uid="{00000000-0005-0000-0000-000048AF0000}"/>
    <cellStyle name="Normal 7 12 2 3 2" xfId="43451" xr:uid="{00000000-0005-0000-0000-000049AF0000}"/>
    <cellStyle name="Normal 7 12 2 4" xfId="31018" xr:uid="{00000000-0005-0000-0000-00004AAF0000}"/>
    <cellStyle name="Normal 7 12 3" xfId="12595" xr:uid="{00000000-0005-0000-0000-00004BAF0000}"/>
    <cellStyle name="Normal 7 12 3 2" xfId="25029" xr:uid="{00000000-0005-0000-0000-00004CAF0000}"/>
    <cellStyle name="Normal 7 12 3 2 2" xfId="49903" xr:uid="{00000000-0005-0000-0000-00004DAF0000}"/>
    <cellStyle name="Normal 7 12 3 3" xfId="37470" xr:uid="{00000000-0005-0000-0000-00004EAF0000}"/>
    <cellStyle name="Normal 7 12 4" xfId="8889" xr:uid="{00000000-0005-0000-0000-00004FAF0000}"/>
    <cellStyle name="Normal 7 12 4 2" xfId="21332" xr:uid="{00000000-0005-0000-0000-000050AF0000}"/>
    <cellStyle name="Normal 7 12 4 2 2" xfId="46206" xr:uid="{00000000-0005-0000-0000-000051AF0000}"/>
    <cellStyle name="Normal 7 12 4 3" xfId="33773" xr:uid="{00000000-0005-0000-0000-000052AF0000}"/>
    <cellStyle name="Normal 7 12 5" xfId="3871" xr:uid="{00000000-0005-0000-0000-000053AF0000}"/>
    <cellStyle name="Normal 7 12 5 2" xfId="16325" xr:uid="{00000000-0005-0000-0000-000054AF0000}"/>
    <cellStyle name="Normal 7 12 5 2 2" xfId="41199" xr:uid="{00000000-0005-0000-0000-000055AF0000}"/>
    <cellStyle name="Normal 7 12 5 3" xfId="28766" xr:uid="{00000000-0005-0000-0000-000056AF0000}"/>
    <cellStyle name="Normal 7 12 6" xfId="14780" xr:uid="{00000000-0005-0000-0000-000057AF0000}"/>
    <cellStyle name="Normal 7 12 6 2" xfId="39654" xr:uid="{00000000-0005-0000-0000-000058AF0000}"/>
    <cellStyle name="Normal 7 12 7" xfId="27213" xr:uid="{00000000-0005-0000-0000-000059AF0000}"/>
    <cellStyle name="Normal 7 13" xfId="937" xr:uid="{00000000-0005-0000-0000-00005AAF0000}"/>
    <cellStyle name="Normal 7 13 2" xfId="11552" xr:uid="{00000000-0005-0000-0000-00005BAF0000}"/>
    <cellStyle name="Normal 7 13 2 2" xfId="23986" xr:uid="{00000000-0005-0000-0000-00005CAF0000}"/>
    <cellStyle name="Normal 7 13 2 2 2" xfId="48860" xr:uid="{00000000-0005-0000-0000-00005DAF0000}"/>
    <cellStyle name="Normal 7 13 2 3" xfId="36427" xr:uid="{00000000-0005-0000-0000-00005EAF0000}"/>
    <cellStyle name="Normal 7 13 3" xfId="10096" xr:uid="{00000000-0005-0000-0000-00005FAF0000}"/>
    <cellStyle name="Normal 7 13 3 2" xfId="22539" xr:uid="{00000000-0005-0000-0000-000060AF0000}"/>
    <cellStyle name="Normal 7 13 3 2 2" xfId="47413" xr:uid="{00000000-0005-0000-0000-000061AF0000}"/>
    <cellStyle name="Normal 7 13 3 3" xfId="34980" xr:uid="{00000000-0005-0000-0000-000062AF0000}"/>
    <cellStyle name="Normal 7 13 4" xfId="5080" xr:uid="{00000000-0005-0000-0000-000063AF0000}"/>
    <cellStyle name="Normal 7 13 4 2" xfId="17532" xr:uid="{00000000-0005-0000-0000-000064AF0000}"/>
    <cellStyle name="Normal 7 13 4 2 2" xfId="42406" xr:uid="{00000000-0005-0000-0000-000065AF0000}"/>
    <cellStyle name="Normal 7 13 4 3" xfId="29973" xr:uid="{00000000-0005-0000-0000-000066AF0000}"/>
    <cellStyle name="Normal 7 13 5" xfId="13737" xr:uid="{00000000-0005-0000-0000-000067AF0000}"/>
    <cellStyle name="Normal 7 13 5 2" xfId="38611" xr:uid="{00000000-0005-0000-0000-000068AF0000}"/>
    <cellStyle name="Normal 7 13 6" xfId="26170" xr:uid="{00000000-0005-0000-0000-000069AF0000}"/>
    <cellStyle name="Normal 7 14" xfId="897" xr:uid="{00000000-0005-0000-0000-00006AAF0000}"/>
    <cellStyle name="Normal 7 14 2" xfId="7691" xr:uid="{00000000-0005-0000-0000-00006BAF0000}"/>
    <cellStyle name="Normal 7 14 2 2" xfId="20137" xr:uid="{00000000-0005-0000-0000-00006CAF0000}"/>
    <cellStyle name="Normal 7 14 2 2 2" xfId="45011" xr:uid="{00000000-0005-0000-0000-00006DAF0000}"/>
    <cellStyle name="Normal 7 14 2 3" xfId="32578" xr:uid="{00000000-0005-0000-0000-00006EAF0000}"/>
    <cellStyle name="Normal 7 14 3" xfId="13697" xr:uid="{00000000-0005-0000-0000-00006FAF0000}"/>
    <cellStyle name="Normal 7 14 3 2" xfId="38571" xr:uid="{00000000-0005-0000-0000-000070AF0000}"/>
    <cellStyle name="Normal 7 14 4" xfId="26130" xr:uid="{00000000-0005-0000-0000-000071AF0000}"/>
    <cellStyle name="Normal 7 15" xfId="11512" xr:uid="{00000000-0005-0000-0000-000072AF0000}"/>
    <cellStyle name="Normal 7 15 2" xfId="23946" xr:uid="{00000000-0005-0000-0000-000073AF0000}"/>
    <cellStyle name="Normal 7 15 2 2" xfId="48820" xr:uid="{00000000-0005-0000-0000-000074AF0000}"/>
    <cellStyle name="Normal 7 15 3" xfId="36387" xr:uid="{00000000-0005-0000-0000-000075AF0000}"/>
    <cellStyle name="Normal 7 16" xfId="6483" xr:uid="{00000000-0005-0000-0000-000076AF0000}"/>
    <cellStyle name="Normal 7 16 2" xfId="18932" xr:uid="{00000000-0005-0000-0000-000077AF0000}"/>
    <cellStyle name="Normal 7 16 2 2" xfId="43806" xr:uid="{00000000-0005-0000-0000-000078AF0000}"/>
    <cellStyle name="Normal 7 16 3" xfId="31373" xr:uid="{00000000-0005-0000-0000-000079AF0000}"/>
    <cellStyle name="Normal 7 17" xfId="2610" xr:uid="{00000000-0005-0000-0000-00007AAF0000}"/>
    <cellStyle name="Normal 7 17 2" xfId="15130" xr:uid="{00000000-0005-0000-0000-00007BAF0000}"/>
    <cellStyle name="Normal 7 17 2 2" xfId="40004" xr:uid="{00000000-0005-0000-0000-00007CAF0000}"/>
    <cellStyle name="Normal 7 17 3" xfId="27563" xr:uid="{00000000-0005-0000-0000-00007DAF0000}"/>
    <cellStyle name="Normal 7 18" xfId="12945" xr:uid="{00000000-0005-0000-0000-00007EAF0000}"/>
    <cellStyle name="Normal 7 18 2" xfId="37819" xr:uid="{00000000-0005-0000-0000-00007FAF0000}"/>
    <cellStyle name="Normal 7 19" xfId="25378" xr:uid="{00000000-0005-0000-0000-000080AF0000}"/>
    <cellStyle name="Normal 7 2" xfId="125" xr:uid="{00000000-0005-0000-0000-000081AF0000}"/>
    <cellStyle name="Normal 7 2 10" xfId="949" xr:uid="{00000000-0005-0000-0000-000082AF0000}"/>
    <cellStyle name="Normal 7 2 10 2" xfId="11564" xr:uid="{00000000-0005-0000-0000-000083AF0000}"/>
    <cellStyle name="Normal 7 2 10 2 2" xfId="23998" xr:uid="{00000000-0005-0000-0000-000084AF0000}"/>
    <cellStyle name="Normal 7 2 10 2 2 2" xfId="48872" xr:uid="{00000000-0005-0000-0000-000085AF0000}"/>
    <cellStyle name="Normal 7 2 10 2 3" xfId="36439" xr:uid="{00000000-0005-0000-0000-000086AF0000}"/>
    <cellStyle name="Normal 7 2 10 3" xfId="10108" xr:uid="{00000000-0005-0000-0000-000087AF0000}"/>
    <cellStyle name="Normal 7 2 10 3 2" xfId="22551" xr:uid="{00000000-0005-0000-0000-000088AF0000}"/>
    <cellStyle name="Normal 7 2 10 3 2 2" xfId="47425" xr:uid="{00000000-0005-0000-0000-000089AF0000}"/>
    <cellStyle name="Normal 7 2 10 3 3" xfId="34992" xr:uid="{00000000-0005-0000-0000-00008AAF0000}"/>
    <cellStyle name="Normal 7 2 10 4" xfId="5092" xr:uid="{00000000-0005-0000-0000-00008BAF0000}"/>
    <cellStyle name="Normal 7 2 10 4 2" xfId="17544" xr:uid="{00000000-0005-0000-0000-00008CAF0000}"/>
    <cellStyle name="Normal 7 2 10 4 2 2" xfId="42418" xr:uid="{00000000-0005-0000-0000-00008DAF0000}"/>
    <cellStyle name="Normal 7 2 10 4 3" xfId="29985" xr:uid="{00000000-0005-0000-0000-00008EAF0000}"/>
    <cellStyle name="Normal 7 2 10 5" xfId="13749" xr:uid="{00000000-0005-0000-0000-00008FAF0000}"/>
    <cellStyle name="Normal 7 2 10 5 2" xfId="38623" xr:uid="{00000000-0005-0000-0000-000090AF0000}"/>
    <cellStyle name="Normal 7 2 10 6" xfId="26182" xr:uid="{00000000-0005-0000-0000-000091AF0000}"/>
    <cellStyle name="Normal 7 2 11" xfId="919" xr:uid="{00000000-0005-0000-0000-000092AF0000}"/>
    <cellStyle name="Normal 7 2 11 2" xfId="7716" xr:uid="{00000000-0005-0000-0000-000093AF0000}"/>
    <cellStyle name="Normal 7 2 11 2 2" xfId="20162" xr:uid="{00000000-0005-0000-0000-000094AF0000}"/>
    <cellStyle name="Normal 7 2 11 2 2 2" xfId="45036" xr:uid="{00000000-0005-0000-0000-000095AF0000}"/>
    <cellStyle name="Normal 7 2 11 2 3" xfId="32603" xr:uid="{00000000-0005-0000-0000-000096AF0000}"/>
    <cellStyle name="Normal 7 2 11 3" xfId="13719" xr:uid="{00000000-0005-0000-0000-000097AF0000}"/>
    <cellStyle name="Normal 7 2 11 3 2" xfId="38593" xr:uid="{00000000-0005-0000-0000-000098AF0000}"/>
    <cellStyle name="Normal 7 2 11 4" xfId="26152" xr:uid="{00000000-0005-0000-0000-000099AF0000}"/>
    <cellStyle name="Normal 7 2 12" xfId="11534" xr:uid="{00000000-0005-0000-0000-00009AAF0000}"/>
    <cellStyle name="Normal 7 2 12 2" xfId="23968" xr:uid="{00000000-0005-0000-0000-00009BAF0000}"/>
    <cellStyle name="Normal 7 2 12 2 2" xfId="48842" xr:uid="{00000000-0005-0000-0000-00009CAF0000}"/>
    <cellStyle name="Normal 7 2 12 3" xfId="36409" xr:uid="{00000000-0005-0000-0000-00009DAF0000}"/>
    <cellStyle name="Normal 7 2 13" xfId="6496" xr:uid="{00000000-0005-0000-0000-00009EAF0000}"/>
    <cellStyle name="Normal 7 2 13 2" xfId="18945" xr:uid="{00000000-0005-0000-0000-00009FAF0000}"/>
    <cellStyle name="Normal 7 2 13 2 2" xfId="43819" xr:uid="{00000000-0005-0000-0000-0000A0AF0000}"/>
    <cellStyle name="Normal 7 2 13 3" xfId="31386" xr:uid="{00000000-0005-0000-0000-0000A1AF0000}"/>
    <cellStyle name="Normal 7 2 14" xfId="2637" xr:uid="{00000000-0005-0000-0000-0000A2AF0000}"/>
    <cellStyle name="Normal 7 2 14 2" xfId="15155" xr:uid="{00000000-0005-0000-0000-0000A3AF0000}"/>
    <cellStyle name="Normal 7 2 14 2 2" xfId="40029" xr:uid="{00000000-0005-0000-0000-0000A4AF0000}"/>
    <cellStyle name="Normal 7 2 14 3" xfId="27588" xr:uid="{00000000-0005-0000-0000-0000A5AF0000}"/>
    <cellStyle name="Normal 7 2 15" xfId="12957" xr:uid="{00000000-0005-0000-0000-0000A6AF0000}"/>
    <cellStyle name="Normal 7 2 15 2" xfId="37831" xr:uid="{00000000-0005-0000-0000-0000A7AF0000}"/>
    <cellStyle name="Normal 7 2 16" xfId="25390" xr:uid="{00000000-0005-0000-0000-0000A8AF0000}"/>
    <cellStyle name="Normal 7 2 2" xfId="151" xr:uid="{00000000-0005-0000-0000-0000A9AF0000}"/>
    <cellStyle name="Normal 7 2 2 10" xfId="11666" xr:uid="{00000000-0005-0000-0000-0000AAAF0000}"/>
    <cellStyle name="Normal 7 2 2 10 2" xfId="24100" xr:uid="{00000000-0005-0000-0000-0000ABAF0000}"/>
    <cellStyle name="Normal 7 2 2 10 2 2" xfId="48974" xr:uid="{00000000-0005-0000-0000-0000ACAF0000}"/>
    <cellStyle name="Normal 7 2 2 10 3" xfId="36541" xr:uid="{00000000-0005-0000-0000-0000ADAF0000}"/>
    <cellStyle name="Normal 7 2 2 11" xfId="6526" xr:uid="{00000000-0005-0000-0000-0000AEAF0000}"/>
    <cellStyle name="Normal 7 2 2 11 2" xfId="18975" xr:uid="{00000000-0005-0000-0000-0000AFAF0000}"/>
    <cellStyle name="Normal 7 2 2 11 2 2" xfId="43849" xr:uid="{00000000-0005-0000-0000-0000B0AF0000}"/>
    <cellStyle name="Normal 7 2 2 11 3" xfId="31416" xr:uid="{00000000-0005-0000-0000-0000B1AF0000}"/>
    <cellStyle name="Normal 7 2 2 12" xfId="2694" xr:uid="{00000000-0005-0000-0000-0000B2AF0000}"/>
    <cellStyle name="Normal 7 2 2 12 2" xfId="15212" xr:uid="{00000000-0005-0000-0000-0000B3AF0000}"/>
    <cellStyle name="Normal 7 2 2 12 2 2" xfId="40086" xr:uid="{00000000-0005-0000-0000-0000B4AF0000}"/>
    <cellStyle name="Normal 7 2 2 12 3" xfId="27645" xr:uid="{00000000-0005-0000-0000-0000B5AF0000}"/>
    <cellStyle name="Normal 7 2 2 13" xfId="12981" xr:uid="{00000000-0005-0000-0000-0000B6AF0000}"/>
    <cellStyle name="Normal 7 2 2 13 2" xfId="37855" xr:uid="{00000000-0005-0000-0000-0000B7AF0000}"/>
    <cellStyle name="Normal 7 2 2 14" xfId="25414" xr:uid="{00000000-0005-0000-0000-0000B8AF0000}"/>
    <cellStyle name="Normal 7 2 2 2" xfId="504" xr:uid="{00000000-0005-0000-0000-0000B9AF0000}"/>
    <cellStyle name="Normal 7 2 2 2 10" xfId="2898" xr:uid="{00000000-0005-0000-0000-0000BAAF0000}"/>
    <cellStyle name="Normal 7 2 2 2 10 2" xfId="15416" xr:uid="{00000000-0005-0000-0000-0000BBAF0000}"/>
    <cellStyle name="Normal 7 2 2 2 10 2 2" xfId="40290" xr:uid="{00000000-0005-0000-0000-0000BCAF0000}"/>
    <cellStyle name="Normal 7 2 2 2 10 3" xfId="27849" xr:uid="{00000000-0005-0000-0000-0000BDAF0000}"/>
    <cellStyle name="Normal 7 2 2 2 11" xfId="13317" xr:uid="{00000000-0005-0000-0000-0000BEAF0000}"/>
    <cellStyle name="Normal 7 2 2 2 11 2" xfId="38191" xr:uid="{00000000-0005-0000-0000-0000BFAF0000}"/>
    <cellStyle name="Normal 7 2 2 2 12" xfId="25750" xr:uid="{00000000-0005-0000-0000-0000C0AF0000}"/>
    <cellStyle name="Normal 7 2 2 2 2" xfId="863" xr:uid="{00000000-0005-0000-0000-0000C1AF0000}"/>
    <cellStyle name="Normal 7 2 2 2 2 2" xfId="1592" xr:uid="{00000000-0005-0000-0000-0000C2AF0000}"/>
    <cellStyle name="Normal 7 2 2 2 2 2 2" xfId="9354" xr:uid="{00000000-0005-0000-0000-0000C3AF0000}"/>
    <cellStyle name="Normal 7 2 2 2 2 2 2 2" xfId="21797" xr:uid="{00000000-0005-0000-0000-0000C4AF0000}"/>
    <cellStyle name="Normal 7 2 2 2 2 2 2 2 2" xfId="46671" xr:uid="{00000000-0005-0000-0000-0000C5AF0000}"/>
    <cellStyle name="Normal 7 2 2 2 2 2 2 3" xfId="34238" xr:uid="{00000000-0005-0000-0000-0000C6AF0000}"/>
    <cellStyle name="Normal 7 2 2 2 2 2 3" xfId="4336" xr:uid="{00000000-0005-0000-0000-0000C7AF0000}"/>
    <cellStyle name="Normal 7 2 2 2 2 2 3 2" xfId="16790" xr:uid="{00000000-0005-0000-0000-0000C8AF0000}"/>
    <cellStyle name="Normal 7 2 2 2 2 2 3 2 2" xfId="41664" xr:uid="{00000000-0005-0000-0000-0000C9AF0000}"/>
    <cellStyle name="Normal 7 2 2 2 2 2 3 3" xfId="29231" xr:uid="{00000000-0005-0000-0000-0000CAAF0000}"/>
    <cellStyle name="Normal 7 2 2 2 2 2 4" xfId="14392" xr:uid="{00000000-0005-0000-0000-0000CBAF0000}"/>
    <cellStyle name="Normal 7 2 2 2 2 2 4 2" xfId="39266" xr:uid="{00000000-0005-0000-0000-0000CCAF0000}"/>
    <cellStyle name="Normal 7 2 2 2 2 2 5" xfId="26825" xr:uid="{00000000-0005-0000-0000-0000CDAF0000}"/>
    <cellStyle name="Normal 7 2 2 2 2 3" xfId="5738" xr:uid="{00000000-0005-0000-0000-0000CEAF0000}"/>
    <cellStyle name="Normal 7 2 2 2 2 3 2" xfId="10753" xr:uid="{00000000-0005-0000-0000-0000CFAF0000}"/>
    <cellStyle name="Normal 7 2 2 2 2 3 2 2" xfId="23196" xr:uid="{00000000-0005-0000-0000-0000D0AF0000}"/>
    <cellStyle name="Normal 7 2 2 2 2 3 2 2 2" xfId="48070" xr:uid="{00000000-0005-0000-0000-0000D1AF0000}"/>
    <cellStyle name="Normal 7 2 2 2 2 3 2 3" xfId="35637" xr:uid="{00000000-0005-0000-0000-0000D2AF0000}"/>
    <cellStyle name="Normal 7 2 2 2 2 3 3" xfId="18189" xr:uid="{00000000-0005-0000-0000-0000D3AF0000}"/>
    <cellStyle name="Normal 7 2 2 2 2 3 3 2" xfId="43063" xr:uid="{00000000-0005-0000-0000-0000D4AF0000}"/>
    <cellStyle name="Normal 7 2 2 2 2 3 4" xfId="30630" xr:uid="{00000000-0005-0000-0000-0000D5AF0000}"/>
    <cellStyle name="Normal 7 2 2 2 2 4" xfId="8470" xr:uid="{00000000-0005-0000-0000-0000D6AF0000}"/>
    <cellStyle name="Normal 7 2 2 2 2 4 2" xfId="20914" xr:uid="{00000000-0005-0000-0000-0000D7AF0000}"/>
    <cellStyle name="Normal 7 2 2 2 2 4 2 2" xfId="45788" xr:uid="{00000000-0005-0000-0000-0000D8AF0000}"/>
    <cellStyle name="Normal 7 2 2 2 2 4 3" xfId="33355" xr:uid="{00000000-0005-0000-0000-0000D9AF0000}"/>
    <cellStyle name="Normal 7 2 2 2 2 5" xfId="12207" xr:uid="{00000000-0005-0000-0000-0000DAAF0000}"/>
    <cellStyle name="Normal 7 2 2 2 2 5 2" xfId="24641" xr:uid="{00000000-0005-0000-0000-0000DBAF0000}"/>
    <cellStyle name="Normal 7 2 2 2 2 5 2 2" xfId="49515" xr:uid="{00000000-0005-0000-0000-0000DCAF0000}"/>
    <cellStyle name="Normal 7 2 2 2 2 5 3" xfId="37082" xr:uid="{00000000-0005-0000-0000-0000DDAF0000}"/>
    <cellStyle name="Normal 7 2 2 2 2 6" xfId="6947" xr:uid="{00000000-0005-0000-0000-0000DEAF0000}"/>
    <cellStyle name="Normal 7 2 2 2 2 6 2" xfId="19396" xr:uid="{00000000-0005-0000-0000-0000DFAF0000}"/>
    <cellStyle name="Normal 7 2 2 2 2 6 2 2" xfId="44270" xr:uid="{00000000-0005-0000-0000-0000E0AF0000}"/>
    <cellStyle name="Normal 7 2 2 2 2 6 3" xfId="31837" xr:uid="{00000000-0005-0000-0000-0000E1AF0000}"/>
    <cellStyle name="Normal 7 2 2 2 2 7" xfId="3401" xr:uid="{00000000-0005-0000-0000-0000E2AF0000}"/>
    <cellStyle name="Normal 7 2 2 2 2 7 2" xfId="15907" xr:uid="{00000000-0005-0000-0000-0000E3AF0000}"/>
    <cellStyle name="Normal 7 2 2 2 2 7 2 2" xfId="40781" xr:uid="{00000000-0005-0000-0000-0000E4AF0000}"/>
    <cellStyle name="Normal 7 2 2 2 2 7 3" xfId="28340" xr:uid="{00000000-0005-0000-0000-0000E5AF0000}"/>
    <cellStyle name="Normal 7 2 2 2 2 8" xfId="13664" xr:uid="{00000000-0005-0000-0000-0000E6AF0000}"/>
    <cellStyle name="Normal 7 2 2 2 2 8 2" xfId="38538" xr:uid="{00000000-0005-0000-0000-0000E7AF0000}"/>
    <cellStyle name="Normal 7 2 2 2 2 9" xfId="26097" xr:uid="{00000000-0005-0000-0000-0000E8AF0000}"/>
    <cellStyle name="Normal 7 2 2 2 3" xfId="1940" xr:uid="{00000000-0005-0000-0000-0000E9AF0000}"/>
    <cellStyle name="Normal 7 2 2 2 3 2" xfId="4678" xr:uid="{00000000-0005-0000-0000-0000EAAF0000}"/>
    <cellStyle name="Normal 7 2 2 2 3 2 2" xfId="9696" xr:uid="{00000000-0005-0000-0000-0000EBAF0000}"/>
    <cellStyle name="Normal 7 2 2 2 3 2 2 2" xfId="22139" xr:uid="{00000000-0005-0000-0000-0000ECAF0000}"/>
    <cellStyle name="Normal 7 2 2 2 3 2 2 2 2" xfId="47013" xr:uid="{00000000-0005-0000-0000-0000EDAF0000}"/>
    <cellStyle name="Normal 7 2 2 2 3 2 2 3" xfId="34580" xr:uid="{00000000-0005-0000-0000-0000EEAF0000}"/>
    <cellStyle name="Normal 7 2 2 2 3 2 3" xfId="17132" xr:uid="{00000000-0005-0000-0000-0000EFAF0000}"/>
    <cellStyle name="Normal 7 2 2 2 3 2 3 2" xfId="42006" xr:uid="{00000000-0005-0000-0000-0000F0AF0000}"/>
    <cellStyle name="Normal 7 2 2 2 3 2 4" xfId="29573" xr:uid="{00000000-0005-0000-0000-0000F1AF0000}"/>
    <cellStyle name="Normal 7 2 2 2 3 3" xfId="6086" xr:uid="{00000000-0005-0000-0000-0000F2AF0000}"/>
    <cellStyle name="Normal 7 2 2 2 3 3 2" xfId="11101" xr:uid="{00000000-0005-0000-0000-0000F3AF0000}"/>
    <cellStyle name="Normal 7 2 2 2 3 3 2 2" xfId="23544" xr:uid="{00000000-0005-0000-0000-0000F4AF0000}"/>
    <cellStyle name="Normal 7 2 2 2 3 3 2 2 2" xfId="48418" xr:uid="{00000000-0005-0000-0000-0000F5AF0000}"/>
    <cellStyle name="Normal 7 2 2 2 3 3 2 3" xfId="35985" xr:uid="{00000000-0005-0000-0000-0000F6AF0000}"/>
    <cellStyle name="Normal 7 2 2 2 3 3 3" xfId="18537" xr:uid="{00000000-0005-0000-0000-0000F7AF0000}"/>
    <cellStyle name="Normal 7 2 2 2 3 3 3 2" xfId="43411" xr:uid="{00000000-0005-0000-0000-0000F8AF0000}"/>
    <cellStyle name="Normal 7 2 2 2 3 3 4" xfId="30978" xr:uid="{00000000-0005-0000-0000-0000F9AF0000}"/>
    <cellStyle name="Normal 7 2 2 2 3 4" xfId="8812" xr:uid="{00000000-0005-0000-0000-0000FAAF0000}"/>
    <cellStyle name="Normal 7 2 2 2 3 4 2" xfId="21256" xr:uid="{00000000-0005-0000-0000-0000FBAF0000}"/>
    <cellStyle name="Normal 7 2 2 2 3 4 2 2" xfId="46130" xr:uid="{00000000-0005-0000-0000-0000FCAF0000}"/>
    <cellStyle name="Normal 7 2 2 2 3 4 3" xfId="33697" xr:uid="{00000000-0005-0000-0000-0000FDAF0000}"/>
    <cellStyle name="Normal 7 2 2 2 3 5" xfId="12555" xr:uid="{00000000-0005-0000-0000-0000FEAF0000}"/>
    <cellStyle name="Normal 7 2 2 2 3 5 2" xfId="24989" xr:uid="{00000000-0005-0000-0000-0000FFAF0000}"/>
    <cellStyle name="Normal 7 2 2 2 3 5 2 2" xfId="49863" xr:uid="{00000000-0005-0000-0000-000000B00000}"/>
    <cellStyle name="Normal 7 2 2 2 3 5 3" xfId="37430" xr:uid="{00000000-0005-0000-0000-000001B00000}"/>
    <cellStyle name="Normal 7 2 2 2 3 6" xfId="7289" xr:uid="{00000000-0005-0000-0000-000002B00000}"/>
    <cellStyle name="Normal 7 2 2 2 3 6 2" xfId="19738" xr:uid="{00000000-0005-0000-0000-000003B00000}"/>
    <cellStyle name="Normal 7 2 2 2 3 6 2 2" xfId="44612" xr:uid="{00000000-0005-0000-0000-000004B00000}"/>
    <cellStyle name="Normal 7 2 2 2 3 6 3" xfId="32179" xr:uid="{00000000-0005-0000-0000-000005B00000}"/>
    <cellStyle name="Normal 7 2 2 2 3 7" xfId="3743" xr:uid="{00000000-0005-0000-0000-000006B00000}"/>
    <cellStyle name="Normal 7 2 2 2 3 7 2" xfId="16249" xr:uid="{00000000-0005-0000-0000-000007B00000}"/>
    <cellStyle name="Normal 7 2 2 2 3 7 2 2" xfId="41123" xr:uid="{00000000-0005-0000-0000-000008B00000}"/>
    <cellStyle name="Normal 7 2 2 2 3 7 3" xfId="28682" xr:uid="{00000000-0005-0000-0000-000009B00000}"/>
    <cellStyle name="Normal 7 2 2 2 3 8" xfId="14740" xr:uid="{00000000-0005-0000-0000-00000AB00000}"/>
    <cellStyle name="Normal 7 2 2 2 3 8 2" xfId="39614" xr:uid="{00000000-0005-0000-0000-00000BB00000}"/>
    <cellStyle name="Normal 7 2 2 2 3 9" xfId="27173" xr:uid="{00000000-0005-0000-0000-00000CB00000}"/>
    <cellStyle name="Normal 7 2 2 2 4" xfId="2422" xr:uid="{00000000-0005-0000-0000-00000DB00000}"/>
    <cellStyle name="Normal 7 2 2 2 4 2" xfId="5046" xr:uid="{00000000-0005-0000-0000-00000EB00000}"/>
    <cellStyle name="Normal 7 2 2 2 4 2 2" xfId="10063" xr:uid="{00000000-0005-0000-0000-00000FB00000}"/>
    <cellStyle name="Normal 7 2 2 2 4 2 2 2" xfId="22506" xr:uid="{00000000-0005-0000-0000-000010B00000}"/>
    <cellStyle name="Normal 7 2 2 2 4 2 2 2 2" xfId="47380" xr:uid="{00000000-0005-0000-0000-000011B00000}"/>
    <cellStyle name="Normal 7 2 2 2 4 2 2 3" xfId="34947" xr:uid="{00000000-0005-0000-0000-000012B00000}"/>
    <cellStyle name="Normal 7 2 2 2 4 2 3" xfId="17499" xr:uid="{00000000-0005-0000-0000-000013B00000}"/>
    <cellStyle name="Normal 7 2 2 2 4 2 3 2" xfId="42373" xr:uid="{00000000-0005-0000-0000-000014B00000}"/>
    <cellStyle name="Normal 7 2 2 2 4 2 4" xfId="29940" xr:uid="{00000000-0005-0000-0000-000015B00000}"/>
    <cellStyle name="Normal 7 2 2 2 4 3" xfId="6444" xr:uid="{00000000-0005-0000-0000-000016B00000}"/>
    <cellStyle name="Normal 7 2 2 2 4 3 2" xfId="11459" xr:uid="{00000000-0005-0000-0000-000017B00000}"/>
    <cellStyle name="Normal 7 2 2 2 4 3 2 2" xfId="23902" xr:uid="{00000000-0005-0000-0000-000018B00000}"/>
    <cellStyle name="Normal 7 2 2 2 4 3 2 2 2" xfId="48776" xr:uid="{00000000-0005-0000-0000-000019B00000}"/>
    <cellStyle name="Normal 7 2 2 2 4 3 2 3" xfId="36343" xr:uid="{00000000-0005-0000-0000-00001AB00000}"/>
    <cellStyle name="Normal 7 2 2 2 4 3 3" xfId="18895" xr:uid="{00000000-0005-0000-0000-00001BB00000}"/>
    <cellStyle name="Normal 7 2 2 2 4 3 3 2" xfId="43769" xr:uid="{00000000-0005-0000-0000-00001CB00000}"/>
    <cellStyle name="Normal 7 2 2 2 4 3 4" xfId="31336" xr:uid="{00000000-0005-0000-0000-00001DB00000}"/>
    <cellStyle name="Normal 7 2 2 2 4 4" xfId="8151" xr:uid="{00000000-0005-0000-0000-00001EB00000}"/>
    <cellStyle name="Normal 7 2 2 2 4 4 2" xfId="20597" xr:uid="{00000000-0005-0000-0000-00001FB00000}"/>
    <cellStyle name="Normal 7 2 2 2 4 4 2 2" xfId="45471" xr:uid="{00000000-0005-0000-0000-000020B00000}"/>
    <cellStyle name="Normal 7 2 2 2 4 4 3" xfId="33038" xr:uid="{00000000-0005-0000-0000-000021B00000}"/>
    <cellStyle name="Normal 7 2 2 2 4 5" xfId="12913" xr:uid="{00000000-0005-0000-0000-000022B00000}"/>
    <cellStyle name="Normal 7 2 2 2 4 5 2" xfId="25347" xr:uid="{00000000-0005-0000-0000-000023B00000}"/>
    <cellStyle name="Normal 7 2 2 2 4 5 2 2" xfId="50221" xr:uid="{00000000-0005-0000-0000-000024B00000}"/>
    <cellStyle name="Normal 7 2 2 2 4 5 3" xfId="37788" xr:uid="{00000000-0005-0000-0000-000025B00000}"/>
    <cellStyle name="Normal 7 2 2 2 4 6" xfId="7657" xr:uid="{00000000-0005-0000-0000-000026B00000}"/>
    <cellStyle name="Normal 7 2 2 2 4 6 2" xfId="20105" xr:uid="{00000000-0005-0000-0000-000027B00000}"/>
    <cellStyle name="Normal 7 2 2 2 4 6 2 2" xfId="44979" xr:uid="{00000000-0005-0000-0000-000028B00000}"/>
    <cellStyle name="Normal 7 2 2 2 4 6 3" xfId="32546" xr:uid="{00000000-0005-0000-0000-000029B00000}"/>
    <cellStyle name="Normal 7 2 2 2 4 7" xfId="3081" xr:uid="{00000000-0005-0000-0000-00002AB00000}"/>
    <cellStyle name="Normal 7 2 2 2 4 7 2" xfId="15590" xr:uid="{00000000-0005-0000-0000-00002BB00000}"/>
    <cellStyle name="Normal 7 2 2 2 4 7 2 2" xfId="40464" xr:uid="{00000000-0005-0000-0000-00002CB00000}"/>
    <cellStyle name="Normal 7 2 2 2 4 7 3" xfId="28023" xr:uid="{00000000-0005-0000-0000-00002DB00000}"/>
    <cellStyle name="Normal 7 2 2 2 4 8" xfId="15098" xr:uid="{00000000-0005-0000-0000-00002EB00000}"/>
    <cellStyle name="Normal 7 2 2 2 4 8 2" xfId="39972" xr:uid="{00000000-0005-0000-0000-00002FB00000}"/>
    <cellStyle name="Normal 7 2 2 2 4 9" xfId="27531" xr:uid="{00000000-0005-0000-0000-000030B00000}"/>
    <cellStyle name="Normal 7 2 2 2 5" xfId="1255" xr:uid="{00000000-0005-0000-0000-000031B00000}"/>
    <cellStyle name="Normal 7 2 2 2 5 2" xfId="9037" xr:uid="{00000000-0005-0000-0000-000032B00000}"/>
    <cellStyle name="Normal 7 2 2 2 5 2 2" xfId="21480" xr:uid="{00000000-0005-0000-0000-000033B00000}"/>
    <cellStyle name="Normal 7 2 2 2 5 2 2 2" xfId="46354" xr:uid="{00000000-0005-0000-0000-000034B00000}"/>
    <cellStyle name="Normal 7 2 2 2 5 2 3" xfId="33921" xr:uid="{00000000-0005-0000-0000-000035B00000}"/>
    <cellStyle name="Normal 7 2 2 2 5 3" xfId="4019" xr:uid="{00000000-0005-0000-0000-000036B00000}"/>
    <cellStyle name="Normal 7 2 2 2 5 3 2" xfId="16473" xr:uid="{00000000-0005-0000-0000-000037B00000}"/>
    <cellStyle name="Normal 7 2 2 2 5 3 2 2" xfId="41347" xr:uid="{00000000-0005-0000-0000-000038B00000}"/>
    <cellStyle name="Normal 7 2 2 2 5 3 3" xfId="28914" xr:uid="{00000000-0005-0000-0000-000039B00000}"/>
    <cellStyle name="Normal 7 2 2 2 5 4" xfId="14055" xr:uid="{00000000-0005-0000-0000-00003AB00000}"/>
    <cellStyle name="Normal 7 2 2 2 5 4 2" xfId="38929" xr:uid="{00000000-0005-0000-0000-00003BB00000}"/>
    <cellStyle name="Normal 7 2 2 2 5 5" xfId="26488" xr:uid="{00000000-0005-0000-0000-00003CB00000}"/>
    <cellStyle name="Normal 7 2 2 2 6" xfId="5400" xr:uid="{00000000-0005-0000-0000-00003DB00000}"/>
    <cellStyle name="Normal 7 2 2 2 6 2" xfId="10416" xr:uid="{00000000-0005-0000-0000-00003EB00000}"/>
    <cellStyle name="Normal 7 2 2 2 6 2 2" xfId="22859" xr:uid="{00000000-0005-0000-0000-00003FB00000}"/>
    <cellStyle name="Normal 7 2 2 2 6 2 2 2" xfId="47733" xr:uid="{00000000-0005-0000-0000-000040B00000}"/>
    <cellStyle name="Normal 7 2 2 2 6 2 3" xfId="35300" xr:uid="{00000000-0005-0000-0000-000041B00000}"/>
    <cellStyle name="Normal 7 2 2 2 6 3" xfId="17852" xr:uid="{00000000-0005-0000-0000-000042B00000}"/>
    <cellStyle name="Normal 7 2 2 2 6 3 2" xfId="42726" xr:uid="{00000000-0005-0000-0000-000043B00000}"/>
    <cellStyle name="Normal 7 2 2 2 6 4" xfId="30293" xr:uid="{00000000-0005-0000-0000-000044B00000}"/>
    <cellStyle name="Normal 7 2 2 2 7" xfId="7977" xr:uid="{00000000-0005-0000-0000-000045B00000}"/>
    <cellStyle name="Normal 7 2 2 2 7 2" xfId="20423" xr:uid="{00000000-0005-0000-0000-000046B00000}"/>
    <cellStyle name="Normal 7 2 2 2 7 2 2" xfId="45297" xr:uid="{00000000-0005-0000-0000-000047B00000}"/>
    <cellStyle name="Normal 7 2 2 2 7 3" xfId="32864" xr:uid="{00000000-0005-0000-0000-000048B00000}"/>
    <cellStyle name="Normal 7 2 2 2 8" xfId="11870" xr:uid="{00000000-0005-0000-0000-000049B00000}"/>
    <cellStyle name="Normal 7 2 2 2 8 2" xfId="24304" xr:uid="{00000000-0005-0000-0000-00004AB00000}"/>
    <cellStyle name="Normal 7 2 2 2 8 2 2" xfId="49178" xr:uid="{00000000-0005-0000-0000-00004BB00000}"/>
    <cellStyle name="Normal 7 2 2 2 8 3" xfId="36745" xr:uid="{00000000-0005-0000-0000-00004CB00000}"/>
    <cellStyle name="Normal 7 2 2 2 9" xfId="6630" xr:uid="{00000000-0005-0000-0000-00004DB00000}"/>
    <cellStyle name="Normal 7 2 2 2 9 2" xfId="19079" xr:uid="{00000000-0005-0000-0000-00004EB00000}"/>
    <cellStyle name="Normal 7 2 2 2 9 2 2" xfId="43953" xr:uid="{00000000-0005-0000-0000-00004FB00000}"/>
    <cellStyle name="Normal 7 2 2 2 9 3" xfId="31520" xr:uid="{00000000-0005-0000-0000-000050B00000}"/>
    <cellStyle name="Normal 7 2 2 2_Degree data" xfId="2566" xr:uid="{00000000-0005-0000-0000-000051B00000}"/>
    <cellStyle name="Normal 7 2 2 3" xfId="397" xr:uid="{00000000-0005-0000-0000-000052B00000}"/>
    <cellStyle name="Normal 7 2 2 3 10" xfId="13213" xr:uid="{00000000-0005-0000-0000-000053B00000}"/>
    <cellStyle name="Normal 7 2 2 3 10 2" xfId="38087" xr:uid="{00000000-0005-0000-0000-000054B00000}"/>
    <cellStyle name="Normal 7 2 2 3 11" xfId="25646" xr:uid="{00000000-0005-0000-0000-000055B00000}"/>
    <cellStyle name="Normal 7 2 2 3 2" xfId="757" xr:uid="{00000000-0005-0000-0000-000056B00000}"/>
    <cellStyle name="Normal 7 2 2 3 2 2" xfId="1593" xr:uid="{00000000-0005-0000-0000-000057B00000}"/>
    <cellStyle name="Normal 7 2 2 3 2 2 2" xfId="9697" xr:uid="{00000000-0005-0000-0000-000058B00000}"/>
    <cellStyle name="Normal 7 2 2 3 2 2 2 2" xfId="22140" xr:uid="{00000000-0005-0000-0000-000059B00000}"/>
    <cellStyle name="Normal 7 2 2 3 2 2 2 2 2" xfId="47014" xr:uid="{00000000-0005-0000-0000-00005AB00000}"/>
    <cellStyle name="Normal 7 2 2 3 2 2 2 3" xfId="34581" xr:uid="{00000000-0005-0000-0000-00005BB00000}"/>
    <cellStyle name="Normal 7 2 2 3 2 2 3" xfId="4679" xr:uid="{00000000-0005-0000-0000-00005CB00000}"/>
    <cellStyle name="Normal 7 2 2 3 2 2 3 2" xfId="17133" xr:uid="{00000000-0005-0000-0000-00005DB00000}"/>
    <cellStyle name="Normal 7 2 2 3 2 2 3 2 2" xfId="42007" xr:uid="{00000000-0005-0000-0000-00005EB00000}"/>
    <cellStyle name="Normal 7 2 2 3 2 2 3 3" xfId="29574" xr:uid="{00000000-0005-0000-0000-00005FB00000}"/>
    <cellStyle name="Normal 7 2 2 3 2 2 4" xfId="14393" xr:uid="{00000000-0005-0000-0000-000060B00000}"/>
    <cellStyle name="Normal 7 2 2 3 2 2 4 2" xfId="39267" xr:uid="{00000000-0005-0000-0000-000061B00000}"/>
    <cellStyle name="Normal 7 2 2 3 2 2 5" xfId="26826" xr:uid="{00000000-0005-0000-0000-000062B00000}"/>
    <cellStyle name="Normal 7 2 2 3 2 3" xfId="5739" xr:uid="{00000000-0005-0000-0000-000063B00000}"/>
    <cellStyle name="Normal 7 2 2 3 2 3 2" xfId="10754" xr:uid="{00000000-0005-0000-0000-000064B00000}"/>
    <cellStyle name="Normal 7 2 2 3 2 3 2 2" xfId="23197" xr:uid="{00000000-0005-0000-0000-000065B00000}"/>
    <cellStyle name="Normal 7 2 2 3 2 3 2 2 2" xfId="48071" xr:uid="{00000000-0005-0000-0000-000066B00000}"/>
    <cellStyle name="Normal 7 2 2 3 2 3 2 3" xfId="35638" xr:uid="{00000000-0005-0000-0000-000067B00000}"/>
    <cellStyle name="Normal 7 2 2 3 2 3 3" xfId="18190" xr:uid="{00000000-0005-0000-0000-000068B00000}"/>
    <cellStyle name="Normal 7 2 2 3 2 3 3 2" xfId="43064" xr:uid="{00000000-0005-0000-0000-000069B00000}"/>
    <cellStyle name="Normal 7 2 2 3 2 3 4" xfId="30631" xr:uid="{00000000-0005-0000-0000-00006AB00000}"/>
    <cellStyle name="Normal 7 2 2 3 2 4" xfId="8813" xr:uid="{00000000-0005-0000-0000-00006BB00000}"/>
    <cellStyle name="Normal 7 2 2 3 2 4 2" xfId="21257" xr:uid="{00000000-0005-0000-0000-00006CB00000}"/>
    <cellStyle name="Normal 7 2 2 3 2 4 2 2" xfId="46131" xr:uid="{00000000-0005-0000-0000-00006DB00000}"/>
    <cellStyle name="Normal 7 2 2 3 2 4 3" xfId="33698" xr:uid="{00000000-0005-0000-0000-00006EB00000}"/>
    <cellStyle name="Normal 7 2 2 3 2 5" xfId="12208" xr:uid="{00000000-0005-0000-0000-00006FB00000}"/>
    <cellStyle name="Normal 7 2 2 3 2 5 2" xfId="24642" xr:uid="{00000000-0005-0000-0000-000070B00000}"/>
    <cellStyle name="Normal 7 2 2 3 2 5 2 2" xfId="49516" xr:uid="{00000000-0005-0000-0000-000071B00000}"/>
    <cellStyle name="Normal 7 2 2 3 2 5 3" xfId="37083" xr:uid="{00000000-0005-0000-0000-000072B00000}"/>
    <cellStyle name="Normal 7 2 2 3 2 6" xfId="7290" xr:uid="{00000000-0005-0000-0000-000073B00000}"/>
    <cellStyle name="Normal 7 2 2 3 2 6 2" xfId="19739" xr:uid="{00000000-0005-0000-0000-000074B00000}"/>
    <cellStyle name="Normal 7 2 2 3 2 6 2 2" xfId="44613" xr:uid="{00000000-0005-0000-0000-000075B00000}"/>
    <cellStyle name="Normal 7 2 2 3 2 6 3" xfId="32180" xr:uid="{00000000-0005-0000-0000-000076B00000}"/>
    <cellStyle name="Normal 7 2 2 3 2 7" xfId="3744" xr:uid="{00000000-0005-0000-0000-000077B00000}"/>
    <cellStyle name="Normal 7 2 2 3 2 7 2" xfId="16250" xr:uid="{00000000-0005-0000-0000-000078B00000}"/>
    <cellStyle name="Normal 7 2 2 3 2 7 2 2" xfId="41124" xr:uid="{00000000-0005-0000-0000-000079B00000}"/>
    <cellStyle name="Normal 7 2 2 3 2 7 3" xfId="28683" xr:uid="{00000000-0005-0000-0000-00007AB00000}"/>
    <cellStyle name="Normal 7 2 2 3 2 8" xfId="13560" xr:uid="{00000000-0005-0000-0000-00007BB00000}"/>
    <cellStyle name="Normal 7 2 2 3 2 8 2" xfId="38434" xr:uid="{00000000-0005-0000-0000-00007CB00000}"/>
    <cellStyle name="Normal 7 2 2 3 2 9" xfId="25993" xr:uid="{00000000-0005-0000-0000-00007DB00000}"/>
    <cellStyle name="Normal 7 2 2 3 3" xfId="1941" xr:uid="{00000000-0005-0000-0000-00007EB00000}"/>
    <cellStyle name="Normal 7 2 2 3 3 2" xfId="4942" xr:uid="{00000000-0005-0000-0000-00007FB00000}"/>
    <cellStyle name="Normal 7 2 2 3 3 2 2" xfId="9959" xr:uid="{00000000-0005-0000-0000-000080B00000}"/>
    <cellStyle name="Normal 7 2 2 3 3 2 2 2" xfId="22402" xr:uid="{00000000-0005-0000-0000-000081B00000}"/>
    <cellStyle name="Normal 7 2 2 3 3 2 2 2 2" xfId="47276" xr:uid="{00000000-0005-0000-0000-000082B00000}"/>
    <cellStyle name="Normal 7 2 2 3 3 2 2 3" xfId="34843" xr:uid="{00000000-0005-0000-0000-000083B00000}"/>
    <cellStyle name="Normal 7 2 2 3 3 2 3" xfId="17395" xr:uid="{00000000-0005-0000-0000-000084B00000}"/>
    <cellStyle name="Normal 7 2 2 3 3 2 3 2" xfId="42269" xr:uid="{00000000-0005-0000-0000-000085B00000}"/>
    <cellStyle name="Normal 7 2 2 3 3 2 4" xfId="29836" xr:uid="{00000000-0005-0000-0000-000086B00000}"/>
    <cellStyle name="Normal 7 2 2 3 3 3" xfId="6087" xr:uid="{00000000-0005-0000-0000-000087B00000}"/>
    <cellStyle name="Normal 7 2 2 3 3 3 2" xfId="11102" xr:uid="{00000000-0005-0000-0000-000088B00000}"/>
    <cellStyle name="Normal 7 2 2 3 3 3 2 2" xfId="23545" xr:uid="{00000000-0005-0000-0000-000089B00000}"/>
    <cellStyle name="Normal 7 2 2 3 3 3 2 2 2" xfId="48419" xr:uid="{00000000-0005-0000-0000-00008AB00000}"/>
    <cellStyle name="Normal 7 2 2 3 3 3 2 3" xfId="35986" xr:uid="{00000000-0005-0000-0000-00008BB00000}"/>
    <cellStyle name="Normal 7 2 2 3 3 3 3" xfId="18538" xr:uid="{00000000-0005-0000-0000-00008CB00000}"/>
    <cellStyle name="Normal 7 2 2 3 3 3 3 2" xfId="43412" xr:uid="{00000000-0005-0000-0000-00008DB00000}"/>
    <cellStyle name="Normal 7 2 2 3 3 3 4" xfId="30979" xr:uid="{00000000-0005-0000-0000-00008EB00000}"/>
    <cellStyle name="Normal 7 2 2 3 3 4" xfId="8366" xr:uid="{00000000-0005-0000-0000-00008FB00000}"/>
    <cellStyle name="Normal 7 2 2 3 3 4 2" xfId="20810" xr:uid="{00000000-0005-0000-0000-000090B00000}"/>
    <cellStyle name="Normal 7 2 2 3 3 4 2 2" xfId="45684" xr:uid="{00000000-0005-0000-0000-000091B00000}"/>
    <cellStyle name="Normal 7 2 2 3 3 4 3" xfId="33251" xr:uid="{00000000-0005-0000-0000-000092B00000}"/>
    <cellStyle name="Normal 7 2 2 3 3 5" xfId="12556" xr:uid="{00000000-0005-0000-0000-000093B00000}"/>
    <cellStyle name="Normal 7 2 2 3 3 5 2" xfId="24990" xr:uid="{00000000-0005-0000-0000-000094B00000}"/>
    <cellStyle name="Normal 7 2 2 3 3 5 2 2" xfId="49864" xr:uid="{00000000-0005-0000-0000-000095B00000}"/>
    <cellStyle name="Normal 7 2 2 3 3 5 3" xfId="37431" xr:uid="{00000000-0005-0000-0000-000096B00000}"/>
    <cellStyle name="Normal 7 2 2 3 3 6" xfId="7553" xr:uid="{00000000-0005-0000-0000-000097B00000}"/>
    <cellStyle name="Normal 7 2 2 3 3 6 2" xfId="20001" xr:uid="{00000000-0005-0000-0000-000098B00000}"/>
    <cellStyle name="Normal 7 2 2 3 3 6 2 2" xfId="44875" xr:uid="{00000000-0005-0000-0000-000099B00000}"/>
    <cellStyle name="Normal 7 2 2 3 3 6 3" xfId="32442" xr:uid="{00000000-0005-0000-0000-00009AB00000}"/>
    <cellStyle name="Normal 7 2 2 3 3 7" xfId="3297" xr:uid="{00000000-0005-0000-0000-00009BB00000}"/>
    <cellStyle name="Normal 7 2 2 3 3 7 2" xfId="15803" xr:uid="{00000000-0005-0000-0000-00009CB00000}"/>
    <cellStyle name="Normal 7 2 2 3 3 7 2 2" xfId="40677" xr:uid="{00000000-0005-0000-0000-00009DB00000}"/>
    <cellStyle name="Normal 7 2 2 3 3 7 3" xfId="28236" xr:uid="{00000000-0005-0000-0000-00009EB00000}"/>
    <cellStyle name="Normal 7 2 2 3 3 8" xfId="14741" xr:uid="{00000000-0005-0000-0000-00009FB00000}"/>
    <cellStyle name="Normal 7 2 2 3 3 8 2" xfId="39615" xr:uid="{00000000-0005-0000-0000-0000A0B00000}"/>
    <cellStyle name="Normal 7 2 2 3 3 9" xfId="27174" xr:uid="{00000000-0005-0000-0000-0000A1B00000}"/>
    <cellStyle name="Normal 7 2 2 3 4" xfId="2315" xr:uid="{00000000-0005-0000-0000-0000A2B00000}"/>
    <cellStyle name="Normal 7 2 2 3 4 2" xfId="6340" xr:uid="{00000000-0005-0000-0000-0000A3B00000}"/>
    <cellStyle name="Normal 7 2 2 3 4 2 2" xfId="11355" xr:uid="{00000000-0005-0000-0000-0000A4B00000}"/>
    <cellStyle name="Normal 7 2 2 3 4 2 2 2" xfId="23798" xr:uid="{00000000-0005-0000-0000-0000A5B00000}"/>
    <cellStyle name="Normal 7 2 2 3 4 2 2 2 2" xfId="48672" xr:uid="{00000000-0005-0000-0000-0000A6B00000}"/>
    <cellStyle name="Normal 7 2 2 3 4 2 2 3" xfId="36239" xr:uid="{00000000-0005-0000-0000-0000A7B00000}"/>
    <cellStyle name="Normal 7 2 2 3 4 2 3" xfId="18791" xr:uid="{00000000-0005-0000-0000-0000A8B00000}"/>
    <cellStyle name="Normal 7 2 2 3 4 2 3 2" xfId="43665" xr:uid="{00000000-0005-0000-0000-0000A9B00000}"/>
    <cellStyle name="Normal 7 2 2 3 4 2 4" xfId="31232" xr:uid="{00000000-0005-0000-0000-0000AAB00000}"/>
    <cellStyle name="Normal 7 2 2 3 4 3" xfId="12809" xr:uid="{00000000-0005-0000-0000-0000ABB00000}"/>
    <cellStyle name="Normal 7 2 2 3 4 3 2" xfId="25243" xr:uid="{00000000-0005-0000-0000-0000ACB00000}"/>
    <cellStyle name="Normal 7 2 2 3 4 3 2 2" xfId="50117" xr:uid="{00000000-0005-0000-0000-0000ADB00000}"/>
    <cellStyle name="Normal 7 2 2 3 4 3 3" xfId="37684" xr:uid="{00000000-0005-0000-0000-0000AEB00000}"/>
    <cellStyle name="Normal 7 2 2 3 4 4" xfId="9250" xr:uid="{00000000-0005-0000-0000-0000AFB00000}"/>
    <cellStyle name="Normal 7 2 2 3 4 4 2" xfId="21693" xr:uid="{00000000-0005-0000-0000-0000B0B00000}"/>
    <cellStyle name="Normal 7 2 2 3 4 4 2 2" xfId="46567" xr:uid="{00000000-0005-0000-0000-0000B1B00000}"/>
    <cellStyle name="Normal 7 2 2 3 4 4 3" xfId="34134" xr:uid="{00000000-0005-0000-0000-0000B2B00000}"/>
    <cellStyle name="Normal 7 2 2 3 4 5" xfId="4232" xr:uid="{00000000-0005-0000-0000-0000B3B00000}"/>
    <cellStyle name="Normal 7 2 2 3 4 5 2" xfId="16686" xr:uid="{00000000-0005-0000-0000-0000B4B00000}"/>
    <cellStyle name="Normal 7 2 2 3 4 5 2 2" xfId="41560" xr:uid="{00000000-0005-0000-0000-0000B5B00000}"/>
    <cellStyle name="Normal 7 2 2 3 4 5 3" xfId="29127" xr:uid="{00000000-0005-0000-0000-0000B6B00000}"/>
    <cellStyle name="Normal 7 2 2 3 4 6" xfId="14994" xr:uid="{00000000-0005-0000-0000-0000B7B00000}"/>
    <cellStyle name="Normal 7 2 2 3 4 6 2" xfId="39868" xr:uid="{00000000-0005-0000-0000-0000B8B00000}"/>
    <cellStyle name="Normal 7 2 2 3 4 7" xfId="27427" xr:uid="{00000000-0005-0000-0000-0000B9B00000}"/>
    <cellStyle name="Normal 7 2 2 3 5" xfId="1151" xr:uid="{00000000-0005-0000-0000-0000BAB00000}"/>
    <cellStyle name="Normal 7 2 2 3 5 2" xfId="10312" xr:uid="{00000000-0005-0000-0000-0000BBB00000}"/>
    <cellStyle name="Normal 7 2 2 3 5 2 2" xfId="22755" xr:uid="{00000000-0005-0000-0000-0000BCB00000}"/>
    <cellStyle name="Normal 7 2 2 3 5 2 2 2" xfId="47629" xr:uid="{00000000-0005-0000-0000-0000BDB00000}"/>
    <cellStyle name="Normal 7 2 2 3 5 2 3" xfId="35196" xr:uid="{00000000-0005-0000-0000-0000BEB00000}"/>
    <cellStyle name="Normal 7 2 2 3 5 3" xfId="5296" xr:uid="{00000000-0005-0000-0000-0000BFB00000}"/>
    <cellStyle name="Normal 7 2 2 3 5 3 2" xfId="17748" xr:uid="{00000000-0005-0000-0000-0000C0B00000}"/>
    <cellStyle name="Normal 7 2 2 3 5 3 2 2" xfId="42622" xr:uid="{00000000-0005-0000-0000-0000C1B00000}"/>
    <cellStyle name="Normal 7 2 2 3 5 3 3" xfId="30189" xr:uid="{00000000-0005-0000-0000-0000C2B00000}"/>
    <cellStyle name="Normal 7 2 2 3 5 4" xfId="13951" xr:uid="{00000000-0005-0000-0000-0000C3B00000}"/>
    <cellStyle name="Normal 7 2 2 3 5 4 2" xfId="38825" xr:uid="{00000000-0005-0000-0000-0000C4B00000}"/>
    <cellStyle name="Normal 7 2 2 3 5 5" xfId="26384" xr:uid="{00000000-0005-0000-0000-0000C5B00000}"/>
    <cellStyle name="Normal 7 2 2 3 6" xfId="7873" xr:uid="{00000000-0005-0000-0000-0000C6B00000}"/>
    <cellStyle name="Normal 7 2 2 3 6 2" xfId="20319" xr:uid="{00000000-0005-0000-0000-0000C7B00000}"/>
    <cellStyle name="Normal 7 2 2 3 6 2 2" xfId="45193" xr:uid="{00000000-0005-0000-0000-0000C8B00000}"/>
    <cellStyle name="Normal 7 2 2 3 6 3" xfId="32760" xr:uid="{00000000-0005-0000-0000-0000C9B00000}"/>
    <cellStyle name="Normal 7 2 2 3 7" xfId="11766" xr:uid="{00000000-0005-0000-0000-0000CAB00000}"/>
    <cellStyle name="Normal 7 2 2 3 7 2" xfId="24200" xr:uid="{00000000-0005-0000-0000-0000CBB00000}"/>
    <cellStyle name="Normal 7 2 2 3 7 2 2" xfId="49074" xr:uid="{00000000-0005-0000-0000-0000CCB00000}"/>
    <cellStyle name="Normal 7 2 2 3 7 3" xfId="36641" xr:uid="{00000000-0005-0000-0000-0000CDB00000}"/>
    <cellStyle name="Normal 7 2 2 3 8" xfId="6843" xr:uid="{00000000-0005-0000-0000-0000CEB00000}"/>
    <cellStyle name="Normal 7 2 2 3 8 2" xfId="19292" xr:uid="{00000000-0005-0000-0000-0000CFB00000}"/>
    <cellStyle name="Normal 7 2 2 3 8 2 2" xfId="44166" xr:uid="{00000000-0005-0000-0000-0000D0B00000}"/>
    <cellStyle name="Normal 7 2 2 3 8 3" xfId="31733" xr:uid="{00000000-0005-0000-0000-0000D1B00000}"/>
    <cellStyle name="Normal 7 2 2 3 9" xfId="2794" xr:uid="{00000000-0005-0000-0000-0000D2B00000}"/>
    <cellStyle name="Normal 7 2 2 3 9 2" xfId="15312" xr:uid="{00000000-0005-0000-0000-0000D3B00000}"/>
    <cellStyle name="Normal 7 2 2 3 9 2 2" xfId="40186" xr:uid="{00000000-0005-0000-0000-0000D4B00000}"/>
    <cellStyle name="Normal 7 2 2 3 9 3" xfId="27745" xr:uid="{00000000-0005-0000-0000-0000D5B00000}"/>
    <cellStyle name="Normal 7 2 2 3_Degree data" xfId="2567" xr:uid="{00000000-0005-0000-0000-0000D6B00000}"/>
    <cellStyle name="Normal 7 2 2 4" xfId="295" xr:uid="{00000000-0005-0000-0000-0000D7B00000}"/>
    <cellStyle name="Normal 7 2 2 4 2" xfId="1591" xr:uid="{00000000-0005-0000-0000-0000D8B00000}"/>
    <cellStyle name="Normal 7 2 2 4 2 2" xfId="9150" xr:uid="{00000000-0005-0000-0000-0000D9B00000}"/>
    <cellStyle name="Normal 7 2 2 4 2 2 2" xfId="21593" xr:uid="{00000000-0005-0000-0000-0000DAB00000}"/>
    <cellStyle name="Normal 7 2 2 4 2 2 2 2" xfId="46467" xr:uid="{00000000-0005-0000-0000-0000DBB00000}"/>
    <cellStyle name="Normal 7 2 2 4 2 2 3" xfId="34034" xr:uid="{00000000-0005-0000-0000-0000DCB00000}"/>
    <cellStyle name="Normal 7 2 2 4 2 3" xfId="4132" xr:uid="{00000000-0005-0000-0000-0000DDB00000}"/>
    <cellStyle name="Normal 7 2 2 4 2 3 2" xfId="16586" xr:uid="{00000000-0005-0000-0000-0000DEB00000}"/>
    <cellStyle name="Normal 7 2 2 4 2 3 2 2" xfId="41460" xr:uid="{00000000-0005-0000-0000-0000DFB00000}"/>
    <cellStyle name="Normal 7 2 2 4 2 3 3" xfId="29027" xr:uid="{00000000-0005-0000-0000-0000E0B00000}"/>
    <cellStyle name="Normal 7 2 2 4 2 4" xfId="14391" xr:uid="{00000000-0005-0000-0000-0000E1B00000}"/>
    <cellStyle name="Normal 7 2 2 4 2 4 2" xfId="39265" xr:uid="{00000000-0005-0000-0000-0000E2B00000}"/>
    <cellStyle name="Normal 7 2 2 4 2 5" xfId="26824" xr:uid="{00000000-0005-0000-0000-0000E3B00000}"/>
    <cellStyle name="Normal 7 2 2 4 3" xfId="5737" xr:uid="{00000000-0005-0000-0000-0000E4B00000}"/>
    <cellStyle name="Normal 7 2 2 4 3 2" xfId="10752" xr:uid="{00000000-0005-0000-0000-0000E5B00000}"/>
    <cellStyle name="Normal 7 2 2 4 3 2 2" xfId="23195" xr:uid="{00000000-0005-0000-0000-0000E6B00000}"/>
    <cellStyle name="Normal 7 2 2 4 3 2 2 2" xfId="48069" xr:uid="{00000000-0005-0000-0000-0000E7B00000}"/>
    <cellStyle name="Normal 7 2 2 4 3 2 3" xfId="35636" xr:uid="{00000000-0005-0000-0000-0000E8B00000}"/>
    <cellStyle name="Normal 7 2 2 4 3 3" xfId="18188" xr:uid="{00000000-0005-0000-0000-0000E9B00000}"/>
    <cellStyle name="Normal 7 2 2 4 3 3 2" xfId="43062" xr:uid="{00000000-0005-0000-0000-0000EAB00000}"/>
    <cellStyle name="Normal 7 2 2 4 3 4" xfId="30629" xr:uid="{00000000-0005-0000-0000-0000EBB00000}"/>
    <cellStyle name="Normal 7 2 2 4 4" xfId="8266" xr:uid="{00000000-0005-0000-0000-0000ECB00000}"/>
    <cellStyle name="Normal 7 2 2 4 4 2" xfId="20710" xr:uid="{00000000-0005-0000-0000-0000EDB00000}"/>
    <cellStyle name="Normal 7 2 2 4 4 2 2" xfId="45584" xr:uid="{00000000-0005-0000-0000-0000EEB00000}"/>
    <cellStyle name="Normal 7 2 2 4 4 3" xfId="33151" xr:uid="{00000000-0005-0000-0000-0000EFB00000}"/>
    <cellStyle name="Normal 7 2 2 4 5" xfId="12206" xr:uid="{00000000-0005-0000-0000-0000F0B00000}"/>
    <cellStyle name="Normal 7 2 2 4 5 2" xfId="24640" xr:uid="{00000000-0005-0000-0000-0000F1B00000}"/>
    <cellStyle name="Normal 7 2 2 4 5 2 2" xfId="49514" xr:uid="{00000000-0005-0000-0000-0000F2B00000}"/>
    <cellStyle name="Normal 7 2 2 4 5 3" xfId="37081" xr:uid="{00000000-0005-0000-0000-0000F3B00000}"/>
    <cellStyle name="Normal 7 2 2 4 6" xfId="6743" xr:uid="{00000000-0005-0000-0000-0000F4B00000}"/>
    <cellStyle name="Normal 7 2 2 4 6 2" xfId="19192" xr:uid="{00000000-0005-0000-0000-0000F5B00000}"/>
    <cellStyle name="Normal 7 2 2 4 6 2 2" xfId="44066" xr:uid="{00000000-0005-0000-0000-0000F6B00000}"/>
    <cellStyle name="Normal 7 2 2 4 6 3" xfId="31633" xr:uid="{00000000-0005-0000-0000-0000F7B00000}"/>
    <cellStyle name="Normal 7 2 2 4 7" xfId="3197" xr:uid="{00000000-0005-0000-0000-0000F8B00000}"/>
    <cellStyle name="Normal 7 2 2 4 7 2" xfId="15703" xr:uid="{00000000-0005-0000-0000-0000F9B00000}"/>
    <cellStyle name="Normal 7 2 2 4 7 2 2" xfId="40577" xr:uid="{00000000-0005-0000-0000-0000FAB00000}"/>
    <cellStyle name="Normal 7 2 2 4 7 3" xfId="28136" xr:uid="{00000000-0005-0000-0000-0000FBB00000}"/>
    <cellStyle name="Normal 7 2 2 4 8" xfId="13113" xr:uid="{00000000-0005-0000-0000-0000FCB00000}"/>
    <cellStyle name="Normal 7 2 2 4 8 2" xfId="37987" xr:uid="{00000000-0005-0000-0000-0000FDB00000}"/>
    <cellStyle name="Normal 7 2 2 4 9" xfId="25546" xr:uid="{00000000-0005-0000-0000-0000FEB00000}"/>
    <cellStyle name="Normal 7 2 2 5" xfId="656" xr:uid="{00000000-0005-0000-0000-0000FFB00000}"/>
    <cellStyle name="Normal 7 2 2 5 2" xfId="1939" xr:uid="{00000000-0005-0000-0000-000000B10000}"/>
    <cellStyle name="Normal 7 2 2 5 2 2" xfId="9695" xr:uid="{00000000-0005-0000-0000-000001B10000}"/>
    <cellStyle name="Normal 7 2 2 5 2 2 2" xfId="22138" xr:uid="{00000000-0005-0000-0000-000002B10000}"/>
    <cellStyle name="Normal 7 2 2 5 2 2 2 2" xfId="47012" xr:uid="{00000000-0005-0000-0000-000003B10000}"/>
    <cellStyle name="Normal 7 2 2 5 2 2 3" xfId="34579" xr:uid="{00000000-0005-0000-0000-000004B10000}"/>
    <cellStyle name="Normal 7 2 2 5 2 3" xfId="4677" xr:uid="{00000000-0005-0000-0000-000005B10000}"/>
    <cellStyle name="Normal 7 2 2 5 2 3 2" xfId="17131" xr:uid="{00000000-0005-0000-0000-000006B10000}"/>
    <cellStyle name="Normal 7 2 2 5 2 3 2 2" xfId="42005" xr:uid="{00000000-0005-0000-0000-000007B10000}"/>
    <cellStyle name="Normal 7 2 2 5 2 3 3" xfId="29572" xr:uid="{00000000-0005-0000-0000-000008B10000}"/>
    <cellStyle name="Normal 7 2 2 5 2 4" xfId="14739" xr:uid="{00000000-0005-0000-0000-000009B10000}"/>
    <cellStyle name="Normal 7 2 2 5 2 4 2" xfId="39613" xr:uid="{00000000-0005-0000-0000-00000AB10000}"/>
    <cellStyle name="Normal 7 2 2 5 2 5" xfId="27172" xr:uid="{00000000-0005-0000-0000-00000BB10000}"/>
    <cellStyle name="Normal 7 2 2 5 3" xfId="6085" xr:uid="{00000000-0005-0000-0000-00000CB10000}"/>
    <cellStyle name="Normal 7 2 2 5 3 2" xfId="11100" xr:uid="{00000000-0005-0000-0000-00000DB10000}"/>
    <cellStyle name="Normal 7 2 2 5 3 2 2" xfId="23543" xr:uid="{00000000-0005-0000-0000-00000EB10000}"/>
    <cellStyle name="Normal 7 2 2 5 3 2 2 2" xfId="48417" xr:uid="{00000000-0005-0000-0000-00000FB10000}"/>
    <cellStyle name="Normal 7 2 2 5 3 2 3" xfId="35984" xr:uid="{00000000-0005-0000-0000-000010B10000}"/>
    <cellStyle name="Normal 7 2 2 5 3 3" xfId="18536" xr:uid="{00000000-0005-0000-0000-000011B10000}"/>
    <cellStyle name="Normal 7 2 2 5 3 3 2" xfId="43410" xr:uid="{00000000-0005-0000-0000-000012B10000}"/>
    <cellStyle name="Normal 7 2 2 5 3 4" xfId="30977" xr:uid="{00000000-0005-0000-0000-000013B10000}"/>
    <cellStyle name="Normal 7 2 2 5 4" xfId="8811" xr:uid="{00000000-0005-0000-0000-000014B10000}"/>
    <cellStyle name="Normal 7 2 2 5 4 2" xfId="21255" xr:uid="{00000000-0005-0000-0000-000015B10000}"/>
    <cellStyle name="Normal 7 2 2 5 4 2 2" xfId="46129" xr:uid="{00000000-0005-0000-0000-000016B10000}"/>
    <cellStyle name="Normal 7 2 2 5 4 3" xfId="33696" xr:uid="{00000000-0005-0000-0000-000017B10000}"/>
    <cellStyle name="Normal 7 2 2 5 5" xfId="12554" xr:uid="{00000000-0005-0000-0000-000018B10000}"/>
    <cellStyle name="Normal 7 2 2 5 5 2" xfId="24988" xr:uid="{00000000-0005-0000-0000-000019B10000}"/>
    <cellStyle name="Normal 7 2 2 5 5 2 2" xfId="49862" xr:uid="{00000000-0005-0000-0000-00001AB10000}"/>
    <cellStyle name="Normal 7 2 2 5 5 3" xfId="37429" xr:uid="{00000000-0005-0000-0000-00001BB10000}"/>
    <cellStyle name="Normal 7 2 2 5 6" xfId="7288" xr:uid="{00000000-0005-0000-0000-00001CB10000}"/>
    <cellStyle name="Normal 7 2 2 5 6 2" xfId="19737" xr:uid="{00000000-0005-0000-0000-00001DB10000}"/>
    <cellStyle name="Normal 7 2 2 5 6 2 2" xfId="44611" xr:uid="{00000000-0005-0000-0000-00001EB10000}"/>
    <cellStyle name="Normal 7 2 2 5 6 3" xfId="32178" xr:uid="{00000000-0005-0000-0000-00001FB10000}"/>
    <cellStyle name="Normal 7 2 2 5 7" xfId="3742" xr:uid="{00000000-0005-0000-0000-000020B10000}"/>
    <cellStyle name="Normal 7 2 2 5 7 2" xfId="16248" xr:uid="{00000000-0005-0000-0000-000021B10000}"/>
    <cellStyle name="Normal 7 2 2 5 7 2 2" xfId="41122" xr:uid="{00000000-0005-0000-0000-000022B10000}"/>
    <cellStyle name="Normal 7 2 2 5 7 3" xfId="28681" xr:uid="{00000000-0005-0000-0000-000023B10000}"/>
    <cellStyle name="Normal 7 2 2 5 8" xfId="13460" xr:uid="{00000000-0005-0000-0000-000024B10000}"/>
    <cellStyle name="Normal 7 2 2 5 8 2" xfId="38334" xr:uid="{00000000-0005-0000-0000-000025B10000}"/>
    <cellStyle name="Normal 7 2 2 5 9" xfId="25893" xr:uid="{00000000-0005-0000-0000-000026B10000}"/>
    <cellStyle name="Normal 7 2 2 6" xfId="2213" xr:uid="{00000000-0005-0000-0000-000027B10000}"/>
    <cellStyle name="Normal 7 2 2 6 2" xfId="4842" xr:uid="{00000000-0005-0000-0000-000028B10000}"/>
    <cellStyle name="Normal 7 2 2 6 2 2" xfId="9859" xr:uid="{00000000-0005-0000-0000-000029B10000}"/>
    <cellStyle name="Normal 7 2 2 6 2 2 2" xfId="22302" xr:uid="{00000000-0005-0000-0000-00002AB10000}"/>
    <cellStyle name="Normal 7 2 2 6 2 2 2 2" xfId="47176" xr:uid="{00000000-0005-0000-0000-00002BB10000}"/>
    <cellStyle name="Normal 7 2 2 6 2 2 3" xfId="34743" xr:uid="{00000000-0005-0000-0000-00002CB10000}"/>
    <cellStyle name="Normal 7 2 2 6 2 3" xfId="17295" xr:uid="{00000000-0005-0000-0000-00002DB10000}"/>
    <cellStyle name="Normal 7 2 2 6 2 3 2" xfId="42169" xr:uid="{00000000-0005-0000-0000-00002EB10000}"/>
    <cellStyle name="Normal 7 2 2 6 2 4" xfId="29736" xr:uid="{00000000-0005-0000-0000-00002FB10000}"/>
    <cellStyle name="Normal 7 2 2 6 3" xfId="6240" xr:uid="{00000000-0005-0000-0000-000030B10000}"/>
    <cellStyle name="Normal 7 2 2 6 3 2" xfId="11255" xr:uid="{00000000-0005-0000-0000-000031B10000}"/>
    <cellStyle name="Normal 7 2 2 6 3 2 2" xfId="23698" xr:uid="{00000000-0005-0000-0000-000032B10000}"/>
    <cellStyle name="Normal 7 2 2 6 3 2 2 2" xfId="48572" xr:uid="{00000000-0005-0000-0000-000033B10000}"/>
    <cellStyle name="Normal 7 2 2 6 3 2 3" xfId="36139" xr:uid="{00000000-0005-0000-0000-000034B10000}"/>
    <cellStyle name="Normal 7 2 2 6 3 3" xfId="18691" xr:uid="{00000000-0005-0000-0000-000035B10000}"/>
    <cellStyle name="Normal 7 2 2 6 3 3 2" xfId="43565" xr:uid="{00000000-0005-0000-0000-000036B10000}"/>
    <cellStyle name="Normal 7 2 2 6 3 4" xfId="31132" xr:uid="{00000000-0005-0000-0000-000037B10000}"/>
    <cellStyle name="Normal 7 2 2 6 4" xfId="8047" xr:uid="{00000000-0005-0000-0000-000038B10000}"/>
    <cellStyle name="Normal 7 2 2 6 4 2" xfId="20493" xr:uid="{00000000-0005-0000-0000-000039B10000}"/>
    <cellStyle name="Normal 7 2 2 6 4 2 2" xfId="45367" xr:uid="{00000000-0005-0000-0000-00003AB10000}"/>
    <cellStyle name="Normal 7 2 2 6 4 3" xfId="32934" xr:uid="{00000000-0005-0000-0000-00003BB10000}"/>
    <cellStyle name="Normal 7 2 2 6 5" xfId="12709" xr:uid="{00000000-0005-0000-0000-00003CB10000}"/>
    <cellStyle name="Normal 7 2 2 6 5 2" xfId="25143" xr:uid="{00000000-0005-0000-0000-00003DB10000}"/>
    <cellStyle name="Normal 7 2 2 6 5 2 2" xfId="50017" xr:uid="{00000000-0005-0000-0000-00003EB10000}"/>
    <cellStyle name="Normal 7 2 2 6 5 3" xfId="37584" xr:uid="{00000000-0005-0000-0000-00003FB10000}"/>
    <cellStyle name="Normal 7 2 2 6 6" xfId="7453" xr:uid="{00000000-0005-0000-0000-000040B10000}"/>
    <cellStyle name="Normal 7 2 2 6 6 2" xfId="19901" xr:uid="{00000000-0005-0000-0000-000041B10000}"/>
    <cellStyle name="Normal 7 2 2 6 6 2 2" xfId="44775" xr:uid="{00000000-0005-0000-0000-000042B10000}"/>
    <cellStyle name="Normal 7 2 2 6 6 3" xfId="32342" xr:uid="{00000000-0005-0000-0000-000043B10000}"/>
    <cellStyle name="Normal 7 2 2 6 7" xfId="2974" xr:uid="{00000000-0005-0000-0000-000044B10000}"/>
    <cellStyle name="Normal 7 2 2 6 7 2" xfId="15486" xr:uid="{00000000-0005-0000-0000-000045B10000}"/>
    <cellStyle name="Normal 7 2 2 6 7 2 2" xfId="40360" xr:uid="{00000000-0005-0000-0000-000046B10000}"/>
    <cellStyle name="Normal 7 2 2 6 7 3" xfId="27919" xr:uid="{00000000-0005-0000-0000-000047B10000}"/>
    <cellStyle name="Normal 7 2 2 6 8" xfId="14894" xr:uid="{00000000-0005-0000-0000-000048B10000}"/>
    <cellStyle name="Normal 7 2 2 6 8 2" xfId="39768" xr:uid="{00000000-0005-0000-0000-000049B10000}"/>
    <cellStyle name="Normal 7 2 2 6 9" xfId="27327" xr:uid="{00000000-0005-0000-0000-00004AB10000}"/>
    <cellStyle name="Normal 7 2 2 7" xfId="1051" xr:uid="{00000000-0005-0000-0000-00004BB10000}"/>
    <cellStyle name="Normal 7 2 2 7 2" xfId="8933" xr:uid="{00000000-0005-0000-0000-00004CB10000}"/>
    <cellStyle name="Normal 7 2 2 7 2 2" xfId="21376" xr:uid="{00000000-0005-0000-0000-00004DB10000}"/>
    <cellStyle name="Normal 7 2 2 7 2 2 2" xfId="46250" xr:uid="{00000000-0005-0000-0000-00004EB10000}"/>
    <cellStyle name="Normal 7 2 2 7 2 3" xfId="33817" xr:uid="{00000000-0005-0000-0000-00004FB10000}"/>
    <cellStyle name="Normal 7 2 2 7 3" xfId="3915" xr:uid="{00000000-0005-0000-0000-000050B10000}"/>
    <cellStyle name="Normal 7 2 2 7 3 2" xfId="16369" xr:uid="{00000000-0005-0000-0000-000051B10000}"/>
    <cellStyle name="Normal 7 2 2 7 3 2 2" xfId="41243" xr:uid="{00000000-0005-0000-0000-000052B10000}"/>
    <cellStyle name="Normal 7 2 2 7 3 3" xfId="28810" xr:uid="{00000000-0005-0000-0000-000053B10000}"/>
    <cellStyle name="Normal 7 2 2 7 4" xfId="13851" xr:uid="{00000000-0005-0000-0000-000054B10000}"/>
    <cellStyle name="Normal 7 2 2 7 4 2" xfId="38725" xr:uid="{00000000-0005-0000-0000-000055B10000}"/>
    <cellStyle name="Normal 7 2 2 7 5" xfId="26284" xr:uid="{00000000-0005-0000-0000-000056B10000}"/>
    <cellStyle name="Normal 7 2 2 8" xfId="5196" xr:uid="{00000000-0005-0000-0000-000057B10000}"/>
    <cellStyle name="Normal 7 2 2 8 2" xfId="10212" xr:uid="{00000000-0005-0000-0000-000058B10000}"/>
    <cellStyle name="Normal 7 2 2 8 2 2" xfId="22655" xr:uid="{00000000-0005-0000-0000-000059B10000}"/>
    <cellStyle name="Normal 7 2 2 8 2 2 2" xfId="47529" xr:uid="{00000000-0005-0000-0000-00005AB10000}"/>
    <cellStyle name="Normal 7 2 2 8 2 3" xfId="35096" xr:uid="{00000000-0005-0000-0000-00005BB10000}"/>
    <cellStyle name="Normal 7 2 2 8 3" xfId="17648" xr:uid="{00000000-0005-0000-0000-00005CB10000}"/>
    <cellStyle name="Normal 7 2 2 8 3 2" xfId="42522" xr:uid="{00000000-0005-0000-0000-00005DB10000}"/>
    <cellStyle name="Normal 7 2 2 8 4" xfId="30089" xr:uid="{00000000-0005-0000-0000-00005EB10000}"/>
    <cellStyle name="Normal 7 2 2 9" xfId="7773" xr:uid="{00000000-0005-0000-0000-00005FB10000}"/>
    <cellStyle name="Normal 7 2 2 9 2" xfId="20219" xr:uid="{00000000-0005-0000-0000-000060B10000}"/>
    <cellStyle name="Normal 7 2 2 9 2 2" xfId="45093" xr:uid="{00000000-0005-0000-0000-000061B10000}"/>
    <cellStyle name="Normal 7 2 2 9 3" xfId="32660" xr:uid="{00000000-0005-0000-0000-000062B10000}"/>
    <cellStyle name="Normal 7 2 2_Degree data" xfId="2565" xr:uid="{00000000-0005-0000-0000-000063B10000}"/>
    <cellStyle name="Normal 7 2 3" xfId="181" xr:uid="{00000000-0005-0000-0000-000064B10000}"/>
    <cellStyle name="Normal 7 2 3 10" xfId="6569" xr:uid="{00000000-0005-0000-0000-000065B10000}"/>
    <cellStyle name="Normal 7 2 3 10 2" xfId="19018" xr:uid="{00000000-0005-0000-0000-000066B10000}"/>
    <cellStyle name="Normal 7 2 3 10 2 2" xfId="43892" xr:uid="{00000000-0005-0000-0000-000067B10000}"/>
    <cellStyle name="Normal 7 2 3 10 3" xfId="31459" xr:uid="{00000000-0005-0000-0000-000068B10000}"/>
    <cellStyle name="Normal 7 2 3 11" xfId="2737" xr:uid="{00000000-0005-0000-0000-000069B10000}"/>
    <cellStyle name="Normal 7 2 3 11 2" xfId="15255" xr:uid="{00000000-0005-0000-0000-00006AB10000}"/>
    <cellStyle name="Normal 7 2 3 11 2 2" xfId="40129" xr:uid="{00000000-0005-0000-0000-00006BB10000}"/>
    <cellStyle name="Normal 7 2 3 11 3" xfId="27688" xr:uid="{00000000-0005-0000-0000-00006CB10000}"/>
    <cellStyle name="Normal 7 2 3 12" xfId="13011" xr:uid="{00000000-0005-0000-0000-00006DB10000}"/>
    <cellStyle name="Normal 7 2 3 12 2" xfId="37885" xr:uid="{00000000-0005-0000-0000-00006EB10000}"/>
    <cellStyle name="Normal 7 2 3 13" xfId="25444" xr:uid="{00000000-0005-0000-0000-00006FB10000}"/>
    <cellStyle name="Normal 7 2 3 2" xfId="442" xr:uid="{00000000-0005-0000-0000-000070B10000}"/>
    <cellStyle name="Normal 7 2 3 2 10" xfId="13256" xr:uid="{00000000-0005-0000-0000-000071B10000}"/>
    <cellStyle name="Normal 7 2 3 2 10 2" xfId="38130" xr:uid="{00000000-0005-0000-0000-000072B10000}"/>
    <cellStyle name="Normal 7 2 3 2 11" xfId="25689" xr:uid="{00000000-0005-0000-0000-000073B10000}"/>
    <cellStyle name="Normal 7 2 3 2 2" xfId="802" xr:uid="{00000000-0005-0000-0000-000074B10000}"/>
    <cellStyle name="Normal 7 2 3 2 2 2" xfId="1595" xr:uid="{00000000-0005-0000-0000-000075B10000}"/>
    <cellStyle name="Normal 7 2 3 2 2 2 2" xfId="9699" xr:uid="{00000000-0005-0000-0000-000076B10000}"/>
    <cellStyle name="Normal 7 2 3 2 2 2 2 2" xfId="22142" xr:uid="{00000000-0005-0000-0000-000077B10000}"/>
    <cellStyle name="Normal 7 2 3 2 2 2 2 2 2" xfId="47016" xr:uid="{00000000-0005-0000-0000-000078B10000}"/>
    <cellStyle name="Normal 7 2 3 2 2 2 2 3" xfId="34583" xr:uid="{00000000-0005-0000-0000-000079B10000}"/>
    <cellStyle name="Normal 7 2 3 2 2 2 3" xfId="4681" xr:uid="{00000000-0005-0000-0000-00007AB10000}"/>
    <cellStyle name="Normal 7 2 3 2 2 2 3 2" xfId="17135" xr:uid="{00000000-0005-0000-0000-00007BB10000}"/>
    <cellStyle name="Normal 7 2 3 2 2 2 3 2 2" xfId="42009" xr:uid="{00000000-0005-0000-0000-00007CB10000}"/>
    <cellStyle name="Normal 7 2 3 2 2 2 3 3" xfId="29576" xr:uid="{00000000-0005-0000-0000-00007DB10000}"/>
    <cellStyle name="Normal 7 2 3 2 2 2 4" xfId="14395" xr:uid="{00000000-0005-0000-0000-00007EB10000}"/>
    <cellStyle name="Normal 7 2 3 2 2 2 4 2" xfId="39269" xr:uid="{00000000-0005-0000-0000-00007FB10000}"/>
    <cellStyle name="Normal 7 2 3 2 2 2 5" xfId="26828" xr:uid="{00000000-0005-0000-0000-000080B10000}"/>
    <cellStyle name="Normal 7 2 3 2 2 3" xfId="5741" xr:uid="{00000000-0005-0000-0000-000081B10000}"/>
    <cellStyle name="Normal 7 2 3 2 2 3 2" xfId="10756" xr:uid="{00000000-0005-0000-0000-000082B10000}"/>
    <cellStyle name="Normal 7 2 3 2 2 3 2 2" xfId="23199" xr:uid="{00000000-0005-0000-0000-000083B10000}"/>
    <cellStyle name="Normal 7 2 3 2 2 3 2 2 2" xfId="48073" xr:uid="{00000000-0005-0000-0000-000084B10000}"/>
    <cellStyle name="Normal 7 2 3 2 2 3 2 3" xfId="35640" xr:uid="{00000000-0005-0000-0000-000085B10000}"/>
    <cellStyle name="Normal 7 2 3 2 2 3 3" xfId="18192" xr:uid="{00000000-0005-0000-0000-000086B10000}"/>
    <cellStyle name="Normal 7 2 3 2 2 3 3 2" xfId="43066" xr:uid="{00000000-0005-0000-0000-000087B10000}"/>
    <cellStyle name="Normal 7 2 3 2 2 3 4" xfId="30633" xr:uid="{00000000-0005-0000-0000-000088B10000}"/>
    <cellStyle name="Normal 7 2 3 2 2 4" xfId="8815" xr:uid="{00000000-0005-0000-0000-000089B10000}"/>
    <cellStyle name="Normal 7 2 3 2 2 4 2" xfId="21259" xr:uid="{00000000-0005-0000-0000-00008AB10000}"/>
    <cellStyle name="Normal 7 2 3 2 2 4 2 2" xfId="46133" xr:uid="{00000000-0005-0000-0000-00008BB10000}"/>
    <cellStyle name="Normal 7 2 3 2 2 4 3" xfId="33700" xr:uid="{00000000-0005-0000-0000-00008CB10000}"/>
    <cellStyle name="Normal 7 2 3 2 2 5" xfId="12210" xr:uid="{00000000-0005-0000-0000-00008DB10000}"/>
    <cellStyle name="Normal 7 2 3 2 2 5 2" xfId="24644" xr:uid="{00000000-0005-0000-0000-00008EB10000}"/>
    <cellStyle name="Normal 7 2 3 2 2 5 2 2" xfId="49518" xr:uid="{00000000-0005-0000-0000-00008FB10000}"/>
    <cellStyle name="Normal 7 2 3 2 2 5 3" xfId="37085" xr:uid="{00000000-0005-0000-0000-000090B10000}"/>
    <cellStyle name="Normal 7 2 3 2 2 6" xfId="7292" xr:uid="{00000000-0005-0000-0000-000091B10000}"/>
    <cellStyle name="Normal 7 2 3 2 2 6 2" xfId="19741" xr:uid="{00000000-0005-0000-0000-000092B10000}"/>
    <cellStyle name="Normal 7 2 3 2 2 6 2 2" xfId="44615" xr:uid="{00000000-0005-0000-0000-000093B10000}"/>
    <cellStyle name="Normal 7 2 3 2 2 6 3" xfId="32182" xr:uid="{00000000-0005-0000-0000-000094B10000}"/>
    <cellStyle name="Normal 7 2 3 2 2 7" xfId="3746" xr:uid="{00000000-0005-0000-0000-000095B10000}"/>
    <cellStyle name="Normal 7 2 3 2 2 7 2" xfId="16252" xr:uid="{00000000-0005-0000-0000-000096B10000}"/>
    <cellStyle name="Normal 7 2 3 2 2 7 2 2" xfId="41126" xr:uid="{00000000-0005-0000-0000-000097B10000}"/>
    <cellStyle name="Normal 7 2 3 2 2 7 3" xfId="28685" xr:uid="{00000000-0005-0000-0000-000098B10000}"/>
    <cellStyle name="Normal 7 2 3 2 2 8" xfId="13603" xr:uid="{00000000-0005-0000-0000-000099B10000}"/>
    <cellStyle name="Normal 7 2 3 2 2 8 2" xfId="38477" xr:uid="{00000000-0005-0000-0000-00009AB10000}"/>
    <cellStyle name="Normal 7 2 3 2 2 9" xfId="26036" xr:uid="{00000000-0005-0000-0000-00009BB10000}"/>
    <cellStyle name="Normal 7 2 3 2 3" xfId="1943" xr:uid="{00000000-0005-0000-0000-00009CB10000}"/>
    <cellStyle name="Normal 7 2 3 2 3 2" xfId="4985" xr:uid="{00000000-0005-0000-0000-00009DB10000}"/>
    <cellStyle name="Normal 7 2 3 2 3 2 2" xfId="10002" xr:uid="{00000000-0005-0000-0000-00009EB10000}"/>
    <cellStyle name="Normal 7 2 3 2 3 2 2 2" xfId="22445" xr:uid="{00000000-0005-0000-0000-00009FB10000}"/>
    <cellStyle name="Normal 7 2 3 2 3 2 2 2 2" xfId="47319" xr:uid="{00000000-0005-0000-0000-0000A0B10000}"/>
    <cellStyle name="Normal 7 2 3 2 3 2 2 3" xfId="34886" xr:uid="{00000000-0005-0000-0000-0000A1B10000}"/>
    <cellStyle name="Normal 7 2 3 2 3 2 3" xfId="17438" xr:uid="{00000000-0005-0000-0000-0000A2B10000}"/>
    <cellStyle name="Normal 7 2 3 2 3 2 3 2" xfId="42312" xr:uid="{00000000-0005-0000-0000-0000A3B10000}"/>
    <cellStyle name="Normal 7 2 3 2 3 2 4" xfId="29879" xr:uid="{00000000-0005-0000-0000-0000A4B10000}"/>
    <cellStyle name="Normal 7 2 3 2 3 3" xfId="6089" xr:uid="{00000000-0005-0000-0000-0000A5B10000}"/>
    <cellStyle name="Normal 7 2 3 2 3 3 2" xfId="11104" xr:uid="{00000000-0005-0000-0000-0000A6B10000}"/>
    <cellStyle name="Normal 7 2 3 2 3 3 2 2" xfId="23547" xr:uid="{00000000-0005-0000-0000-0000A7B10000}"/>
    <cellStyle name="Normal 7 2 3 2 3 3 2 2 2" xfId="48421" xr:uid="{00000000-0005-0000-0000-0000A8B10000}"/>
    <cellStyle name="Normal 7 2 3 2 3 3 2 3" xfId="35988" xr:uid="{00000000-0005-0000-0000-0000A9B10000}"/>
    <cellStyle name="Normal 7 2 3 2 3 3 3" xfId="18540" xr:uid="{00000000-0005-0000-0000-0000AAB10000}"/>
    <cellStyle name="Normal 7 2 3 2 3 3 3 2" xfId="43414" xr:uid="{00000000-0005-0000-0000-0000ABB10000}"/>
    <cellStyle name="Normal 7 2 3 2 3 3 4" xfId="30981" xr:uid="{00000000-0005-0000-0000-0000ACB10000}"/>
    <cellStyle name="Normal 7 2 3 2 3 4" xfId="8409" xr:uid="{00000000-0005-0000-0000-0000ADB10000}"/>
    <cellStyle name="Normal 7 2 3 2 3 4 2" xfId="20853" xr:uid="{00000000-0005-0000-0000-0000AEB10000}"/>
    <cellStyle name="Normal 7 2 3 2 3 4 2 2" xfId="45727" xr:uid="{00000000-0005-0000-0000-0000AFB10000}"/>
    <cellStyle name="Normal 7 2 3 2 3 4 3" xfId="33294" xr:uid="{00000000-0005-0000-0000-0000B0B10000}"/>
    <cellStyle name="Normal 7 2 3 2 3 5" xfId="12558" xr:uid="{00000000-0005-0000-0000-0000B1B10000}"/>
    <cellStyle name="Normal 7 2 3 2 3 5 2" xfId="24992" xr:uid="{00000000-0005-0000-0000-0000B2B10000}"/>
    <cellStyle name="Normal 7 2 3 2 3 5 2 2" xfId="49866" xr:uid="{00000000-0005-0000-0000-0000B3B10000}"/>
    <cellStyle name="Normal 7 2 3 2 3 5 3" xfId="37433" xr:uid="{00000000-0005-0000-0000-0000B4B10000}"/>
    <cellStyle name="Normal 7 2 3 2 3 6" xfId="7596" xr:uid="{00000000-0005-0000-0000-0000B5B10000}"/>
    <cellStyle name="Normal 7 2 3 2 3 6 2" xfId="20044" xr:uid="{00000000-0005-0000-0000-0000B6B10000}"/>
    <cellStyle name="Normal 7 2 3 2 3 6 2 2" xfId="44918" xr:uid="{00000000-0005-0000-0000-0000B7B10000}"/>
    <cellStyle name="Normal 7 2 3 2 3 6 3" xfId="32485" xr:uid="{00000000-0005-0000-0000-0000B8B10000}"/>
    <cellStyle name="Normal 7 2 3 2 3 7" xfId="3340" xr:uid="{00000000-0005-0000-0000-0000B9B10000}"/>
    <cellStyle name="Normal 7 2 3 2 3 7 2" xfId="15846" xr:uid="{00000000-0005-0000-0000-0000BAB10000}"/>
    <cellStyle name="Normal 7 2 3 2 3 7 2 2" xfId="40720" xr:uid="{00000000-0005-0000-0000-0000BBB10000}"/>
    <cellStyle name="Normal 7 2 3 2 3 7 3" xfId="28279" xr:uid="{00000000-0005-0000-0000-0000BCB10000}"/>
    <cellStyle name="Normal 7 2 3 2 3 8" xfId="14743" xr:uid="{00000000-0005-0000-0000-0000BDB10000}"/>
    <cellStyle name="Normal 7 2 3 2 3 8 2" xfId="39617" xr:uid="{00000000-0005-0000-0000-0000BEB10000}"/>
    <cellStyle name="Normal 7 2 3 2 3 9" xfId="27176" xr:uid="{00000000-0005-0000-0000-0000BFB10000}"/>
    <cellStyle name="Normal 7 2 3 2 4" xfId="2360" xr:uid="{00000000-0005-0000-0000-0000C0B10000}"/>
    <cellStyle name="Normal 7 2 3 2 4 2" xfId="6383" xr:uid="{00000000-0005-0000-0000-0000C1B10000}"/>
    <cellStyle name="Normal 7 2 3 2 4 2 2" xfId="11398" xr:uid="{00000000-0005-0000-0000-0000C2B10000}"/>
    <cellStyle name="Normal 7 2 3 2 4 2 2 2" xfId="23841" xr:uid="{00000000-0005-0000-0000-0000C3B10000}"/>
    <cellStyle name="Normal 7 2 3 2 4 2 2 2 2" xfId="48715" xr:uid="{00000000-0005-0000-0000-0000C4B10000}"/>
    <cellStyle name="Normal 7 2 3 2 4 2 2 3" xfId="36282" xr:uid="{00000000-0005-0000-0000-0000C5B10000}"/>
    <cellStyle name="Normal 7 2 3 2 4 2 3" xfId="18834" xr:uid="{00000000-0005-0000-0000-0000C6B10000}"/>
    <cellStyle name="Normal 7 2 3 2 4 2 3 2" xfId="43708" xr:uid="{00000000-0005-0000-0000-0000C7B10000}"/>
    <cellStyle name="Normal 7 2 3 2 4 2 4" xfId="31275" xr:uid="{00000000-0005-0000-0000-0000C8B10000}"/>
    <cellStyle name="Normal 7 2 3 2 4 3" xfId="12852" xr:uid="{00000000-0005-0000-0000-0000C9B10000}"/>
    <cellStyle name="Normal 7 2 3 2 4 3 2" xfId="25286" xr:uid="{00000000-0005-0000-0000-0000CAB10000}"/>
    <cellStyle name="Normal 7 2 3 2 4 3 2 2" xfId="50160" xr:uid="{00000000-0005-0000-0000-0000CBB10000}"/>
    <cellStyle name="Normal 7 2 3 2 4 3 3" xfId="37727" xr:uid="{00000000-0005-0000-0000-0000CCB10000}"/>
    <cellStyle name="Normal 7 2 3 2 4 4" xfId="9293" xr:uid="{00000000-0005-0000-0000-0000CDB10000}"/>
    <cellStyle name="Normal 7 2 3 2 4 4 2" xfId="21736" xr:uid="{00000000-0005-0000-0000-0000CEB10000}"/>
    <cellStyle name="Normal 7 2 3 2 4 4 2 2" xfId="46610" xr:uid="{00000000-0005-0000-0000-0000CFB10000}"/>
    <cellStyle name="Normal 7 2 3 2 4 4 3" xfId="34177" xr:uid="{00000000-0005-0000-0000-0000D0B10000}"/>
    <cellStyle name="Normal 7 2 3 2 4 5" xfId="4275" xr:uid="{00000000-0005-0000-0000-0000D1B10000}"/>
    <cellStyle name="Normal 7 2 3 2 4 5 2" xfId="16729" xr:uid="{00000000-0005-0000-0000-0000D2B10000}"/>
    <cellStyle name="Normal 7 2 3 2 4 5 2 2" xfId="41603" xr:uid="{00000000-0005-0000-0000-0000D3B10000}"/>
    <cellStyle name="Normal 7 2 3 2 4 5 3" xfId="29170" xr:uid="{00000000-0005-0000-0000-0000D4B10000}"/>
    <cellStyle name="Normal 7 2 3 2 4 6" xfId="15037" xr:uid="{00000000-0005-0000-0000-0000D5B10000}"/>
    <cellStyle name="Normal 7 2 3 2 4 6 2" xfId="39911" xr:uid="{00000000-0005-0000-0000-0000D6B10000}"/>
    <cellStyle name="Normal 7 2 3 2 4 7" xfId="27470" xr:uid="{00000000-0005-0000-0000-0000D7B10000}"/>
    <cellStyle name="Normal 7 2 3 2 5" xfId="1194" xr:uid="{00000000-0005-0000-0000-0000D8B10000}"/>
    <cellStyle name="Normal 7 2 3 2 5 2" xfId="10355" xr:uid="{00000000-0005-0000-0000-0000D9B10000}"/>
    <cellStyle name="Normal 7 2 3 2 5 2 2" xfId="22798" xr:uid="{00000000-0005-0000-0000-0000DAB10000}"/>
    <cellStyle name="Normal 7 2 3 2 5 2 2 2" xfId="47672" xr:uid="{00000000-0005-0000-0000-0000DBB10000}"/>
    <cellStyle name="Normal 7 2 3 2 5 2 3" xfId="35239" xr:uid="{00000000-0005-0000-0000-0000DCB10000}"/>
    <cellStyle name="Normal 7 2 3 2 5 3" xfId="5339" xr:uid="{00000000-0005-0000-0000-0000DDB10000}"/>
    <cellStyle name="Normal 7 2 3 2 5 3 2" xfId="17791" xr:uid="{00000000-0005-0000-0000-0000DEB10000}"/>
    <cellStyle name="Normal 7 2 3 2 5 3 2 2" xfId="42665" xr:uid="{00000000-0005-0000-0000-0000DFB10000}"/>
    <cellStyle name="Normal 7 2 3 2 5 3 3" xfId="30232" xr:uid="{00000000-0005-0000-0000-0000E0B10000}"/>
    <cellStyle name="Normal 7 2 3 2 5 4" xfId="13994" xr:uid="{00000000-0005-0000-0000-0000E1B10000}"/>
    <cellStyle name="Normal 7 2 3 2 5 4 2" xfId="38868" xr:uid="{00000000-0005-0000-0000-0000E2B10000}"/>
    <cellStyle name="Normal 7 2 3 2 5 5" xfId="26427" xr:uid="{00000000-0005-0000-0000-0000E3B10000}"/>
    <cellStyle name="Normal 7 2 3 2 6" xfId="7916" xr:uid="{00000000-0005-0000-0000-0000E4B10000}"/>
    <cellStyle name="Normal 7 2 3 2 6 2" xfId="20362" xr:uid="{00000000-0005-0000-0000-0000E5B10000}"/>
    <cellStyle name="Normal 7 2 3 2 6 2 2" xfId="45236" xr:uid="{00000000-0005-0000-0000-0000E6B10000}"/>
    <cellStyle name="Normal 7 2 3 2 6 3" xfId="32803" xr:uid="{00000000-0005-0000-0000-0000E7B10000}"/>
    <cellStyle name="Normal 7 2 3 2 7" xfId="11809" xr:uid="{00000000-0005-0000-0000-0000E8B10000}"/>
    <cellStyle name="Normal 7 2 3 2 7 2" xfId="24243" xr:uid="{00000000-0005-0000-0000-0000E9B10000}"/>
    <cellStyle name="Normal 7 2 3 2 7 2 2" xfId="49117" xr:uid="{00000000-0005-0000-0000-0000EAB10000}"/>
    <cellStyle name="Normal 7 2 3 2 7 3" xfId="36684" xr:uid="{00000000-0005-0000-0000-0000EBB10000}"/>
    <cellStyle name="Normal 7 2 3 2 8" xfId="6886" xr:uid="{00000000-0005-0000-0000-0000ECB10000}"/>
    <cellStyle name="Normal 7 2 3 2 8 2" xfId="19335" xr:uid="{00000000-0005-0000-0000-0000EDB10000}"/>
    <cellStyle name="Normal 7 2 3 2 8 2 2" xfId="44209" xr:uid="{00000000-0005-0000-0000-0000EEB10000}"/>
    <cellStyle name="Normal 7 2 3 2 8 3" xfId="31776" xr:uid="{00000000-0005-0000-0000-0000EFB10000}"/>
    <cellStyle name="Normal 7 2 3 2 9" xfId="2837" xr:uid="{00000000-0005-0000-0000-0000F0B10000}"/>
    <cellStyle name="Normal 7 2 3 2 9 2" xfId="15355" xr:uid="{00000000-0005-0000-0000-0000F1B10000}"/>
    <cellStyle name="Normal 7 2 3 2 9 2 2" xfId="40229" xr:uid="{00000000-0005-0000-0000-0000F2B10000}"/>
    <cellStyle name="Normal 7 2 3 2 9 3" xfId="27788" xr:uid="{00000000-0005-0000-0000-0000F3B10000}"/>
    <cellStyle name="Normal 7 2 3 2_Degree data" xfId="2569" xr:uid="{00000000-0005-0000-0000-0000F4B10000}"/>
    <cellStyle name="Normal 7 2 3 3" xfId="340" xr:uid="{00000000-0005-0000-0000-0000F5B10000}"/>
    <cellStyle name="Normal 7 2 3 3 2" xfId="1594" xr:uid="{00000000-0005-0000-0000-0000F6B10000}"/>
    <cellStyle name="Normal 7 2 3 3 2 2" xfId="9193" xr:uid="{00000000-0005-0000-0000-0000F7B10000}"/>
    <cellStyle name="Normal 7 2 3 3 2 2 2" xfId="21636" xr:uid="{00000000-0005-0000-0000-0000F8B10000}"/>
    <cellStyle name="Normal 7 2 3 3 2 2 2 2" xfId="46510" xr:uid="{00000000-0005-0000-0000-0000F9B10000}"/>
    <cellStyle name="Normal 7 2 3 3 2 2 3" xfId="34077" xr:uid="{00000000-0005-0000-0000-0000FAB10000}"/>
    <cellStyle name="Normal 7 2 3 3 2 3" xfId="4175" xr:uid="{00000000-0005-0000-0000-0000FBB10000}"/>
    <cellStyle name="Normal 7 2 3 3 2 3 2" xfId="16629" xr:uid="{00000000-0005-0000-0000-0000FCB10000}"/>
    <cellStyle name="Normal 7 2 3 3 2 3 2 2" xfId="41503" xr:uid="{00000000-0005-0000-0000-0000FDB10000}"/>
    <cellStyle name="Normal 7 2 3 3 2 3 3" xfId="29070" xr:uid="{00000000-0005-0000-0000-0000FEB10000}"/>
    <cellStyle name="Normal 7 2 3 3 2 4" xfId="14394" xr:uid="{00000000-0005-0000-0000-0000FFB10000}"/>
    <cellStyle name="Normal 7 2 3 3 2 4 2" xfId="39268" xr:uid="{00000000-0005-0000-0000-000000B20000}"/>
    <cellStyle name="Normal 7 2 3 3 2 5" xfId="26827" xr:uid="{00000000-0005-0000-0000-000001B20000}"/>
    <cellStyle name="Normal 7 2 3 3 3" xfId="5740" xr:uid="{00000000-0005-0000-0000-000002B20000}"/>
    <cellStyle name="Normal 7 2 3 3 3 2" xfId="10755" xr:uid="{00000000-0005-0000-0000-000003B20000}"/>
    <cellStyle name="Normal 7 2 3 3 3 2 2" xfId="23198" xr:uid="{00000000-0005-0000-0000-000004B20000}"/>
    <cellStyle name="Normal 7 2 3 3 3 2 2 2" xfId="48072" xr:uid="{00000000-0005-0000-0000-000005B20000}"/>
    <cellStyle name="Normal 7 2 3 3 3 2 3" xfId="35639" xr:uid="{00000000-0005-0000-0000-000006B20000}"/>
    <cellStyle name="Normal 7 2 3 3 3 3" xfId="18191" xr:uid="{00000000-0005-0000-0000-000007B20000}"/>
    <cellStyle name="Normal 7 2 3 3 3 3 2" xfId="43065" xr:uid="{00000000-0005-0000-0000-000008B20000}"/>
    <cellStyle name="Normal 7 2 3 3 3 4" xfId="30632" xr:uid="{00000000-0005-0000-0000-000009B20000}"/>
    <cellStyle name="Normal 7 2 3 3 4" xfId="8309" xr:uid="{00000000-0005-0000-0000-00000AB20000}"/>
    <cellStyle name="Normal 7 2 3 3 4 2" xfId="20753" xr:uid="{00000000-0005-0000-0000-00000BB20000}"/>
    <cellStyle name="Normal 7 2 3 3 4 2 2" xfId="45627" xr:uid="{00000000-0005-0000-0000-00000CB20000}"/>
    <cellStyle name="Normal 7 2 3 3 4 3" xfId="33194" xr:uid="{00000000-0005-0000-0000-00000DB20000}"/>
    <cellStyle name="Normal 7 2 3 3 5" xfId="12209" xr:uid="{00000000-0005-0000-0000-00000EB20000}"/>
    <cellStyle name="Normal 7 2 3 3 5 2" xfId="24643" xr:uid="{00000000-0005-0000-0000-00000FB20000}"/>
    <cellStyle name="Normal 7 2 3 3 5 2 2" xfId="49517" xr:uid="{00000000-0005-0000-0000-000010B20000}"/>
    <cellStyle name="Normal 7 2 3 3 5 3" xfId="37084" xr:uid="{00000000-0005-0000-0000-000011B20000}"/>
    <cellStyle name="Normal 7 2 3 3 6" xfId="6786" xr:uid="{00000000-0005-0000-0000-000012B20000}"/>
    <cellStyle name="Normal 7 2 3 3 6 2" xfId="19235" xr:uid="{00000000-0005-0000-0000-000013B20000}"/>
    <cellStyle name="Normal 7 2 3 3 6 2 2" xfId="44109" xr:uid="{00000000-0005-0000-0000-000014B20000}"/>
    <cellStyle name="Normal 7 2 3 3 6 3" xfId="31676" xr:uid="{00000000-0005-0000-0000-000015B20000}"/>
    <cellStyle name="Normal 7 2 3 3 7" xfId="3240" xr:uid="{00000000-0005-0000-0000-000016B20000}"/>
    <cellStyle name="Normal 7 2 3 3 7 2" xfId="15746" xr:uid="{00000000-0005-0000-0000-000017B20000}"/>
    <cellStyle name="Normal 7 2 3 3 7 2 2" xfId="40620" xr:uid="{00000000-0005-0000-0000-000018B20000}"/>
    <cellStyle name="Normal 7 2 3 3 7 3" xfId="28179" xr:uid="{00000000-0005-0000-0000-000019B20000}"/>
    <cellStyle name="Normal 7 2 3 3 8" xfId="13156" xr:uid="{00000000-0005-0000-0000-00001AB20000}"/>
    <cellStyle name="Normal 7 2 3 3 8 2" xfId="38030" xr:uid="{00000000-0005-0000-0000-00001BB20000}"/>
    <cellStyle name="Normal 7 2 3 3 9" xfId="25589" xr:uid="{00000000-0005-0000-0000-00001CB20000}"/>
    <cellStyle name="Normal 7 2 3 4" xfId="700" xr:uid="{00000000-0005-0000-0000-00001DB20000}"/>
    <cellStyle name="Normal 7 2 3 4 2" xfId="1942" xr:uid="{00000000-0005-0000-0000-00001EB20000}"/>
    <cellStyle name="Normal 7 2 3 4 2 2" xfId="9698" xr:uid="{00000000-0005-0000-0000-00001FB20000}"/>
    <cellStyle name="Normal 7 2 3 4 2 2 2" xfId="22141" xr:uid="{00000000-0005-0000-0000-000020B20000}"/>
    <cellStyle name="Normal 7 2 3 4 2 2 2 2" xfId="47015" xr:uid="{00000000-0005-0000-0000-000021B20000}"/>
    <cellStyle name="Normal 7 2 3 4 2 2 3" xfId="34582" xr:uid="{00000000-0005-0000-0000-000022B20000}"/>
    <cellStyle name="Normal 7 2 3 4 2 3" xfId="4680" xr:uid="{00000000-0005-0000-0000-000023B20000}"/>
    <cellStyle name="Normal 7 2 3 4 2 3 2" xfId="17134" xr:uid="{00000000-0005-0000-0000-000024B20000}"/>
    <cellStyle name="Normal 7 2 3 4 2 3 2 2" xfId="42008" xr:uid="{00000000-0005-0000-0000-000025B20000}"/>
    <cellStyle name="Normal 7 2 3 4 2 3 3" xfId="29575" xr:uid="{00000000-0005-0000-0000-000026B20000}"/>
    <cellStyle name="Normal 7 2 3 4 2 4" xfId="14742" xr:uid="{00000000-0005-0000-0000-000027B20000}"/>
    <cellStyle name="Normal 7 2 3 4 2 4 2" xfId="39616" xr:uid="{00000000-0005-0000-0000-000028B20000}"/>
    <cellStyle name="Normal 7 2 3 4 2 5" xfId="27175" xr:uid="{00000000-0005-0000-0000-000029B20000}"/>
    <cellStyle name="Normal 7 2 3 4 3" xfId="6088" xr:uid="{00000000-0005-0000-0000-00002AB20000}"/>
    <cellStyle name="Normal 7 2 3 4 3 2" xfId="11103" xr:uid="{00000000-0005-0000-0000-00002BB20000}"/>
    <cellStyle name="Normal 7 2 3 4 3 2 2" xfId="23546" xr:uid="{00000000-0005-0000-0000-00002CB20000}"/>
    <cellStyle name="Normal 7 2 3 4 3 2 2 2" xfId="48420" xr:uid="{00000000-0005-0000-0000-00002DB20000}"/>
    <cellStyle name="Normal 7 2 3 4 3 2 3" xfId="35987" xr:uid="{00000000-0005-0000-0000-00002EB20000}"/>
    <cellStyle name="Normal 7 2 3 4 3 3" xfId="18539" xr:uid="{00000000-0005-0000-0000-00002FB20000}"/>
    <cellStyle name="Normal 7 2 3 4 3 3 2" xfId="43413" xr:uid="{00000000-0005-0000-0000-000030B20000}"/>
    <cellStyle name="Normal 7 2 3 4 3 4" xfId="30980" xr:uid="{00000000-0005-0000-0000-000031B20000}"/>
    <cellStyle name="Normal 7 2 3 4 4" xfId="8814" xr:uid="{00000000-0005-0000-0000-000032B20000}"/>
    <cellStyle name="Normal 7 2 3 4 4 2" xfId="21258" xr:uid="{00000000-0005-0000-0000-000033B20000}"/>
    <cellStyle name="Normal 7 2 3 4 4 2 2" xfId="46132" xr:uid="{00000000-0005-0000-0000-000034B20000}"/>
    <cellStyle name="Normal 7 2 3 4 4 3" xfId="33699" xr:uid="{00000000-0005-0000-0000-000035B20000}"/>
    <cellStyle name="Normal 7 2 3 4 5" xfId="12557" xr:uid="{00000000-0005-0000-0000-000036B20000}"/>
    <cellStyle name="Normal 7 2 3 4 5 2" xfId="24991" xr:uid="{00000000-0005-0000-0000-000037B20000}"/>
    <cellStyle name="Normal 7 2 3 4 5 2 2" xfId="49865" xr:uid="{00000000-0005-0000-0000-000038B20000}"/>
    <cellStyle name="Normal 7 2 3 4 5 3" xfId="37432" xr:uid="{00000000-0005-0000-0000-000039B20000}"/>
    <cellStyle name="Normal 7 2 3 4 6" xfId="7291" xr:uid="{00000000-0005-0000-0000-00003AB20000}"/>
    <cellStyle name="Normal 7 2 3 4 6 2" xfId="19740" xr:uid="{00000000-0005-0000-0000-00003BB20000}"/>
    <cellStyle name="Normal 7 2 3 4 6 2 2" xfId="44614" xr:uid="{00000000-0005-0000-0000-00003CB20000}"/>
    <cellStyle name="Normal 7 2 3 4 6 3" xfId="32181" xr:uid="{00000000-0005-0000-0000-00003DB20000}"/>
    <cellStyle name="Normal 7 2 3 4 7" xfId="3745" xr:uid="{00000000-0005-0000-0000-00003EB20000}"/>
    <cellStyle name="Normal 7 2 3 4 7 2" xfId="16251" xr:uid="{00000000-0005-0000-0000-00003FB20000}"/>
    <cellStyle name="Normal 7 2 3 4 7 2 2" xfId="41125" xr:uid="{00000000-0005-0000-0000-000040B20000}"/>
    <cellStyle name="Normal 7 2 3 4 7 3" xfId="28684" xr:uid="{00000000-0005-0000-0000-000041B20000}"/>
    <cellStyle name="Normal 7 2 3 4 8" xfId="13503" xr:uid="{00000000-0005-0000-0000-000042B20000}"/>
    <cellStyle name="Normal 7 2 3 4 8 2" xfId="38377" xr:uid="{00000000-0005-0000-0000-000043B20000}"/>
    <cellStyle name="Normal 7 2 3 4 9" xfId="25936" xr:uid="{00000000-0005-0000-0000-000044B20000}"/>
    <cellStyle name="Normal 7 2 3 5" xfId="2258" xr:uid="{00000000-0005-0000-0000-000045B20000}"/>
    <cellStyle name="Normal 7 2 3 5 2" xfId="4885" xr:uid="{00000000-0005-0000-0000-000046B20000}"/>
    <cellStyle name="Normal 7 2 3 5 2 2" xfId="9902" xr:uid="{00000000-0005-0000-0000-000047B20000}"/>
    <cellStyle name="Normal 7 2 3 5 2 2 2" xfId="22345" xr:uid="{00000000-0005-0000-0000-000048B20000}"/>
    <cellStyle name="Normal 7 2 3 5 2 2 2 2" xfId="47219" xr:uid="{00000000-0005-0000-0000-000049B20000}"/>
    <cellStyle name="Normal 7 2 3 5 2 2 3" xfId="34786" xr:uid="{00000000-0005-0000-0000-00004AB20000}"/>
    <cellStyle name="Normal 7 2 3 5 2 3" xfId="17338" xr:uid="{00000000-0005-0000-0000-00004BB20000}"/>
    <cellStyle name="Normal 7 2 3 5 2 3 2" xfId="42212" xr:uid="{00000000-0005-0000-0000-00004CB20000}"/>
    <cellStyle name="Normal 7 2 3 5 2 4" xfId="29779" xr:uid="{00000000-0005-0000-0000-00004DB20000}"/>
    <cellStyle name="Normal 7 2 3 5 3" xfId="6283" xr:uid="{00000000-0005-0000-0000-00004EB20000}"/>
    <cellStyle name="Normal 7 2 3 5 3 2" xfId="11298" xr:uid="{00000000-0005-0000-0000-00004FB20000}"/>
    <cellStyle name="Normal 7 2 3 5 3 2 2" xfId="23741" xr:uid="{00000000-0005-0000-0000-000050B20000}"/>
    <cellStyle name="Normal 7 2 3 5 3 2 2 2" xfId="48615" xr:uid="{00000000-0005-0000-0000-000051B20000}"/>
    <cellStyle name="Normal 7 2 3 5 3 2 3" xfId="36182" xr:uid="{00000000-0005-0000-0000-000052B20000}"/>
    <cellStyle name="Normal 7 2 3 5 3 3" xfId="18734" xr:uid="{00000000-0005-0000-0000-000053B20000}"/>
    <cellStyle name="Normal 7 2 3 5 3 3 2" xfId="43608" xr:uid="{00000000-0005-0000-0000-000054B20000}"/>
    <cellStyle name="Normal 7 2 3 5 3 4" xfId="31175" xr:uid="{00000000-0005-0000-0000-000055B20000}"/>
    <cellStyle name="Normal 7 2 3 5 4" xfId="8090" xr:uid="{00000000-0005-0000-0000-000056B20000}"/>
    <cellStyle name="Normal 7 2 3 5 4 2" xfId="20536" xr:uid="{00000000-0005-0000-0000-000057B20000}"/>
    <cellStyle name="Normal 7 2 3 5 4 2 2" xfId="45410" xr:uid="{00000000-0005-0000-0000-000058B20000}"/>
    <cellStyle name="Normal 7 2 3 5 4 3" xfId="32977" xr:uid="{00000000-0005-0000-0000-000059B20000}"/>
    <cellStyle name="Normal 7 2 3 5 5" xfId="12752" xr:uid="{00000000-0005-0000-0000-00005AB20000}"/>
    <cellStyle name="Normal 7 2 3 5 5 2" xfId="25186" xr:uid="{00000000-0005-0000-0000-00005BB20000}"/>
    <cellStyle name="Normal 7 2 3 5 5 2 2" xfId="50060" xr:uid="{00000000-0005-0000-0000-00005CB20000}"/>
    <cellStyle name="Normal 7 2 3 5 5 3" xfId="37627" xr:uid="{00000000-0005-0000-0000-00005DB20000}"/>
    <cellStyle name="Normal 7 2 3 5 6" xfId="7496" xr:uid="{00000000-0005-0000-0000-00005EB20000}"/>
    <cellStyle name="Normal 7 2 3 5 6 2" xfId="19944" xr:uid="{00000000-0005-0000-0000-00005FB20000}"/>
    <cellStyle name="Normal 7 2 3 5 6 2 2" xfId="44818" xr:uid="{00000000-0005-0000-0000-000060B20000}"/>
    <cellStyle name="Normal 7 2 3 5 6 3" xfId="32385" xr:uid="{00000000-0005-0000-0000-000061B20000}"/>
    <cellStyle name="Normal 7 2 3 5 7" xfId="3020" xr:uid="{00000000-0005-0000-0000-000062B20000}"/>
    <cellStyle name="Normal 7 2 3 5 7 2" xfId="15529" xr:uid="{00000000-0005-0000-0000-000063B20000}"/>
    <cellStyle name="Normal 7 2 3 5 7 2 2" xfId="40403" xr:uid="{00000000-0005-0000-0000-000064B20000}"/>
    <cellStyle name="Normal 7 2 3 5 7 3" xfId="27962" xr:uid="{00000000-0005-0000-0000-000065B20000}"/>
    <cellStyle name="Normal 7 2 3 5 8" xfId="14937" xr:uid="{00000000-0005-0000-0000-000066B20000}"/>
    <cellStyle name="Normal 7 2 3 5 8 2" xfId="39811" xr:uid="{00000000-0005-0000-0000-000067B20000}"/>
    <cellStyle name="Normal 7 2 3 5 9" xfId="27370" xr:uid="{00000000-0005-0000-0000-000068B20000}"/>
    <cellStyle name="Normal 7 2 3 6" xfId="1094" xr:uid="{00000000-0005-0000-0000-000069B20000}"/>
    <cellStyle name="Normal 7 2 3 6 2" xfId="8976" xr:uid="{00000000-0005-0000-0000-00006AB20000}"/>
    <cellStyle name="Normal 7 2 3 6 2 2" xfId="21419" xr:uid="{00000000-0005-0000-0000-00006BB20000}"/>
    <cellStyle name="Normal 7 2 3 6 2 2 2" xfId="46293" xr:uid="{00000000-0005-0000-0000-00006CB20000}"/>
    <cellStyle name="Normal 7 2 3 6 2 3" xfId="33860" xr:uid="{00000000-0005-0000-0000-00006DB20000}"/>
    <cellStyle name="Normal 7 2 3 6 3" xfId="3958" xr:uid="{00000000-0005-0000-0000-00006EB20000}"/>
    <cellStyle name="Normal 7 2 3 6 3 2" xfId="16412" xr:uid="{00000000-0005-0000-0000-00006FB20000}"/>
    <cellStyle name="Normal 7 2 3 6 3 2 2" xfId="41286" xr:uid="{00000000-0005-0000-0000-000070B20000}"/>
    <cellStyle name="Normal 7 2 3 6 3 3" xfId="28853" xr:uid="{00000000-0005-0000-0000-000071B20000}"/>
    <cellStyle name="Normal 7 2 3 6 4" xfId="13894" xr:uid="{00000000-0005-0000-0000-000072B20000}"/>
    <cellStyle name="Normal 7 2 3 6 4 2" xfId="38768" xr:uid="{00000000-0005-0000-0000-000073B20000}"/>
    <cellStyle name="Normal 7 2 3 6 5" xfId="26327" xr:uid="{00000000-0005-0000-0000-000074B20000}"/>
    <cellStyle name="Normal 7 2 3 7" xfId="5239" xr:uid="{00000000-0005-0000-0000-000075B20000}"/>
    <cellStyle name="Normal 7 2 3 7 2" xfId="10255" xr:uid="{00000000-0005-0000-0000-000076B20000}"/>
    <cellStyle name="Normal 7 2 3 7 2 2" xfId="22698" xr:uid="{00000000-0005-0000-0000-000077B20000}"/>
    <cellStyle name="Normal 7 2 3 7 2 2 2" xfId="47572" xr:uid="{00000000-0005-0000-0000-000078B20000}"/>
    <cellStyle name="Normal 7 2 3 7 2 3" xfId="35139" xr:uid="{00000000-0005-0000-0000-000079B20000}"/>
    <cellStyle name="Normal 7 2 3 7 3" xfId="17691" xr:uid="{00000000-0005-0000-0000-00007AB20000}"/>
    <cellStyle name="Normal 7 2 3 7 3 2" xfId="42565" xr:uid="{00000000-0005-0000-0000-00007BB20000}"/>
    <cellStyle name="Normal 7 2 3 7 4" xfId="30132" xr:uid="{00000000-0005-0000-0000-00007CB20000}"/>
    <cellStyle name="Normal 7 2 3 8" xfId="7816" xr:uid="{00000000-0005-0000-0000-00007DB20000}"/>
    <cellStyle name="Normal 7 2 3 8 2" xfId="20262" xr:uid="{00000000-0005-0000-0000-00007EB20000}"/>
    <cellStyle name="Normal 7 2 3 8 2 2" xfId="45136" xr:uid="{00000000-0005-0000-0000-00007FB20000}"/>
    <cellStyle name="Normal 7 2 3 8 3" xfId="32703" xr:uid="{00000000-0005-0000-0000-000080B20000}"/>
    <cellStyle name="Normal 7 2 3 9" xfId="11709" xr:uid="{00000000-0005-0000-0000-000081B20000}"/>
    <cellStyle name="Normal 7 2 3 9 2" xfId="24143" xr:uid="{00000000-0005-0000-0000-000082B20000}"/>
    <cellStyle name="Normal 7 2 3 9 2 2" xfId="49017" xr:uid="{00000000-0005-0000-0000-000083B20000}"/>
    <cellStyle name="Normal 7 2 3 9 3" xfId="36584" xr:uid="{00000000-0005-0000-0000-000084B20000}"/>
    <cellStyle name="Normal 7 2 3_Degree data" xfId="2568" xr:uid="{00000000-0005-0000-0000-000085B20000}"/>
    <cellStyle name="Normal 7 2 4" xfId="261" xr:uid="{00000000-0005-0000-0000-000086B20000}"/>
    <cellStyle name="Normal 7 2 4 10" xfId="6601" xr:uid="{00000000-0005-0000-0000-000087B20000}"/>
    <cellStyle name="Normal 7 2 4 10 2" xfId="19050" xr:uid="{00000000-0005-0000-0000-000088B20000}"/>
    <cellStyle name="Normal 7 2 4 10 2 2" xfId="43924" xr:uid="{00000000-0005-0000-0000-000089B20000}"/>
    <cellStyle name="Normal 7 2 4 10 3" xfId="31491" xr:uid="{00000000-0005-0000-0000-00008AB20000}"/>
    <cellStyle name="Normal 7 2 4 11" xfId="2664" xr:uid="{00000000-0005-0000-0000-00008BB20000}"/>
    <cellStyle name="Normal 7 2 4 11 2" xfId="15182" xr:uid="{00000000-0005-0000-0000-00008CB20000}"/>
    <cellStyle name="Normal 7 2 4 11 2 2" xfId="40056" xr:uid="{00000000-0005-0000-0000-00008DB20000}"/>
    <cellStyle name="Normal 7 2 4 11 3" xfId="27615" xr:uid="{00000000-0005-0000-0000-00008EB20000}"/>
    <cellStyle name="Normal 7 2 4 12" xfId="13083" xr:uid="{00000000-0005-0000-0000-00008FB20000}"/>
    <cellStyle name="Normal 7 2 4 12 2" xfId="37957" xr:uid="{00000000-0005-0000-0000-000090B20000}"/>
    <cellStyle name="Normal 7 2 4 13" xfId="25516" xr:uid="{00000000-0005-0000-0000-000091B20000}"/>
    <cellStyle name="Normal 7 2 4 2" xfId="475" xr:uid="{00000000-0005-0000-0000-000092B20000}"/>
    <cellStyle name="Normal 7 2 4 2 10" xfId="13288" xr:uid="{00000000-0005-0000-0000-000093B20000}"/>
    <cellStyle name="Normal 7 2 4 2 10 2" xfId="38162" xr:uid="{00000000-0005-0000-0000-000094B20000}"/>
    <cellStyle name="Normal 7 2 4 2 11" xfId="25721" xr:uid="{00000000-0005-0000-0000-000095B20000}"/>
    <cellStyle name="Normal 7 2 4 2 2" xfId="834" xr:uid="{00000000-0005-0000-0000-000096B20000}"/>
    <cellStyle name="Normal 7 2 4 2 2 2" xfId="1597" xr:uid="{00000000-0005-0000-0000-000097B20000}"/>
    <cellStyle name="Normal 7 2 4 2 2 2 2" xfId="9701" xr:uid="{00000000-0005-0000-0000-000098B20000}"/>
    <cellStyle name="Normal 7 2 4 2 2 2 2 2" xfId="22144" xr:uid="{00000000-0005-0000-0000-000099B20000}"/>
    <cellStyle name="Normal 7 2 4 2 2 2 2 2 2" xfId="47018" xr:uid="{00000000-0005-0000-0000-00009AB20000}"/>
    <cellStyle name="Normal 7 2 4 2 2 2 2 3" xfId="34585" xr:uid="{00000000-0005-0000-0000-00009BB20000}"/>
    <cellStyle name="Normal 7 2 4 2 2 2 3" xfId="4683" xr:uid="{00000000-0005-0000-0000-00009CB20000}"/>
    <cellStyle name="Normal 7 2 4 2 2 2 3 2" xfId="17137" xr:uid="{00000000-0005-0000-0000-00009DB20000}"/>
    <cellStyle name="Normal 7 2 4 2 2 2 3 2 2" xfId="42011" xr:uid="{00000000-0005-0000-0000-00009EB20000}"/>
    <cellStyle name="Normal 7 2 4 2 2 2 3 3" xfId="29578" xr:uid="{00000000-0005-0000-0000-00009FB20000}"/>
    <cellStyle name="Normal 7 2 4 2 2 2 4" xfId="14397" xr:uid="{00000000-0005-0000-0000-0000A0B20000}"/>
    <cellStyle name="Normal 7 2 4 2 2 2 4 2" xfId="39271" xr:uid="{00000000-0005-0000-0000-0000A1B20000}"/>
    <cellStyle name="Normal 7 2 4 2 2 2 5" xfId="26830" xr:uid="{00000000-0005-0000-0000-0000A2B20000}"/>
    <cellStyle name="Normal 7 2 4 2 2 3" xfId="5743" xr:uid="{00000000-0005-0000-0000-0000A3B20000}"/>
    <cellStyle name="Normal 7 2 4 2 2 3 2" xfId="10758" xr:uid="{00000000-0005-0000-0000-0000A4B20000}"/>
    <cellStyle name="Normal 7 2 4 2 2 3 2 2" xfId="23201" xr:uid="{00000000-0005-0000-0000-0000A5B20000}"/>
    <cellStyle name="Normal 7 2 4 2 2 3 2 2 2" xfId="48075" xr:uid="{00000000-0005-0000-0000-0000A6B20000}"/>
    <cellStyle name="Normal 7 2 4 2 2 3 2 3" xfId="35642" xr:uid="{00000000-0005-0000-0000-0000A7B20000}"/>
    <cellStyle name="Normal 7 2 4 2 2 3 3" xfId="18194" xr:uid="{00000000-0005-0000-0000-0000A8B20000}"/>
    <cellStyle name="Normal 7 2 4 2 2 3 3 2" xfId="43068" xr:uid="{00000000-0005-0000-0000-0000A9B20000}"/>
    <cellStyle name="Normal 7 2 4 2 2 3 4" xfId="30635" xr:uid="{00000000-0005-0000-0000-0000AAB20000}"/>
    <cellStyle name="Normal 7 2 4 2 2 4" xfId="8817" xr:uid="{00000000-0005-0000-0000-0000ABB20000}"/>
    <cellStyle name="Normal 7 2 4 2 2 4 2" xfId="21261" xr:uid="{00000000-0005-0000-0000-0000ACB20000}"/>
    <cellStyle name="Normal 7 2 4 2 2 4 2 2" xfId="46135" xr:uid="{00000000-0005-0000-0000-0000ADB20000}"/>
    <cellStyle name="Normal 7 2 4 2 2 4 3" xfId="33702" xr:uid="{00000000-0005-0000-0000-0000AEB20000}"/>
    <cellStyle name="Normal 7 2 4 2 2 5" xfId="12212" xr:uid="{00000000-0005-0000-0000-0000AFB20000}"/>
    <cellStyle name="Normal 7 2 4 2 2 5 2" xfId="24646" xr:uid="{00000000-0005-0000-0000-0000B0B20000}"/>
    <cellStyle name="Normal 7 2 4 2 2 5 2 2" xfId="49520" xr:uid="{00000000-0005-0000-0000-0000B1B20000}"/>
    <cellStyle name="Normal 7 2 4 2 2 5 3" xfId="37087" xr:uid="{00000000-0005-0000-0000-0000B2B20000}"/>
    <cellStyle name="Normal 7 2 4 2 2 6" xfId="7294" xr:uid="{00000000-0005-0000-0000-0000B3B20000}"/>
    <cellStyle name="Normal 7 2 4 2 2 6 2" xfId="19743" xr:uid="{00000000-0005-0000-0000-0000B4B20000}"/>
    <cellStyle name="Normal 7 2 4 2 2 6 2 2" xfId="44617" xr:uid="{00000000-0005-0000-0000-0000B5B20000}"/>
    <cellStyle name="Normal 7 2 4 2 2 6 3" xfId="32184" xr:uid="{00000000-0005-0000-0000-0000B6B20000}"/>
    <cellStyle name="Normal 7 2 4 2 2 7" xfId="3748" xr:uid="{00000000-0005-0000-0000-0000B7B20000}"/>
    <cellStyle name="Normal 7 2 4 2 2 7 2" xfId="16254" xr:uid="{00000000-0005-0000-0000-0000B8B20000}"/>
    <cellStyle name="Normal 7 2 4 2 2 7 2 2" xfId="41128" xr:uid="{00000000-0005-0000-0000-0000B9B20000}"/>
    <cellStyle name="Normal 7 2 4 2 2 7 3" xfId="28687" xr:uid="{00000000-0005-0000-0000-0000BAB20000}"/>
    <cellStyle name="Normal 7 2 4 2 2 8" xfId="13635" xr:uid="{00000000-0005-0000-0000-0000BBB20000}"/>
    <cellStyle name="Normal 7 2 4 2 2 8 2" xfId="38509" xr:uid="{00000000-0005-0000-0000-0000BCB20000}"/>
    <cellStyle name="Normal 7 2 4 2 2 9" xfId="26068" xr:uid="{00000000-0005-0000-0000-0000BDB20000}"/>
    <cellStyle name="Normal 7 2 4 2 3" xfId="1945" xr:uid="{00000000-0005-0000-0000-0000BEB20000}"/>
    <cellStyle name="Normal 7 2 4 2 3 2" xfId="5017" xr:uid="{00000000-0005-0000-0000-0000BFB20000}"/>
    <cellStyle name="Normal 7 2 4 2 3 2 2" xfId="10034" xr:uid="{00000000-0005-0000-0000-0000C0B20000}"/>
    <cellStyle name="Normal 7 2 4 2 3 2 2 2" xfId="22477" xr:uid="{00000000-0005-0000-0000-0000C1B20000}"/>
    <cellStyle name="Normal 7 2 4 2 3 2 2 2 2" xfId="47351" xr:uid="{00000000-0005-0000-0000-0000C2B20000}"/>
    <cellStyle name="Normal 7 2 4 2 3 2 2 3" xfId="34918" xr:uid="{00000000-0005-0000-0000-0000C3B20000}"/>
    <cellStyle name="Normal 7 2 4 2 3 2 3" xfId="17470" xr:uid="{00000000-0005-0000-0000-0000C4B20000}"/>
    <cellStyle name="Normal 7 2 4 2 3 2 3 2" xfId="42344" xr:uid="{00000000-0005-0000-0000-0000C5B20000}"/>
    <cellStyle name="Normal 7 2 4 2 3 2 4" xfId="29911" xr:uid="{00000000-0005-0000-0000-0000C6B20000}"/>
    <cellStyle name="Normal 7 2 4 2 3 3" xfId="6091" xr:uid="{00000000-0005-0000-0000-0000C7B20000}"/>
    <cellStyle name="Normal 7 2 4 2 3 3 2" xfId="11106" xr:uid="{00000000-0005-0000-0000-0000C8B20000}"/>
    <cellStyle name="Normal 7 2 4 2 3 3 2 2" xfId="23549" xr:uid="{00000000-0005-0000-0000-0000C9B20000}"/>
    <cellStyle name="Normal 7 2 4 2 3 3 2 2 2" xfId="48423" xr:uid="{00000000-0005-0000-0000-0000CAB20000}"/>
    <cellStyle name="Normal 7 2 4 2 3 3 2 3" xfId="35990" xr:uid="{00000000-0005-0000-0000-0000CBB20000}"/>
    <cellStyle name="Normal 7 2 4 2 3 3 3" xfId="18542" xr:uid="{00000000-0005-0000-0000-0000CCB20000}"/>
    <cellStyle name="Normal 7 2 4 2 3 3 3 2" xfId="43416" xr:uid="{00000000-0005-0000-0000-0000CDB20000}"/>
    <cellStyle name="Normal 7 2 4 2 3 3 4" xfId="30983" xr:uid="{00000000-0005-0000-0000-0000CEB20000}"/>
    <cellStyle name="Normal 7 2 4 2 3 4" xfId="8441" xr:uid="{00000000-0005-0000-0000-0000CFB20000}"/>
    <cellStyle name="Normal 7 2 4 2 3 4 2" xfId="20885" xr:uid="{00000000-0005-0000-0000-0000D0B20000}"/>
    <cellStyle name="Normal 7 2 4 2 3 4 2 2" xfId="45759" xr:uid="{00000000-0005-0000-0000-0000D1B20000}"/>
    <cellStyle name="Normal 7 2 4 2 3 4 3" xfId="33326" xr:uid="{00000000-0005-0000-0000-0000D2B20000}"/>
    <cellStyle name="Normal 7 2 4 2 3 5" xfId="12560" xr:uid="{00000000-0005-0000-0000-0000D3B20000}"/>
    <cellStyle name="Normal 7 2 4 2 3 5 2" xfId="24994" xr:uid="{00000000-0005-0000-0000-0000D4B20000}"/>
    <cellStyle name="Normal 7 2 4 2 3 5 2 2" xfId="49868" xr:uid="{00000000-0005-0000-0000-0000D5B20000}"/>
    <cellStyle name="Normal 7 2 4 2 3 5 3" xfId="37435" xr:uid="{00000000-0005-0000-0000-0000D6B20000}"/>
    <cellStyle name="Normal 7 2 4 2 3 6" xfId="7628" xr:uid="{00000000-0005-0000-0000-0000D7B20000}"/>
    <cellStyle name="Normal 7 2 4 2 3 6 2" xfId="20076" xr:uid="{00000000-0005-0000-0000-0000D8B20000}"/>
    <cellStyle name="Normal 7 2 4 2 3 6 2 2" xfId="44950" xr:uid="{00000000-0005-0000-0000-0000D9B20000}"/>
    <cellStyle name="Normal 7 2 4 2 3 6 3" xfId="32517" xr:uid="{00000000-0005-0000-0000-0000DAB20000}"/>
    <cellStyle name="Normal 7 2 4 2 3 7" xfId="3372" xr:uid="{00000000-0005-0000-0000-0000DBB20000}"/>
    <cellStyle name="Normal 7 2 4 2 3 7 2" xfId="15878" xr:uid="{00000000-0005-0000-0000-0000DCB20000}"/>
    <cellStyle name="Normal 7 2 4 2 3 7 2 2" xfId="40752" xr:uid="{00000000-0005-0000-0000-0000DDB20000}"/>
    <cellStyle name="Normal 7 2 4 2 3 7 3" xfId="28311" xr:uid="{00000000-0005-0000-0000-0000DEB20000}"/>
    <cellStyle name="Normal 7 2 4 2 3 8" xfId="14745" xr:uid="{00000000-0005-0000-0000-0000DFB20000}"/>
    <cellStyle name="Normal 7 2 4 2 3 8 2" xfId="39619" xr:uid="{00000000-0005-0000-0000-0000E0B20000}"/>
    <cellStyle name="Normal 7 2 4 2 3 9" xfId="27178" xr:uid="{00000000-0005-0000-0000-0000E1B20000}"/>
    <cellStyle name="Normal 7 2 4 2 4" xfId="2393" xr:uid="{00000000-0005-0000-0000-0000E2B20000}"/>
    <cellStyle name="Normal 7 2 4 2 4 2" xfId="6415" xr:uid="{00000000-0005-0000-0000-0000E3B20000}"/>
    <cellStyle name="Normal 7 2 4 2 4 2 2" xfId="11430" xr:uid="{00000000-0005-0000-0000-0000E4B20000}"/>
    <cellStyle name="Normal 7 2 4 2 4 2 2 2" xfId="23873" xr:uid="{00000000-0005-0000-0000-0000E5B20000}"/>
    <cellStyle name="Normal 7 2 4 2 4 2 2 2 2" xfId="48747" xr:uid="{00000000-0005-0000-0000-0000E6B20000}"/>
    <cellStyle name="Normal 7 2 4 2 4 2 2 3" xfId="36314" xr:uid="{00000000-0005-0000-0000-0000E7B20000}"/>
    <cellStyle name="Normal 7 2 4 2 4 2 3" xfId="18866" xr:uid="{00000000-0005-0000-0000-0000E8B20000}"/>
    <cellStyle name="Normal 7 2 4 2 4 2 3 2" xfId="43740" xr:uid="{00000000-0005-0000-0000-0000E9B20000}"/>
    <cellStyle name="Normal 7 2 4 2 4 2 4" xfId="31307" xr:uid="{00000000-0005-0000-0000-0000EAB20000}"/>
    <cellStyle name="Normal 7 2 4 2 4 3" xfId="12884" xr:uid="{00000000-0005-0000-0000-0000EBB20000}"/>
    <cellStyle name="Normal 7 2 4 2 4 3 2" xfId="25318" xr:uid="{00000000-0005-0000-0000-0000ECB20000}"/>
    <cellStyle name="Normal 7 2 4 2 4 3 2 2" xfId="50192" xr:uid="{00000000-0005-0000-0000-0000EDB20000}"/>
    <cellStyle name="Normal 7 2 4 2 4 3 3" xfId="37759" xr:uid="{00000000-0005-0000-0000-0000EEB20000}"/>
    <cellStyle name="Normal 7 2 4 2 4 4" xfId="9325" xr:uid="{00000000-0005-0000-0000-0000EFB20000}"/>
    <cellStyle name="Normal 7 2 4 2 4 4 2" xfId="21768" xr:uid="{00000000-0005-0000-0000-0000F0B20000}"/>
    <cellStyle name="Normal 7 2 4 2 4 4 2 2" xfId="46642" xr:uid="{00000000-0005-0000-0000-0000F1B20000}"/>
    <cellStyle name="Normal 7 2 4 2 4 4 3" xfId="34209" xr:uid="{00000000-0005-0000-0000-0000F2B20000}"/>
    <cellStyle name="Normal 7 2 4 2 4 5" xfId="4307" xr:uid="{00000000-0005-0000-0000-0000F3B20000}"/>
    <cellStyle name="Normal 7 2 4 2 4 5 2" xfId="16761" xr:uid="{00000000-0005-0000-0000-0000F4B20000}"/>
    <cellStyle name="Normal 7 2 4 2 4 5 2 2" xfId="41635" xr:uid="{00000000-0005-0000-0000-0000F5B20000}"/>
    <cellStyle name="Normal 7 2 4 2 4 5 3" xfId="29202" xr:uid="{00000000-0005-0000-0000-0000F6B20000}"/>
    <cellStyle name="Normal 7 2 4 2 4 6" xfId="15069" xr:uid="{00000000-0005-0000-0000-0000F7B20000}"/>
    <cellStyle name="Normal 7 2 4 2 4 6 2" xfId="39943" xr:uid="{00000000-0005-0000-0000-0000F8B20000}"/>
    <cellStyle name="Normal 7 2 4 2 4 7" xfId="27502" xr:uid="{00000000-0005-0000-0000-0000F9B20000}"/>
    <cellStyle name="Normal 7 2 4 2 5" xfId="1226" xr:uid="{00000000-0005-0000-0000-0000FAB20000}"/>
    <cellStyle name="Normal 7 2 4 2 5 2" xfId="10387" xr:uid="{00000000-0005-0000-0000-0000FBB20000}"/>
    <cellStyle name="Normal 7 2 4 2 5 2 2" xfId="22830" xr:uid="{00000000-0005-0000-0000-0000FCB20000}"/>
    <cellStyle name="Normal 7 2 4 2 5 2 2 2" xfId="47704" xr:uid="{00000000-0005-0000-0000-0000FDB20000}"/>
    <cellStyle name="Normal 7 2 4 2 5 2 3" xfId="35271" xr:uid="{00000000-0005-0000-0000-0000FEB20000}"/>
    <cellStyle name="Normal 7 2 4 2 5 3" xfId="5371" xr:uid="{00000000-0005-0000-0000-0000FFB20000}"/>
    <cellStyle name="Normal 7 2 4 2 5 3 2" xfId="17823" xr:uid="{00000000-0005-0000-0000-000000B30000}"/>
    <cellStyle name="Normal 7 2 4 2 5 3 2 2" xfId="42697" xr:uid="{00000000-0005-0000-0000-000001B30000}"/>
    <cellStyle name="Normal 7 2 4 2 5 3 3" xfId="30264" xr:uid="{00000000-0005-0000-0000-000002B30000}"/>
    <cellStyle name="Normal 7 2 4 2 5 4" xfId="14026" xr:uid="{00000000-0005-0000-0000-000003B30000}"/>
    <cellStyle name="Normal 7 2 4 2 5 4 2" xfId="38900" xr:uid="{00000000-0005-0000-0000-000004B30000}"/>
    <cellStyle name="Normal 7 2 4 2 5 5" xfId="26459" xr:uid="{00000000-0005-0000-0000-000005B30000}"/>
    <cellStyle name="Normal 7 2 4 2 6" xfId="7948" xr:uid="{00000000-0005-0000-0000-000006B30000}"/>
    <cellStyle name="Normal 7 2 4 2 6 2" xfId="20394" xr:uid="{00000000-0005-0000-0000-000007B30000}"/>
    <cellStyle name="Normal 7 2 4 2 6 2 2" xfId="45268" xr:uid="{00000000-0005-0000-0000-000008B30000}"/>
    <cellStyle name="Normal 7 2 4 2 6 3" xfId="32835" xr:uid="{00000000-0005-0000-0000-000009B30000}"/>
    <cellStyle name="Normal 7 2 4 2 7" xfId="11841" xr:uid="{00000000-0005-0000-0000-00000AB30000}"/>
    <cellStyle name="Normal 7 2 4 2 7 2" xfId="24275" xr:uid="{00000000-0005-0000-0000-00000BB30000}"/>
    <cellStyle name="Normal 7 2 4 2 7 2 2" xfId="49149" xr:uid="{00000000-0005-0000-0000-00000CB30000}"/>
    <cellStyle name="Normal 7 2 4 2 7 3" xfId="36716" xr:uid="{00000000-0005-0000-0000-00000DB30000}"/>
    <cellStyle name="Normal 7 2 4 2 8" xfId="6918" xr:uid="{00000000-0005-0000-0000-00000EB30000}"/>
    <cellStyle name="Normal 7 2 4 2 8 2" xfId="19367" xr:uid="{00000000-0005-0000-0000-00000FB30000}"/>
    <cellStyle name="Normal 7 2 4 2 8 2 2" xfId="44241" xr:uid="{00000000-0005-0000-0000-000010B30000}"/>
    <cellStyle name="Normal 7 2 4 2 8 3" xfId="31808" xr:uid="{00000000-0005-0000-0000-000011B30000}"/>
    <cellStyle name="Normal 7 2 4 2 9" xfId="2869" xr:uid="{00000000-0005-0000-0000-000012B30000}"/>
    <cellStyle name="Normal 7 2 4 2 9 2" xfId="15387" xr:uid="{00000000-0005-0000-0000-000013B30000}"/>
    <cellStyle name="Normal 7 2 4 2 9 2 2" xfId="40261" xr:uid="{00000000-0005-0000-0000-000014B30000}"/>
    <cellStyle name="Normal 7 2 4 2 9 3" xfId="27820" xr:uid="{00000000-0005-0000-0000-000015B30000}"/>
    <cellStyle name="Normal 7 2 4 2_Degree data" xfId="2571" xr:uid="{00000000-0005-0000-0000-000016B30000}"/>
    <cellStyle name="Normal 7 2 4 3" xfId="623" xr:uid="{00000000-0005-0000-0000-000017B30000}"/>
    <cellStyle name="Normal 7 2 4 3 2" xfId="1596" xr:uid="{00000000-0005-0000-0000-000018B30000}"/>
    <cellStyle name="Normal 7 2 4 3 2 2" xfId="9120" xr:uid="{00000000-0005-0000-0000-000019B30000}"/>
    <cellStyle name="Normal 7 2 4 3 2 2 2" xfId="21563" xr:uid="{00000000-0005-0000-0000-00001AB30000}"/>
    <cellStyle name="Normal 7 2 4 3 2 2 2 2" xfId="46437" xr:uid="{00000000-0005-0000-0000-00001BB30000}"/>
    <cellStyle name="Normal 7 2 4 3 2 2 3" xfId="34004" xr:uid="{00000000-0005-0000-0000-00001CB30000}"/>
    <cellStyle name="Normal 7 2 4 3 2 3" xfId="4102" xr:uid="{00000000-0005-0000-0000-00001DB30000}"/>
    <cellStyle name="Normal 7 2 4 3 2 3 2" xfId="16556" xr:uid="{00000000-0005-0000-0000-00001EB30000}"/>
    <cellStyle name="Normal 7 2 4 3 2 3 2 2" xfId="41430" xr:uid="{00000000-0005-0000-0000-00001FB30000}"/>
    <cellStyle name="Normal 7 2 4 3 2 3 3" xfId="28997" xr:uid="{00000000-0005-0000-0000-000020B30000}"/>
    <cellStyle name="Normal 7 2 4 3 2 4" xfId="14396" xr:uid="{00000000-0005-0000-0000-000021B30000}"/>
    <cellStyle name="Normal 7 2 4 3 2 4 2" xfId="39270" xr:uid="{00000000-0005-0000-0000-000022B30000}"/>
    <cellStyle name="Normal 7 2 4 3 2 5" xfId="26829" xr:uid="{00000000-0005-0000-0000-000023B30000}"/>
    <cellStyle name="Normal 7 2 4 3 3" xfId="5742" xr:uid="{00000000-0005-0000-0000-000024B30000}"/>
    <cellStyle name="Normal 7 2 4 3 3 2" xfId="10757" xr:uid="{00000000-0005-0000-0000-000025B30000}"/>
    <cellStyle name="Normal 7 2 4 3 3 2 2" xfId="23200" xr:uid="{00000000-0005-0000-0000-000026B30000}"/>
    <cellStyle name="Normal 7 2 4 3 3 2 2 2" xfId="48074" xr:uid="{00000000-0005-0000-0000-000027B30000}"/>
    <cellStyle name="Normal 7 2 4 3 3 2 3" xfId="35641" xr:uid="{00000000-0005-0000-0000-000028B30000}"/>
    <cellStyle name="Normal 7 2 4 3 3 3" xfId="18193" xr:uid="{00000000-0005-0000-0000-000029B30000}"/>
    <cellStyle name="Normal 7 2 4 3 3 3 2" xfId="43067" xr:uid="{00000000-0005-0000-0000-00002AB30000}"/>
    <cellStyle name="Normal 7 2 4 3 3 4" xfId="30634" xr:uid="{00000000-0005-0000-0000-00002BB30000}"/>
    <cellStyle name="Normal 7 2 4 3 4" xfId="8236" xr:uid="{00000000-0005-0000-0000-00002CB30000}"/>
    <cellStyle name="Normal 7 2 4 3 4 2" xfId="20680" xr:uid="{00000000-0005-0000-0000-00002DB30000}"/>
    <cellStyle name="Normal 7 2 4 3 4 2 2" xfId="45554" xr:uid="{00000000-0005-0000-0000-00002EB30000}"/>
    <cellStyle name="Normal 7 2 4 3 4 3" xfId="33121" xr:uid="{00000000-0005-0000-0000-00002FB30000}"/>
    <cellStyle name="Normal 7 2 4 3 5" xfId="12211" xr:uid="{00000000-0005-0000-0000-000030B30000}"/>
    <cellStyle name="Normal 7 2 4 3 5 2" xfId="24645" xr:uid="{00000000-0005-0000-0000-000031B30000}"/>
    <cellStyle name="Normal 7 2 4 3 5 2 2" xfId="49519" xr:uid="{00000000-0005-0000-0000-000032B30000}"/>
    <cellStyle name="Normal 7 2 4 3 5 3" xfId="37086" xr:uid="{00000000-0005-0000-0000-000033B30000}"/>
    <cellStyle name="Normal 7 2 4 3 6" xfId="6713" xr:uid="{00000000-0005-0000-0000-000034B30000}"/>
    <cellStyle name="Normal 7 2 4 3 6 2" xfId="19162" xr:uid="{00000000-0005-0000-0000-000035B30000}"/>
    <cellStyle name="Normal 7 2 4 3 6 2 2" xfId="44036" xr:uid="{00000000-0005-0000-0000-000036B30000}"/>
    <cellStyle name="Normal 7 2 4 3 6 3" xfId="31603" xr:uid="{00000000-0005-0000-0000-000037B30000}"/>
    <cellStyle name="Normal 7 2 4 3 7" xfId="3167" xr:uid="{00000000-0005-0000-0000-000038B30000}"/>
    <cellStyle name="Normal 7 2 4 3 7 2" xfId="15673" xr:uid="{00000000-0005-0000-0000-000039B30000}"/>
    <cellStyle name="Normal 7 2 4 3 7 2 2" xfId="40547" xr:uid="{00000000-0005-0000-0000-00003AB30000}"/>
    <cellStyle name="Normal 7 2 4 3 7 3" xfId="28106" xr:uid="{00000000-0005-0000-0000-00003BB30000}"/>
    <cellStyle name="Normal 7 2 4 3 8" xfId="13430" xr:uid="{00000000-0005-0000-0000-00003CB30000}"/>
    <cellStyle name="Normal 7 2 4 3 8 2" xfId="38304" xr:uid="{00000000-0005-0000-0000-00003DB30000}"/>
    <cellStyle name="Normal 7 2 4 3 9" xfId="25863" xr:uid="{00000000-0005-0000-0000-00003EB30000}"/>
    <cellStyle name="Normal 7 2 4 4" xfId="1944" xr:uid="{00000000-0005-0000-0000-00003FB30000}"/>
    <cellStyle name="Normal 7 2 4 4 2" xfId="4682" xr:uid="{00000000-0005-0000-0000-000040B30000}"/>
    <cellStyle name="Normal 7 2 4 4 2 2" xfId="9700" xr:uid="{00000000-0005-0000-0000-000041B30000}"/>
    <cellStyle name="Normal 7 2 4 4 2 2 2" xfId="22143" xr:uid="{00000000-0005-0000-0000-000042B30000}"/>
    <cellStyle name="Normal 7 2 4 4 2 2 2 2" xfId="47017" xr:uid="{00000000-0005-0000-0000-000043B30000}"/>
    <cellStyle name="Normal 7 2 4 4 2 2 3" xfId="34584" xr:uid="{00000000-0005-0000-0000-000044B30000}"/>
    <cellStyle name="Normal 7 2 4 4 2 3" xfId="17136" xr:uid="{00000000-0005-0000-0000-000045B30000}"/>
    <cellStyle name="Normal 7 2 4 4 2 3 2" xfId="42010" xr:uid="{00000000-0005-0000-0000-000046B30000}"/>
    <cellStyle name="Normal 7 2 4 4 2 4" xfId="29577" xr:uid="{00000000-0005-0000-0000-000047B30000}"/>
    <cellStyle name="Normal 7 2 4 4 3" xfId="6090" xr:uid="{00000000-0005-0000-0000-000048B30000}"/>
    <cellStyle name="Normal 7 2 4 4 3 2" xfId="11105" xr:uid="{00000000-0005-0000-0000-000049B30000}"/>
    <cellStyle name="Normal 7 2 4 4 3 2 2" xfId="23548" xr:uid="{00000000-0005-0000-0000-00004AB30000}"/>
    <cellStyle name="Normal 7 2 4 4 3 2 2 2" xfId="48422" xr:uid="{00000000-0005-0000-0000-00004BB30000}"/>
    <cellStyle name="Normal 7 2 4 4 3 2 3" xfId="35989" xr:uid="{00000000-0005-0000-0000-00004CB30000}"/>
    <cellStyle name="Normal 7 2 4 4 3 3" xfId="18541" xr:uid="{00000000-0005-0000-0000-00004DB30000}"/>
    <cellStyle name="Normal 7 2 4 4 3 3 2" xfId="43415" xr:uid="{00000000-0005-0000-0000-00004EB30000}"/>
    <cellStyle name="Normal 7 2 4 4 3 4" xfId="30982" xr:uid="{00000000-0005-0000-0000-00004FB30000}"/>
    <cellStyle name="Normal 7 2 4 4 4" xfId="8816" xr:uid="{00000000-0005-0000-0000-000050B30000}"/>
    <cellStyle name="Normal 7 2 4 4 4 2" xfId="21260" xr:uid="{00000000-0005-0000-0000-000051B30000}"/>
    <cellStyle name="Normal 7 2 4 4 4 2 2" xfId="46134" xr:uid="{00000000-0005-0000-0000-000052B30000}"/>
    <cellStyle name="Normal 7 2 4 4 4 3" xfId="33701" xr:uid="{00000000-0005-0000-0000-000053B30000}"/>
    <cellStyle name="Normal 7 2 4 4 5" xfId="12559" xr:uid="{00000000-0005-0000-0000-000054B30000}"/>
    <cellStyle name="Normal 7 2 4 4 5 2" xfId="24993" xr:uid="{00000000-0005-0000-0000-000055B30000}"/>
    <cellStyle name="Normal 7 2 4 4 5 2 2" xfId="49867" xr:uid="{00000000-0005-0000-0000-000056B30000}"/>
    <cellStyle name="Normal 7 2 4 4 5 3" xfId="37434" xr:uid="{00000000-0005-0000-0000-000057B30000}"/>
    <cellStyle name="Normal 7 2 4 4 6" xfId="7293" xr:uid="{00000000-0005-0000-0000-000058B30000}"/>
    <cellStyle name="Normal 7 2 4 4 6 2" xfId="19742" xr:uid="{00000000-0005-0000-0000-000059B30000}"/>
    <cellStyle name="Normal 7 2 4 4 6 2 2" xfId="44616" xr:uid="{00000000-0005-0000-0000-00005AB30000}"/>
    <cellStyle name="Normal 7 2 4 4 6 3" xfId="32183" xr:uid="{00000000-0005-0000-0000-00005BB30000}"/>
    <cellStyle name="Normal 7 2 4 4 7" xfId="3747" xr:uid="{00000000-0005-0000-0000-00005CB30000}"/>
    <cellStyle name="Normal 7 2 4 4 7 2" xfId="16253" xr:uid="{00000000-0005-0000-0000-00005DB30000}"/>
    <cellStyle name="Normal 7 2 4 4 7 2 2" xfId="41127" xr:uid="{00000000-0005-0000-0000-00005EB30000}"/>
    <cellStyle name="Normal 7 2 4 4 7 3" xfId="28686" xr:uid="{00000000-0005-0000-0000-00005FB30000}"/>
    <cellStyle name="Normal 7 2 4 4 8" xfId="14744" xr:uid="{00000000-0005-0000-0000-000060B30000}"/>
    <cellStyle name="Normal 7 2 4 4 8 2" xfId="39618" xr:uid="{00000000-0005-0000-0000-000061B30000}"/>
    <cellStyle name="Normal 7 2 4 4 9" xfId="27177" xr:uid="{00000000-0005-0000-0000-000062B30000}"/>
    <cellStyle name="Normal 7 2 4 5" xfId="2179" xr:uid="{00000000-0005-0000-0000-000063B30000}"/>
    <cellStyle name="Normal 7 2 4 5 2" xfId="4812" xr:uid="{00000000-0005-0000-0000-000064B30000}"/>
    <cellStyle name="Normal 7 2 4 5 2 2" xfId="9829" xr:uid="{00000000-0005-0000-0000-000065B30000}"/>
    <cellStyle name="Normal 7 2 4 5 2 2 2" xfId="22272" xr:uid="{00000000-0005-0000-0000-000066B30000}"/>
    <cellStyle name="Normal 7 2 4 5 2 2 2 2" xfId="47146" xr:uid="{00000000-0005-0000-0000-000067B30000}"/>
    <cellStyle name="Normal 7 2 4 5 2 2 3" xfId="34713" xr:uid="{00000000-0005-0000-0000-000068B30000}"/>
    <cellStyle name="Normal 7 2 4 5 2 3" xfId="17265" xr:uid="{00000000-0005-0000-0000-000069B30000}"/>
    <cellStyle name="Normal 7 2 4 5 2 3 2" xfId="42139" xr:uid="{00000000-0005-0000-0000-00006AB30000}"/>
    <cellStyle name="Normal 7 2 4 5 2 4" xfId="29706" xr:uid="{00000000-0005-0000-0000-00006BB30000}"/>
    <cellStyle name="Normal 7 2 4 5 3" xfId="6210" xr:uid="{00000000-0005-0000-0000-00006CB30000}"/>
    <cellStyle name="Normal 7 2 4 5 3 2" xfId="11225" xr:uid="{00000000-0005-0000-0000-00006DB30000}"/>
    <cellStyle name="Normal 7 2 4 5 3 2 2" xfId="23668" xr:uid="{00000000-0005-0000-0000-00006EB30000}"/>
    <cellStyle name="Normal 7 2 4 5 3 2 2 2" xfId="48542" xr:uid="{00000000-0005-0000-0000-00006FB30000}"/>
    <cellStyle name="Normal 7 2 4 5 3 2 3" xfId="36109" xr:uid="{00000000-0005-0000-0000-000070B30000}"/>
    <cellStyle name="Normal 7 2 4 5 3 3" xfId="18661" xr:uid="{00000000-0005-0000-0000-000071B30000}"/>
    <cellStyle name="Normal 7 2 4 5 3 3 2" xfId="43535" xr:uid="{00000000-0005-0000-0000-000072B30000}"/>
    <cellStyle name="Normal 7 2 4 5 3 4" xfId="31102" xr:uid="{00000000-0005-0000-0000-000073B30000}"/>
    <cellStyle name="Normal 7 2 4 5 4" xfId="8122" xr:uid="{00000000-0005-0000-0000-000074B30000}"/>
    <cellStyle name="Normal 7 2 4 5 4 2" xfId="20568" xr:uid="{00000000-0005-0000-0000-000075B30000}"/>
    <cellStyle name="Normal 7 2 4 5 4 2 2" xfId="45442" xr:uid="{00000000-0005-0000-0000-000076B30000}"/>
    <cellStyle name="Normal 7 2 4 5 4 3" xfId="33009" xr:uid="{00000000-0005-0000-0000-000077B30000}"/>
    <cellStyle name="Normal 7 2 4 5 5" xfId="12679" xr:uid="{00000000-0005-0000-0000-000078B30000}"/>
    <cellStyle name="Normal 7 2 4 5 5 2" xfId="25113" xr:uid="{00000000-0005-0000-0000-000079B30000}"/>
    <cellStyle name="Normal 7 2 4 5 5 2 2" xfId="49987" xr:uid="{00000000-0005-0000-0000-00007AB30000}"/>
    <cellStyle name="Normal 7 2 4 5 5 3" xfId="37554" xr:uid="{00000000-0005-0000-0000-00007BB30000}"/>
    <cellStyle name="Normal 7 2 4 5 6" xfId="7423" xr:uid="{00000000-0005-0000-0000-00007CB30000}"/>
    <cellStyle name="Normal 7 2 4 5 6 2" xfId="19871" xr:uid="{00000000-0005-0000-0000-00007DB30000}"/>
    <cellStyle name="Normal 7 2 4 5 6 2 2" xfId="44745" xr:uid="{00000000-0005-0000-0000-00007EB30000}"/>
    <cellStyle name="Normal 7 2 4 5 6 3" xfId="32312" xr:uid="{00000000-0005-0000-0000-00007FB30000}"/>
    <cellStyle name="Normal 7 2 4 5 7" xfId="3052" xr:uid="{00000000-0005-0000-0000-000080B30000}"/>
    <cellStyle name="Normal 7 2 4 5 7 2" xfId="15561" xr:uid="{00000000-0005-0000-0000-000081B30000}"/>
    <cellStyle name="Normal 7 2 4 5 7 2 2" xfId="40435" xr:uid="{00000000-0005-0000-0000-000082B30000}"/>
    <cellStyle name="Normal 7 2 4 5 7 3" xfId="27994" xr:uid="{00000000-0005-0000-0000-000083B30000}"/>
    <cellStyle name="Normal 7 2 4 5 8" xfId="14864" xr:uid="{00000000-0005-0000-0000-000084B30000}"/>
    <cellStyle name="Normal 7 2 4 5 8 2" xfId="39738" xr:uid="{00000000-0005-0000-0000-000085B30000}"/>
    <cellStyle name="Normal 7 2 4 5 9" xfId="27297" xr:uid="{00000000-0005-0000-0000-000086B30000}"/>
    <cellStyle name="Normal 7 2 4 6" xfId="1021" xr:uid="{00000000-0005-0000-0000-000087B30000}"/>
    <cellStyle name="Normal 7 2 4 6 2" xfId="9008" xr:uid="{00000000-0005-0000-0000-000088B30000}"/>
    <cellStyle name="Normal 7 2 4 6 2 2" xfId="21451" xr:uid="{00000000-0005-0000-0000-000089B30000}"/>
    <cellStyle name="Normal 7 2 4 6 2 2 2" xfId="46325" xr:uid="{00000000-0005-0000-0000-00008AB30000}"/>
    <cellStyle name="Normal 7 2 4 6 2 3" xfId="33892" xr:uid="{00000000-0005-0000-0000-00008BB30000}"/>
    <cellStyle name="Normal 7 2 4 6 3" xfId="3990" xr:uid="{00000000-0005-0000-0000-00008CB30000}"/>
    <cellStyle name="Normal 7 2 4 6 3 2" xfId="16444" xr:uid="{00000000-0005-0000-0000-00008DB30000}"/>
    <cellStyle name="Normal 7 2 4 6 3 2 2" xfId="41318" xr:uid="{00000000-0005-0000-0000-00008EB30000}"/>
    <cellStyle name="Normal 7 2 4 6 3 3" xfId="28885" xr:uid="{00000000-0005-0000-0000-00008FB30000}"/>
    <cellStyle name="Normal 7 2 4 6 4" xfId="13821" xr:uid="{00000000-0005-0000-0000-000090B30000}"/>
    <cellStyle name="Normal 7 2 4 6 4 2" xfId="38695" xr:uid="{00000000-0005-0000-0000-000091B30000}"/>
    <cellStyle name="Normal 7 2 4 6 5" xfId="26254" xr:uid="{00000000-0005-0000-0000-000092B30000}"/>
    <cellStyle name="Normal 7 2 4 7" xfId="5166" xr:uid="{00000000-0005-0000-0000-000093B30000}"/>
    <cellStyle name="Normal 7 2 4 7 2" xfId="10182" xr:uid="{00000000-0005-0000-0000-000094B30000}"/>
    <cellStyle name="Normal 7 2 4 7 2 2" xfId="22625" xr:uid="{00000000-0005-0000-0000-000095B30000}"/>
    <cellStyle name="Normal 7 2 4 7 2 2 2" xfId="47499" xr:uid="{00000000-0005-0000-0000-000096B30000}"/>
    <cellStyle name="Normal 7 2 4 7 2 3" xfId="35066" xr:uid="{00000000-0005-0000-0000-000097B30000}"/>
    <cellStyle name="Normal 7 2 4 7 3" xfId="17618" xr:uid="{00000000-0005-0000-0000-000098B30000}"/>
    <cellStyle name="Normal 7 2 4 7 3 2" xfId="42492" xr:uid="{00000000-0005-0000-0000-000099B30000}"/>
    <cellStyle name="Normal 7 2 4 7 4" xfId="30059" xr:uid="{00000000-0005-0000-0000-00009AB30000}"/>
    <cellStyle name="Normal 7 2 4 8" xfId="7743" xr:uid="{00000000-0005-0000-0000-00009BB30000}"/>
    <cellStyle name="Normal 7 2 4 8 2" xfId="20189" xr:uid="{00000000-0005-0000-0000-00009CB30000}"/>
    <cellStyle name="Normal 7 2 4 8 2 2" xfId="45063" xr:uid="{00000000-0005-0000-0000-00009DB30000}"/>
    <cellStyle name="Normal 7 2 4 8 3" xfId="32630" xr:uid="{00000000-0005-0000-0000-00009EB30000}"/>
    <cellStyle name="Normal 7 2 4 9" xfId="11636" xr:uid="{00000000-0005-0000-0000-00009FB30000}"/>
    <cellStyle name="Normal 7 2 4 9 2" xfId="24070" xr:uid="{00000000-0005-0000-0000-0000A0B30000}"/>
    <cellStyle name="Normal 7 2 4 9 2 2" xfId="48944" xr:uid="{00000000-0005-0000-0000-0000A1B30000}"/>
    <cellStyle name="Normal 7 2 4 9 3" xfId="36511" xr:uid="{00000000-0005-0000-0000-0000A2B30000}"/>
    <cellStyle name="Normal 7 2 4_Degree data" xfId="2570" xr:uid="{00000000-0005-0000-0000-0000A3B30000}"/>
    <cellStyle name="Normal 7 2 5" xfId="367" xr:uid="{00000000-0005-0000-0000-0000A4B30000}"/>
    <cellStyle name="Normal 7 2 5 10" xfId="13183" xr:uid="{00000000-0005-0000-0000-0000A5B30000}"/>
    <cellStyle name="Normal 7 2 5 10 2" xfId="38057" xr:uid="{00000000-0005-0000-0000-0000A6B30000}"/>
    <cellStyle name="Normal 7 2 5 11" xfId="25616" xr:uid="{00000000-0005-0000-0000-0000A7B30000}"/>
    <cellStyle name="Normal 7 2 5 2" xfId="727" xr:uid="{00000000-0005-0000-0000-0000A8B30000}"/>
    <cellStyle name="Normal 7 2 5 2 2" xfId="1598" xr:uid="{00000000-0005-0000-0000-0000A9B30000}"/>
    <cellStyle name="Normal 7 2 5 2 2 2" xfId="9702" xr:uid="{00000000-0005-0000-0000-0000AAB30000}"/>
    <cellStyle name="Normal 7 2 5 2 2 2 2" xfId="22145" xr:uid="{00000000-0005-0000-0000-0000ABB30000}"/>
    <cellStyle name="Normal 7 2 5 2 2 2 2 2" xfId="47019" xr:uid="{00000000-0005-0000-0000-0000ACB30000}"/>
    <cellStyle name="Normal 7 2 5 2 2 2 3" xfId="34586" xr:uid="{00000000-0005-0000-0000-0000ADB30000}"/>
    <cellStyle name="Normal 7 2 5 2 2 3" xfId="4684" xr:uid="{00000000-0005-0000-0000-0000AEB30000}"/>
    <cellStyle name="Normal 7 2 5 2 2 3 2" xfId="17138" xr:uid="{00000000-0005-0000-0000-0000AFB30000}"/>
    <cellStyle name="Normal 7 2 5 2 2 3 2 2" xfId="42012" xr:uid="{00000000-0005-0000-0000-0000B0B30000}"/>
    <cellStyle name="Normal 7 2 5 2 2 3 3" xfId="29579" xr:uid="{00000000-0005-0000-0000-0000B1B30000}"/>
    <cellStyle name="Normal 7 2 5 2 2 4" xfId="14398" xr:uid="{00000000-0005-0000-0000-0000B2B30000}"/>
    <cellStyle name="Normal 7 2 5 2 2 4 2" xfId="39272" xr:uid="{00000000-0005-0000-0000-0000B3B30000}"/>
    <cellStyle name="Normal 7 2 5 2 2 5" xfId="26831" xr:uid="{00000000-0005-0000-0000-0000B4B30000}"/>
    <cellStyle name="Normal 7 2 5 2 3" xfId="5744" xr:uid="{00000000-0005-0000-0000-0000B5B30000}"/>
    <cellStyle name="Normal 7 2 5 2 3 2" xfId="10759" xr:uid="{00000000-0005-0000-0000-0000B6B30000}"/>
    <cellStyle name="Normal 7 2 5 2 3 2 2" xfId="23202" xr:uid="{00000000-0005-0000-0000-0000B7B30000}"/>
    <cellStyle name="Normal 7 2 5 2 3 2 2 2" xfId="48076" xr:uid="{00000000-0005-0000-0000-0000B8B30000}"/>
    <cellStyle name="Normal 7 2 5 2 3 2 3" xfId="35643" xr:uid="{00000000-0005-0000-0000-0000B9B30000}"/>
    <cellStyle name="Normal 7 2 5 2 3 3" xfId="18195" xr:uid="{00000000-0005-0000-0000-0000BAB30000}"/>
    <cellStyle name="Normal 7 2 5 2 3 3 2" xfId="43069" xr:uid="{00000000-0005-0000-0000-0000BBB30000}"/>
    <cellStyle name="Normal 7 2 5 2 3 4" xfId="30636" xr:uid="{00000000-0005-0000-0000-0000BCB30000}"/>
    <cellStyle name="Normal 7 2 5 2 4" xfId="8818" xr:uid="{00000000-0005-0000-0000-0000BDB30000}"/>
    <cellStyle name="Normal 7 2 5 2 4 2" xfId="21262" xr:uid="{00000000-0005-0000-0000-0000BEB30000}"/>
    <cellStyle name="Normal 7 2 5 2 4 2 2" xfId="46136" xr:uid="{00000000-0005-0000-0000-0000BFB30000}"/>
    <cellStyle name="Normal 7 2 5 2 4 3" xfId="33703" xr:uid="{00000000-0005-0000-0000-0000C0B30000}"/>
    <cellStyle name="Normal 7 2 5 2 5" xfId="12213" xr:uid="{00000000-0005-0000-0000-0000C1B30000}"/>
    <cellStyle name="Normal 7 2 5 2 5 2" xfId="24647" xr:uid="{00000000-0005-0000-0000-0000C2B30000}"/>
    <cellStyle name="Normal 7 2 5 2 5 2 2" xfId="49521" xr:uid="{00000000-0005-0000-0000-0000C3B30000}"/>
    <cellStyle name="Normal 7 2 5 2 5 3" xfId="37088" xr:uid="{00000000-0005-0000-0000-0000C4B30000}"/>
    <cellStyle name="Normal 7 2 5 2 6" xfId="7295" xr:uid="{00000000-0005-0000-0000-0000C5B30000}"/>
    <cellStyle name="Normal 7 2 5 2 6 2" xfId="19744" xr:uid="{00000000-0005-0000-0000-0000C6B30000}"/>
    <cellStyle name="Normal 7 2 5 2 6 2 2" xfId="44618" xr:uid="{00000000-0005-0000-0000-0000C7B30000}"/>
    <cellStyle name="Normal 7 2 5 2 6 3" xfId="32185" xr:uid="{00000000-0005-0000-0000-0000C8B30000}"/>
    <cellStyle name="Normal 7 2 5 2 7" xfId="3749" xr:uid="{00000000-0005-0000-0000-0000C9B30000}"/>
    <cellStyle name="Normal 7 2 5 2 7 2" xfId="16255" xr:uid="{00000000-0005-0000-0000-0000CAB30000}"/>
    <cellStyle name="Normal 7 2 5 2 7 2 2" xfId="41129" xr:uid="{00000000-0005-0000-0000-0000CBB30000}"/>
    <cellStyle name="Normal 7 2 5 2 7 3" xfId="28688" xr:uid="{00000000-0005-0000-0000-0000CCB30000}"/>
    <cellStyle name="Normal 7 2 5 2 8" xfId="13530" xr:uid="{00000000-0005-0000-0000-0000CDB30000}"/>
    <cellStyle name="Normal 7 2 5 2 8 2" xfId="38404" xr:uid="{00000000-0005-0000-0000-0000CEB30000}"/>
    <cellStyle name="Normal 7 2 5 2 9" xfId="25963" xr:uid="{00000000-0005-0000-0000-0000CFB30000}"/>
    <cellStyle name="Normal 7 2 5 3" xfId="1946" xr:uid="{00000000-0005-0000-0000-0000D0B30000}"/>
    <cellStyle name="Normal 7 2 5 3 2" xfId="4912" xr:uid="{00000000-0005-0000-0000-0000D1B30000}"/>
    <cellStyle name="Normal 7 2 5 3 2 2" xfId="9929" xr:uid="{00000000-0005-0000-0000-0000D2B30000}"/>
    <cellStyle name="Normal 7 2 5 3 2 2 2" xfId="22372" xr:uid="{00000000-0005-0000-0000-0000D3B30000}"/>
    <cellStyle name="Normal 7 2 5 3 2 2 2 2" xfId="47246" xr:uid="{00000000-0005-0000-0000-0000D4B30000}"/>
    <cellStyle name="Normal 7 2 5 3 2 2 3" xfId="34813" xr:uid="{00000000-0005-0000-0000-0000D5B30000}"/>
    <cellStyle name="Normal 7 2 5 3 2 3" xfId="17365" xr:uid="{00000000-0005-0000-0000-0000D6B30000}"/>
    <cellStyle name="Normal 7 2 5 3 2 3 2" xfId="42239" xr:uid="{00000000-0005-0000-0000-0000D7B30000}"/>
    <cellStyle name="Normal 7 2 5 3 2 4" xfId="29806" xr:uid="{00000000-0005-0000-0000-0000D8B30000}"/>
    <cellStyle name="Normal 7 2 5 3 3" xfId="6092" xr:uid="{00000000-0005-0000-0000-0000D9B30000}"/>
    <cellStyle name="Normal 7 2 5 3 3 2" xfId="11107" xr:uid="{00000000-0005-0000-0000-0000DAB30000}"/>
    <cellStyle name="Normal 7 2 5 3 3 2 2" xfId="23550" xr:uid="{00000000-0005-0000-0000-0000DBB30000}"/>
    <cellStyle name="Normal 7 2 5 3 3 2 2 2" xfId="48424" xr:uid="{00000000-0005-0000-0000-0000DCB30000}"/>
    <cellStyle name="Normal 7 2 5 3 3 2 3" xfId="35991" xr:uid="{00000000-0005-0000-0000-0000DDB30000}"/>
    <cellStyle name="Normal 7 2 5 3 3 3" xfId="18543" xr:uid="{00000000-0005-0000-0000-0000DEB30000}"/>
    <cellStyle name="Normal 7 2 5 3 3 3 2" xfId="43417" xr:uid="{00000000-0005-0000-0000-0000DFB30000}"/>
    <cellStyle name="Normal 7 2 5 3 3 4" xfId="30984" xr:uid="{00000000-0005-0000-0000-0000E0B30000}"/>
    <cellStyle name="Normal 7 2 5 3 4" xfId="8336" xr:uid="{00000000-0005-0000-0000-0000E1B30000}"/>
    <cellStyle name="Normal 7 2 5 3 4 2" xfId="20780" xr:uid="{00000000-0005-0000-0000-0000E2B30000}"/>
    <cellStyle name="Normal 7 2 5 3 4 2 2" xfId="45654" xr:uid="{00000000-0005-0000-0000-0000E3B30000}"/>
    <cellStyle name="Normal 7 2 5 3 4 3" xfId="33221" xr:uid="{00000000-0005-0000-0000-0000E4B30000}"/>
    <cellStyle name="Normal 7 2 5 3 5" xfId="12561" xr:uid="{00000000-0005-0000-0000-0000E5B30000}"/>
    <cellStyle name="Normal 7 2 5 3 5 2" xfId="24995" xr:uid="{00000000-0005-0000-0000-0000E6B30000}"/>
    <cellStyle name="Normal 7 2 5 3 5 2 2" xfId="49869" xr:uid="{00000000-0005-0000-0000-0000E7B30000}"/>
    <cellStyle name="Normal 7 2 5 3 5 3" xfId="37436" xr:uid="{00000000-0005-0000-0000-0000E8B30000}"/>
    <cellStyle name="Normal 7 2 5 3 6" xfId="7523" xr:uid="{00000000-0005-0000-0000-0000E9B30000}"/>
    <cellStyle name="Normal 7 2 5 3 6 2" xfId="19971" xr:uid="{00000000-0005-0000-0000-0000EAB30000}"/>
    <cellStyle name="Normal 7 2 5 3 6 2 2" xfId="44845" xr:uid="{00000000-0005-0000-0000-0000EBB30000}"/>
    <cellStyle name="Normal 7 2 5 3 6 3" xfId="32412" xr:uid="{00000000-0005-0000-0000-0000ECB30000}"/>
    <cellStyle name="Normal 7 2 5 3 7" xfId="3267" xr:uid="{00000000-0005-0000-0000-0000EDB30000}"/>
    <cellStyle name="Normal 7 2 5 3 7 2" xfId="15773" xr:uid="{00000000-0005-0000-0000-0000EEB30000}"/>
    <cellStyle name="Normal 7 2 5 3 7 2 2" xfId="40647" xr:uid="{00000000-0005-0000-0000-0000EFB30000}"/>
    <cellStyle name="Normal 7 2 5 3 7 3" xfId="28206" xr:uid="{00000000-0005-0000-0000-0000F0B30000}"/>
    <cellStyle name="Normal 7 2 5 3 8" xfId="14746" xr:uid="{00000000-0005-0000-0000-0000F1B30000}"/>
    <cellStyle name="Normal 7 2 5 3 8 2" xfId="39620" xr:uid="{00000000-0005-0000-0000-0000F2B30000}"/>
    <cellStyle name="Normal 7 2 5 3 9" xfId="27179" xr:uid="{00000000-0005-0000-0000-0000F3B30000}"/>
    <cellStyle name="Normal 7 2 5 4" xfId="2285" xr:uid="{00000000-0005-0000-0000-0000F4B30000}"/>
    <cellStyle name="Normal 7 2 5 4 2" xfId="6310" xr:uid="{00000000-0005-0000-0000-0000F5B30000}"/>
    <cellStyle name="Normal 7 2 5 4 2 2" xfId="11325" xr:uid="{00000000-0005-0000-0000-0000F6B30000}"/>
    <cellStyle name="Normal 7 2 5 4 2 2 2" xfId="23768" xr:uid="{00000000-0005-0000-0000-0000F7B30000}"/>
    <cellStyle name="Normal 7 2 5 4 2 2 2 2" xfId="48642" xr:uid="{00000000-0005-0000-0000-0000F8B30000}"/>
    <cellStyle name="Normal 7 2 5 4 2 2 3" xfId="36209" xr:uid="{00000000-0005-0000-0000-0000F9B30000}"/>
    <cellStyle name="Normal 7 2 5 4 2 3" xfId="18761" xr:uid="{00000000-0005-0000-0000-0000FAB30000}"/>
    <cellStyle name="Normal 7 2 5 4 2 3 2" xfId="43635" xr:uid="{00000000-0005-0000-0000-0000FBB30000}"/>
    <cellStyle name="Normal 7 2 5 4 2 4" xfId="31202" xr:uid="{00000000-0005-0000-0000-0000FCB30000}"/>
    <cellStyle name="Normal 7 2 5 4 3" xfId="12779" xr:uid="{00000000-0005-0000-0000-0000FDB30000}"/>
    <cellStyle name="Normal 7 2 5 4 3 2" xfId="25213" xr:uid="{00000000-0005-0000-0000-0000FEB30000}"/>
    <cellStyle name="Normal 7 2 5 4 3 2 2" xfId="50087" xr:uid="{00000000-0005-0000-0000-0000FFB30000}"/>
    <cellStyle name="Normal 7 2 5 4 3 3" xfId="37654" xr:uid="{00000000-0005-0000-0000-000000B40000}"/>
    <cellStyle name="Normal 7 2 5 4 4" xfId="9220" xr:uid="{00000000-0005-0000-0000-000001B40000}"/>
    <cellStyle name="Normal 7 2 5 4 4 2" xfId="21663" xr:uid="{00000000-0005-0000-0000-000002B40000}"/>
    <cellStyle name="Normal 7 2 5 4 4 2 2" xfId="46537" xr:uid="{00000000-0005-0000-0000-000003B40000}"/>
    <cellStyle name="Normal 7 2 5 4 4 3" xfId="34104" xr:uid="{00000000-0005-0000-0000-000004B40000}"/>
    <cellStyle name="Normal 7 2 5 4 5" xfId="4202" xr:uid="{00000000-0005-0000-0000-000005B40000}"/>
    <cellStyle name="Normal 7 2 5 4 5 2" xfId="16656" xr:uid="{00000000-0005-0000-0000-000006B40000}"/>
    <cellStyle name="Normal 7 2 5 4 5 2 2" xfId="41530" xr:uid="{00000000-0005-0000-0000-000007B40000}"/>
    <cellStyle name="Normal 7 2 5 4 5 3" xfId="29097" xr:uid="{00000000-0005-0000-0000-000008B40000}"/>
    <cellStyle name="Normal 7 2 5 4 6" xfId="14964" xr:uid="{00000000-0005-0000-0000-000009B40000}"/>
    <cellStyle name="Normal 7 2 5 4 6 2" xfId="39838" xr:uid="{00000000-0005-0000-0000-00000AB40000}"/>
    <cellStyle name="Normal 7 2 5 4 7" xfId="27397" xr:uid="{00000000-0005-0000-0000-00000BB40000}"/>
    <cellStyle name="Normal 7 2 5 5" xfId="1121" xr:uid="{00000000-0005-0000-0000-00000CB40000}"/>
    <cellStyle name="Normal 7 2 5 5 2" xfId="10282" xr:uid="{00000000-0005-0000-0000-00000DB40000}"/>
    <cellStyle name="Normal 7 2 5 5 2 2" xfId="22725" xr:uid="{00000000-0005-0000-0000-00000EB40000}"/>
    <cellStyle name="Normal 7 2 5 5 2 2 2" xfId="47599" xr:uid="{00000000-0005-0000-0000-00000FB40000}"/>
    <cellStyle name="Normal 7 2 5 5 2 3" xfId="35166" xr:uid="{00000000-0005-0000-0000-000010B40000}"/>
    <cellStyle name="Normal 7 2 5 5 3" xfId="5266" xr:uid="{00000000-0005-0000-0000-000011B40000}"/>
    <cellStyle name="Normal 7 2 5 5 3 2" xfId="17718" xr:uid="{00000000-0005-0000-0000-000012B40000}"/>
    <cellStyle name="Normal 7 2 5 5 3 2 2" xfId="42592" xr:uid="{00000000-0005-0000-0000-000013B40000}"/>
    <cellStyle name="Normal 7 2 5 5 3 3" xfId="30159" xr:uid="{00000000-0005-0000-0000-000014B40000}"/>
    <cellStyle name="Normal 7 2 5 5 4" xfId="13921" xr:uid="{00000000-0005-0000-0000-000015B40000}"/>
    <cellStyle name="Normal 7 2 5 5 4 2" xfId="38795" xr:uid="{00000000-0005-0000-0000-000016B40000}"/>
    <cellStyle name="Normal 7 2 5 5 5" xfId="26354" xr:uid="{00000000-0005-0000-0000-000017B40000}"/>
    <cellStyle name="Normal 7 2 5 6" xfId="7843" xr:uid="{00000000-0005-0000-0000-000018B40000}"/>
    <cellStyle name="Normal 7 2 5 6 2" xfId="20289" xr:uid="{00000000-0005-0000-0000-000019B40000}"/>
    <cellStyle name="Normal 7 2 5 6 2 2" xfId="45163" xr:uid="{00000000-0005-0000-0000-00001AB40000}"/>
    <cellStyle name="Normal 7 2 5 6 3" xfId="32730" xr:uid="{00000000-0005-0000-0000-00001BB40000}"/>
    <cellStyle name="Normal 7 2 5 7" xfId="11736" xr:uid="{00000000-0005-0000-0000-00001CB40000}"/>
    <cellStyle name="Normal 7 2 5 7 2" xfId="24170" xr:uid="{00000000-0005-0000-0000-00001DB40000}"/>
    <cellStyle name="Normal 7 2 5 7 2 2" xfId="49044" xr:uid="{00000000-0005-0000-0000-00001EB40000}"/>
    <cellStyle name="Normal 7 2 5 7 3" xfId="36611" xr:uid="{00000000-0005-0000-0000-00001FB40000}"/>
    <cellStyle name="Normal 7 2 5 8" xfId="6813" xr:uid="{00000000-0005-0000-0000-000020B40000}"/>
    <cellStyle name="Normal 7 2 5 8 2" xfId="19262" xr:uid="{00000000-0005-0000-0000-000021B40000}"/>
    <cellStyle name="Normal 7 2 5 8 2 2" xfId="44136" xr:uid="{00000000-0005-0000-0000-000022B40000}"/>
    <cellStyle name="Normal 7 2 5 8 3" xfId="31703" xr:uid="{00000000-0005-0000-0000-000023B40000}"/>
    <cellStyle name="Normal 7 2 5 9" xfId="2764" xr:uid="{00000000-0005-0000-0000-000024B40000}"/>
    <cellStyle name="Normal 7 2 5 9 2" xfId="15282" xr:uid="{00000000-0005-0000-0000-000025B40000}"/>
    <cellStyle name="Normal 7 2 5 9 2 2" xfId="40156" xr:uid="{00000000-0005-0000-0000-000026B40000}"/>
    <cellStyle name="Normal 7 2 5 9 3" xfId="27715" xr:uid="{00000000-0005-0000-0000-000027B40000}"/>
    <cellStyle name="Normal 7 2 5_Degree data" xfId="2572" xr:uid="{00000000-0005-0000-0000-000028B40000}"/>
    <cellStyle name="Normal 7 2 6" xfId="230" xr:uid="{00000000-0005-0000-0000-000029B40000}"/>
    <cellStyle name="Normal 7 2 6 10" xfId="13056" xr:uid="{00000000-0005-0000-0000-00002AB40000}"/>
    <cellStyle name="Normal 7 2 6 10 2" xfId="37930" xr:uid="{00000000-0005-0000-0000-00002BB40000}"/>
    <cellStyle name="Normal 7 2 6 11" xfId="25489" xr:uid="{00000000-0005-0000-0000-00002CB40000}"/>
    <cellStyle name="Normal 7 2 6 2" xfId="594" xr:uid="{00000000-0005-0000-0000-00002DB40000}"/>
    <cellStyle name="Normal 7 2 6 2 2" xfId="1599" xr:uid="{00000000-0005-0000-0000-00002EB40000}"/>
    <cellStyle name="Normal 7 2 6 2 2 2" xfId="9703" xr:uid="{00000000-0005-0000-0000-00002FB40000}"/>
    <cellStyle name="Normal 7 2 6 2 2 2 2" xfId="22146" xr:uid="{00000000-0005-0000-0000-000030B40000}"/>
    <cellStyle name="Normal 7 2 6 2 2 2 2 2" xfId="47020" xr:uid="{00000000-0005-0000-0000-000031B40000}"/>
    <cellStyle name="Normal 7 2 6 2 2 2 3" xfId="34587" xr:uid="{00000000-0005-0000-0000-000032B40000}"/>
    <cellStyle name="Normal 7 2 6 2 2 3" xfId="4685" xr:uid="{00000000-0005-0000-0000-000033B40000}"/>
    <cellStyle name="Normal 7 2 6 2 2 3 2" xfId="17139" xr:uid="{00000000-0005-0000-0000-000034B40000}"/>
    <cellStyle name="Normal 7 2 6 2 2 3 2 2" xfId="42013" xr:uid="{00000000-0005-0000-0000-000035B40000}"/>
    <cellStyle name="Normal 7 2 6 2 2 3 3" xfId="29580" xr:uid="{00000000-0005-0000-0000-000036B40000}"/>
    <cellStyle name="Normal 7 2 6 2 2 4" xfId="14399" xr:uid="{00000000-0005-0000-0000-000037B40000}"/>
    <cellStyle name="Normal 7 2 6 2 2 4 2" xfId="39273" xr:uid="{00000000-0005-0000-0000-000038B40000}"/>
    <cellStyle name="Normal 7 2 6 2 2 5" xfId="26832" xr:uid="{00000000-0005-0000-0000-000039B40000}"/>
    <cellStyle name="Normal 7 2 6 2 3" xfId="5745" xr:uid="{00000000-0005-0000-0000-00003AB40000}"/>
    <cellStyle name="Normal 7 2 6 2 3 2" xfId="10760" xr:uid="{00000000-0005-0000-0000-00003BB40000}"/>
    <cellStyle name="Normal 7 2 6 2 3 2 2" xfId="23203" xr:uid="{00000000-0005-0000-0000-00003CB40000}"/>
    <cellStyle name="Normal 7 2 6 2 3 2 2 2" xfId="48077" xr:uid="{00000000-0005-0000-0000-00003DB40000}"/>
    <cellStyle name="Normal 7 2 6 2 3 2 3" xfId="35644" xr:uid="{00000000-0005-0000-0000-00003EB40000}"/>
    <cellStyle name="Normal 7 2 6 2 3 3" xfId="18196" xr:uid="{00000000-0005-0000-0000-00003FB40000}"/>
    <cellStyle name="Normal 7 2 6 2 3 3 2" xfId="43070" xr:uid="{00000000-0005-0000-0000-000040B40000}"/>
    <cellStyle name="Normal 7 2 6 2 3 4" xfId="30637" xr:uid="{00000000-0005-0000-0000-000041B40000}"/>
    <cellStyle name="Normal 7 2 6 2 4" xfId="8819" xr:uid="{00000000-0005-0000-0000-000042B40000}"/>
    <cellStyle name="Normal 7 2 6 2 4 2" xfId="21263" xr:uid="{00000000-0005-0000-0000-000043B40000}"/>
    <cellStyle name="Normal 7 2 6 2 4 2 2" xfId="46137" xr:uid="{00000000-0005-0000-0000-000044B40000}"/>
    <cellStyle name="Normal 7 2 6 2 4 3" xfId="33704" xr:uid="{00000000-0005-0000-0000-000045B40000}"/>
    <cellStyle name="Normal 7 2 6 2 5" xfId="12214" xr:uid="{00000000-0005-0000-0000-000046B40000}"/>
    <cellStyle name="Normal 7 2 6 2 5 2" xfId="24648" xr:uid="{00000000-0005-0000-0000-000047B40000}"/>
    <cellStyle name="Normal 7 2 6 2 5 2 2" xfId="49522" xr:uid="{00000000-0005-0000-0000-000048B40000}"/>
    <cellStyle name="Normal 7 2 6 2 5 3" xfId="37089" xr:uid="{00000000-0005-0000-0000-000049B40000}"/>
    <cellStyle name="Normal 7 2 6 2 6" xfId="7296" xr:uid="{00000000-0005-0000-0000-00004AB40000}"/>
    <cellStyle name="Normal 7 2 6 2 6 2" xfId="19745" xr:uid="{00000000-0005-0000-0000-00004BB40000}"/>
    <cellStyle name="Normal 7 2 6 2 6 2 2" xfId="44619" xr:uid="{00000000-0005-0000-0000-00004CB40000}"/>
    <cellStyle name="Normal 7 2 6 2 6 3" xfId="32186" xr:uid="{00000000-0005-0000-0000-00004DB40000}"/>
    <cellStyle name="Normal 7 2 6 2 7" xfId="3750" xr:uid="{00000000-0005-0000-0000-00004EB40000}"/>
    <cellStyle name="Normal 7 2 6 2 7 2" xfId="16256" xr:uid="{00000000-0005-0000-0000-00004FB40000}"/>
    <cellStyle name="Normal 7 2 6 2 7 2 2" xfId="41130" xr:uid="{00000000-0005-0000-0000-000050B40000}"/>
    <cellStyle name="Normal 7 2 6 2 7 3" xfId="28689" xr:uid="{00000000-0005-0000-0000-000051B40000}"/>
    <cellStyle name="Normal 7 2 6 2 8" xfId="13403" xr:uid="{00000000-0005-0000-0000-000052B40000}"/>
    <cellStyle name="Normal 7 2 6 2 8 2" xfId="38277" xr:uid="{00000000-0005-0000-0000-000053B40000}"/>
    <cellStyle name="Normal 7 2 6 2 9" xfId="25836" xr:uid="{00000000-0005-0000-0000-000054B40000}"/>
    <cellStyle name="Normal 7 2 6 3" xfId="1947" xr:uid="{00000000-0005-0000-0000-000055B40000}"/>
    <cellStyle name="Normal 7 2 6 3 2" xfId="4785" xr:uid="{00000000-0005-0000-0000-000056B40000}"/>
    <cellStyle name="Normal 7 2 6 3 2 2" xfId="9802" xr:uid="{00000000-0005-0000-0000-000057B40000}"/>
    <cellStyle name="Normal 7 2 6 3 2 2 2" xfId="22245" xr:uid="{00000000-0005-0000-0000-000058B40000}"/>
    <cellStyle name="Normal 7 2 6 3 2 2 2 2" xfId="47119" xr:uid="{00000000-0005-0000-0000-000059B40000}"/>
    <cellStyle name="Normal 7 2 6 3 2 2 3" xfId="34686" xr:uid="{00000000-0005-0000-0000-00005AB40000}"/>
    <cellStyle name="Normal 7 2 6 3 2 3" xfId="17238" xr:uid="{00000000-0005-0000-0000-00005BB40000}"/>
    <cellStyle name="Normal 7 2 6 3 2 3 2" xfId="42112" xr:uid="{00000000-0005-0000-0000-00005CB40000}"/>
    <cellStyle name="Normal 7 2 6 3 2 4" xfId="29679" xr:uid="{00000000-0005-0000-0000-00005DB40000}"/>
    <cellStyle name="Normal 7 2 6 3 3" xfId="6093" xr:uid="{00000000-0005-0000-0000-00005EB40000}"/>
    <cellStyle name="Normal 7 2 6 3 3 2" xfId="11108" xr:uid="{00000000-0005-0000-0000-00005FB40000}"/>
    <cellStyle name="Normal 7 2 6 3 3 2 2" xfId="23551" xr:uid="{00000000-0005-0000-0000-000060B40000}"/>
    <cellStyle name="Normal 7 2 6 3 3 2 2 2" xfId="48425" xr:uid="{00000000-0005-0000-0000-000061B40000}"/>
    <cellStyle name="Normal 7 2 6 3 3 2 3" xfId="35992" xr:uid="{00000000-0005-0000-0000-000062B40000}"/>
    <cellStyle name="Normal 7 2 6 3 3 3" xfId="18544" xr:uid="{00000000-0005-0000-0000-000063B40000}"/>
    <cellStyle name="Normal 7 2 6 3 3 3 2" xfId="43418" xr:uid="{00000000-0005-0000-0000-000064B40000}"/>
    <cellStyle name="Normal 7 2 6 3 3 4" xfId="30985" xr:uid="{00000000-0005-0000-0000-000065B40000}"/>
    <cellStyle name="Normal 7 2 6 3 4" xfId="8882" xr:uid="{00000000-0005-0000-0000-000066B40000}"/>
    <cellStyle name="Normal 7 2 6 3 4 2" xfId="21325" xr:uid="{00000000-0005-0000-0000-000067B40000}"/>
    <cellStyle name="Normal 7 2 6 3 4 2 2" xfId="46199" xr:uid="{00000000-0005-0000-0000-000068B40000}"/>
    <cellStyle name="Normal 7 2 6 3 4 3" xfId="33766" xr:uid="{00000000-0005-0000-0000-000069B40000}"/>
    <cellStyle name="Normal 7 2 6 3 5" xfId="12562" xr:uid="{00000000-0005-0000-0000-00006AB40000}"/>
    <cellStyle name="Normal 7 2 6 3 5 2" xfId="24996" xr:uid="{00000000-0005-0000-0000-00006BB40000}"/>
    <cellStyle name="Normal 7 2 6 3 5 2 2" xfId="49870" xr:uid="{00000000-0005-0000-0000-00006CB40000}"/>
    <cellStyle name="Normal 7 2 6 3 5 3" xfId="37437" xr:uid="{00000000-0005-0000-0000-00006DB40000}"/>
    <cellStyle name="Normal 7 2 6 3 6" xfId="7396" xr:uid="{00000000-0005-0000-0000-00006EB40000}"/>
    <cellStyle name="Normal 7 2 6 3 6 2" xfId="19844" xr:uid="{00000000-0005-0000-0000-00006FB40000}"/>
    <cellStyle name="Normal 7 2 6 3 6 2 2" xfId="44718" xr:uid="{00000000-0005-0000-0000-000070B40000}"/>
    <cellStyle name="Normal 7 2 6 3 6 3" xfId="32285" xr:uid="{00000000-0005-0000-0000-000071B40000}"/>
    <cellStyle name="Normal 7 2 6 3 7" xfId="3864" xr:uid="{00000000-0005-0000-0000-000072B40000}"/>
    <cellStyle name="Normal 7 2 6 3 7 2" xfId="16318" xr:uid="{00000000-0005-0000-0000-000073B40000}"/>
    <cellStyle name="Normal 7 2 6 3 7 2 2" xfId="41192" xr:uid="{00000000-0005-0000-0000-000074B40000}"/>
    <cellStyle name="Normal 7 2 6 3 7 3" xfId="28759" xr:uid="{00000000-0005-0000-0000-000075B40000}"/>
    <cellStyle name="Normal 7 2 6 3 8" xfId="14747" xr:uid="{00000000-0005-0000-0000-000076B40000}"/>
    <cellStyle name="Normal 7 2 6 3 8 2" xfId="39621" xr:uid="{00000000-0005-0000-0000-000077B40000}"/>
    <cellStyle name="Normal 7 2 6 3 9" xfId="27180" xr:uid="{00000000-0005-0000-0000-000078B40000}"/>
    <cellStyle name="Normal 7 2 6 4" xfId="2148" xr:uid="{00000000-0005-0000-0000-000079B40000}"/>
    <cellStyle name="Normal 7 2 6 4 2" xfId="6183" xr:uid="{00000000-0005-0000-0000-00007AB40000}"/>
    <cellStyle name="Normal 7 2 6 4 2 2" xfId="11198" xr:uid="{00000000-0005-0000-0000-00007BB40000}"/>
    <cellStyle name="Normal 7 2 6 4 2 2 2" xfId="23641" xr:uid="{00000000-0005-0000-0000-00007CB40000}"/>
    <cellStyle name="Normal 7 2 6 4 2 2 2 2" xfId="48515" xr:uid="{00000000-0005-0000-0000-00007DB40000}"/>
    <cellStyle name="Normal 7 2 6 4 2 2 3" xfId="36082" xr:uid="{00000000-0005-0000-0000-00007EB40000}"/>
    <cellStyle name="Normal 7 2 6 4 2 3" xfId="18634" xr:uid="{00000000-0005-0000-0000-00007FB40000}"/>
    <cellStyle name="Normal 7 2 6 4 2 3 2" xfId="43508" xr:uid="{00000000-0005-0000-0000-000080B40000}"/>
    <cellStyle name="Normal 7 2 6 4 2 4" xfId="31075" xr:uid="{00000000-0005-0000-0000-000081B40000}"/>
    <cellStyle name="Normal 7 2 6 4 3" xfId="12652" xr:uid="{00000000-0005-0000-0000-000082B40000}"/>
    <cellStyle name="Normal 7 2 6 4 3 2" xfId="25086" xr:uid="{00000000-0005-0000-0000-000083B40000}"/>
    <cellStyle name="Normal 7 2 6 4 3 2 2" xfId="49960" xr:uid="{00000000-0005-0000-0000-000084B40000}"/>
    <cellStyle name="Normal 7 2 6 4 3 3" xfId="37527" xr:uid="{00000000-0005-0000-0000-000085B40000}"/>
    <cellStyle name="Normal 7 2 6 4 4" xfId="9093" xr:uid="{00000000-0005-0000-0000-000086B40000}"/>
    <cellStyle name="Normal 7 2 6 4 4 2" xfId="21536" xr:uid="{00000000-0005-0000-0000-000087B40000}"/>
    <cellStyle name="Normal 7 2 6 4 4 2 2" xfId="46410" xr:uid="{00000000-0005-0000-0000-000088B40000}"/>
    <cellStyle name="Normal 7 2 6 4 4 3" xfId="33977" xr:uid="{00000000-0005-0000-0000-000089B40000}"/>
    <cellStyle name="Normal 7 2 6 4 5" xfId="4075" xr:uid="{00000000-0005-0000-0000-00008AB40000}"/>
    <cellStyle name="Normal 7 2 6 4 5 2" xfId="16529" xr:uid="{00000000-0005-0000-0000-00008BB40000}"/>
    <cellStyle name="Normal 7 2 6 4 5 2 2" xfId="41403" xr:uid="{00000000-0005-0000-0000-00008CB40000}"/>
    <cellStyle name="Normal 7 2 6 4 5 3" xfId="28970" xr:uid="{00000000-0005-0000-0000-00008DB40000}"/>
    <cellStyle name="Normal 7 2 6 4 6" xfId="14837" xr:uid="{00000000-0005-0000-0000-00008EB40000}"/>
    <cellStyle name="Normal 7 2 6 4 6 2" xfId="39711" xr:uid="{00000000-0005-0000-0000-00008FB40000}"/>
    <cellStyle name="Normal 7 2 6 4 7" xfId="27270" xr:uid="{00000000-0005-0000-0000-000090B40000}"/>
    <cellStyle name="Normal 7 2 6 5" xfId="994" xr:uid="{00000000-0005-0000-0000-000091B40000}"/>
    <cellStyle name="Normal 7 2 6 5 2" xfId="10153" xr:uid="{00000000-0005-0000-0000-000092B40000}"/>
    <cellStyle name="Normal 7 2 6 5 2 2" xfId="22596" xr:uid="{00000000-0005-0000-0000-000093B40000}"/>
    <cellStyle name="Normal 7 2 6 5 2 2 2" xfId="47470" xr:uid="{00000000-0005-0000-0000-000094B40000}"/>
    <cellStyle name="Normal 7 2 6 5 2 3" xfId="35037" xr:uid="{00000000-0005-0000-0000-000095B40000}"/>
    <cellStyle name="Normal 7 2 6 5 3" xfId="5137" xr:uid="{00000000-0005-0000-0000-000096B40000}"/>
    <cellStyle name="Normal 7 2 6 5 3 2" xfId="17589" xr:uid="{00000000-0005-0000-0000-000097B40000}"/>
    <cellStyle name="Normal 7 2 6 5 3 2 2" xfId="42463" xr:uid="{00000000-0005-0000-0000-000098B40000}"/>
    <cellStyle name="Normal 7 2 6 5 3 3" xfId="30030" xr:uid="{00000000-0005-0000-0000-000099B40000}"/>
    <cellStyle name="Normal 7 2 6 5 4" xfId="13794" xr:uid="{00000000-0005-0000-0000-00009AB40000}"/>
    <cellStyle name="Normal 7 2 6 5 4 2" xfId="38668" xr:uid="{00000000-0005-0000-0000-00009BB40000}"/>
    <cellStyle name="Normal 7 2 6 5 5" xfId="26227" xr:uid="{00000000-0005-0000-0000-00009CB40000}"/>
    <cellStyle name="Normal 7 2 6 6" xfId="8209" xr:uid="{00000000-0005-0000-0000-00009DB40000}"/>
    <cellStyle name="Normal 7 2 6 6 2" xfId="20653" xr:uid="{00000000-0005-0000-0000-00009EB40000}"/>
    <cellStyle name="Normal 7 2 6 6 2 2" xfId="45527" xr:uid="{00000000-0005-0000-0000-00009FB40000}"/>
    <cellStyle name="Normal 7 2 6 6 3" xfId="33094" xr:uid="{00000000-0005-0000-0000-0000A0B40000}"/>
    <cellStyle name="Normal 7 2 6 7" xfId="11609" xr:uid="{00000000-0005-0000-0000-0000A1B40000}"/>
    <cellStyle name="Normal 7 2 6 7 2" xfId="24043" xr:uid="{00000000-0005-0000-0000-0000A2B40000}"/>
    <cellStyle name="Normal 7 2 6 7 2 2" xfId="48917" xr:uid="{00000000-0005-0000-0000-0000A3B40000}"/>
    <cellStyle name="Normal 7 2 6 7 3" xfId="36484" xr:uid="{00000000-0005-0000-0000-0000A4B40000}"/>
    <cellStyle name="Normal 7 2 6 8" xfId="6686" xr:uid="{00000000-0005-0000-0000-0000A5B40000}"/>
    <cellStyle name="Normal 7 2 6 8 2" xfId="19135" xr:uid="{00000000-0005-0000-0000-0000A6B40000}"/>
    <cellStyle name="Normal 7 2 6 8 2 2" xfId="44009" xr:uid="{00000000-0005-0000-0000-0000A7B40000}"/>
    <cellStyle name="Normal 7 2 6 8 3" xfId="31576" xr:uid="{00000000-0005-0000-0000-0000A8B40000}"/>
    <cellStyle name="Normal 7 2 6 9" xfId="3140" xr:uid="{00000000-0005-0000-0000-0000A9B40000}"/>
    <cellStyle name="Normal 7 2 6 9 2" xfId="15646" xr:uid="{00000000-0005-0000-0000-0000AAB40000}"/>
    <cellStyle name="Normal 7 2 6 9 2 2" xfId="40520" xr:uid="{00000000-0005-0000-0000-0000ABB40000}"/>
    <cellStyle name="Normal 7 2 6 9 3" xfId="28079" xr:uid="{00000000-0005-0000-0000-0000ACB40000}"/>
    <cellStyle name="Normal 7 2 6_Degree data" xfId="2573" xr:uid="{00000000-0005-0000-0000-0000ADB40000}"/>
    <cellStyle name="Normal 7 2 7" xfId="548" xr:uid="{00000000-0005-0000-0000-0000AEB40000}"/>
    <cellStyle name="Normal 7 2 7 2" xfId="1590" xr:uid="{00000000-0005-0000-0000-0000AFB40000}"/>
    <cellStyle name="Normal 7 2 7 2 2" xfId="9694" xr:uid="{00000000-0005-0000-0000-0000B0B40000}"/>
    <cellStyle name="Normal 7 2 7 2 2 2" xfId="22137" xr:uid="{00000000-0005-0000-0000-0000B1B40000}"/>
    <cellStyle name="Normal 7 2 7 2 2 2 2" xfId="47011" xr:uid="{00000000-0005-0000-0000-0000B2B40000}"/>
    <cellStyle name="Normal 7 2 7 2 2 3" xfId="34578" xr:uid="{00000000-0005-0000-0000-0000B3B40000}"/>
    <cellStyle name="Normal 7 2 7 2 3" xfId="4676" xr:uid="{00000000-0005-0000-0000-0000B4B40000}"/>
    <cellStyle name="Normal 7 2 7 2 3 2" xfId="17130" xr:uid="{00000000-0005-0000-0000-0000B5B40000}"/>
    <cellStyle name="Normal 7 2 7 2 3 2 2" xfId="42004" xr:uid="{00000000-0005-0000-0000-0000B6B40000}"/>
    <cellStyle name="Normal 7 2 7 2 3 3" xfId="29571" xr:uid="{00000000-0005-0000-0000-0000B7B40000}"/>
    <cellStyle name="Normal 7 2 7 2 4" xfId="14390" xr:uid="{00000000-0005-0000-0000-0000B8B40000}"/>
    <cellStyle name="Normal 7 2 7 2 4 2" xfId="39264" xr:uid="{00000000-0005-0000-0000-0000B9B40000}"/>
    <cellStyle name="Normal 7 2 7 2 5" xfId="26823" xr:uid="{00000000-0005-0000-0000-0000BAB40000}"/>
    <cellStyle name="Normal 7 2 7 3" xfId="5736" xr:uid="{00000000-0005-0000-0000-0000BBB40000}"/>
    <cellStyle name="Normal 7 2 7 3 2" xfId="10751" xr:uid="{00000000-0005-0000-0000-0000BCB40000}"/>
    <cellStyle name="Normal 7 2 7 3 2 2" xfId="23194" xr:uid="{00000000-0005-0000-0000-0000BDB40000}"/>
    <cellStyle name="Normal 7 2 7 3 2 2 2" xfId="48068" xr:uid="{00000000-0005-0000-0000-0000BEB40000}"/>
    <cellStyle name="Normal 7 2 7 3 2 3" xfId="35635" xr:uid="{00000000-0005-0000-0000-0000BFB40000}"/>
    <cellStyle name="Normal 7 2 7 3 3" xfId="18187" xr:uid="{00000000-0005-0000-0000-0000C0B40000}"/>
    <cellStyle name="Normal 7 2 7 3 3 2" xfId="43061" xr:uid="{00000000-0005-0000-0000-0000C1B40000}"/>
    <cellStyle name="Normal 7 2 7 3 4" xfId="30628" xr:uid="{00000000-0005-0000-0000-0000C2B40000}"/>
    <cellStyle name="Normal 7 2 7 4" xfId="8810" xr:uid="{00000000-0005-0000-0000-0000C3B40000}"/>
    <cellStyle name="Normal 7 2 7 4 2" xfId="21254" xr:uid="{00000000-0005-0000-0000-0000C4B40000}"/>
    <cellStyle name="Normal 7 2 7 4 2 2" xfId="46128" xr:uid="{00000000-0005-0000-0000-0000C5B40000}"/>
    <cellStyle name="Normal 7 2 7 4 3" xfId="33695" xr:uid="{00000000-0005-0000-0000-0000C6B40000}"/>
    <cellStyle name="Normal 7 2 7 5" xfId="12205" xr:uid="{00000000-0005-0000-0000-0000C7B40000}"/>
    <cellStyle name="Normal 7 2 7 5 2" xfId="24639" xr:uid="{00000000-0005-0000-0000-0000C8B40000}"/>
    <cellStyle name="Normal 7 2 7 5 2 2" xfId="49513" xr:uid="{00000000-0005-0000-0000-0000C9B40000}"/>
    <cellStyle name="Normal 7 2 7 5 3" xfId="37080" xr:uid="{00000000-0005-0000-0000-0000CAB40000}"/>
    <cellStyle name="Normal 7 2 7 6" xfId="7287" xr:uid="{00000000-0005-0000-0000-0000CBB40000}"/>
    <cellStyle name="Normal 7 2 7 6 2" xfId="19736" xr:uid="{00000000-0005-0000-0000-0000CCB40000}"/>
    <cellStyle name="Normal 7 2 7 6 2 2" xfId="44610" xr:uid="{00000000-0005-0000-0000-0000CDB40000}"/>
    <cellStyle name="Normal 7 2 7 6 3" xfId="32177" xr:uid="{00000000-0005-0000-0000-0000CEB40000}"/>
    <cellStyle name="Normal 7 2 7 7" xfId="3741" xr:uid="{00000000-0005-0000-0000-0000CFB40000}"/>
    <cellStyle name="Normal 7 2 7 7 2" xfId="16247" xr:uid="{00000000-0005-0000-0000-0000D0B40000}"/>
    <cellStyle name="Normal 7 2 7 7 2 2" xfId="41121" xr:uid="{00000000-0005-0000-0000-0000D1B40000}"/>
    <cellStyle name="Normal 7 2 7 7 3" xfId="28680" xr:uid="{00000000-0005-0000-0000-0000D2B40000}"/>
    <cellStyle name="Normal 7 2 7 8" xfId="13358" xr:uid="{00000000-0005-0000-0000-0000D3B40000}"/>
    <cellStyle name="Normal 7 2 7 8 2" xfId="38232" xr:uid="{00000000-0005-0000-0000-0000D4B40000}"/>
    <cellStyle name="Normal 7 2 7 9" xfId="25791" xr:uid="{00000000-0005-0000-0000-0000D5B40000}"/>
    <cellStyle name="Normal 7 2 8" xfId="1938" xr:uid="{00000000-0005-0000-0000-0000D6B40000}"/>
    <cellStyle name="Normal 7 2 8 2" xfId="4740" xr:uid="{00000000-0005-0000-0000-0000D7B40000}"/>
    <cellStyle name="Normal 7 2 8 2 2" xfId="9757" xr:uid="{00000000-0005-0000-0000-0000D8B40000}"/>
    <cellStyle name="Normal 7 2 8 2 2 2" xfId="22200" xr:uid="{00000000-0005-0000-0000-0000D9B40000}"/>
    <cellStyle name="Normal 7 2 8 2 2 2 2" xfId="47074" xr:uid="{00000000-0005-0000-0000-0000DAB40000}"/>
    <cellStyle name="Normal 7 2 8 2 2 3" xfId="34641" xr:uid="{00000000-0005-0000-0000-0000DBB40000}"/>
    <cellStyle name="Normal 7 2 8 2 3" xfId="17193" xr:uid="{00000000-0005-0000-0000-0000DCB40000}"/>
    <cellStyle name="Normal 7 2 8 2 3 2" xfId="42067" xr:uid="{00000000-0005-0000-0000-0000DDB40000}"/>
    <cellStyle name="Normal 7 2 8 2 4" xfId="29634" xr:uid="{00000000-0005-0000-0000-0000DEB40000}"/>
    <cellStyle name="Normal 7 2 8 3" xfId="6084" xr:uid="{00000000-0005-0000-0000-0000DFB40000}"/>
    <cellStyle name="Normal 7 2 8 3 2" xfId="11099" xr:uid="{00000000-0005-0000-0000-0000E0B40000}"/>
    <cellStyle name="Normal 7 2 8 3 2 2" xfId="23542" xr:uid="{00000000-0005-0000-0000-0000E1B40000}"/>
    <cellStyle name="Normal 7 2 8 3 2 2 2" xfId="48416" xr:uid="{00000000-0005-0000-0000-0000E2B40000}"/>
    <cellStyle name="Normal 7 2 8 3 2 3" xfId="35983" xr:uid="{00000000-0005-0000-0000-0000E3B40000}"/>
    <cellStyle name="Normal 7 2 8 3 3" xfId="18535" xr:uid="{00000000-0005-0000-0000-0000E4B40000}"/>
    <cellStyle name="Normal 7 2 8 3 3 2" xfId="43409" xr:uid="{00000000-0005-0000-0000-0000E5B40000}"/>
    <cellStyle name="Normal 7 2 8 3 4" xfId="30976" xr:uid="{00000000-0005-0000-0000-0000E6B40000}"/>
    <cellStyle name="Normal 7 2 8 4" xfId="8016" xr:uid="{00000000-0005-0000-0000-0000E7B40000}"/>
    <cellStyle name="Normal 7 2 8 4 2" xfId="20462" xr:uid="{00000000-0005-0000-0000-0000E8B40000}"/>
    <cellStyle name="Normal 7 2 8 4 2 2" xfId="45336" xr:uid="{00000000-0005-0000-0000-0000E9B40000}"/>
    <cellStyle name="Normal 7 2 8 4 3" xfId="32903" xr:uid="{00000000-0005-0000-0000-0000EAB40000}"/>
    <cellStyle name="Normal 7 2 8 5" xfId="12553" xr:uid="{00000000-0005-0000-0000-0000EBB40000}"/>
    <cellStyle name="Normal 7 2 8 5 2" xfId="24987" xr:uid="{00000000-0005-0000-0000-0000ECB40000}"/>
    <cellStyle name="Normal 7 2 8 5 2 2" xfId="49861" xr:uid="{00000000-0005-0000-0000-0000EDB40000}"/>
    <cellStyle name="Normal 7 2 8 5 3" xfId="37428" xr:uid="{00000000-0005-0000-0000-0000EEB40000}"/>
    <cellStyle name="Normal 7 2 8 6" xfId="7351" xr:uid="{00000000-0005-0000-0000-0000EFB40000}"/>
    <cellStyle name="Normal 7 2 8 6 2" xfId="19799" xr:uid="{00000000-0005-0000-0000-0000F0B40000}"/>
    <cellStyle name="Normal 7 2 8 6 2 2" xfId="44673" xr:uid="{00000000-0005-0000-0000-0000F1B40000}"/>
    <cellStyle name="Normal 7 2 8 6 3" xfId="32240" xr:uid="{00000000-0005-0000-0000-0000F2B40000}"/>
    <cellStyle name="Normal 7 2 8 7" xfId="2940" xr:uid="{00000000-0005-0000-0000-0000F3B40000}"/>
    <cellStyle name="Normal 7 2 8 7 2" xfId="15455" xr:uid="{00000000-0005-0000-0000-0000F4B40000}"/>
    <cellStyle name="Normal 7 2 8 7 2 2" xfId="40329" xr:uid="{00000000-0005-0000-0000-0000F5B40000}"/>
    <cellStyle name="Normal 7 2 8 7 3" xfId="27888" xr:uid="{00000000-0005-0000-0000-0000F6B40000}"/>
    <cellStyle name="Normal 7 2 8 8" xfId="14738" xr:uid="{00000000-0005-0000-0000-0000F7B40000}"/>
    <cellStyle name="Normal 7 2 8 8 2" xfId="39612" xr:uid="{00000000-0005-0000-0000-0000F8B40000}"/>
    <cellStyle name="Normal 7 2 8 9" xfId="27171" xr:uid="{00000000-0005-0000-0000-0000F9B40000}"/>
    <cellStyle name="Normal 7 2 9" xfId="2097" xr:uid="{00000000-0005-0000-0000-0000FAB40000}"/>
    <cellStyle name="Normal 7 2 9 2" xfId="6138" xr:uid="{00000000-0005-0000-0000-0000FBB40000}"/>
    <cellStyle name="Normal 7 2 9 2 2" xfId="11153" xr:uid="{00000000-0005-0000-0000-0000FCB40000}"/>
    <cellStyle name="Normal 7 2 9 2 2 2" xfId="23596" xr:uid="{00000000-0005-0000-0000-0000FDB40000}"/>
    <cellStyle name="Normal 7 2 9 2 2 2 2" xfId="48470" xr:uid="{00000000-0005-0000-0000-0000FEB40000}"/>
    <cellStyle name="Normal 7 2 9 2 2 3" xfId="36037" xr:uid="{00000000-0005-0000-0000-0000FFB40000}"/>
    <cellStyle name="Normal 7 2 9 2 3" xfId="18589" xr:uid="{00000000-0005-0000-0000-000000B50000}"/>
    <cellStyle name="Normal 7 2 9 2 3 2" xfId="43463" xr:uid="{00000000-0005-0000-0000-000001B50000}"/>
    <cellStyle name="Normal 7 2 9 2 4" xfId="31030" xr:uid="{00000000-0005-0000-0000-000002B50000}"/>
    <cellStyle name="Normal 7 2 9 3" xfId="12607" xr:uid="{00000000-0005-0000-0000-000003B50000}"/>
    <cellStyle name="Normal 7 2 9 3 2" xfId="25041" xr:uid="{00000000-0005-0000-0000-000004B50000}"/>
    <cellStyle name="Normal 7 2 9 3 2 2" xfId="49915" xr:uid="{00000000-0005-0000-0000-000005B50000}"/>
    <cellStyle name="Normal 7 2 9 3 3" xfId="37482" xr:uid="{00000000-0005-0000-0000-000006B50000}"/>
    <cellStyle name="Normal 7 2 9 4" xfId="8902" xr:uid="{00000000-0005-0000-0000-000007B50000}"/>
    <cellStyle name="Normal 7 2 9 4 2" xfId="21345" xr:uid="{00000000-0005-0000-0000-000008B50000}"/>
    <cellStyle name="Normal 7 2 9 4 2 2" xfId="46219" xr:uid="{00000000-0005-0000-0000-000009B50000}"/>
    <cellStyle name="Normal 7 2 9 4 3" xfId="33786" xr:uid="{00000000-0005-0000-0000-00000AB50000}"/>
    <cellStyle name="Normal 7 2 9 5" xfId="3884" xr:uid="{00000000-0005-0000-0000-00000BB50000}"/>
    <cellStyle name="Normal 7 2 9 5 2" xfId="16338" xr:uid="{00000000-0005-0000-0000-00000CB50000}"/>
    <cellStyle name="Normal 7 2 9 5 2 2" xfId="41212" xr:uid="{00000000-0005-0000-0000-00000DB50000}"/>
    <cellStyle name="Normal 7 2 9 5 3" xfId="28779" xr:uid="{00000000-0005-0000-0000-00000EB50000}"/>
    <cellStyle name="Normal 7 2 9 6" xfId="14792" xr:uid="{00000000-0005-0000-0000-00000FB50000}"/>
    <cellStyle name="Normal 7 2 9 6 2" xfId="39666" xr:uid="{00000000-0005-0000-0000-000010B50000}"/>
    <cellStyle name="Normal 7 2 9 7" xfId="27225" xr:uid="{00000000-0005-0000-0000-000011B50000}"/>
    <cellStyle name="Normal 7 2_Degree data" xfId="2564" xr:uid="{00000000-0005-0000-0000-000012B50000}"/>
    <cellStyle name="Normal 7 3" xfId="159" xr:uid="{00000000-0005-0000-0000-000013B50000}"/>
    <cellStyle name="Normal 7 3 10" xfId="957" xr:uid="{00000000-0005-0000-0000-000014B50000}"/>
    <cellStyle name="Normal 7 3 10 2" xfId="11572" xr:uid="{00000000-0005-0000-0000-000015B50000}"/>
    <cellStyle name="Normal 7 3 10 2 2" xfId="24006" xr:uid="{00000000-0005-0000-0000-000016B50000}"/>
    <cellStyle name="Normal 7 3 10 2 2 2" xfId="48880" xr:uid="{00000000-0005-0000-0000-000017B50000}"/>
    <cellStyle name="Normal 7 3 10 2 3" xfId="36447" xr:uid="{00000000-0005-0000-0000-000018B50000}"/>
    <cellStyle name="Normal 7 3 10 3" xfId="10116" xr:uid="{00000000-0005-0000-0000-000019B50000}"/>
    <cellStyle name="Normal 7 3 10 3 2" xfId="22559" xr:uid="{00000000-0005-0000-0000-00001AB50000}"/>
    <cellStyle name="Normal 7 3 10 3 2 2" xfId="47433" xr:uid="{00000000-0005-0000-0000-00001BB50000}"/>
    <cellStyle name="Normal 7 3 10 3 3" xfId="35000" xr:uid="{00000000-0005-0000-0000-00001CB50000}"/>
    <cellStyle name="Normal 7 3 10 4" xfId="5100" xr:uid="{00000000-0005-0000-0000-00001DB50000}"/>
    <cellStyle name="Normal 7 3 10 4 2" xfId="17552" xr:uid="{00000000-0005-0000-0000-00001EB50000}"/>
    <cellStyle name="Normal 7 3 10 4 2 2" xfId="42426" xr:uid="{00000000-0005-0000-0000-00001FB50000}"/>
    <cellStyle name="Normal 7 3 10 4 3" xfId="29993" xr:uid="{00000000-0005-0000-0000-000020B50000}"/>
    <cellStyle name="Normal 7 3 10 5" xfId="13757" xr:uid="{00000000-0005-0000-0000-000021B50000}"/>
    <cellStyle name="Normal 7 3 10 5 2" xfId="38631" xr:uid="{00000000-0005-0000-0000-000022B50000}"/>
    <cellStyle name="Normal 7 3 10 6" xfId="26190" xr:uid="{00000000-0005-0000-0000-000023B50000}"/>
    <cellStyle name="Normal 7 3 11" xfId="927" xr:uid="{00000000-0005-0000-0000-000024B50000}"/>
    <cellStyle name="Normal 7 3 11 2" xfId="7724" xr:uid="{00000000-0005-0000-0000-000025B50000}"/>
    <cellStyle name="Normal 7 3 11 2 2" xfId="20170" xr:uid="{00000000-0005-0000-0000-000026B50000}"/>
    <cellStyle name="Normal 7 3 11 2 2 2" xfId="45044" xr:uid="{00000000-0005-0000-0000-000027B50000}"/>
    <cellStyle name="Normal 7 3 11 2 3" xfId="32611" xr:uid="{00000000-0005-0000-0000-000028B50000}"/>
    <cellStyle name="Normal 7 3 11 3" xfId="13727" xr:uid="{00000000-0005-0000-0000-000029B50000}"/>
    <cellStyle name="Normal 7 3 11 3 2" xfId="38601" xr:uid="{00000000-0005-0000-0000-00002AB50000}"/>
    <cellStyle name="Normal 7 3 11 4" xfId="26160" xr:uid="{00000000-0005-0000-0000-00002BB50000}"/>
    <cellStyle name="Normal 7 3 12" xfId="11542" xr:uid="{00000000-0005-0000-0000-00002CB50000}"/>
    <cellStyle name="Normal 7 3 12 2" xfId="23976" xr:uid="{00000000-0005-0000-0000-00002DB50000}"/>
    <cellStyle name="Normal 7 3 12 2 2" xfId="48850" xr:uid="{00000000-0005-0000-0000-00002EB50000}"/>
    <cellStyle name="Normal 7 3 12 3" xfId="36417" xr:uid="{00000000-0005-0000-0000-00002FB50000}"/>
    <cellStyle name="Normal 7 3 13" xfId="6505" xr:uid="{00000000-0005-0000-0000-000030B50000}"/>
    <cellStyle name="Normal 7 3 13 2" xfId="18954" xr:uid="{00000000-0005-0000-0000-000031B50000}"/>
    <cellStyle name="Normal 7 3 13 2 2" xfId="43828" xr:uid="{00000000-0005-0000-0000-000032B50000}"/>
    <cellStyle name="Normal 7 3 13 3" xfId="31395" xr:uid="{00000000-0005-0000-0000-000033B50000}"/>
    <cellStyle name="Normal 7 3 14" xfId="2645" xr:uid="{00000000-0005-0000-0000-000034B50000}"/>
    <cellStyle name="Normal 7 3 14 2" xfId="15163" xr:uid="{00000000-0005-0000-0000-000035B50000}"/>
    <cellStyle name="Normal 7 3 14 2 2" xfId="40037" xr:uid="{00000000-0005-0000-0000-000036B50000}"/>
    <cellStyle name="Normal 7 3 14 3" xfId="27596" xr:uid="{00000000-0005-0000-0000-000037B50000}"/>
    <cellStyle name="Normal 7 3 15" xfId="12989" xr:uid="{00000000-0005-0000-0000-000038B50000}"/>
    <cellStyle name="Normal 7 3 15 2" xfId="37863" xr:uid="{00000000-0005-0000-0000-000039B50000}"/>
    <cellStyle name="Normal 7 3 16" xfId="25422" xr:uid="{00000000-0005-0000-0000-00003AB50000}"/>
    <cellStyle name="Normal 7 3 2" xfId="189" xr:uid="{00000000-0005-0000-0000-00003BB50000}"/>
    <cellStyle name="Normal 7 3 2 10" xfId="11674" xr:uid="{00000000-0005-0000-0000-00003CB50000}"/>
    <cellStyle name="Normal 7 3 2 10 2" xfId="24108" xr:uid="{00000000-0005-0000-0000-00003DB50000}"/>
    <cellStyle name="Normal 7 3 2 10 2 2" xfId="48982" xr:uid="{00000000-0005-0000-0000-00003EB50000}"/>
    <cellStyle name="Normal 7 3 2 10 3" xfId="36549" xr:uid="{00000000-0005-0000-0000-00003FB50000}"/>
    <cellStyle name="Normal 7 3 2 11" xfId="6534" xr:uid="{00000000-0005-0000-0000-000040B50000}"/>
    <cellStyle name="Normal 7 3 2 11 2" xfId="18983" xr:uid="{00000000-0005-0000-0000-000041B50000}"/>
    <cellStyle name="Normal 7 3 2 11 2 2" xfId="43857" xr:uid="{00000000-0005-0000-0000-000042B50000}"/>
    <cellStyle name="Normal 7 3 2 11 3" xfId="31424" xr:uid="{00000000-0005-0000-0000-000043B50000}"/>
    <cellStyle name="Normal 7 3 2 12" xfId="2702" xr:uid="{00000000-0005-0000-0000-000044B50000}"/>
    <cellStyle name="Normal 7 3 2 12 2" xfId="15220" xr:uid="{00000000-0005-0000-0000-000045B50000}"/>
    <cellStyle name="Normal 7 3 2 12 2 2" xfId="40094" xr:uid="{00000000-0005-0000-0000-000046B50000}"/>
    <cellStyle name="Normal 7 3 2 12 3" xfId="27653" xr:uid="{00000000-0005-0000-0000-000047B50000}"/>
    <cellStyle name="Normal 7 3 2 13" xfId="13019" xr:uid="{00000000-0005-0000-0000-000048B50000}"/>
    <cellStyle name="Normal 7 3 2 13 2" xfId="37893" xr:uid="{00000000-0005-0000-0000-000049B50000}"/>
    <cellStyle name="Normal 7 3 2 14" xfId="25452" xr:uid="{00000000-0005-0000-0000-00004AB50000}"/>
    <cellStyle name="Normal 7 3 2 2" xfId="512" xr:uid="{00000000-0005-0000-0000-00004BB50000}"/>
    <cellStyle name="Normal 7 3 2 2 10" xfId="2906" xr:uid="{00000000-0005-0000-0000-00004CB50000}"/>
    <cellStyle name="Normal 7 3 2 2 10 2" xfId="15424" xr:uid="{00000000-0005-0000-0000-00004DB50000}"/>
    <cellStyle name="Normal 7 3 2 2 10 2 2" xfId="40298" xr:uid="{00000000-0005-0000-0000-00004EB50000}"/>
    <cellStyle name="Normal 7 3 2 2 10 3" xfId="27857" xr:uid="{00000000-0005-0000-0000-00004FB50000}"/>
    <cellStyle name="Normal 7 3 2 2 11" xfId="13325" xr:uid="{00000000-0005-0000-0000-000050B50000}"/>
    <cellStyle name="Normal 7 3 2 2 11 2" xfId="38199" xr:uid="{00000000-0005-0000-0000-000051B50000}"/>
    <cellStyle name="Normal 7 3 2 2 12" xfId="25758" xr:uid="{00000000-0005-0000-0000-000052B50000}"/>
    <cellStyle name="Normal 7 3 2 2 2" xfId="871" xr:uid="{00000000-0005-0000-0000-000053B50000}"/>
    <cellStyle name="Normal 7 3 2 2 2 2" xfId="1602" xr:uid="{00000000-0005-0000-0000-000054B50000}"/>
    <cellStyle name="Normal 7 3 2 2 2 2 2" xfId="9362" xr:uid="{00000000-0005-0000-0000-000055B50000}"/>
    <cellStyle name="Normal 7 3 2 2 2 2 2 2" xfId="21805" xr:uid="{00000000-0005-0000-0000-000056B50000}"/>
    <cellStyle name="Normal 7 3 2 2 2 2 2 2 2" xfId="46679" xr:uid="{00000000-0005-0000-0000-000057B50000}"/>
    <cellStyle name="Normal 7 3 2 2 2 2 2 3" xfId="34246" xr:uid="{00000000-0005-0000-0000-000058B50000}"/>
    <cellStyle name="Normal 7 3 2 2 2 2 3" xfId="4344" xr:uid="{00000000-0005-0000-0000-000059B50000}"/>
    <cellStyle name="Normal 7 3 2 2 2 2 3 2" xfId="16798" xr:uid="{00000000-0005-0000-0000-00005AB50000}"/>
    <cellStyle name="Normal 7 3 2 2 2 2 3 2 2" xfId="41672" xr:uid="{00000000-0005-0000-0000-00005BB50000}"/>
    <cellStyle name="Normal 7 3 2 2 2 2 3 3" xfId="29239" xr:uid="{00000000-0005-0000-0000-00005CB50000}"/>
    <cellStyle name="Normal 7 3 2 2 2 2 4" xfId="14402" xr:uid="{00000000-0005-0000-0000-00005DB50000}"/>
    <cellStyle name="Normal 7 3 2 2 2 2 4 2" xfId="39276" xr:uid="{00000000-0005-0000-0000-00005EB50000}"/>
    <cellStyle name="Normal 7 3 2 2 2 2 5" xfId="26835" xr:uid="{00000000-0005-0000-0000-00005FB50000}"/>
    <cellStyle name="Normal 7 3 2 2 2 3" xfId="5748" xr:uid="{00000000-0005-0000-0000-000060B50000}"/>
    <cellStyle name="Normal 7 3 2 2 2 3 2" xfId="10763" xr:uid="{00000000-0005-0000-0000-000061B50000}"/>
    <cellStyle name="Normal 7 3 2 2 2 3 2 2" xfId="23206" xr:uid="{00000000-0005-0000-0000-000062B50000}"/>
    <cellStyle name="Normal 7 3 2 2 2 3 2 2 2" xfId="48080" xr:uid="{00000000-0005-0000-0000-000063B50000}"/>
    <cellStyle name="Normal 7 3 2 2 2 3 2 3" xfId="35647" xr:uid="{00000000-0005-0000-0000-000064B50000}"/>
    <cellStyle name="Normal 7 3 2 2 2 3 3" xfId="18199" xr:uid="{00000000-0005-0000-0000-000065B50000}"/>
    <cellStyle name="Normal 7 3 2 2 2 3 3 2" xfId="43073" xr:uid="{00000000-0005-0000-0000-000066B50000}"/>
    <cellStyle name="Normal 7 3 2 2 2 3 4" xfId="30640" xr:uid="{00000000-0005-0000-0000-000067B50000}"/>
    <cellStyle name="Normal 7 3 2 2 2 4" xfId="8478" xr:uid="{00000000-0005-0000-0000-000068B50000}"/>
    <cellStyle name="Normal 7 3 2 2 2 4 2" xfId="20922" xr:uid="{00000000-0005-0000-0000-000069B50000}"/>
    <cellStyle name="Normal 7 3 2 2 2 4 2 2" xfId="45796" xr:uid="{00000000-0005-0000-0000-00006AB50000}"/>
    <cellStyle name="Normal 7 3 2 2 2 4 3" xfId="33363" xr:uid="{00000000-0005-0000-0000-00006BB50000}"/>
    <cellStyle name="Normal 7 3 2 2 2 5" xfId="12217" xr:uid="{00000000-0005-0000-0000-00006CB50000}"/>
    <cellStyle name="Normal 7 3 2 2 2 5 2" xfId="24651" xr:uid="{00000000-0005-0000-0000-00006DB50000}"/>
    <cellStyle name="Normal 7 3 2 2 2 5 2 2" xfId="49525" xr:uid="{00000000-0005-0000-0000-00006EB50000}"/>
    <cellStyle name="Normal 7 3 2 2 2 5 3" xfId="37092" xr:uid="{00000000-0005-0000-0000-00006FB50000}"/>
    <cellStyle name="Normal 7 3 2 2 2 6" xfId="6955" xr:uid="{00000000-0005-0000-0000-000070B50000}"/>
    <cellStyle name="Normal 7 3 2 2 2 6 2" xfId="19404" xr:uid="{00000000-0005-0000-0000-000071B50000}"/>
    <cellStyle name="Normal 7 3 2 2 2 6 2 2" xfId="44278" xr:uid="{00000000-0005-0000-0000-000072B50000}"/>
    <cellStyle name="Normal 7 3 2 2 2 6 3" xfId="31845" xr:uid="{00000000-0005-0000-0000-000073B50000}"/>
    <cellStyle name="Normal 7 3 2 2 2 7" xfId="3409" xr:uid="{00000000-0005-0000-0000-000074B50000}"/>
    <cellStyle name="Normal 7 3 2 2 2 7 2" xfId="15915" xr:uid="{00000000-0005-0000-0000-000075B50000}"/>
    <cellStyle name="Normal 7 3 2 2 2 7 2 2" xfId="40789" xr:uid="{00000000-0005-0000-0000-000076B50000}"/>
    <cellStyle name="Normal 7 3 2 2 2 7 3" xfId="28348" xr:uid="{00000000-0005-0000-0000-000077B50000}"/>
    <cellStyle name="Normal 7 3 2 2 2 8" xfId="13672" xr:uid="{00000000-0005-0000-0000-000078B50000}"/>
    <cellStyle name="Normal 7 3 2 2 2 8 2" xfId="38546" xr:uid="{00000000-0005-0000-0000-000079B50000}"/>
    <cellStyle name="Normal 7 3 2 2 2 9" xfId="26105" xr:uid="{00000000-0005-0000-0000-00007AB50000}"/>
    <cellStyle name="Normal 7 3 2 2 3" xfId="1950" xr:uid="{00000000-0005-0000-0000-00007BB50000}"/>
    <cellStyle name="Normal 7 3 2 2 3 2" xfId="4688" xr:uid="{00000000-0005-0000-0000-00007CB50000}"/>
    <cellStyle name="Normal 7 3 2 2 3 2 2" xfId="9706" xr:uid="{00000000-0005-0000-0000-00007DB50000}"/>
    <cellStyle name="Normal 7 3 2 2 3 2 2 2" xfId="22149" xr:uid="{00000000-0005-0000-0000-00007EB50000}"/>
    <cellStyle name="Normal 7 3 2 2 3 2 2 2 2" xfId="47023" xr:uid="{00000000-0005-0000-0000-00007FB50000}"/>
    <cellStyle name="Normal 7 3 2 2 3 2 2 3" xfId="34590" xr:uid="{00000000-0005-0000-0000-000080B50000}"/>
    <cellStyle name="Normal 7 3 2 2 3 2 3" xfId="17142" xr:uid="{00000000-0005-0000-0000-000081B50000}"/>
    <cellStyle name="Normal 7 3 2 2 3 2 3 2" xfId="42016" xr:uid="{00000000-0005-0000-0000-000082B50000}"/>
    <cellStyle name="Normal 7 3 2 2 3 2 4" xfId="29583" xr:uid="{00000000-0005-0000-0000-000083B50000}"/>
    <cellStyle name="Normal 7 3 2 2 3 3" xfId="6096" xr:uid="{00000000-0005-0000-0000-000084B50000}"/>
    <cellStyle name="Normal 7 3 2 2 3 3 2" xfId="11111" xr:uid="{00000000-0005-0000-0000-000085B50000}"/>
    <cellStyle name="Normal 7 3 2 2 3 3 2 2" xfId="23554" xr:uid="{00000000-0005-0000-0000-000086B50000}"/>
    <cellStyle name="Normal 7 3 2 2 3 3 2 2 2" xfId="48428" xr:uid="{00000000-0005-0000-0000-000087B50000}"/>
    <cellStyle name="Normal 7 3 2 2 3 3 2 3" xfId="35995" xr:uid="{00000000-0005-0000-0000-000088B50000}"/>
    <cellStyle name="Normal 7 3 2 2 3 3 3" xfId="18547" xr:uid="{00000000-0005-0000-0000-000089B50000}"/>
    <cellStyle name="Normal 7 3 2 2 3 3 3 2" xfId="43421" xr:uid="{00000000-0005-0000-0000-00008AB50000}"/>
    <cellStyle name="Normal 7 3 2 2 3 3 4" xfId="30988" xr:uid="{00000000-0005-0000-0000-00008BB50000}"/>
    <cellStyle name="Normal 7 3 2 2 3 4" xfId="8822" xr:uid="{00000000-0005-0000-0000-00008CB50000}"/>
    <cellStyle name="Normal 7 3 2 2 3 4 2" xfId="21266" xr:uid="{00000000-0005-0000-0000-00008DB50000}"/>
    <cellStyle name="Normal 7 3 2 2 3 4 2 2" xfId="46140" xr:uid="{00000000-0005-0000-0000-00008EB50000}"/>
    <cellStyle name="Normal 7 3 2 2 3 4 3" xfId="33707" xr:uid="{00000000-0005-0000-0000-00008FB50000}"/>
    <cellStyle name="Normal 7 3 2 2 3 5" xfId="12565" xr:uid="{00000000-0005-0000-0000-000090B50000}"/>
    <cellStyle name="Normal 7 3 2 2 3 5 2" xfId="24999" xr:uid="{00000000-0005-0000-0000-000091B50000}"/>
    <cellStyle name="Normal 7 3 2 2 3 5 2 2" xfId="49873" xr:uid="{00000000-0005-0000-0000-000092B50000}"/>
    <cellStyle name="Normal 7 3 2 2 3 5 3" xfId="37440" xr:uid="{00000000-0005-0000-0000-000093B50000}"/>
    <cellStyle name="Normal 7 3 2 2 3 6" xfId="7299" xr:uid="{00000000-0005-0000-0000-000094B50000}"/>
    <cellStyle name="Normal 7 3 2 2 3 6 2" xfId="19748" xr:uid="{00000000-0005-0000-0000-000095B50000}"/>
    <cellStyle name="Normal 7 3 2 2 3 6 2 2" xfId="44622" xr:uid="{00000000-0005-0000-0000-000096B50000}"/>
    <cellStyle name="Normal 7 3 2 2 3 6 3" xfId="32189" xr:uid="{00000000-0005-0000-0000-000097B50000}"/>
    <cellStyle name="Normal 7 3 2 2 3 7" xfId="3753" xr:uid="{00000000-0005-0000-0000-000098B50000}"/>
    <cellStyle name="Normal 7 3 2 2 3 7 2" xfId="16259" xr:uid="{00000000-0005-0000-0000-000099B50000}"/>
    <cellStyle name="Normal 7 3 2 2 3 7 2 2" xfId="41133" xr:uid="{00000000-0005-0000-0000-00009AB50000}"/>
    <cellStyle name="Normal 7 3 2 2 3 7 3" xfId="28692" xr:uid="{00000000-0005-0000-0000-00009BB50000}"/>
    <cellStyle name="Normal 7 3 2 2 3 8" xfId="14750" xr:uid="{00000000-0005-0000-0000-00009CB50000}"/>
    <cellStyle name="Normal 7 3 2 2 3 8 2" xfId="39624" xr:uid="{00000000-0005-0000-0000-00009DB50000}"/>
    <cellStyle name="Normal 7 3 2 2 3 9" xfId="27183" xr:uid="{00000000-0005-0000-0000-00009EB50000}"/>
    <cellStyle name="Normal 7 3 2 2 4" xfId="2430" xr:uid="{00000000-0005-0000-0000-00009FB50000}"/>
    <cellStyle name="Normal 7 3 2 2 4 2" xfId="5054" xr:uid="{00000000-0005-0000-0000-0000A0B50000}"/>
    <cellStyle name="Normal 7 3 2 2 4 2 2" xfId="10071" xr:uid="{00000000-0005-0000-0000-0000A1B50000}"/>
    <cellStyle name="Normal 7 3 2 2 4 2 2 2" xfId="22514" xr:uid="{00000000-0005-0000-0000-0000A2B50000}"/>
    <cellStyle name="Normal 7 3 2 2 4 2 2 2 2" xfId="47388" xr:uid="{00000000-0005-0000-0000-0000A3B50000}"/>
    <cellStyle name="Normal 7 3 2 2 4 2 2 3" xfId="34955" xr:uid="{00000000-0005-0000-0000-0000A4B50000}"/>
    <cellStyle name="Normal 7 3 2 2 4 2 3" xfId="17507" xr:uid="{00000000-0005-0000-0000-0000A5B50000}"/>
    <cellStyle name="Normal 7 3 2 2 4 2 3 2" xfId="42381" xr:uid="{00000000-0005-0000-0000-0000A6B50000}"/>
    <cellStyle name="Normal 7 3 2 2 4 2 4" xfId="29948" xr:uid="{00000000-0005-0000-0000-0000A7B50000}"/>
    <cellStyle name="Normal 7 3 2 2 4 3" xfId="6452" xr:uid="{00000000-0005-0000-0000-0000A8B50000}"/>
    <cellStyle name="Normal 7 3 2 2 4 3 2" xfId="11467" xr:uid="{00000000-0005-0000-0000-0000A9B50000}"/>
    <cellStyle name="Normal 7 3 2 2 4 3 2 2" xfId="23910" xr:uid="{00000000-0005-0000-0000-0000AAB50000}"/>
    <cellStyle name="Normal 7 3 2 2 4 3 2 2 2" xfId="48784" xr:uid="{00000000-0005-0000-0000-0000ABB50000}"/>
    <cellStyle name="Normal 7 3 2 2 4 3 2 3" xfId="36351" xr:uid="{00000000-0005-0000-0000-0000ACB50000}"/>
    <cellStyle name="Normal 7 3 2 2 4 3 3" xfId="18903" xr:uid="{00000000-0005-0000-0000-0000ADB50000}"/>
    <cellStyle name="Normal 7 3 2 2 4 3 3 2" xfId="43777" xr:uid="{00000000-0005-0000-0000-0000AEB50000}"/>
    <cellStyle name="Normal 7 3 2 2 4 3 4" xfId="31344" xr:uid="{00000000-0005-0000-0000-0000AFB50000}"/>
    <cellStyle name="Normal 7 3 2 2 4 4" xfId="8159" xr:uid="{00000000-0005-0000-0000-0000B0B50000}"/>
    <cellStyle name="Normal 7 3 2 2 4 4 2" xfId="20605" xr:uid="{00000000-0005-0000-0000-0000B1B50000}"/>
    <cellStyle name="Normal 7 3 2 2 4 4 2 2" xfId="45479" xr:uid="{00000000-0005-0000-0000-0000B2B50000}"/>
    <cellStyle name="Normal 7 3 2 2 4 4 3" xfId="33046" xr:uid="{00000000-0005-0000-0000-0000B3B50000}"/>
    <cellStyle name="Normal 7 3 2 2 4 5" xfId="12921" xr:uid="{00000000-0005-0000-0000-0000B4B50000}"/>
    <cellStyle name="Normal 7 3 2 2 4 5 2" xfId="25355" xr:uid="{00000000-0005-0000-0000-0000B5B50000}"/>
    <cellStyle name="Normal 7 3 2 2 4 5 2 2" xfId="50229" xr:uid="{00000000-0005-0000-0000-0000B6B50000}"/>
    <cellStyle name="Normal 7 3 2 2 4 5 3" xfId="37796" xr:uid="{00000000-0005-0000-0000-0000B7B50000}"/>
    <cellStyle name="Normal 7 3 2 2 4 6" xfId="7665" xr:uid="{00000000-0005-0000-0000-0000B8B50000}"/>
    <cellStyle name="Normal 7 3 2 2 4 6 2" xfId="20113" xr:uid="{00000000-0005-0000-0000-0000B9B50000}"/>
    <cellStyle name="Normal 7 3 2 2 4 6 2 2" xfId="44987" xr:uid="{00000000-0005-0000-0000-0000BAB50000}"/>
    <cellStyle name="Normal 7 3 2 2 4 6 3" xfId="32554" xr:uid="{00000000-0005-0000-0000-0000BBB50000}"/>
    <cellStyle name="Normal 7 3 2 2 4 7" xfId="3089" xr:uid="{00000000-0005-0000-0000-0000BCB50000}"/>
    <cellStyle name="Normal 7 3 2 2 4 7 2" xfId="15598" xr:uid="{00000000-0005-0000-0000-0000BDB50000}"/>
    <cellStyle name="Normal 7 3 2 2 4 7 2 2" xfId="40472" xr:uid="{00000000-0005-0000-0000-0000BEB50000}"/>
    <cellStyle name="Normal 7 3 2 2 4 7 3" xfId="28031" xr:uid="{00000000-0005-0000-0000-0000BFB50000}"/>
    <cellStyle name="Normal 7 3 2 2 4 8" xfId="15106" xr:uid="{00000000-0005-0000-0000-0000C0B50000}"/>
    <cellStyle name="Normal 7 3 2 2 4 8 2" xfId="39980" xr:uid="{00000000-0005-0000-0000-0000C1B50000}"/>
    <cellStyle name="Normal 7 3 2 2 4 9" xfId="27539" xr:uid="{00000000-0005-0000-0000-0000C2B50000}"/>
    <cellStyle name="Normal 7 3 2 2 5" xfId="1263" xr:uid="{00000000-0005-0000-0000-0000C3B50000}"/>
    <cellStyle name="Normal 7 3 2 2 5 2" xfId="9045" xr:uid="{00000000-0005-0000-0000-0000C4B50000}"/>
    <cellStyle name="Normal 7 3 2 2 5 2 2" xfId="21488" xr:uid="{00000000-0005-0000-0000-0000C5B50000}"/>
    <cellStyle name="Normal 7 3 2 2 5 2 2 2" xfId="46362" xr:uid="{00000000-0005-0000-0000-0000C6B50000}"/>
    <cellStyle name="Normal 7 3 2 2 5 2 3" xfId="33929" xr:uid="{00000000-0005-0000-0000-0000C7B50000}"/>
    <cellStyle name="Normal 7 3 2 2 5 3" xfId="4027" xr:uid="{00000000-0005-0000-0000-0000C8B50000}"/>
    <cellStyle name="Normal 7 3 2 2 5 3 2" xfId="16481" xr:uid="{00000000-0005-0000-0000-0000C9B50000}"/>
    <cellStyle name="Normal 7 3 2 2 5 3 2 2" xfId="41355" xr:uid="{00000000-0005-0000-0000-0000CAB50000}"/>
    <cellStyle name="Normal 7 3 2 2 5 3 3" xfId="28922" xr:uid="{00000000-0005-0000-0000-0000CBB50000}"/>
    <cellStyle name="Normal 7 3 2 2 5 4" xfId="14063" xr:uid="{00000000-0005-0000-0000-0000CCB50000}"/>
    <cellStyle name="Normal 7 3 2 2 5 4 2" xfId="38937" xr:uid="{00000000-0005-0000-0000-0000CDB50000}"/>
    <cellStyle name="Normal 7 3 2 2 5 5" xfId="26496" xr:uid="{00000000-0005-0000-0000-0000CEB50000}"/>
    <cellStyle name="Normal 7 3 2 2 6" xfId="5408" xr:uid="{00000000-0005-0000-0000-0000CFB50000}"/>
    <cellStyle name="Normal 7 3 2 2 6 2" xfId="10424" xr:uid="{00000000-0005-0000-0000-0000D0B50000}"/>
    <cellStyle name="Normal 7 3 2 2 6 2 2" xfId="22867" xr:uid="{00000000-0005-0000-0000-0000D1B50000}"/>
    <cellStyle name="Normal 7 3 2 2 6 2 2 2" xfId="47741" xr:uid="{00000000-0005-0000-0000-0000D2B50000}"/>
    <cellStyle name="Normal 7 3 2 2 6 2 3" xfId="35308" xr:uid="{00000000-0005-0000-0000-0000D3B50000}"/>
    <cellStyle name="Normal 7 3 2 2 6 3" xfId="17860" xr:uid="{00000000-0005-0000-0000-0000D4B50000}"/>
    <cellStyle name="Normal 7 3 2 2 6 3 2" xfId="42734" xr:uid="{00000000-0005-0000-0000-0000D5B50000}"/>
    <cellStyle name="Normal 7 3 2 2 6 4" xfId="30301" xr:uid="{00000000-0005-0000-0000-0000D6B50000}"/>
    <cellStyle name="Normal 7 3 2 2 7" xfId="7985" xr:uid="{00000000-0005-0000-0000-0000D7B50000}"/>
    <cellStyle name="Normal 7 3 2 2 7 2" xfId="20431" xr:uid="{00000000-0005-0000-0000-0000D8B50000}"/>
    <cellStyle name="Normal 7 3 2 2 7 2 2" xfId="45305" xr:uid="{00000000-0005-0000-0000-0000D9B50000}"/>
    <cellStyle name="Normal 7 3 2 2 7 3" xfId="32872" xr:uid="{00000000-0005-0000-0000-0000DAB50000}"/>
    <cellStyle name="Normal 7 3 2 2 8" xfId="11878" xr:uid="{00000000-0005-0000-0000-0000DBB50000}"/>
    <cellStyle name="Normal 7 3 2 2 8 2" xfId="24312" xr:uid="{00000000-0005-0000-0000-0000DCB50000}"/>
    <cellStyle name="Normal 7 3 2 2 8 2 2" xfId="49186" xr:uid="{00000000-0005-0000-0000-0000DDB50000}"/>
    <cellStyle name="Normal 7 3 2 2 8 3" xfId="36753" xr:uid="{00000000-0005-0000-0000-0000DEB50000}"/>
    <cellStyle name="Normal 7 3 2 2 9" xfId="6638" xr:uid="{00000000-0005-0000-0000-0000DFB50000}"/>
    <cellStyle name="Normal 7 3 2 2 9 2" xfId="19087" xr:uid="{00000000-0005-0000-0000-0000E0B50000}"/>
    <cellStyle name="Normal 7 3 2 2 9 2 2" xfId="43961" xr:uid="{00000000-0005-0000-0000-0000E1B50000}"/>
    <cellStyle name="Normal 7 3 2 2 9 3" xfId="31528" xr:uid="{00000000-0005-0000-0000-0000E2B50000}"/>
    <cellStyle name="Normal 7 3 2 2_Degree data" xfId="2576" xr:uid="{00000000-0005-0000-0000-0000E3B50000}"/>
    <cellStyle name="Normal 7 3 2 3" xfId="405" xr:uid="{00000000-0005-0000-0000-0000E4B50000}"/>
    <cellStyle name="Normal 7 3 2 3 10" xfId="13221" xr:uid="{00000000-0005-0000-0000-0000E5B50000}"/>
    <cellStyle name="Normal 7 3 2 3 10 2" xfId="38095" xr:uid="{00000000-0005-0000-0000-0000E6B50000}"/>
    <cellStyle name="Normal 7 3 2 3 11" xfId="25654" xr:uid="{00000000-0005-0000-0000-0000E7B50000}"/>
    <cellStyle name="Normal 7 3 2 3 2" xfId="765" xr:uid="{00000000-0005-0000-0000-0000E8B50000}"/>
    <cellStyle name="Normal 7 3 2 3 2 2" xfId="1603" xr:uid="{00000000-0005-0000-0000-0000E9B50000}"/>
    <cellStyle name="Normal 7 3 2 3 2 2 2" xfId="9707" xr:uid="{00000000-0005-0000-0000-0000EAB50000}"/>
    <cellStyle name="Normal 7 3 2 3 2 2 2 2" xfId="22150" xr:uid="{00000000-0005-0000-0000-0000EBB50000}"/>
    <cellStyle name="Normal 7 3 2 3 2 2 2 2 2" xfId="47024" xr:uid="{00000000-0005-0000-0000-0000ECB50000}"/>
    <cellStyle name="Normal 7 3 2 3 2 2 2 3" xfId="34591" xr:uid="{00000000-0005-0000-0000-0000EDB50000}"/>
    <cellStyle name="Normal 7 3 2 3 2 2 3" xfId="4689" xr:uid="{00000000-0005-0000-0000-0000EEB50000}"/>
    <cellStyle name="Normal 7 3 2 3 2 2 3 2" xfId="17143" xr:uid="{00000000-0005-0000-0000-0000EFB50000}"/>
    <cellStyle name="Normal 7 3 2 3 2 2 3 2 2" xfId="42017" xr:uid="{00000000-0005-0000-0000-0000F0B50000}"/>
    <cellStyle name="Normal 7 3 2 3 2 2 3 3" xfId="29584" xr:uid="{00000000-0005-0000-0000-0000F1B50000}"/>
    <cellStyle name="Normal 7 3 2 3 2 2 4" xfId="14403" xr:uid="{00000000-0005-0000-0000-0000F2B50000}"/>
    <cellStyle name="Normal 7 3 2 3 2 2 4 2" xfId="39277" xr:uid="{00000000-0005-0000-0000-0000F3B50000}"/>
    <cellStyle name="Normal 7 3 2 3 2 2 5" xfId="26836" xr:uid="{00000000-0005-0000-0000-0000F4B50000}"/>
    <cellStyle name="Normal 7 3 2 3 2 3" xfId="5749" xr:uid="{00000000-0005-0000-0000-0000F5B50000}"/>
    <cellStyle name="Normal 7 3 2 3 2 3 2" xfId="10764" xr:uid="{00000000-0005-0000-0000-0000F6B50000}"/>
    <cellStyle name="Normal 7 3 2 3 2 3 2 2" xfId="23207" xr:uid="{00000000-0005-0000-0000-0000F7B50000}"/>
    <cellStyle name="Normal 7 3 2 3 2 3 2 2 2" xfId="48081" xr:uid="{00000000-0005-0000-0000-0000F8B50000}"/>
    <cellStyle name="Normal 7 3 2 3 2 3 2 3" xfId="35648" xr:uid="{00000000-0005-0000-0000-0000F9B50000}"/>
    <cellStyle name="Normal 7 3 2 3 2 3 3" xfId="18200" xr:uid="{00000000-0005-0000-0000-0000FAB50000}"/>
    <cellStyle name="Normal 7 3 2 3 2 3 3 2" xfId="43074" xr:uid="{00000000-0005-0000-0000-0000FBB50000}"/>
    <cellStyle name="Normal 7 3 2 3 2 3 4" xfId="30641" xr:uid="{00000000-0005-0000-0000-0000FCB50000}"/>
    <cellStyle name="Normal 7 3 2 3 2 4" xfId="8823" xr:uid="{00000000-0005-0000-0000-0000FDB50000}"/>
    <cellStyle name="Normal 7 3 2 3 2 4 2" xfId="21267" xr:uid="{00000000-0005-0000-0000-0000FEB50000}"/>
    <cellStyle name="Normal 7 3 2 3 2 4 2 2" xfId="46141" xr:uid="{00000000-0005-0000-0000-0000FFB50000}"/>
    <cellStyle name="Normal 7 3 2 3 2 4 3" xfId="33708" xr:uid="{00000000-0005-0000-0000-000000B60000}"/>
    <cellStyle name="Normal 7 3 2 3 2 5" xfId="12218" xr:uid="{00000000-0005-0000-0000-000001B60000}"/>
    <cellStyle name="Normal 7 3 2 3 2 5 2" xfId="24652" xr:uid="{00000000-0005-0000-0000-000002B60000}"/>
    <cellStyle name="Normal 7 3 2 3 2 5 2 2" xfId="49526" xr:uid="{00000000-0005-0000-0000-000003B60000}"/>
    <cellStyle name="Normal 7 3 2 3 2 5 3" xfId="37093" xr:uid="{00000000-0005-0000-0000-000004B60000}"/>
    <cellStyle name="Normal 7 3 2 3 2 6" xfId="7300" xr:uid="{00000000-0005-0000-0000-000005B60000}"/>
    <cellStyle name="Normal 7 3 2 3 2 6 2" xfId="19749" xr:uid="{00000000-0005-0000-0000-000006B60000}"/>
    <cellStyle name="Normal 7 3 2 3 2 6 2 2" xfId="44623" xr:uid="{00000000-0005-0000-0000-000007B60000}"/>
    <cellStyle name="Normal 7 3 2 3 2 6 3" xfId="32190" xr:uid="{00000000-0005-0000-0000-000008B60000}"/>
    <cellStyle name="Normal 7 3 2 3 2 7" xfId="3754" xr:uid="{00000000-0005-0000-0000-000009B60000}"/>
    <cellStyle name="Normal 7 3 2 3 2 7 2" xfId="16260" xr:uid="{00000000-0005-0000-0000-00000AB60000}"/>
    <cellStyle name="Normal 7 3 2 3 2 7 2 2" xfId="41134" xr:uid="{00000000-0005-0000-0000-00000BB60000}"/>
    <cellStyle name="Normal 7 3 2 3 2 7 3" xfId="28693" xr:uid="{00000000-0005-0000-0000-00000CB60000}"/>
    <cellStyle name="Normal 7 3 2 3 2 8" xfId="13568" xr:uid="{00000000-0005-0000-0000-00000DB60000}"/>
    <cellStyle name="Normal 7 3 2 3 2 8 2" xfId="38442" xr:uid="{00000000-0005-0000-0000-00000EB60000}"/>
    <cellStyle name="Normal 7 3 2 3 2 9" xfId="26001" xr:uid="{00000000-0005-0000-0000-00000FB60000}"/>
    <cellStyle name="Normal 7 3 2 3 3" xfId="1951" xr:uid="{00000000-0005-0000-0000-000010B60000}"/>
    <cellStyle name="Normal 7 3 2 3 3 2" xfId="4950" xr:uid="{00000000-0005-0000-0000-000011B60000}"/>
    <cellStyle name="Normal 7 3 2 3 3 2 2" xfId="9967" xr:uid="{00000000-0005-0000-0000-000012B60000}"/>
    <cellStyle name="Normal 7 3 2 3 3 2 2 2" xfId="22410" xr:uid="{00000000-0005-0000-0000-000013B60000}"/>
    <cellStyle name="Normal 7 3 2 3 3 2 2 2 2" xfId="47284" xr:uid="{00000000-0005-0000-0000-000014B60000}"/>
    <cellStyle name="Normal 7 3 2 3 3 2 2 3" xfId="34851" xr:uid="{00000000-0005-0000-0000-000015B60000}"/>
    <cellStyle name="Normal 7 3 2 3 3 2 3" xfId="17403" xr:uid="{00000000-0005-0000-0000-000016B60000}"/>
    <cellStyle name="Normal 7 3 2 3 3 2 3 2" xfId="42277" xr:uid="{00000000-0005-0000-0000-000017B60000}"/>
    <cellStyle name="Normal 7 3 2 3 3 2 4" xfId="29844" xr:uid="{00000000-0005-0000-0000-000018B60000}"/>
    <cellStyle name="Normal 7 3 2 3 3 3" xfId="6097" xr:uid="{00000000-0005-0000-0000-000019B60000}"/>
    <cellStyle name="Normal 7 3 2 3 3 3 2" xfId="11112" xr:uid="{00000000-0005-0000-0000-00001AB60000}"/>
    <cellStyle name="Normal 7 3 2 3 3 3 2 2" xfId="23555" xr:uid="{00000000-0005-0000-0000-00001BB60000}"/>
    <cellStyle name="Normal 7 3 2 3 3 3 2 2 2" xfId="48429" xr:uid="{00000000-0005-0000-0000-00001CB60000}"/>
    <cellStyle name="Normal 7 3 2 3 3 3 2 3" xfId="35996" xr:uid="{00000000-0005-0000-0000-00001DB60000}"/>
    <cellStyle name="Normal 7 3 2 3 3 3 3" xfId="18548" xr:uid="{00000000-0005-0000-0000-00001EB60000}"/>
    <cellStyle name="Normal 7 3 2 3 3 3 3 2" xfId="43422" xr:uid="{00000000-0005-0000-0000-00001FB60000}"/>
    <cellStyle name="Normal 7 3 2 3 3 3 4" xfId="30989" xr:uid="{00000000-0005-0000-0000-000020B60000}"/>
    <cellStyle name="Normal 7 3 2 3 3 4" xfId="8374" xr:uid="{00000000-0005-0000-0000-000021B60000}"/>
    <cellStyle name="Normal 7 3 2 3 3 4 2" xfId="20818" xr:uid="{00000000-0005-0000-0000-000022B60000}"/>
    <cellStyle name="Normal 7 3 2 3 3 4 2 2" xfId="45692" xr:uid="{00000000-0005-0000-0000-000023B60000}"/>
    <cellStyle name="Normal 7 3 2 3 3 4 3" xfId="33259" xr:uid="{00000000-0005-0000-0000-000024B60000}"/>
    <cellStyle name="Normal 7 3 2 3 3 5" xfId="12566" xr:uid="{00000000-0005-0000-0000-000025B60000}"/>
    <cellStyle name="Normal 7 3 2 3 3 5 2" xfId="25000" xr:uid="{00000000-0005-0000-0000-000026B60000}"/>
    <cellStyle name="Normal 7 3 2 3 3 5 2 2" xfId="49874" xr:uid="{00000000-0005-0000-0000-000027B60000}"/>
    <cellStyle name="Normal 7 3 2 3 3 5 3" xfId="37441" xr:uid="{00000000-0005-0000-0000-000028B60000}"/>
    <cellStyle name="Normal 7 3 2 3 3 6" xfId="7561" xr:uid="{00000000-0005-0000-0000-000029B60000}"/>
    <cellStyle name="Normal 7 3 2 3 3 6 2" xfId="20009" xr:uid="{00000000-0005-0000-0000-00002AB60000}"/>
    <cellStyle name="Normal 7 3 2 3 3 6 2 2" xfId="44883" xr:uid="{00000000-0005-0000-0000-00002BB60000}"/>
    <cellStyle name="Normal 7 3 2 3 3 6 3" xfId="32450" xr:uid="{00000000-0005-0000-0000-00002CB60000}"/>
    <cellStyle name="Normal 7 3 2 3 3 7" xfId="3305" xr:uid="{00000000-0005-0000-0000-00002DB60000}"/>
    <cellStyle name="Normal 7 3 2 3 3 7 2" xfId="15811" xr:uid="{00000000-0005-0000-0000-00002EB60000}"/>
    <cellStyle name="Normal 7 3 2 3 3 7 2 2" xfId="40685" xr:uid="{00000000-0005-0000-0000-00002FB60000}"/>
    <cellStyle name="Normal 7 3 2 3 3 7 3" xfId="28244" xr:uid="{00000000-0005-0000-0000-000030B60000}"/>
    <cellStyle name="Normal 7 3 2 3 3 8" xfId="14751" xr:uid="{00000000-0005-0000-0000-000031B60000}"/>
    <cellStyle name="Normal 7 3 2 3 3 8 2" xfId="39625" xr:uid="{00000000-0005-0000-0000-000032B60000}"/>
    <cellStyle name="Normal 7 3 2 3 3 9" xfId="27184" xr:uid="{00000000-0005-0000-0000-000033B60000}"/>
    <cellStyle name="Normal 7 3 2 3 4" xfId="2323" xr:uid="{00000000-0005-0000-0000-000034B60000}"/>
    <cellStyle name="Normal 7 3 2 3 4 2" xfId="6348" xr:uid="{00000000-0005-0000-0000-000035B60000}"/>
    <cellStyle name="Normal 7 3 2 3 4 2 2" xfId="11363" xr:uid="{00000000-0005-0000-0000-000036B60000}"/>
    <cellStyle name="Normal 7 3 2 3 4 2 2 2" xfId="23806" xr:uid="{00000000-0005-0000-0000-000037B60000}"/>
    <cellStyle name="Normal 7 3 2 3 4 2 2 2 2" xfId="48680" xr:uid="{00000000-0005-0000-0000-000038B60000}"/>
    <cellStyle name="Normal 7 3 2 3 4 2 2 3" xfId="36247" xr:uid="{00000000-0005-0000-0000-000039B60000}"/>
    <cellStyle name="Normal 7 3 2 3 4 2 3" xfId="18799" xr:uid="{00000000-0005-0000-0000-00003AB60000}"/>
    <cellStyle name="Normal 7 3 2 3 4 2 3 2" xfId="43673" xr:uid="{00000000-0005-0000-0000-00003BB60000}"/>
    <cellStyle name="Normal 7 3 2 3 4 2 4" xfId="31240" xr:uid="{00000000-0005-0000-0000-00003CB60000}"/>
    <cellStyle name="Normal 7 3 2 3 4 3" xfId="12817" xr:uid="{00000000-0005-0000-0000-00003DB60000}"/>
    <cellStyle name="Normal 7 3 2 3 4 3 2" xfId="25251" xr:uid="{00000000-0005-0000-0000-00003EB60000}"/>
    <cellStyle name="Normal 7 3 2 3 4 3 2 2" xfId="50125" xr:uid="{00000000-0005-0000-0000-00003FB60000}"/>
    <cellStyle name="Normal 7 3 2 3 4 3 3" xfId="37692" xr:uid="{00000000-0005-0000-0000-000040B60000}"/>
    <cellStyle name="Normal 7 3 2 3 4 4" xfId="9258" xr:uid="{00000000-0005-0000-0000-000041B60000}"/>
    <cellStyle name="Normal 7 3 2 3 4 4 2" xfId="21701" xr:uid="{00000000-0005-0000-0000-000042B60000}"/>
    <cellStyle name="Normal 7 3 2 3 4 4 2 2" xfId="46575" xr:uid="{00000000-0005-0000-0000-000043B60000}"/>
    <cellStyle name="Normal 7 3 2 3 4 4 3" xfId="34142" xr:uid="{00000000-0005-0000-0000-000044B60000}"/>
    <cellStyle name="Normal 7 3 2 3 4 5" xfId="4240" xr:uid="{00000000-0005-0000-0000-000045B60000}"/>
    <cellStyle name="Normal 7 3 2 3 4 5 2" xfId="16694" xr:uid="{00000000-0005-0000-0000-000046B60000}"/>
    <cellStyle name="Normal 7 3 2 3 4 5 2 2" xfId="41568" xr:uid="{00000000-0005-0000-0000-000047B60000}"/>
    <cellStyle name="Normal 7 3 2 3 4 5 3" xfId="29135" xr:uid="{00000000-0005-0000-0000-000048B60000}"/>
    <cellStyle name="Normal 7 3 2 3 4 6" xfId="15002" xr:uid="{00000000-0005-0000-0000-000049B60000}"/>
    <cellStyle name="Normal 7 3 2 3 4 6 2" xfId="39876" xr:uid="{00000000-0005-0000-0000-00004AB60000}"/>
    <cellStyle name="Normal 7 3 2 3 4 7" xfId="27435" xr:uid="{00000000-0005-0000-0000-00004BB60000}"/>
    <cellStyle name="Normal 7 3 2 3 5" xfId="1159" xr:uid="{00000000-0005-0000-0000-00004CB60000}"/>
    <cellStyle name="Normal 7 3 2 3 5 2" xfId="10320" xr:uid="{00000000-0005-0000-0000-00004DB60000}"/>
    <cellStyle name="Normal 7 3 2 3 5 2 2" xfId="22763" xr:uid="{00000000-0005-0000-0000-00004EB60000}"/>
    <cellStyle name="Normal 7 3 2 3 5 2 2 2" xfId="47637" xr:uid="{00000000-0005-0000-0000-00004FB60000}"/>
    <cellStyle name="Normal 7 3 2 3 5 2 3" xfId="35204" xr:uid="{00000000-0005-0000-0000-000050B60000}"/>
    <cellStyle name="Normal 7 3 2 3 5 3" xfId="5304" xr:uid="{00000000-0005-0000-0000-000051B60000}"/>
    <cellStyle name="Normal 7 3 2 3 5 3 2" xfId="17756" xr:uid="{00000000-0005-0000-0000-000052B60000}"/>
    <cellStyle name="Normal 7 3 2 3 5 3 2 2" xfId="42630" xr:uid="{00000000-0005-0000-0000-000053B60000}"/>
    <cellStyle name="Normal 7 3 2 3 5 3 3" xfId="30197" xr:uid="{00000000-0005-0000-0000-000054B60000}"/>
    <cellStyle name="Normal 7 3 2 3 5 4" xfId="13959" xr:uid="{00000000-0005-0000-0000-000055B60000}"/>
    <cellStyle name="Normal 7 3 2 3 5 4 2" xfId="38833" xr:uid="{00000000-0005-0000-0000-000056B60000}"/>
    <cellStyle name="Normal 7 3 2 3 5 5" xfId="26392" xr:uid="{00000000-0005-0000-0000-000057B60000}"/>
    <cellStyle name="Normal 7 3 2 3 6" xfId="7881" xr:uid="{00000000-0005-0000-0000-000058B60000}"/>
    <cellStyle name="Normal 7 3 2 3 6 2" xfId="20327" xr:uid="{00000000-0005-0000-0000-000059B60000}"/>
    <cellStyle name="Normal 7 3 2 3 6 2 2" xfId="45201" xr:uid="{00000000-0005-0000-0000-00005AB60000}"/>
    <cellStyle name="Normal 7 3 2 3 6 3" xfId="32768" xr:uid="{00000000-0005-0000-0000-00005BB60000}"/>
    <cellStyle name="Normal 7 3 2 3 7" xfId="11774" xr:uid="{00000000-0005-0000-0000-00005CB60000}"/>
    <cellStyle name="Normal 7 3 2 3 7 2" xfId="24208" xr:uid="{00000000-0005-0000-0000-00005DB60000}"/>
    <cellStyle name="Normal 7 3 2 3 7 2 2" xfId="49082" xr:uid="{00000000-0005-0000-0000-00005EB60000}"/>
    <cellStyle name="Normal 7 3 2 3 7 3" xfId="36649" xr:uid="{00000000-0005-0000-0000-00005FB60000}"/>
    <cellStyle name="Normal 7 3 2 3 8" xfId="6851" xr:uid="{00000000-0005-0000-0000-000060B60000}"/>
    <cellStyle name="Normal 7 3 2 3 8 2" xfId="19300" xr:uid="{00000000-0005-0000-0000-000061B60000}"/>
    <cellStyle name="Normal 7 3 2 3 8 2 2" xfId="44174" xr:uid="{00000000-0005-0000-0000-000062B60000}"/>
    <cellStyle name="Normal 7 3 2 3 8 3" xfId="31741" xr:uid="{00000000-0005-0000-0000-000063B60000}"/>
    <cellStyle name="Normal 7 3 2 3 9" xfId="2802" xr:uid="{00000000-0005-0000-0000-000064B60000}"/>
    <cellStyle name="Normal 7 3 2 3 9 2" xfId="15320" xr:uid="{00000000-0005-0000-0000-000065B60000}"/>
    <cellStyle name="Normal 7 3 2 3 9 2 2" xfId="40194" xr:uid="{00000000-0005-0000-0000-000066B60000}"/>
    <cellStyle name="Normal 7 3 2 3 9 3" xfId="27753" xr:uid="{00000000-0005-0000-0000-000067B60000}"/>
    <cellStyle name="Normal 7 3 2 3_Degree data" xfId="2577" xr:uid="{00000000-0005-0000-0000-000068B60000}"/>
    <cellStyle name="Normal 7 3 2 4" xfId="303" xr:uid="{00000000-0005-0000-0000-000069B60000}"/>
    <cellStyle name="Normal 7 3 2 4 2" xfId="1601" xr:uid="{00000000-0005-0000-0000-00006AB60000}"/>
    <cellStyle name="Normal 7 3 2 4 2 2" xfId="9158" xr:uid="{00000000-0005-0000-0000-00006BB60000}"/>
    <cellStyle name="Normal 7 3 2 4 2 2 2" xfId="21601" xr:uid="{00000000-0005-0000-0000-00006CB60000}"/>
    <cellStyle name="Normal 7 3 2 4 2 2 2 2" xfId="46475" xr:uid="{00000000-0005-0000-0000-00006DB60000}"/>
    <cellStyle name="Normal 7 3 2 4 2 2 3" xfId="34042" xr:uid="{00000000-0005-0000-0000-00006EB60000}"/>
    <cellStyle name="Normal 7 3 2 4 2 3" xfId="4140" xr:uid="{00000000-0005-0000-0000-00006FB60000}"/>
    <cellStyle name="Normal 7 3 2 4 2 3 2" xfId="16594" xr:uid="{00000000-0005-0000-0000-000070B60000}"/>
    <cellStyle name="Normal 7 3 2 4 2 3 2 2" xfId="41468" xr:uid="{00000000-0005-0000-0000-000071B60000}"/>
    <cellStyle name="Normal 7 3 2 4 2 3 3" xfId="29035" xr:uid="{00000000-0005-0000-0000-000072B60000}"/>
    <cellStyle name="Normal 7 3 2 4 2 4" xfId="14401" xr:uid="{00000000-0005-0000-0000-000073B60000}"/>
    <cellStyle name="Normal 7 3 2 4 2 4 2" xfId="39275" xr:uid="{00000000-0005-0000-0000-000074B60000}"/>
    <cellStyle name="Normal 7 3 2 4 2 5" xfId="26834" xr:uid="{00000000-0005-0000-0000-000075B60000}"/>
    <cellStyle name="Normal 7 3 2 4 3" xfId="5747" xr:uid="{00000000-0005-0000-0000-000076B60000}"/>
    <cellStyle name="Normal 7 3 2 4 3 2" xfId="10762" xr:uid="{00000000-0005-0000-0000-000077B60000}"/>
    <cellStyle name="Normal 7 3 2 4 3 2 2" xfId="23205" xr:uid="{00000000-0005-0000-0000-000078B60000}"/>
    <cellStyle name="Normal 7 3 2 4 3 2 2 2" xfId="48079" xr:uid="{00000000-0005-0000-0000-000079B60000}"/>
    <cellStyle name="Normal 7 3 2 4 3 2 3" xfId="35646" xr:uid="{00000000-0005-0000-0000-00007AB60000}"/>
    <cellStyle name="Normal 7 3 2 4 3 3" xfId="18198" xr:uid="{00000000-0005-0000-0000-00007BB60000}"/>
    <cellStyle name="Normal 7 3 2 4 3 3 2" xfId="43072" xr:uid="{00000000-0005-0000-0000-00007CB60000}"/>
    <cellStyle name="Normal 7 3 2 4 3 4" xfId="30639" xr:uid="{00000000-0005-0000-0000-00007DB60000}"/>
    <cellStyle name="Normal 7 3 2 4 4" xfId="8274" xr:uid="{00000000-0005-0000-0000-00007EB60000}"/>
    <cellStyle name="Normal 7 3 2 4 4 2" xfId="20718" xr:uid="{00000000-0005-0000-0000-00007FB60000}"/>
    <cellStyle name="Normal 7 3 2 4 4 2 2" xfId="45592" xr:uid="{00000000-0005-0000-0000-000080B60000}"/>
    <cellStyle name="Normal 7 3 2 4 4 3" xfId="33159" xr:uid="{00000000-0005-0000-0000-000081B60000}"/>
    <cellStyle name="Normal 7 3 2 4 5" xfId="12216" xr:uid="{00000000-0005-0000-0000-000082B60000}"/>
    <cellStyle name="Normal 7 3 2 4 5 2" xfId="24650" xr:uid="{00000000-0005-0000-0000-000083B60000}"/>
    <cellStyle name="Normal 7 3 2 4 5 2 2" xfId="49524" xr:uid="{00000000-0005-0000-0000-000084B60000}"/>
    <cellStyle name="Normal 7 3 2 4 5 3" xfId="37091" xr:uid="{00000000-0005-0000-0000-000085B60000}"/>
    <cellStyle name="Normal 7 3 2 4 6" xfId="6751" xr:uid="{00000000-0005-0000-0000-000086B60000}"/>
    <cellStyle name="Normal 7 3 2 4 6 2" xfId="19200" xr:uid="{00000000-0005-0000-0000-000087B60000}"/>
    <cellStyle name="Normal 7 3 2 4 6 2 2" xfId="44074" xr:uid="{00000000-0005-0000-0000-000088B60000}"/>
    <cellStyle name="Normal 7 3 2 4 6 3" xfId="31641" xr:uid="{00000000-0005-0000-0000-000089B60000}"/>
    <cellStyle name="Normal 7 3 2 4 7" xfId="3205" xr:uid="{00000000-0005-0000-0000-00008AB60000}"/>
    <cellStyle name="Normal 7 3 2 4 7 2" xfId="15711" xr:uid="{00000000-0005-0000-0000-00008BB60000}"/>
    <cellStyle name="Normal 7 3 2 4 7 2 2" xfId="40585" xr:uid="{00000000-0005-0000-0000-00008CB60000}"/>
    <cellStyle name="Normal 7 3 2 4 7 3" xfId="28144" xr:uid="{00000000-0005-0000-0000-00008DB60000}"/>
    <cellStyle name="Normal 7 3 2 4 8" xfId="13121" xr:uid="{00000000-0005-0000-0000-00008EB60000}"/>
    <cellStyle name="Normal 7 3 2 4 8 2" xfId="37995" xr:uid="{00000000-0005-0000-0000-00008FB60000}"/>
    <cellStyle name="Normal 7 3 2 4 9" xfId="25554" xr:uid="{00000000-0005-0000-0000-000090B60000}"/>
    <cellStyle name="Normal 7 3 2 5" xfId="664" xr:uid="{00000000-0005-0000-0000-000091B60000}"/>
    <cellStyle name="Normal 7 3 2 5 2" xfId="1949" xr:uid="{00000000-0005-0000-0000-000092B60000}"/>
    <cellStyle name="Normal 7 3 2 5 2 2" xfId="9705" xr:uid="{00000000-0005-0000-0000-000093B60000}"/>
    <cellStyle name="Normal 7 3 2 5 2 2 2" xfId="22148" xr:uid="{00000000-0005-0000-0000-000094B60000}"/>
    <cellStyle name="Normal 7 3 2 5 2 2 2 2" xfId="47022" xr:uid="{00000000-0005-0000-0000-000095B60000}"/>
    <cellStyle name="Normal 7 3 2 5 2 2 3" xfId="34589" xr:uid="{00000000-0005-0000-0000-000096B60000}"/>
    <cellStyle name="Normal 7 3 2 5 2 3" xfId="4687" xr:uid="{00000000-0005-0000-0000-000097B60000}"/>
    <cellStyle name="Normal 7 3 2 5 2 3 2" xfId="17141" xr:uid="{00000000-0005-0000-0000-000098B60000}"/>
    <cellStyle name="Normal 7 3 2 5 2 3 2 2" xfId="42015" xr:uid="{00000000-0005-0000-0000-000099B60000}"/>
    <cellStyle name="Normal 7 3 2 5 2 3 3" xfId="29582" xr:uid="{00000000-0005-0000-0000-00009AB60000}"/>
    <cellStyle name="Normal 7 3 2 5 2 4" xfId="14749" xr:uid="{00000000-0005-0000-0000-00009BB60000}"/>
    <cellStyle name="Normal 7 3 2 5 2 4 2" xfId="39623" xr:uid="{00000000-0005-0000-0000-00009CB60000}"/>
    <cellStyle name="Normal 7 3 2 5 2 5" xfId="27182" xr:uid="{00000000-0005-0000-0000-00009DB60000}"/>
    <cellStyle name="Normal 7 3 2 5 3" xfId="6095" xr:uid="{00000000-0005-0000-0000-00009EB60000}"/>
    <cellStyle name="Normal 7 3 2 5 3 2" xfId="11110" xr:uid="{00000000-0005-0000-0000-00009FB60000}"/>
    <cellStyle name="Normal 7 3 2 5 3 2 2" xfId="23553" xr:uid="{00000000-0005-0000-0000-0000A0B60000}"/>
    <cellStyle name="Normal 7 3 2 5 3 2 2 2" xfId="48427" xr:uid="{00000000-0005-0000-0000-0000A1B60000}"/>
    <cellStyle name="Normal 7 3 2 5 3 2 3" xfId="35994" xr:uid="{00000000-0005-0000-0000-0000A2B60000}"/>
    <cellStyle name="Normal 7 3 2 5 3 3" xfId="18546" xr:uid="{00000000-0005-0000-0000-0000A3B60000}"/>
    <cellStyle name="Normal 7 3 2 5 3 3 2" xfId="43420" xr:uid="{00000000-0005-0000-0000-0000A4B60000}"/>
    <cellStyle name="Normal 7 3 2 5 3 4" xfId="30987" xr:uid="{00000000-0005-0000-0000-0000A5B60000}"/>
    <cellStyle name="Normal 7 3 2 5 4" xfId="8821" xr:uid="{00000000-0005-0000-0000-0000A6B60000}"/>
    <cellStyle name="Normal 7 3 2 5 4 2" xfId="21265" xr:uid="{00000000-0005-0000-0000-0000A7B60000}"/>
    <cellStyle name="Normal 7 3 2 5 4 2 2" xfId="46139" xr:uid="{00000000-0005-0000-0000-0000A8B60000}"/>
    <cellStyle name="Normal 7 3 2 5 4 3" xfId="33706" xr:uid="{00000000-0005-0000-0000-0000A9B60000}"/>
    <cellStyle name="Normal 7 3 2 5 5" xfId="12564" xr:uid="{00000000-0005-0000-0000-0000AAB60000}"/>
    <cellStyle name="Normal 7 3 2 5 5 2" xfId="24998" xr:uid="{00000000-0005-0000-0000-0000ABB60000}"/>
    <cellStyle name="Normal 7 3 2 5 5 2 2" xfId="49872" xr:uid="{00000000-0005-0000-0000-0000ACB60000}"/>
    <cellStyle name="Normal 7 3 2 5 5 3" xfId="37439" xr:uid="{00000000-0005-0000-0000-0000ADB60000}"/>
    <cellStyle name="Normal 7 3 2 5 6" xfId="7298" xr:uid="{00000000-0005-0000-0000-0000AEB60000}"/>
    <cellStyle name="Normal 7 3 2 5 6 2" xfId="19747" xr:uid="{00000000-0005-0000-0000-0000AFB60000}"/>
    <cellStyle name="Normal 7 3 2 5 6 2 2" xfId="44621" xr:uid="{00000000-0005-0000-0000-0000B0B60000}"/>
    <cellStyle name="Normal 7 3 2 5 6 3" xfId="32188" xr:uid="{00000000-0005-0000-0000-0000B1B60000}"/>
    <cellStyle name="Normal 7 3 2 5 7" xfId="3752" xr:uid="{00000000-0005-0000-0000-0000B2B60000}"/>
    <cellStyle name="Normal 7 3 2 5 7 2" xfId="16258" xr:uid="{00000000-0005-0000-0000-0000B3B60000}"/>
    <cellStyle name="Normal 7 3 2 5 7 2 2" xfId="41132" xr:uid="{00000000-0005-0000-0000-0000B4B60000}"/>
    <cellStyle name="Normal 7 3 2 5 7 3" xfId="28691" xr:uid="{00000000-0005-0000-0000-0000B5B60000}"/>
    <cellStyle name="Normal 7 3 2 5 8" xfId="13468" xr:uid="{00000000-0005-0000-0000-0000B6B60000}"/>
    <cellStyle name="Normal 7 3 2 5 8 2" xfId="38342" xr:uid="{00000000-0005-0000-0000-0000B7B60000}"/>
    <cellStyle name="Normal 7 3 2 5 9" xfId="25901" xr:uid="{00000000-0005-0000-0000-0000B8B60000}"/>
    <cellStyle name="Normal 7 3 2 6" xfId="2221" xr:uid="{00000000-0005-0000-0000-0000B9B60000}"/>
    <cellStyle name="Normal 7 3 2 6 2" xfId="4850" xr:uid="{00000000-0005-0000-0000-0000BAB60000}"/>
    <cellStyle name="Normal 7 3 2 6 2 2" xfId="9867" xr:uid="{00000000-0005-0000-0000-0000BBB60000}"/>
    <cellStyle name="Normal 7 3 2 6 2 2 2" xfId="22310" xr:uid="{00000000-0005-0000-0000-0000BCB60000}"/>
    <cellStyle name="Normal 7 3 2 6 2 2 2 2" xfId="47184" xr:uid="{00000000-0005-0000-0000-0000BDB60000}"/>
    <cellStyle name="Normal 7 3 2 6 2 2 3" xfId="34751" xr:uid="{00000000-0005-0000-0000-0000BEB60000}"/>
    <cellStyle name="Normal 7 3 2 6 2 3" xfId="17303" xr:uid="{00000000-0005-0000-0000-0000BFB60000}"/>
    <cellStyle name="Normal 7 3 2 6 2 3 2" xfId="42177" xr:uid="{00000000-0005-0000-0000-0000C0B60000}"/>
    <cellStyle name="Normal 7 3 2 6 2 4" xfId="29744" xr:uid="{00000000-0005-0000-0000-0000C1B60000}"/>
    <cellStyle name="Normal 7 3 2 6 3" xfId="6248" xr:uid="{00000000-0005-0000-0000-0000C2B60000}"/>
    <cellStyle name="Normal 7 3 2 6 3 2" xfId="11263" xr:uid="{00000000-0005-0000-0000-0000C3B60000}"/>
    <cellStyle name="Normal 7 3 2 6 3 2 2" xfId="23706" xr:uid="{00000000-0005-0000-0000-0000C4B60000}"/>
    <cellStyle name="Normal 7 3 2 6 3 2 2 2" xfId="48580" xr:uid="{00000000-0005-0000-0000-0000C5B60000}"/>
    <cellStyle name="Normal 7 3 2 6 3 2 3" xfId="36147" xr:uid="{00000000-0005-0000-0000-0000C6B60000}"/>
    <cellStyle name="Normal 7 3 2 6 3 3" xfId="18699" xr:uid="{00000000-0005-0000-0000-0000C7B60000}"/>
    <cellStyle name="Normal 7 3 2 6 3 3 2" xfId="43573" xr:uid="{00000000-0005-0000-0000-0000C8B60000}"/>
    <cellStyle name="Normal 7 3 2 6 3 4" xfId="31140" xr:uid="{00000000-0005-0000-0000-0000C9B60000}"/>
    <cellStyle name="Normal 7 3 2 6 4" xfId="8055" xr:uid="{00000000-0005-0000-0000-0000CAB60000}"/>
    <cellStyle name="Normal 7 3 2 6 4 2" xfId="20501" xr:uid="{00000000-0005-0000-0000-0000CBB60000}"/>
    <cellStyle name="Normal 7 3 2 6 4 2 2" xfId="45375" xr:uid="{00000000-0005-0000-0000-0000CCB60000}"/>
    <cellStyle name="Normal 7 3 2 6 4 3" xfId="32942" xr:uid="{00000000-0005-0000-0000-0000CDB60000}"/>
    <cellStyle name="Normal 7 3 2 6 5" xfId="12717" xr:uid="{00000000-0005-0000-0000-0000CEB60000}"/>
    <cellStyle name="Normal 7 3 2 6 5 2" xfId="25151" xr:uid="{00000000-0005-0000-0000-0000CFB60000}"/>
    <cellStyle name="Normal 7 3 2 6 5 2 2" xfId="50025" xr:uid="{00000000-0005-0000-0000-0000D0B60000}"/>
    <cellStyle name="Normal 7 3 2 6 5 3" xfId="37592" xr:uid="{00000000-0005-0000-0000-0000D1B60000}"/>
    <cellStyle name="Normal 7 3 2 6 6" xfId="7461" xr:uid="{00000000-0005-0000-0000-0000D2B60000}"/>
    <cellStyle name="Normal 7 3 2 6 6 2" xfId="19909" xr:uid="{00000000-0005-0000-0000-0000D3B60000}"/>
    <cellStyle name="Normal 7 3 2 6 6 2 2" xfId="44783" xr:uid="{00000000-0005-0000-0000-0000D4B60000}"/>
    <cellStyle name="Normal 7 3 2 6 6 3" xfId="32350" xr:uid="{00000000-0005-0000-0000-0000D5B60000}"/>
    <cellStyle name="Normal 7 3 2 6 7" xfId="2982" xr:uid="{00000000-0005-0000-0000-0000D6B60000}"/>
    <cellStyle name="Normal 7 3 2 6 7 2" xfId="15494" xr:uid="{00000000-0005-0000-0000-0000D7B60000}"/>
    <cellStyle name="Normal 7 3 2 6 7 2 2" xfId="40368" xr:uid="{00000000-0005-0000-0000-0000D8B60000}"/>
    <cellStyle name="Normal 7 3 2 6 7 3" xfId="27927" xr:uid="{00000000-0005-0000-0000-0000D9B60000}"/>
    <cellStyle name="Normal 7 3 2 6 8" xfId="14902" xr:uid="{00000000-0005-0000-0000-0000DAB60000}"/>
    <cellStyle name="Normal 7 3 2 6 8 2" xfId="39776" xr:uid="{00000000-0005-0000-0000-0000DBB60000}"/>
    <cellStyle name="Normal 7 3 2 6 9" xfId="27335" xr:uid="{00000000-0005-0000-0000-0000DCB60000}"/>
    <cellStyle name="Normal 7 3 2 7" xfId="1059" xr:uid="{00000000-0005-0000-0000-0000DDB60000}"/>
    <cellStyle name="Normal 7 3 2 7 2" xfId="8941" xr:uid="{00000000-0005-0000-0000-0000DEB60000}"/>
    <cellStyle name="Normal 7 3 2 7 2 2" xfId="21384" xr:uid="{00000000-0005-0000-0000-0000DFB60000}"/>
    <cellStyle name="Normal 7 3 2 7 2 2 2" xfId="46258" xr:uid="{00000000-0005-0000-0000-0000E0B60000}"/>
    <cellStyle name="Normal 7 3 2 7 2 3" xfId="33825" xr:uid="{00000000-0005-0000-0000-0000E1B60000}"/>
    <cellStyle name="Normal 7 3 2 7 3" xfId="3923" xr:uid="{00000000-0005-0000-0000-0000E2B60000}"/>
    <cellStyle name="Normal 7 3 2 7 3 2" xfId="16377" xr:uid="{00000000-0005-0000-0000-0000E3B60000}"/>
    <cellStyle name="Normal 7 3 2 7 3 2 2" xfId="41251" xr:uid="{00000000-0005-0000-0000-0000E4B60000}"/>
    <cellStyle name="Normal 7 3 2 7 3 3" xfId="28818" xr:uid="{00000000-0005-0000-0000-0000E5B60000}"/>
    <cellStyle name="Normal 7 3 2 7 4" xfId="13859" xr:uid="{00000000-0005-0000-0000-0000E6B60000}"/>
    <cellStyle name="Normal 7 3 2 7 4 2" xfId="38733" xr:uid="{00000000-0005-0000-0000-0000E7B60000}"/>
    <cellStyle name="Normal 7 3 2 7 5" xfId="26292" xr:uid="{00000000-0005-0000-0000-0000E8B60000}"/>
    <cellStyle name="Normal 7 3 2 8" xfId="5204" xr:uid="{00000000-0005-0000-0000-0000E9B60000}"/>
    <cellStyle name="Normal 7 3 2 8 2" xfId="10220" xr:uid="{00000000-0005-0000-0000-0000EAB60000}"/>
    <cellStyle name="Normal 7 3 2 8 2 2" xfId="22663" xr:uid="{00000000-0005-0000-0000-0000EBB60000}"/>
    <cellStyle name="Normal 7 3 2 8 2 2 2" xfId="47537" xr:uid="{00000000-0005-0000-0000-0000ECB60000}"/>
    <cellStyle name="Normal 7 3 2 8 2 3" xfId="35104" xr:uid="{00000000-0005-0000-0000-0000EDB60000}"/>
    <cellStyle name="Normal 7 3 2 8 3" xfId="17656" xr:uid="{00000000-0005-0000-0000-0000EEB60000}"/>
    <cellStyle name="Normal 7 3 2 8 3 2" xfId="42530" xr:uid="{00000000-0005-0000-0000-0000EFB60000}"/>
    <cellStyle name="Normal 7 3 2 8 4" xfId="30097" xr:uid="{00000000-0005-0000-0000-0000F0B60000}"/>
    <cellStyle name="Normal 7 3 2 9" xfId="7781" xr:uid="{00000000-0005-0000-0000-0000F1B60000}"/>
    <cellStyle name="Normal 7 3 2 9 2" xfId="20227" xr:uid="{00000000-0005-0000-0000-0000F2B60000}"/>
    <cellStyle name="Normal 7 3 2 9 2 2" xfId="45101" xr:uid="{00000000-0005-0000-0000-0000F3B60000}"/>
    <cellStyle name="Normal 7 3 2 9 3" xfId="32668" xr:uid="{00000000-0005-0000-0000-0000F4B60000}"/>
    <cellStyle name="Normal 7 3 2_Degree data" xfId="2575" xr:uid="{00000000-0005-0000-0000-0000F5B60000}"/>
    <cellStyle name="Normal 7 3 3" xfId="348" xr:uid="{00000000-0005-0000-0000-0000F6B60000}"/>
    <cellStyle name="Normal 7 3 3 10" xfId="6577" xr:uid="{00000000-0005-0000-0000-0000F7B60000}"/>
    <cellStyle name="Normal 7 3 3 10 2" xfId="19026" xr:uid="{00000000-0005-0000-0000-0000F8B60000}"/>
    <cellStyle name="Normal 7 3 3 10 2 2" xfId="43900" xr:uid="{00000000-0005-0000-0000-0000F9B60000}"/>
    <cellStyle name="Normal 7 3 3 10 3" xfId="31467" xr:uid="{00000000-0005-0000-0000-0000FAB60000}"/>
    <cellStyle name="Normal 7 3 3 11" xfId="2745" xr:uid="{00000000-0005-0000-0000-0000FBB60000}"/>
    <cellStyle name="Normal 7 3 3 11 2" xfId="15263" xr:uid="{00000000-0005-0000-0000-0000FCB60000}"/>
    <cellStyle name="Normal 7 3 3 11 2 2" xfId="40137" xr:uid="{00000000-0005-0000-0000-0000FDB60000}"/>
    <cellStyle name="Normal 7 3 3 11 3" xfId="27696" xr:uid="{00000000-0005-0000-0000-0000FEB60000}"/>
    <cellStyle name="Normal 7 3 3 12" xfId="13164" xr:uid="{00000000-0005-0000-0000-0000FFB60000}"/>
    <cellStyle name="Normal 7 3 3 12 2" xfId="38038" xr:uid="{00000000-0005-0000-0000-000000B70000}"/>
    <cellStyle name="Normal 7 3 3 13" xfId="25597" xr:uid="{00000000-0005-0000-0000-000001B70000}"/>
    <cellStyle name="Normal 7 3 3 2" xfId="450" xr:uid="{00000000-0005-0000-0000-000002B70000}"/>
    <cellStyle name="Normal 7 3 3 2 10" xfId="13264" xr:uid="{00000000-0005-0000-0000-000003B70000}"/>
    <cellStyle name="Normal 7 3 3 2 10 2" xfId="38138" xr:uid="{00000000-0005-0000-0000-000004B70000}"/>
    <cellStyle name="Normal 7 3 3 2 11" xfId="25697" xr:uid="{00000000-0005-0000-0000-000005B70000}"/>
    <cellStyle name="Normal 7 3 3 2 2" xfId="810" xr:uid="{00000000-0005-0000-0000-000006B70000}"/>
    <cellStyle name="Normal 7 3 3 2 2 2" xfId="1605" xr:uid="{00000000-0005-0000-0000-000007B70000}"/>
    <cellStyle name="Normal 7 3 3 2 2 2 2" xfId="9709" xr:uid="{00000000-0005-0000-0000-000008B70000}"/>
    <cellStyle name="Normal 7 3 3 2 2 2 2 2" xfId="22152" xr:uid="{00000000-0005-0000-0000-000009B70000}"/>
    <cellStyle name="Normal 7 3 3 2 2 2 2 2 2" xfId="47026" xr:uid="{00000000-0005-0000-0000-00000AB70000}"/>
    <cellStyle name="Normal 7 3 3 2 2 2 2 3" xfId="34593" xr:uid="{00000000-0005-0000-0000-00000BB70000}"/>
    <cellStyle name="Normal 7 3 3 2 2 2 3" xfId="4691" xr:uid="{00000000-0005-0000-0000-00000CB70000}"/>
    <cellStyle name="Normal 7 3 3 2 2 2 3 2" xfId="17145" xr:uid="{00000000-0005-0000-0000-00000DB70000}"/>
    <cellStyle name="Normal 7 3 3 2 2 2 3 2 2" xfId="42019" xr:uid="{00000000-0005-0000-0000-00000EB70000}"/>
    <cellStyle name="Normal 7 3 3 2 2 2 3 3" xfId="29586" xr:uid="{00000000-0005-0000-0000-00000FB70000}"/>
    <cellStyle name="Normal 7 3 3 2 2 2 4" xfId="14405" xr:uid="{00000000-0005-0000-0000-000010B70000}"/>
    <cellStyle name="Normal 7 3 3 2 2 2 4 2" xfId="39279" xr:uid="{00000000-0005-0000-0000-000011B70000}"/>
    <cellStyle name="Normal 7 3 3 2 2 2 5" xfId="26838" xr:uid="{00000000-0005-0000-0000-000012B70000}"/>
    <cellStyle name="Normal 7 3 3 2 2 3" xfId="5751" xr:uid="{00000000-0005-0000-0000-000013B70000}"/>
    <cellStyle name="Normal 7 3 3 2 2 3 2" xfId="10766" xr:uid="{00000000-0005-0000-0000-000014B70000}"/>
    <cellStyle name="Normal 7 3 3 2 2 3 2 2" xfId="23209" xr:uid="{00000000-0005-0000-0000-000015B70000}"/>
    <cellStyle name="Normal 7 3 3 2 2 3 2 2 2" xfId="48083" xr:uid="{00000000-0005-0000-0000-000016B70000}"/>
    <cellStyle name="Normal 7 3 3 2 2 3 2 3" xfId="35650" xr:uid="{00000000-0005-0000-0000-000017B70000}"/>
    <cellStyle name="Normal 7 3 3 2 2 3 3" xfId="18202" xr:uid="{00000000-0005-0000-0000-000018B70000}"/>
    <cellStyle name="Normal 7 3 3 2 2 3 3 2" xfId="43076" xr:uid="{00000000-0005-0000-0000-000019B70000}"/>
    <cellStyle name="Normal 7 3 3 2 2 3 4" xfId="30643" xr:uid="{00000000-0005-0000-0000-00001AB70000}"/>
    <cellStyle name="Normal 7 3 3 2 2 4" xfId="8825" xr:uid="{00000000-0005-0000-0000-00001BB70000}"/>
    <cellStyle name="Normal 7 3 3 2 2 4 2" xfId="21269" xr:uid="{00000000-0005-0000-0000-00001CB70000}"/>
    <cellStyle name="Normal 7 3 3 2 2 4 2 2" xfId="46143" xr:uid="{00000000-0005-0000-0000-00001DB70000}"/>
    <cellStyle name="Normal 7 3 3 2 2 4 3" xfId="33710" xr:uid="{00000000-0005-0000-0000-00001EB70000}"/>
    <cellStyle name="Normal 7 3 3 2 2 5" xfId="12220" xr:uid="{00000000-0005-0000-0000-00001FB70000}"/>
    <cellStyle name="Normal 7 3 3 2 2 5 2" xfId="24654" xr:uid="{00000000-0005-0000-0000-000020B70000}"/>
    <cellStyle name="Normal 7 3 3 2 2 5 2 2" xfId="49528" xr:uid="{00000000-0005-0000-0000-000021B70000}"/>
    <cellStyle name="Normal 7 3 3 2 2 5 3" xfId="37095" xr:uid="{00000000-0005-0000-0000-000022B70000}"/>
    <cellStyle name="Normal 7 3 3 2 2 6" xfId="7302" xr:uid="{00000000-0005-0000-0000-000023B70000}"/>
    <cellStyle name="Normal 7 3 3 2 2 6 2" xfId="19751" xr:uid="{00000000-0005-0000-0000-000024B70000}"/>
    <cellStyle name="Normal 7 3 3 2 2 6 2 2" xfId="44625" xr:uid="{00000000-0005-0000-0000-000025B70000}"/>
    <cellStyle name="Normal 7 3 3 2 2 6 3" xfId="32192" xr:uid="{00000000-0005-0000-0000-000026B70000}"/>
    <cellStyle name="Normal 7 3 3 2 2 7" xfId="3756" xr:uid="{00000000-0005-0000-0000-000027B70000}"/>
    <cellStyle name="Normal 7 3 3 2 2 7 2" xfId="16262" xr:uid="{00000000-0005-0000-0000-000028B70000}"/>
    <cellStyle name="Normal 7 3 3 2 2 7 2 2" xfId="41136" xr:uid="{00000000-0005-0000-0000-000029B70000}"/>
    <cellStyle name="Normal 7 3 3 2 2 7 3" xfId="28695" xr:uid="{00000000-0005-0000-0000-00002AB70000}"/>
    <cellStyle name="Normal 7 3 3 2 2 8" xfId="13611" xr:uid="{00000000-0005-0000-0000-00002BB70000}"/>
    <cellStyle name="Normal 7 3 3 2 2 8 2" xfId="38485" xr:uid="{00000000-0005-0000-0000-00002CB70000}"/>
    <cellStyle name="Normal 7 3 3 2 2 9" xfId="26044" xr:uid="{00000000-0005-0000-0000-00002DB70000}"/>
    <cellStyle name="Normal 7 3 3 2 3" xfId="1953" xr:uid="{00000000-0005-0000-0000-00002EB70000}"/>
    <cellStyle name="Normal 7 3 3 2 3 2" xfId="4993" xr:uid="{00000000-0005-0000-0000-00002FB70000}"/>
    <cellStyle name="Normal 7 3 3 2 3 2 2" xfId="10010" xr:uid="{00000000-0005-0000-0000-000030B70000}"/>
    <cellStyle name="Normal 7 3 3 2 3 2 2 2" xfId="22453" xr:uid="{00000000-0005-0000-0000-000031B70000}"/>
    <cellStyle name="Normal 7 3 3 2 3 2 2 2 2" xfId="47327" xr:uid="{00000000-0005-0000-0000-000032B70000}"/>
    <cellStyle name="Normal 7 3 3 2 3 2 2 3" xfId="34894" xr:uid="{00000000-0005-0000-0000-000033B70000}"/>
    <cellStyle name="Normal 7 3 3 2 3 2 3" xfId="17446" xr:uid="{00000000-0005-0000-0000-000034B70000}"/>
    <cellStyle name="Normal 7 3 3 2 3 2 3 2" xfId="42320" xr:uid="{00000000-0005-0000-0000-000035B70000}"/>
    <cellStyle name="Normal 7 3 3 2 3 2 4" xfId="29887" xr:uid="{00000000-0005-0000-0000-000036B70000}"/>
    <cellStyle name="Normal 7 3 3 2 3 3" xfId="6099" xr:uid="{00000000-0005-0000-0000-000037B70000}"/>
    <cellStyle name="Normal 7 3 3 2 3 3 2" xfId="11114" xr:uid="{00000000-0005-0000-0000-000038B70000}"/>
    <cellStyle name="Normal 7 3 3 2 3 3 2 2" xfId="23557" xr:uid="{00000000-0005-0000-0000-000039B70000}"/>
    <cellStyle name="Normal 7 3 3 2 3 3 2 2 2" xfId="48431" xr:uid="{00000000-0005-0000-0000-00003AB70000}"/>
    <cellStyle name="Normal 7 3 3 2 3 3 2 3" xfId="35998" xr:uid="{00000000-0005-0000-0000-00003BB70000}"/>
    <cellStyle name="Normal 7 3 3 2 3 3 3" xfId="18550" xr:uid="{00000000-0005-0000-0000-00003CB70000}"/>
    <cellStyle name="Normal 7 3 3 2 3 3 3 2" xfId="43424" xr:uid="{00000000-0005-0000-0000-00003DB70000}"/>
    <cellStyle name="Normal 7 3 3 2 3 3 4" xfId="30991" xr:uid="{00000000-0005-0000-0000-00003EB70000}"/>
    <cellStyle name="Normal 7 3 3 2 3 4" xfId="8417" xr:uid="{00000000-0005-0000-0000-00003FB70000}"/>
    <cellStyle name="Normal 7 3 3 2 3 4 2" xfId="20861" xr:uid="{00000000-0005-0000-0000-000040B70000}"/>
    <cellStyle name="Normal 7 3 3 2 3 4 2 2" xfId="45735" xr:uid="{00000000-0005-0000-0000-000041B70000}"/>
    <cellStyle name="Normal 7 3 3 2 3 4 3" xfId="33302" xr:uid="{00000000-0005-0000-0000-000042B70000}"/>
    <cellStyle name="Normal 7 3 3 2 3 5" xfId="12568" xr:uid="{00000000-0005-0000-0000-000043B70000}"/>
    <cellStyle name="Normal 7 3 3 2 3 5 2" xfId="25002" xr:uid="{00000000-0005-0000-0000-000044B70000}"/>
    <cellStyle name="Normal 7 3 3 2 3 5 2 2" xfId="49876" xr:uid="{00000000-0005-0000-0000-000045B70000}"/>
    <cellStyle name="Normal 7 3 3 2 3 5 3" xfId="37443" xr:uid="{00000000-0005-0000-0000-000046B70000}"/>
    <cellStyle name="Normal 7 3 3 2 3 6" xfId="7604" xr:uid="{00000000-0005-0000-0000-000047B70000}"/>
    <cellStyle name="Normal 7 3 3 2 3 6 2" xfId="20052" xr:uid="{00000000-0005-0000-0000-000048B70000}"/>
    <cellStyle name="Normal 7 3 3 2 3 6 2 2" xfId="44926" xr:uid="{00000000-0005-0000-0000-000049B70000}"/>
    <cellStyle name="Normal 7 3 3 2 3 6 3" xfId="32493" xr:uid="{00000000-0005-0000-0000-00004AB70000}"/>
    <cellStyle name="Normal 7 3 3 2 3 7" xfId="3348" xr:uid="{00000000-0005-0000-0000-00004BB70000}"/>
    <cellStyle name="Normal 7 3 3 2 3 7 2" xfId="15854" xr:uid="{00000000-0005-0000-0000-00004CB70000}"/>
    <cellStyle name="Normal 7 3 3 2 3 7 2 2" xfId="40728" xr:uid="{00000000-0005-0000-0000-00004DB70000}"/>
    <cellStyle name="Normal 7 3 3 2 3 7 3" xfId="28287" xr:uid="{00000000-0005-0000-0000-00004EB70000}"/>
    <cellStyle name="Normal 7 3 3 2 3 8" xfId="14753" xr:uid="{00000000-0005-0000-0000-00004FB70000}"/>
    <cellStyle name="Normal 7 3 3 2 3 8 2" xfId="39627" xr:uid="{00000000-0005-0000-0000-000050B70000}"/>
    <cellStyle name="Normal 7 3 3 2 3 9" xfId="27186" xr:uid="{00000000-0005-0000-0000-000051B70000}"/>
    <cellStyle name="Normal 7 3 3 2 4" xfId="2368" xr:uid="{00000000-0005-0000-0000-000052B70000}"/>
    <cellStyle name="Normal 7 3 3 2 4 2" xfId="6391" xr:uid="{00000000-0005-0000-0000-000053B70000}"/>
    <cellStyle name="Normal 7 3 3 2 4 2 2" xfId="11406" xr:uid="{00000000-0005-0000-0000-000054B70000}"/>
    <cellStyle name="Normal 7 3 3 2 4 2 2 2" xfId="23849" xr:uid="{00000000-0005-0000-0000-000055B70000}"/>
    <cellStyle name="Normal 7 3 3 2 4 2 2 2 2" xfId="48723" xr:uid="{00000000-0005-0000-0000-000056B70000}"/>
    <cellStyle name="Normal 7 3 3 2 4 2 2 3" xfId="36290" xr:uid="{00000000-0005-0000-0000-000057B70000}"/>
    <cellStyle name="Normal 7 3 3 2 4 2 3" xfId="18842" xr:uid="{00000000-0005-0000-0000-000058B70000}"/>
    <cellStyle name="Normal 7 3 3 2 4 2 3 2" xfId="43716" xr:uid="{00000000-0005-0000-0000-000059B70000}"/>
    <cellStyle name="Normal 7 3 3 2 4 2 4" xfId="31283" xr:uid="{00000000-0005-0000-0000-00005AB70000}"/>
    <cellStyle name="Normal 7 3 3 2 4 3" xfId="12860" xr:uid="{00000000-0005-0000-0000-00005BB70000}"/>
    <cellStyle name="Normal 7 3 3 2 4 3 2" xfId="25294" xr:uid="{00000000-0005-0000-0000-00005CB70000}"/>
    <cellStyle name="Normal 7 3 3 2 4 3 2 2" xfId="50168" xr:uid="{00000000-0005-0000-0000-00005DB70000}"/>
    <cellStyle name="Normal 7 3 3 2 4 3 3" xfId="37735" xr:uid="{00000000-0005-0000-0000-00005EB70000}"/>
    <cellStyle name="Normal 7 3 3 2 4 4" xfId="9301" xr:uid="{00000000-0005-0000-0000-00005FB70000}"/>
    <cellStyle name="Normal 7 3 3 2 4 4 2" xfId="21744" xr:uid="{00000000-0005-0000-0000-000060B70000}"/>
    <cellStyle name="Normal 7 3 3 2 4 4 2 2" xfId="46618" xr:uid="{00000000-0005-0000-0000-000061B70000}"/>
    <cellStyle name="Normal 7 3 3 2 4 4 3" xfId="34185" xr:uid="{00000000-0005-0000-0000-000062B70000}"/>
    <cellStyle name="Normal 7 3 3 2 4 5" xfId="4283" xr:uid="{00000000-0005-0000-0000-000063B70000}"/>
    <cellStyle name="Normal 7 3 3 2 4 5 2" xfId="16737" xr:uid="{00000000-0005-0000-0000-000064B70000}"/>
    <cellStyle name="Normal 7 3 3 2 4 5 2 2" xfId="41611" xr:uid="{00000000-0005-0000-0000-000065B70000}"/>
    <cellStyle name="Normal 7 3 3 2 4 5 3" xfId="29178" xr:uid="{00000000-0005-0000-0000-000066B70000}"/>
    <cellStyle name="Normal 7 3 3 2 4 6" xfId="15045" xr:uid="{00000000-0005-0000-0000-000067B70000}"/>
    <cellStyle name="Normal 7 3 3 2 4 6 2" xfId="39919" xr:uid="{00000000-0005-0000-0000-000068B70000}"/>
    <cellStyle name="Normal 7 3 3 2 4 7" xfId="27478" xr:uid="{00000000-0005-0000-0000-000069B70000}"/>
    <cellStyle name="Normal 7 3 3 2 5" xfId="1202" xr:uid="{00000000-0005-0000-0000-00006AB70000}"/>
    <cellStyle name="Normal 7 3 3 2 5 2" xfId="10363" xr:uid="{00000000-0005-0000-0000-00006BB70000}"/>
    <cellStyle name="Normal 7 3 3 2 5 2 2" xfId="22806" xr:uid="{00000000-0005-0000-0000-00006CB70000}"/>
    <cellStyle name="Normal 7 3 3 2 5 2 2 2" xfId="47680" xr:uid="{00000000-0005-0000-0000-00006DB70000}"/>
    <cellStyle name="Normal 7 3 3 2 5 2 3" xfId="35247" xr:uid="{00000000-0005-0000-0000-00006EB70000}"/>
    <cellStyle name="Normal 7 3 3 2 5 3" xfId="5347" xr:uid="{00000000-0005-0000-0000-00006FB70000}"/>
    <cellStyle name="Normal 7 3 3 2 5 3 2" xfId="17799" xr:uid="{00000000-0005-0000-0000-000070B70000}"/>
    <cellStyle name="Normal 7 3 3 2 5 3 2 2" xfId="42673" xr:uid="{00000000-0005-0000-0000-000071B70000}"/>
    <cellStyle name="Normal 7 3 3 2 5 3 3" xfId="30240" xr:uid="{00000000-0005-0000-0000-000072B70000}"/>
    <cellStyle name="Normal 7 3 3 2 5 4" xfId="14002" xr:uid="{00000000-0005-0000-0000-000073B70000}"/>
    <cellStyle name="Normal 7 3 3 2 5 4 2" xfId="38876" xr:uid="{00000000-0005-0000-0000-000074B70000}"/>
    <cellStyle name="Normal 7 3 3 2 5 5" xfId="26435" xr:uid="{00000000-0005-0000-0000-000075B70000}"/>
    <cellStyle name="Normal 7 3 3 2 6" xfId="7924" xr:uid="{00000000-0005-0000-0000-000076B70000}"/>
    <cellStyle name="Normal 7 3 3 2 6 2" xfId="20370" xr:uid="{00000000-0005-0000-0000-000077B70000}"/>
    <cellStyle name="Normal 7 3 3 2 6 2 2" xfId="45244" xr:uid="{00000000-0005-0000-0000-000078B70000}"/>
    <cellStyle name="Normal 7 3 3 2 6 3" xfId="32811" xr:uid="{00000000-0005-0000-0000-000079B70000}"/>
    <cellStyle name="Normal 7 3 3 2 7" xfId="11817" xr:uid="{00000000-0005-0000-0000-00007AB70000}"/>
    <cellStyle name="Normal 7 3 3 2 7 2" xfId="24251" xr:uid="{00000000-0005-0000-0000-00007BB70000}"/>
    <cellStyle name="Normal 7 3 3 2 7 2 2" xfId="49125" xr:uid="{00000000-0005-0000-0000-00007CB70000}"/>
    <cellStyle name="Normal 7 3 3 2 7 3" xfId="36692" xr:uid="{00000000-0005-0000-0000-00007DB70000}"/>
    <cellStyle name="Normal 7 3 3 2 8" xfId="6894" xr:uid="{00000000-0005-0000-0000-00007EB70000}"/>
    <cellStyle name="Normal 7 3 3 2 8 2" xfId="19343" xr:uid="{00000000-0005-0000-0000-00007FB70000}"/>
    <cellStyle name="Normal 7 3 3 2 8 2 2" xfId="44217" xr:uid="{00000000-0005-0000-0000-000080B70000}"/>
    <cellStyle name="Normal 7 3 3 2 8 3" xfId="31784" xr:uid="{00000000-0005-0000-0000-000081B70000}"/>
    <cellStyle name="Normal 7 3 3 2 9" xfId="2845" xr:uid="{00000000-0005-0000-0000-000082B70000}"/>
    <cellStyle name="Normal 7 3 3 2 9 2" xfId="15363" xr:uid="{00000000-0005-0000-0000-000083B70000}"/>
    <cellStyle name="Normal 7 3 3 2 9 2 2" xfId="40237" xr:uid="{00000000-0005-0000-0000-000084B70000}"/>
    <cellStyle name="Normal 7 3 3 2 9 3" xfId="27796" xr:uid="{00000000-0005-0000-0000-000085B70000}"/>
    <cellStyle name="Normal 7 3 3 2_Degree data" xfId="2579" xr:uid="{00000000-0005-0000-0000-000086B70000}"/>
    <cellStyle name="Normal 7 3 3 3" xfId="708" xr:uid="{00000000-0005-0000-0000-000087B70000}"/>
    <cellStyle name="Normal 7 3 3 3 2" xfId="1604" xr:uid="{00000000-0005-0000-0000-000088B70000}"/>
    <cellStyle name="Normal 7 3 3 3 2 2" xfId="9201" xr:uid="{00000000-0005-0000-0000-000089B70000}"/>
    <cellStyle name="Normal 7 3 3 3 2 2 2" xfId="21644" xr:uid="{00000000-0005-0000-0000-00008AB70000}"/>
    <cellStyle name="Normal 7 3 3 3 2 2 2 2" xfId="46518" xr:uid="{00000000-0005-0000-0000-00008BB70000}"/>
    <cellStyle name="Normal 7 3 3 3 2 2 3" xfId="34085" xr:uid="{00000000-0005-0000-0000-00008CB70000}"/>
    <cellStyle name="Normal 7 3 3 3 2 3" xfId="4183" xr:uid="{00000000-0005-0000-0000-00008DB70000}"/>
    <cellStyle name="Normal 7 3 3 3 2 3 2" xfId="16637" xr:uid="{00000000-0005-0000-0000-00008EB70000}"/>
    <cellStyle name="Normal 7 3 3 3 2 3 2 2" xfId="41511" xr:uid="{00000000-0005-0000-0000-00008FB70000}"/>
    <cellStyle name="Normal 7 3 3 3 2 3 3" xfId="29078" xr:uid="{00000000-0005-0000-0000-000090B70000}"/>
    <cellStyle name="Normal 7 3 3 3 2 4" xfId="14404" xr:uid="{00000000-0005-0000-0000-000091B70000}"/>
    <cellStyle name="Normal 7 3 3 3 2 4 2" xfId="39278" xr:uid="{00000000-0005-0000-0000-000092B70000}"/>
    <cellStyle name="Normal 7 3 3 3 2 5" xfId="26837" xr:uid="{00000000-0005-0000-0000-000093B70000}"/>
    <cellStyle name="Normal 7 3 3 3 3" xfId="5750" xr:uid="{00000000-0005-0000-0000-000094B70000}"/>
    <cellStyle name="Normal 7 3 3 3 3 2" xfId="10765" xr:uid="{00000000-0005-0000-0000-000095B70000}"/>
    <cellStyle name="Normal 7 3 3 3 3 2 2" xfId="23208" xr:uid="{00000000-0005-0000-0000-000096B70000}"/>
    <cellStyle name="Normal 7 3 3 3 3 2 2 2" xfId="48082" xr:uid="{00000000-0005-0000-0000-000097B70000}"/>
    <cellStyle name="Normal 7 3 3 3 3 2 3" xfId="35649" xr:uid="{00000000-0005-0000-0000-000098B70000}"/>
    <cellStyle name="Normal 7 3 3 3 3 3" xfId="18201" xr:uid="{00000000-0005-0000-0000-000099B70000}"/>
    <cellStyle name="Normal 7 3 3 3 3 3 2" xfId="43075" xr:uid="{00000000-0005-0000-0000-00009AB70000}"/>
    <cellStyle name="Normal 7 3 3 3 3 4" xfId="30642" xr:uid="{00000000-0005-0000-0000-00009BB70000}"/>
    <cellStyle name="Normal 7 3 3 3 4" xfId="8317" xr:uid="{00000000-0005-0000-0000-00009CB70000}"/>
    <cellStyle name="Normal 7 3 3 3 4 2" xfId="20761" xr:uid="{00000000-0005-0000-0000-00009DB70000}"/>
    <cellStyle name="Normal 7 3 3 3 4 2 2" xfId="45635" xr:uid="{00000000-0005-0000-0000-00009EB70000}"/>
    <cellStyle name="Normal 7 3 3 3 4 3" xfId="33202" xr:uid="{00000000-0005-0000-0000-00009FB70000}"/>
    <cellStyle name="Normal 7 3 3 3 5" xfId="12219" xr:uid="{00000000-0005-0000-0000-0000A0B70000}"/>
    <cellStyle name="Normal 7 3 3 3 5 2" xfId="24653" xr:uid="{00000000-0005-0000-0000-0000A1B70000}"/>
    <cellStyle name="Normal 7 3 3 3 5 2 2" xfId="49527" xr:uid="{00000000-0005-0000-0000-0000A2B70000}"/>
    <cellStyle name="Normal 7 3 3 3 5 3" xfId="37094" xr:uid="{00000000-0005-0000-0000-0000A3B70000}"/>
    <cellStyle name="Normal 7 3 3 3 6" xfId="6794" xr:uid="{00000000-0005-0000-0000-0000A4B70000}"/>
    <cellStyle name="Normal 7 3 3 3 6 2" xfId="19243" xr:uid="{00000000-0005-0000-0000-0000A5B70000}"/>
    <cellStyle name="Normal 7 3 3 3 6 2 2" xfId="44117" xr:uid="{00000000-0005-0000-0000-0000A6B70000}"/>
    <cellStyle name="Normal 7 3 3 3 6 3" xfId="31684" xr:uid="{00000000-0005-0000-0000-0000A7B70000}"/>
    <cellStyle name="Normal 7 3 3 3 7" xfId="3248" xr:uid="{00000000-0005-0000-0000-0000A8B70000}"/>
    <cellStyle name="Normal 7 3 3 3 7 2" xfId="15754" xr:uid="{00000000-0005-0000-0000-0000A9B70000}"/>
    <cellStyle name="Normal 7 3 3 3 7 2 2" xfId="40628" xr:uid="{00000000-0005-0000-0000-0000AAB70000}"/>
    <cellStyle name="Normal 7 3 3 3 7 3" xfId="28187" xr:uid="{00000000-0005-0000-0000-0000ABB70000}"/>
    <cellStyle name="Normal 7 3 3 3 8" xfId="13511" xr:uid="{00000000-0005-0000-0000-0000ACB70000}"/>
    <cellStyle name="Normal 7 3 3 3 8 2" xfId="38385" xr:uid="{00000000-0005-0000-0000-0000ADB70000}"/>
    <cellStyle name="Normal 7 3 3 3 9" xfId="25944" xr:uid="{00000000-0005-0000-0000-0000AEB70000}"/>
    <cellStyle name="Normal 7 3 3 4" xfId="1952" xr:uid="{00000000-0005-0000-0000-0000AFB70000}"/>
    <cellStyle name="Normal 7 3 3 4 2" xfId="4690" xr:uid="{00000000-0005-0000-0000-0000B0B70000}"/>
    <cellStyle name="Normal 7 3 3 4 2 2" xfId="9708" xr:uid="{00000000-0005-0000-0000-0000B1B70000}"/>
    <cellStyle name="Normal 7 3 3 4 2 2 2" xfId="22151" xr:uid="{00000000-0005-0000-0000-0000B2B70000}"/>
    <cellStyle name="Normal 7 3 3 4 2 2 2 2" xfId="47025" xr:uid="{00000000-0005-0000-0000-0000B3B70000}"/>
    <cellStyle name="Normal 7 3 3 4 2 2 3" xfId="34592" xr:uid="{00000000-0005-0000-0000-0000B4B70000}"/>
    <cellStyle name="Normal 7 3 3 4 2 3" xfId="17144" xr:uid="{00000000-0005-0000-0000-0000B5B70000}"/>
    <cellStyle name="Normal 7 3 3 4 2 3 2" xfId="42018" xr:uid="{00000000-0005-0000-0000-0000B6B70000}"/>
    <cellStyle name="Normal 7 3 3 4 2 4" xfId="29585" xr:uid="{00000000-0005-0000-0000-0000B7B70000}"/>
    <cellStyle name="Normal 7 3 3 4 3" xfId="6098" xr:uid="{00000000-0005-0000-0000-0000B8B70000}"/>
    <cellStyle name="Normal 7 3 3 4 3 2" xfId="11113" xr:uid="{00000000-0005-0000-0000-0000B9B70000}"/>
    <cellStyle name="Normal 7 3 3 4 3 2 2" xfId="23556" xr:uid="{00000000-0005-0000-0000-0000BAB70000}"/>
    <cellStyle name="Normal 7 3 3 4 3 2 2 2" xfId="48430" xr:uid="{00000000-0005-0000-0000-0000BBB70000}"/>
    <cellStyle name="Normal 7 3 3 4 3 2 3" xfId="35997" xr:uid="{00000000-0005-0000-0000-0000BCB70000}"/>
    <cellStyle name="Normal 7 3 3 4 3 3" xfId="18549" xr:uid="{00000000-0005-0000-0000-0000BDB70000}"/>
    <cellStyle name="Normal 7 3 3 4 3 3 2" xfId="43423" xr:uid="{00000000-0005-0000-0000-0000BEB70000}"/>
    <cellStyle name="Normal 7 3 3 4 3 4" xfId="30990" xr:uid="{00000000-0005-0000-0000-0000BFB70000}"/>
    <cellStyle name="Normal 7 3 3 4 4" xfId="8824" xr:uid="{00000000-0005-0000-0000-0000C0B70000}"/>
    <cellStyle name="Normal 7 3 3 4 4 2" xfId="21268" xr:uid="{00000000-0005-0000-0000-0000C1B70000}"/>
    <cellStyle name="Normal 7 3 3 4 4 2 2" xfId="46142" xr:uid="{00000000-0005-0000-0000-0000C2B70000}"/>
    <cellStyle name="Normal 7 3 3 4 4 3" xfId="33709" xr:uid="{00000000-0005-0000-0000-0000C3B70000}"/>
    <cellStyle name="Normal 7 3 3 4 5" xfId="12567" xr:uid="{00000000-0005-0000-0000-0000C4B70000}"/>
    <cellStyle name="Normal 7 3 3 4 5 2" xfId="25001" xr:uid="{00000000-0005-0000-0000-0000C5B70000}"/>
    <cellStyle name="Normal 7 3 3 4 5 2 2" xfId="49875" xr:uid="{00000000-0005-0000-0000-0000C6B70000}"/>
    <cellStyle name="Normal 7 3 3 4 5 3" xfId="37442" xr:uid="{00000000-0005-0000-0000-0000C7B70000}"/>
    <cellStyle name="Normal 7 3 3 4 6" xfId="7301" xr:uid="{00000000-0005-0000-0000-0000C8B70000}"/>
    <cellStyle name="Normal 7 3 3 4 6 2" xfId="19750" xr:uid="{00000000-0005-0000-0000-0000C9B70000}"/>
    <cellStyle name="Normal 7 3 3 4 6 2 2" xfId="44624" xr:uid="{00000000-0005-0000-0000-0000CAB70000}"/>
    <cellStyle name="Normal 7 3 3 4 6 3" xfId="32191" xr:uid="{00000000-0005-0000-0000-0000CBB70000}"/>
    <cellStyle name="Normal 7 3 3 4 7" xfId="3755" xr:uid="{00000000-0005-0000-0000-0000CCB70000}"/>
    <cellStyle name="Normal 7 3 3 4 7 2" xfId="16261" xr:uid="{00000000-0005-0000-0000-0000CDB70000}"/>
    <cellStyle name="Normal 7 3 3 4 7 2 2" xfId="41135" xr:uid="{00000000-0005-0000-0000-0000CEB70000}"/>
    <cellStyle name="Normal 7 3 3 4 7 3" xfId="28694" xr:uid="{00000000-0005-0000-0000-0000CFB70000}"/>
    <cellStyle name="Normal 7 3 3 4 8" xfId="14752" xr:uid="{00000000-0005-0000-0000-0000D0B70000}"/>
    <cellStyle name="Normal 7 3 3 4 8 2" xfId="39626" xr:uid="{00000000-0005-0000-0000-0000D1B70000}"/>
    <cellStyle name="Normal 7 3 3 4 9" xfId="27185" xr:uid="{00000000-0005-0000-0000-0000D2B70000}"/>
    <cellStyle name="Normal 7 3 3 5" xfId="2266" xr:uid="{00000000-0005-0000-0000-0000D3B70000}"/>
    <cellStyle name="Normal 7 3 3 5 2" xfId="4893" xr:uid="{00000000-0005-0000-0000-0000D4B70000}"/>
    <cellStyle name="Normal 7 3 3 5 2 2" xfId="9910" xr:uid="{00000000-0005-0000-0000-0000D5B70000}"/>
    <cellStyle name="Normal 7 3 3 5 2 2 2" xfId="22353" xr:uid="{00000000-0005-0000-0000-0000D6B70000}"/>
    <cellStyle name="Normal 7 3 3 5 2 2 2 2" xfId="47227" xr:uid="{00000000-0005-0000-0000-0000D7B70000}"/>
    <cellStyle name="Normal 7 3 3 5 2 2 3" xfId="34794" xr:uid="{00000000-0005-0000-0000-0000D8B70000}"/>
    <cellStyle name="Normal 7 3 3 5 2 3" xfId="17346" xr:uid="{00000000-0005-0000-0000-0000D9B70000}"/>
    <cellStyle name="Normal 7 3 3 5 2 3 2" xfId="42220" xr:uid="{00000000-0005-0000-0000-0000DAB70000}"/>
    <cellStyle name="Normal 7 3 3 5 2 4" xfId="29787" xr:uid="{00000000-0005-0000-0000-0000DBB70000}"/>
    <cellStyle name="Normal 7 3 3 5 3" xfId="6291" xr:uid="{00000000-0005-0000-0000-0000DCB70000}"/>
    <cellStyle name="Normal 7 3 3 5 3 2" xfId="11306" xr:uid="{00000000-0005-0000-0000-0000DDB70000}"/>
    <cellStyle name="Normal 7 3 3 5 3 2 2" xfId="23749" xr:uid="{00000000-0005-0000-0000-0000DEB70000}"/>
    <cellStyle name="Normal 7 3 3 5 3 2 2 2" xfId="48623" xr:uid="{00000000-0005-0000-0000-0000DFB70000}"/>
    <cellStyle name="Normal 7 3 3 5 3 2 3" xfId="36190" xr:uid="{00000000-0005-0000-0000-0000E0B70000}"/>
    <cellStyle name="Normal 7 3 3 5 3 3" xfId="18742" xr:uid="{00000000-0005-0000-0000-0000E1B70000}"/>
    <cellStyle name="Normal 7 3 3 5 3 3 2" xfId="43616" xr:uid="{00000000-0005-0000-0000-0000E2B70000}"/>
    <cellStyle name="Normal 7 3 3 5 3 4" xfId="31183" xr:uid="{00000000-0005-0000-0000-0000E3B70000}"/>
    <cellStyle name="Normal 7 3 3 5 4" xfId="8098" xr:uid="{00000000-0005-0000-0000-0000E4B70000}"/>
    <cellStyle name="Normal 7 3 3 5 4 2" xfId="20544" xr:uid="{00000000-0005-0000-0000-0000E5B70000}"/>
    <cellStyle name="Normal 7 3 3 5 4 2 2" xfId="45418" xr:uid="{00000000-0005-0000-0000-0000E6B70000}"/>
    <cellStyle name="Normal 7 3 3 5 4 3" xfId="32985" xr:uid="{00000000-0005-0000-0000-0000E7B70000}"/>
    <cellStyle name="Normal 7 3 3 5 5" xfId="12760" xr:uid="{00000000-0005-0000-0000-0000E8B70000}"/>
    <cellStyle name="Normal 7 3 3 5 5 2" xfId="25194" xr:uid="{00000000-0005-0000-0000-0000E9B70000}"/>
    <cellStyle name="Normal 7 3 3 5 5 2 2" xfId="50068" xr:uid="{00000000-0005-0000-0000-0000EAB70000}"/>
    <cellStyle name="Normal 7 3 3 5 5 3" xfId="37635" xr:uid="{00000000-0005-0000-0000-0000EBB70000}"/>
    <cellStyle name="Normal 7 3 3 5 6" xfId="7504" xr:uid="{00000000-0005-0000-0000-0000ECB70000}"/>
    <cellStyle name="Normal 7 3 3 5 6 2" xfId="19952" xr:uid="{00000000-0005-0000-0000-0000EDB70000}"/>
    <cellStyle name="Normal 7 3 3 5 6 2 2" xfId="44826" xr:uid="{00000000-0005-0000-0000-0000EEB70000}"/>
    <cellStyle name="Normal 7 3 3 5 6 3" xfId="32393" xr:uid="{00000000-0005-0000-0000-0000EFB70000}"/>
    <cellStyle name="Normal 7 3 3 5 7" xfId="3028" xr:uid="{00000000-0005-0000-0000-0000F0B70000}"/>
    <cellStyle name="Normal 7 3 3 5 7 2" xfId="15537" xr:uid="{00000000-0005-0000-0000-0000F1B70000}"/>
    <cellStyle name="Normal 7 3 3 5 7 2 2" xfId="40411" xr:uid="{00000000-0005-0000-0000-0000F2B70000}"/>
    <cellStyle name="Normal 7 3 3 5 7 3" xfId="27970" xr:uid="{00000000-0005-0000-0000-0000F3B70000}"/>
    <cellStyle name="Normal 7 3 3 5 8" xfId="14945" xr:uid="{00000000-0005-0000-0000-0000F4B70000}"/>
    <cellStyle name="Normal 7 3 3 5 8 2" xfId="39819" xr:uid="{00000000-0005-0000-0000-0000F5B70000}"/>
    <cellStyle name="Normal 7 3 3 5 9" xfId="27378" xr:uid="{00000000-0005-0000-0000-0000F6B70000}"/>
    <cellStyle name="Normal 7 3 3 6" xfId="1102" xr:uid="{00000000-0005-0000-0000-0000F7B70000}"/>
    <cellStyle name="Normal 7 3 3 6 2" xfId="8984" xr:uid="{00000000-0005-0000-0000-0000F8B70000}"/>
    <cellStyle name="Normal 7 3 3 6 2 2" xfId="21427" xr:uid="{00000000-0005-0000-0000-0000F9B70000}"/>
    <cellStyle name="Normal 7 3 3 6 2 2 2" xfId="46301" xr:uid="{00000000-0005-0000-0000-0000FAB70000}"/>
    <cellStyle name="Normal 7 3 3 6 2 3" xfId="33868" xr:uid="{00000000-0005-0000-0000-0000FBB70000}"/>
    <cellStyle name="Normal 7 3 3 6 3" xfId="3966" xr:uid="{00000000-0005-0000-0000-0000FCB70000}"/>
    <cellStyle name="Normal 7 3 3 6 3 2" xfId="16420" xr:uid="{00000000-0005-0000-0000-0000FDB70000}"/>
    <cellStyle name="Normal 7 3 3 6 3 2 2" xfId="41294" xr:uid="{00000000-0005-0000-0000-0000FEB70000}"/>
    <cellStyle name="Normal 7 3 3 6 3 3" xfId="28861" xr:uid="{00000000-0005-0000-0000-0000FFB70000}"/>
    <cellStyle name="Normal 7 3 3 6 4" xfId="13902" xr:uid="{00000000-0005-0000-0000-000000B80000}"/>
    <cellStyle name="Normal 7 3 3 6 4 2" xfId="38776" xr:uid="{00000000-0005-0000-0000-000001B80000}"/>
    <cellStyle name="Normal 7 3 3 6 5" xfId="26335" xr:uid="{00000000-0005-0000-0000-000002B80000}"/>
    <cellStyle name="Normal 7 3 3 7" xfId="5247" xr:uid="{00000000-0005-0000-0000-000003B80000}"/>
    <cellStyle name="Normal 7 3 3 7 2" xfId="10263" xr:uid="{00000000-0005-0000-0000-000004B80000}"/>
    <cellStyle name="Normal 7 3 3 7 2 2" xfId="22706" xr:uid="{00000000-0005-0000-0000-000005B80000}"/>
    <cellStyle name="Normal 7 3 3 7 2 2 2" xfId="47580" xr:uid="{00000000-0005-0000-0000-000006B80000}"/>
    <cellStyle name="Normal 7 3 3 7 2 3" xfId="35147" xr:uid="{00000000-0005-0000-0000-000007B80000}"/>
    <cellStyle name="Normal 7 3 3 7 3" xfId="17699" xr:uid="{00000000-0005-0000-0000-000008B80000}"/>
    <cellStyle name="Normal 7 3 3 7 3 2" xfId="42573" xr:uid="{00000000-0005-0000-0000-000009B80000}"/>
    <cellStyle name="Normal 7 3 3 7 4" xfId="30140" xr:uid="{00000000-0005-0000-0000-00000AB80000}"/>
    <cellStyle name="Normal 7 3 3 8" xfId="7824" xr:uid="{00000000-0005-0000-0000-00000BB80000}"/>
    <cellStyle name="Normal 7 3 3 8 2" xfId="20270" xr:uid="{00000000-0005-0000-0000-00000CB80000}"/>
    <cellStyle name="Normal 7 3 3 8 2 2" xfId="45144" xr:uid="{00000000-0005-0000-0000-00000DB80000}"/>
    <cellStyle name="Normal 7 3 3 8 3" xfId="32711" xr:uid="{00000000-0005-0000-0000-00000EB80000}"/>
    <cellStyle name="Normal 7 3 3 9" xfId="11717" xr:uid="{00000000-0005-0000-0000-00000FB80000}"/>
    <cellStyle name="Normal 7 3 3 9 2" xfId="24151" xr:uid="{00000000-0005-0000-0000-000010B80000}"/>
    <cellStyle name="Normal 7 3 3 9 2 2" xfId="49025" xr:uid="{00000000-0005-0000-0000-000011B80000}"/>
    <cellStyle name="Normal 7 3 3 9 3" xfId="36592" xr:uid="{00000000-0005-0000-0000-000012B80000}"/>
    <cellStyle name="Normal 7 3 3_Degree data" xfId="2578" xr:uid="{00000000-0005-0000-0000-000013B80000}"/>
    <cellStyle name="Normal 7 3 4" xfId="270" xr:uid="{00000000-0005-0000-0000-000014B80000}"/>
    <cellStyle name="Normal 7 3 4 10" xfId="6610" xr:uid="{00000000-0005-0000-0000-000015B80000}"/>
    <cellStyle name="Normal 7 3 4 10 2" xfId="19059" xr:uid="{00000000-0005-0000-0000-000016B80000}"/>
    <cellStyle name="Normal 7 3 4 10 2 2" xfId="43933" xr:uid="{00000000-0005-0000-0000-000017B80000}"/>
    <cellStyle name="Normal 7 3 4 10 3" xfId="31500" xr:uid="{00000000-0005-0000-0000-000018B80000}"/>
    <cellStyle name="Normal 7 3 4 11" xfId="2673" xr:uid="{00000000-0005-0000-0000-000019B80000}"/>
    <cellStyle name="Normal 7 3 4 11 2" xfId="15191" xr:uid="{00000000-0005-0000-0000-00001AB80000}"/>
    <cellStyle name="Normal 7 3 4 11 2 2" xfId="40065" xr:uid="{00000000-0005-0000-0000-00001BB80000}"/>
    <cellStyle name="Normal 7 3 4 11 3" xfId="27624" xr:uid="{00000000-0005-0000-0000-00001CB80000}"/>
    <cellStyle name="Normal 7 3 4 12" xfId="13092" xr:uid="{00000000-0005-0000-0000-00001DB80000}"/>
    <cellStyle name="Normal 7 3 4 12 2" xfId="37966" xr:uid="{00000000-0005-0000-0000-00001EB80000}"/>
    <cellStyle name="Normal 7 3 4 13" xfId="25525" xr:uid="{00000000-0005-0000-0000-00001FB80000}"/>
    <cellStyle name="Normal 7 3 4 2" xfId="484" xr:uid="{00000000-0005-0000-0000-000020B80000}"/>
    <cellStyle name="Normal 7 3 4 2 10" xfId="13297" xr:uid="{00000000-0005-0000-0000-000021B80000}"/>
    <cellStyle name="Normal 7 3 4 2 10 2" xfId="38171" xr:uid="{00000000-0005-0000-0000-000022B80000}"/>
    <cellStyle name="Normal 7 3 4 2 11" xfId="25730" xr:uid="{00000000-0005-0000-0000-000023B80000}"/>
    <cellStyle name="Normal 7 3 4 2 2" xfId="843" xr:uid="{00000000-0005-0000-0000-000024B80000}"/>
    <cellStyle name="Normal 7 3 4 2 2 2" xfId="1607" xr:uid="{00000000-0005-0000-0000-000025B80000}"/>
    <cellStyle name="Normal 7 3 4 2 2 2 2" xfId="9711" xr:uid="{00000000-0005-0000-0000-000026B80000}"/>
    <cellStyle name="Normal 7 3 4 2 2 2 2 2" xfId="22154" xr:uid="{00000000-0005-0000-0000-000027B80000}"/>
    <cellStyle name="Normal 7 3 4 2 2 2 2 2 2" xfId="47028" xr:uid="{00000000-0005-0000-0000-000028B80000}"/>
    <cellStyle name="Normal 7 3 4 2 2 2 2 3" xfId="34595" xr:uid="{00000000-0005-0000-0000-000029B80000}"/>
    <cellStyle name="Normal 7 3 4 2 2 2 3" xfId="4693" xr:uid="{00000000-0005-0000-0000-00002AB80000}"/>
    <cellStyle name="Normal 7 3 4 2 2 2 3 2" xfId="17147" xr:uid="{00000000-0005-0000-0000-00002BB80000}"/>
    <cellStyle name="Normal 7 3 4 2 2 2 3 2 2" xfId="42021" xr:uid="{00000000-0005-0000-0000-00002CB80000}"/>
    <cellStyle name="Normal 7 3 4 2 2 2 3 3" xfId="29588" xr:uid="{00000000-0005-0000-0000-00002DB80000}"/>
    <cellStyle name="Normal 7 3 4 2 2 2 4" xfId="14407" xr:uid="{00000000-0005-0000-0000-00002EB80000}"/>
    <cellStyle name="Normal 7 3 4 2 2 2 4 2" xfId="39281" xr:uid="{00000000-0005-0000-0000-00002FB80000}"/>
    <cellStyle name="Normal 7 3 4 2 2 2 5" xfId="26840" xr:uid="{00000000-0005-0000-0000-000030B80000}"/>
    <cellStyle name="Normal 7 3 4 2 2 3" xfId="5753" xr:uid="{00000000-0005-0000-0000-000031B80000}"/>
    <cellStyle name="Normal 7 3 4 2 2 3 2" xfId="10768" xr:uid="{00000000-0005-0000-0000-000032B80000}"/>
    <cellStyle name="Normal 7 3 4 2 2 3 2 2" xfId="23211" xr:uid="{00000000-0005-0000-0000-000033B80000}"/>
    <cellStyle name="Normal 7 3 4 2 2 3 2 2 2" xfId="48085" xr:uid="{00000000-0005-0000-0000-000034B80000}"/>
    <cellStyle name="Normal 7 3 4 2 2 3 2 3" xfId="35652" xr:uid="{00000000-0005-0000-0000-000035B80000}"/>
    <cellStyle name="Normal 7 3 4 2 2 3 3" xfId="18204" xr:uid="{00000000-0005-0000-0000-000036B80000}"/>
    <cellStyle name="Normal 7 3 4 2 2 3 3 2" xfId="43078" xr:uid="{00000000-0005-0000-0000-000037B80000}"/>
    <cellStyle name="Normal 7 3 4 2 2 3 4" xfId="30645" xr:uid="{00000000-0005-0000-0000-000038B80000}"/>
    <cellStyle name="Normal 7 3 4 2 2 4" xfId="8827" xr:uid="{00000000-0005-0000-0000-000039B80000}"/>
    <cellStyle name="Normal 7 3 4 2 2 4 2" xfId="21271" xr:uid="{00000000-0005-0000-0000-00003AB80000}"/>
    <cellStyle name="Normal 7 3 4 2 2 4 2 2" xfId="46145" xr:uid="{00000000-0005-0000-0000-00003BB80000}"/>
    <cellStyle name="Normal 7 3 4 2 2 4 3" xfId="33712" xr:uid="{00000000-0005-0000-0000-00003CB80000}"/>
    <cellStyle name="Normal 7 3 4 2 2 5" xfId="12222" xr:uid="{00000000-0005-0000-0000-00003DB80000}"/>
    <cellStyle name="Normal 7 3 4 2 2 5 2" xfId="24656" xr:uid="{00000000-0005-0000-0000-00003EB80000}"/>
    <cellStyle name="Normal 7 3 4 2 2 5 2 2" xfId="49530" xr:uid="{00000000-0005-0000-0000-00003FB80000}"/>
    <cellStyle name="Normal 7 3 4 2 2 5 3" xfId="37097" xr:uid="{00000000-0005-0000-0000-000040B80000}"/>
    <cellStyle name="Normal 7 3 4 2 2 6" xfId="7304" xr:uid="{00000000-0005-0000-0000-000041B80000}"/>
    <cellStyle name="Normal 7 3 4 2 2 6 2" xfId="19753" xr:uid="{00000000-0005-0000-0000-000042B80000}"/>
    <cellStyle name="Normal 7 3 4 2 2 6 2 2" xfId="44627" xr:uid="{00000000-0005-0000-0000-000043B80000}"/>
    <cellStyle name="Normal 7 3 4 2 2 6 3" xfId="32194" xr:uid="{00000000-0005-0000-0000-000044B80000}"/>
    <cellStyle name="Normal 7 3 4 2 2 7" xfId="3758" xr:uid="{00000000-0005-0000-0000-000045B80000}"/>
    <cellStyle name="Normal 7 3 4 2 2 7 2" xfId="16264" xr:uid="{00000000-0005-0000-0000-000046B80000}"/>
    <cellStyle name="Normal 7 3 4 2 2 7 2 2" xfId="41138" xr:uid="{00000000-0005-0000-0000-000047B80000}"/>
    <cellStyle name="Normal 7 3 4 2 2 7 3" xfId="28697" xr:uid="{00000000-0005-0000-0000-000048B80000}"/>
    <cellStyle name="Normal 7 3 4 2 2 8" xfId="13644" xr:uid="{00000000-0005-0000-0000-000049B80000}"/>
    <cellStyle name="Normal 7 3 4 2 2 8 2" xfId="38518" xr:uid="{00000000-0005-0000-0000-00004AB80000}"/>
    <cellStyle name="Normal 7 3 4 2 2 9" xfId="26077" xr:uid="{00000000-0005-0000-0000-00004BB80000}"/>
    <cellStyle name="Normal 7 3 4 2 3" xfId="1955" xr:uid="{00000000-0005-0000-0000-00004CB80000}"/>
    <cellStyle name="Normal 7 3 4 2 3 2" xfId="5026" xr:uid="{00000000-0005-0000-0000-00004DB80000}"/>
    <cellStyle name="Normal 7 3 4 2 3 2 2" xfId="10043" xr:uid="{00000000-0005-0000-0000-00004EB80000}"/>
    <cellStyle name="Normal 7 3 4 2 3 2 2 2" xfId="22486" xr:uid="{00000000-0005-0000-0000-00004FB80000}"/>
    <cellStyle name="Normal 7 3 4 2 3 2 2 2 2" xfId="47360" xr:uid="{00000000-0005-0000-0000-000050B80000}"/>
    <cellStyle name="Normal 7 3 4 2 3 2 2 3" xfId="34927" xr:uid="{00000000-0005-0000-0000-000051B80000}"/>
    <cellStyle name="Normal 7 3 4 2 3 2 3" xfId="17479" xr:uid="{00000000-0005-0000-0000-000052B80000}"/>
    <cellStyle name="Normal 7 3 4 2 3 2 3 2" xfId="42353" xr:uid="{00000000-0005-0000-0000-000053B80000}"/>
    <cellStyle name="Normal 7 3 4 2 3 2 4" xfId="29920" xr:uid="{00000000-0005-0000-0000-000054B80000}"/>
    <cellStyle name="Normal 7 3 4 2 3 3" xfId="6101" xr:uid="{00000000-0005-0000-0000-000055B80000}"/>
    <cellStyle name="Normal 7 3 4 2 3 3 2" xfId="11116" xr:uid="{00000000-0005-0000-0000-000056B80000}"/>
    <cellStyle name="Normal 7 3 4 2 3 3 2 2" xfId="23559" xr:uid="{00000000-0005-0000-0000-000057B80000}"/>
    <cellStyle name="Normal 7 3 4 2 3 3 2 2 2" xfId="48433" xr:uid="{00000000-0005-0000-0000-000058B80000}"/>
    <cellStyle name="Normal 7 3 4 2 3 3 2 3" xfId="36000" xr:uid="{00000000-0005-0000-0000-000059B80000}"/>
    <cellStyle name="Normal 7 3 4 2 3 3 3" xfId="18552" xr:uid="{00000000-0005-0000-0000-00005AB80000}"/>
    <cellStyle name="Normal 7 3 4 2 3 3 3 2" xfId="43426" xr:uid="{00000000-0005-0000-0000-00005BB80000}"/>
    <cellStyle name="Normal 7 3 4 2 3 3 4" xfId="30993" xr:uid="{00000000-0005-0000-0000-00005CB80000}"/>
    <cellStyle name="Normal 7 3 4 2 3 4" xfId="8450" xr:uid="{00000000-0005-0000-0000-00005DB80000}"/>
    <cellStyle name="Normal 7 3 4 2 3 4 2" xfId="20894" xr:uid="{00000000-0005-0000-0000-00005EB80000}"/>
    <cellStyle name="Normal 7 3 4 2 3 4 2 2" xfId="45768" xr:uid="{00000000-0005-0000-0000-00005FB80000}"/>
    <cellStyle name="Normal 7 3 4 2 3 4 3" xfId="33335" xr:uid="{00000000-0005-0000-0000-000060B80000}"/>
    <cellStyle name="Normal 7 3 4 2 3 5" xfId="12570" xr:uid="{00000000-0005-0000-0000-000061B80000}"/>
    <cellStyle name="Normal 7 3 4 2 3 5 2" xfId="25004" xr:uid="{00000000-0005-0000-0000-000062B80000}"/>
    <cellStyle name="Normal 7 3 4 2 3 5 2 2" xfId="49878" xr:uid="{00000000-0005-0000-0000-000063B80000}"/>
    <cellStyle name="Normal 7 3 4 2 3 5 3" xfId="37445" xr:uid="{00000000-0005-0000-0000-000064B80000}"/>
    <cellStyle name="Normal 7 3 4 2 3 6" xfId="7637" xr:uid="{00000000-0005-0000-0000-000065B80000}"/>
    <cellStyle name="Normal 7 3 4 2 3 6 2" xfId="20085" xr:uid="{00000000-0005-0000-0000-000066B80000}"/>
    <cellStyle name="Normal 7 3 4 2 3 6 2 2" xfId="44959" xr:uid="{00000000-0005-0000-0000-000067B80000}"/>
    <cellStyle name="Normal 7 3 4 2 3 6 3" xfId="32526" xr:uid="{00000000-0005-0000-0000-000068B80000}"/>
    <cellStyle name="Normal 7 3 4 2 3 7" xfId="3381" xr:uid="{00000000-0005-0000-0000-000069B80000}"/>
    <cellStyle name="Normal 7 3 4 2 3 7 2" xfId="15887" xr:uid="{00000000-0005-0000-0000-00006AB80000}"/>
    <cellStyle name="Normal 7 3 4 2 3 7 2 2" xfId="40761" xr:uid="{00000000-0005-0000-0000-00006BB80000}"/>
    <cellStyle name="Normal 7 3 4 2 3 7 3" xfId="28320" xr:uid="{00000000-0005-0000-0000-00006CB80000}"/>
    <cellStyle name="Normal 7 3 4 2 3 8" xfId="14755" xr:uid="{00000000-0005-0000-0000-00006DB80000}"/>
    <cellStyle name="Normal 7 3 4 2 3 8 2" xfId="39629" xr:uid="{00000000-0005-0000-0000-00006EB80000}"/>
    <cellStyle name="Normal 7 3 4 2 3 9" xfId="27188" xr:uid="{00000000-0005-0000-0000-00006FB80000}"/>
    <cellStyle name="Normal 7 3 4 2 4" xfId="2402" xr:uid="{00000000-0005-0000-0000-000070B80000}"/>
    <cellStyle name="Normal 7 3 4 2 4 2" xfId="6424" xr:uid="{00000000-0005-0000-0000-000071B80000}"/>
    <cellStyle name="Normal 7 3 4 2 4 2 2" xfId="11439" xr:uid="{00000000-0005-0000-0000-000072B80000}"/>
    <cellStyle name="Normal 7 3 4 2 4 2 2 2" xfId="23882" xr:uid="{00000000-0005-0000-0000-000073B80000}"/>
    <cellStyle name="Normal 7 3 4 2 4 2 2 2 2" xfId="48756" xr:uid="{00000000-0005-0000-0000-000074B80000}"/>
    <cellStyle name="Normal 7 3 4 2 4 2 2 3" xfId="36323" xr:uid="{00000000-0005-0000-0000-000075B80000}"/>
    <cellStyle name="Normal 7 3 4 2 4 2 3" xfId="18875" xr:uid="{00000000-0005-0000-0000-000076B80000}"/>
    <cellStyle name="Normal 7 3 4 2 4 2 3 2" xfId="43749" xr:uid="{00000000-0005-0000-0000-000077B80000}"/>
    <cellStyle name="Normal 7 3 4 2 4 2 4" xfId="31316" xr:uid="{00000000-0005-0000-0000-000078B80000}"/>
    <cellStyle name="Normal 7 3 4 2 4 3" xfId="12893" xr:uid="{00000000-0005-0000-0000-000079B80000}"/>
    <cellStyle name="Normal 7 3 4 2 4 3 2" xfId="25327" xr:uid="{00000000-0005-0000-0000-00007AB80000}"/>
    <cellStyle name="Normal 7 3 4 2 4 3 2 2" xfId="50201" xr:uid="{00000000-0005-0000-0000-00007BB80000}"/>
    <cellStyle name="Normal 7 3 4 2 4 3 3" xfId="37768" xr:uid="{00000000-0005-0000-0000-00007CB80000}"/>
    <cellStyle name="Normal 7 3 4 2 4 4" xfId="9334" xr:uid="{00000000-0005-0000-0000-00007DB80000}"/>
    <cellStyle name="Normal 7 3 4 2 4 4 2" xfId="21777" xr:uid="{00000000-0005-0000-0000-00007EB80000}"/>
    <cellStyle name="Normal 7 3 4 2 4 4 2 2" xfId="46651" xr:uid="{00000000-0005-0000-0000-00007FB80000}"/>
    <cellStyle name="Normal 7 3 4 2 4 4 3" xfId="34218" xr:uid="{00000000-0005-0000-0000-000080B80000}"/>
    <cellStyle name="Normal 7 3 4 2 4 5" xfId="4316" xr:uid="{00000000-0005-0000-0000-000081B80000}"/>
    <cellStyle name="Normal 7 3 4 2 4 5 2" xfId="16770" xr:uid="{00000000-0005-0000-0000-000082B80000}"/>
    <cellStyle name="Normal 7 3 4 2 4 5 2 2" xfId="41644" xr:uid="{00000000-0005-0000-0000-000083B80000}"/>
    <cellStyle name="Normal 7 3 4 2 4 5 3" xfId="29211" xr:uid="{00000000-0005-0000-0000-000084B80000}"/>
    <cellStyle name="Normal 7 3 4 2 4 6" xfId="15078" xr:uid="{00000000-0005-0000-0000-000085B80000}"/>
    <cellStyle name="Normal 7 3 4 2 4 6 2" xfId="39952" xr:uid="{00000000-0005-0000-0000-000086B80000}"/>
    <cellStyle name="Normal 7 3 4 2 4 7" xfId="27511" xr:uid="{00000000-0005-0000-0000-000087B80000}"/>
    <cellStyle name="Normal 7 3 4 2 5" xfId="1235" xr:uid="{00000000-0005-0000-0000-000088B80000}"/>
    <cellStyle name="Normal 7 3 4 2 5 2" xfId="10396" xr:uid="{00000000-0005-0000-0000-000089B80000}"/>
    <cellStyle name="Normal 7 3 4 2 5 2 2" xfId="22839" xr:uid="{00000000-0005-0000-0000-00008AB80000}"/>
    <cellStyle name="Normal 7 3 4 2 5 2 2 2" xfId="47713" xr:uid="{00000000-0005-0000-0000-00008BB80000}"/>
    <cellStyle name="Normal 7 3 4 2 5 2 3" xfId="35280" xr:uid="{00000000-0005-0000-0000-00008CB80000}"/>
    <cellStyle name="Normal 7 3 4 2 5 3" xfId="5380" xr:uid="{00000000-0005-0000-0000-00008DB80000}"/>
    <cellStyle name="Normal 7 3 4 2 5 3 2" xfId="17832" xr:uid="{00000000-0005-0000-0000-00008EB80000}"/>
    <cellStyle name="Normal 7 3 4 2 5 3 2 2" xfId="42706" xr:uid="{00000000-0005-0000-0000-00008FB80000}"/>
    <cellStyle name="Normal 7 3 4 2 5 3 3" xfId="30273" xr:uid="{00000000-0005-0000-0000-000090B80000}"/>
    <cellStyle name="Normal 7 3 4 2 5 4" xfId="14035" xr:uid="{00000000-0005-0000-0000-000091B80000}"/>
    <cellStyle name="Normal 7 3 4 2 5 4 2" xfId="38909" xr:uid="{00000000-0005-0000-0000-000092B80000}"/>
    <cellStyle name="Normal 7 3 4 2 5 5" xfId="26468" xr:uid="{00000000-0005-0000-0000-000093B80000}"/>
    <cellStyle name="Normal 7 3 4 2 6" xfId="7957" xr:uid="{00000000-0005-0000-0000-000094B80000}"/>
    <cellStyle name="Normal 7 3 4 2 6 2" xfId="20403" xr:uid="{00000000-0005-0000-0000-000095B80000}"/>
    <cellStyle name="Normal 7 3 4 2 6 2 2" xfId="45277" xr:uid="{00000000-0005-0000-0000-000096B80000}"/>
    <cellStyle name="Normal 7 3 4 2 6 3" xfId="32844" xr:uid="{00000000-0005-0000-0000-000097B80000}"/>
    <cellStyle name="Normal 7 3 4 2 7" xfId="11850" xr:uid="{00000000-0005-0000-0000-000098B80000}"/>
    <cellStyle name="Normal 7 3 4 2 7 2" xfId="24284" xr:uid="{00000000-0005-0000-0000-000099B80000}"/>
    <cellStyle name="Normal 7 3 4 2 7 2 2" xfId="49158" xr:uid="{00000000-0005-0000-0000-00009AB80000}"/>
    <cellStyle name="Normal 7 3 4 2 7 3" xfId="36725" xr:uid="{00000000-0005-0000-0000-00009BB80000}"/>
    <cellStyle name="Normal 7 3 4 2 8" xfId="6927" xr:uid="{00000000-0005-0000-0000-00009CB80000}"/>
    <cellStyle name="Normal 7 3 4 2 8 2" xfId="19376" xr:uid="{00000000-0005-0000-0000-00009DB80000}"/>
    <cellStyle name="Normal 7 3 4 2 8 2 2" xfId="44250" xr:uid="{00000000-0005-0000-0000-00009EB80000}"/>
    <cellStyle name="Normal 7 3 4 2 8 3" xfId="31817" xr:uid="{00000000-0005-0000-0000-00009FB80000}"/>
    <cellStyle name="Normal 7 3 4 2 9" xfId="2878" xr:uid="{00000000-0005-0000-0000-0000A0B80000}"/>
    <cellStyle name="Normal 7 3 4 2 9 2" xfId="15396" xr:uid="{00000000-0005-0000-0000-0000A1B80000}"/>
    <cellStyle name="Normal 7 3 4 2 9 2 2" xfId="40270" xr:uid="{00000000-0005-0000-0000-0000A2B80000}"/>
    <cellStyle name="Normal 7 3 4 2 9 3" xfId="27829" xr:uid="{00000000-0005-0000-0000-0000A3B80000}"/>
    <cellStyle name="Normal 7 3 4 2_Degree data" xfId="2581" xr:uid="{00000000-0005-0000-0000-0000A4B80000}"/>
    <cellStyle name="Normal 7 3 4 3" xfId="632" xr:uid="{00000000-0005-0000-0000-0000A5B80000}"/>
    <cellStyle name="Normal 7 3 4 3 2" xfId="1606" xr:uid="{00000000-0005-0000-0000-0000A6B80000}"/>
    <cellStyle name="Normal 7 3 4 3 2 2" xfId="9129" xr:uid="{00000000-0005-0000-0000-0000A7B80000}"/>
    <cellStyle name="Normal 7 3 4 3 2 2 2" xfId="21572" xr:uid="{00000000-0005-0000-0000-0000A8B80000}"/>
    <cellStyle name="Normal 7 3 4 3 2 2 2 2" xfId="46446" xr:uid="{00000000-0005-0000-0000-0000A9B80000}"/>
    <cellStyle name="Normal 7 3 4 3 2 2 3" xfId="34013" xr:uid="{00000000-0005-0000-0000-0000AAB80000}"/>
    <cellStyle name="Normal 7 3 4 3 2 3" xfId="4111" xr:uid="{00000000-0005-0000-0000-0000ABB80000}"/>
    <cellStyle name="Normal 7 3 4 3 2 3 2" xfId="16565" xr:uid="{00000000-0005-0000-0000-0000ACB80000}"/>
    <cellStyle name="Normal 7 3 4 3 2 3 2 2" xfId="41439" xr:uid="{00000000-0005-0000-0000-0000ADB80000}"/>
    <cellStyle name="Normal 7 3 4 3 2 3 3" xfId="29006" xr:uid="{00000000-0005-0000-0000-0000AEB80000}"/>
    <cellStyle name="Normal 7 3 4 3 2 4" xfId="14406" xr:uid="{00000000-0005-0000-0000-0000AFB80000}"/>
    <cellStyle name="Normal 7 3 4 3 2 4 2" xfId="39280" xr:uid="{00000000-0005-0000-0000-0000B0B80000}"/>
    <cellStyle name="Normal 7 3 4 3 2 5" xfId="26839" xr:uid="{00000000-0005-0000-0000-0000B1B80000}"/>
    <cellStyle name="Normal 7 3 4 3 3" xfId="5752" xr:uid="{00000000-0005-0000-0000-0000B2B80000}"/>
    <cellStyle name="Normal 7 3 4 3 3 2" xfId="10767" xr:uid="{00000000-0005-0000-0000-0000B3B80000}"/>
    <cellStyle name="Normal 7 3 4 3 3 2 2" xfId="23210" xr:uid="{00000000-0005-0000-0000-0000B4B80000}"/>
    <cellStyle name="Normal 7 3 4 3 3 2 2 2" xfId="48084" xr:uid="{00000000-0005-0000-0000-0000B5B80000}"/>
    <cellStyle name="Normal 7 3 4 3 3 2 3" xfId="35651" xr:uid="{00000000-0005-0000-0000-0000B6B80000}"/>
    <cellStyle name="Normal 7 3 4 3 3 3" xfId="18203" xr:uid="{00000000-0005-0000-0000-0000B7B80000}"/>
    <cellStyle name="Normal 7 3 4 3 3 3 2" xfId="43077" xr:uid="{00000000-0005-0000-0000-0000B8B80000}"/>
    <cellStyle name="Normal 7 3 4 3 3 4" xfId="30644" xr:uid="{00000000-0005-0000-0000-0000B9B80000}"/>
    <cellStyle name="Normal 7 3 4 3 4" xfId="8245" xr:uid="{00000000-0005-0000-0000-0000BAB80000}"/>
    <cellStyle name="Normal 7 3 4 3 4 2" xfId="20689" xr:uid="{00000000-0005-0000-0000-0000BBB80000}"/>
    <cellStyle name="Normal 7 3 4 3 4 2 2" xfId="45563" xr:uid="{00000000-0005-0000-0000-0000BCB80000}"/>
    <cellStyle name="Normal 7 3 4 3 4 3" xfId="33130" xr:uid="{00000000-0005-0000-0000-0000BDB80000}"/>
    <cellStyle name="Normal 7 3 4 3 5" xfId="12221" xr:uid="{00000000-0005-0000-0000-0000BEB80000}"/>
    <cellStyle name="Normal 7 3 4 3 5 2" xfId="24655" xr:uid="{00000000-0005-0000-0000-0000BFB80000}"/>
    <cellStyle name="Normal 7 3 4 3 5 2 2" xfId="49529" xr:uid="{00000000-0005-0000-0000-0000C0B80000}"/>
    <cellStyle name="Normal 7 3 4 3 5 3" xfId="37096" xr:uid="{00000000-0005-0000-0000-0000C1B80000}"/>
    <cellStyle name="Normal 7 3 4 3 6" xfId="6722" xr:uid="{00000000-0005-0000-0000-0000C2B80000}"/>
    <cellStyle name="Normal 7 3 4 3 6 2" xfId="19171" xr:uid="{00000000-0005-0000-0000-0000C3B80000}"/>
    <cellStyle name="Normal 7 3 4 3 6 2 2" xfId="44045" xr:uid="{00000000-0005-0000-0000-0000C4B80000}"/>
    <cellStyle name="Normal 7 3 4 3 6 3" xfId="31612" xr:uid="{00000000-0005-0000-0000-0000C5B80000}"/>
    <cellStyle name="Normal 7 3 4 3 7" xfId="3176" xr:uid="{00000000-0005-0000-0000-0000C6B80000}"/>
    <cellStyle name="Normal 7 3 4 3 7 2" xfId="15682" xr:uid="{00000000-0005-0000-0000-0000C7B80000}"/>
    <cellStyle name="Normal 7 3 4 3 7 2 2" xfId="40556" xr:uid="{00000000-0005-0000-0000-0000C8B80000}"/>
    <cellStyle name="Normal 7 3 4 3 7 3" xfId="28115" xr:uid="{00000000-0005-0000-0000-0000C9B80000}"/>
    <cellStyle name="Normal 7 3 4 3 8" xfId="13439" xr:uid="{00000000-0005-0000-0000-0000CAB80000}"/>
    <cellStyle name="Normal 7 3 4 3 8 2" xfId="38313" xr:uid="{00000000-0005-0000-0000-0000CBB80000}"/>
    <cellStyle name="Normal 7 3 4 3 9" xfId="25872" xr:uid="{00000000-0005-0000-0000-0000CCB80000}"/>
    <cellStyle name="Normal 7 3 4 4" xfId="1954" xr:uid="{00000000-0005-0000-0000-0000CDB80000}"/>
    <cellStyle name="Normal 7 3 4 4 2" xfId="4692" xr:uid="{00000000-0005-0000-0000-0000CEB80000}"/>
    <cellStyle name="Normal 7 3 4 4 2 2" xfId="9710" xr:uid="{00000000-0005-0000-0000-0000CFB80000}"/>
    <cellStyle name="Normal 7 3 4 4 2 2 2" xfId="22153" xr:uid="{00000000-0005-0000-0000-0000D0B80000}"/>
    <cellStyle name="Normal 7 3 4 4 2 2 2 2" xfId="47027" xr:uid="{00000000-0005-0000-0000-0000D1B80000}"/>
    <cellStyle name="Normal 7 3 4 4 2 2 3" xfId="34594" xr:uid="{00000000-0005-0000-0000-0000D2B80000}"/>
    <cellStyle name="Normal 7 3 4 4 2 3" xfId="17146" xr:uid="{00000000-0005-0000-0000-0000D3B80000}"/>
    <cellStyle name="Normal 7 3 4 4 2 3 2" xfId="42020" xr:uid="{00000000-0005-0000-0000-0000D4B80000}"/>
    <cellStyle name="Normal 7 3 4 4 2 4" xfId="29587" xr:uid="{00000000-0005-0000-0000-0000D5B80000}"/>
    <cellStyle name="Normal 7 3 4 4 3" xfId="6100" xr:uid="{00000000-0005-0000-0000-0000D6B80000}"/>
    <cellStyle name="Normal 7 3 4 4 3 2" xfId="11115" xr:uid="{00000000-0005-0000-0000-0000D7B80000}"/>
    <cellStyle name="Normal 7 3 4 4 3 2 2" xfId="23558" xr:uid="{00000000-0005-0000-0000-0000D8B80000}"/>
    <cellStyle name="Normal 7 3 4 4 3 2 2 2" xfId="48432" xr:uid="{00000000-0005-0000-0000-0000D9B80000}"/>
    <cellStyle name="Normal 7 3 4 4 3 2 3" xfId="35999" xr:uid="{00000000-0005-0000-0000-0000DAB80000}"/>
    <cellStyle name="Normal 7 3 4 4 3 3" xfId="18551" xr:uid="{00000000-0005-0000-0000-0000DBB80000}"/>
    <cellStyle name="Normal 7 3 4 4 3 3 2" xfId="43425" xr:uid="{00000000-0005-0000-0000-0000DCB80000}"/>
    <cellStyle name="Normal 7 3 4 4 3 4" xfId="30992" xr:uid="{00000000-0005-0000-0000-0000DDB80000}"/>
    <cellStyle name="Normal 7 3 4 4 4" xfId="8826" xr:uid="{00000000-0005-0000-0000-0000DEB80000}"/>
    <cellStyle name="Normal 7 3 4 4 4 2" xfId="21270" xr:uid="{00000000-0005-0000-0000-0000DFB80000}"/>
    <cellStyle name="Normal 7 3 4 4 4 2 2" xfId="46144" xr:uid="{00000000-0005-0000-0000-0000E0B80000}"/>
    <cellStyle name="Normal 7 3 4 4 4 3" xfId="33711" xr:uid="{00000000-0005-0000-0000-0000E1B80000}"/>
    <cellStyle name="Normal 7 3 4 4 5" xfId="12569" xr:uid="{00000000-0005-0000-0000-0000E2B80000}"/>
    <cellStyle name="Normal 7 3 4 4 5 2" xfId="25003" xr:uid="{00000000-0005-0000-0000-0000E3B80000}"/>
    <cellStyle name="Normal 7 3 4 4 5 2 2" xfId="49877" xr:uid="{00000000-0005-0000-0000-0000E4B80000}"/>
    <cellStyle name="Normal 7 3 4 4 5 3" xfId="37444" xr:uid="{00000000-0005-0000-0000-0000E5B80000}"/>
    <cellStyle name="Normal 7 3 4 4 6" xfId="7303" xr:uid="{00000000-0005-0000-0000-0000E6B80000}"/>
    <cellStyle name="Normal 7 3 4 4 6 2" xfId="19752" xr:uid="{00000000-0005-0000-0000-0000E7B80000}"/>
    <cellStyle name="Normal 7 3 4 4 6 2 2" xfId="44626" xr:uid="{00000000-0005-0000-0000-0000E8B80000}"/>
    <cellStyle name="Normal 7 3 4 4 6 3" xfId="32193" xr:uid="{00000000-0005-0000-0000-0000E9B80000}"/>
    <cellStyle name="Normal 7 3 4 4 7" xfId="3757" xr:uid="{00000000-0005-0000-0000-0000EAB80000}"/>
    <cellStyle name="Normal 7 3 4 4 7 2" xfId="16263" xr:uid="{00000000-0005-0000-0000-0000EBB80000}"/>
    <cellStyle name="Normal 7 3 4 4 7 2 2" xfId="41137" xr:uid="{00000000-0005-0000-0000-0000ECB80000}"/>
    <cellStyle name="Normal 7 3 4 4 7 3" xfId="28696" xr:uid="{00000000-0005-0000-0000-0000EDB80000}"/>
    <cellStyle name="Normal 7 3 4 4 8" xfId="14754" xr:uid="{00000000-0005-0000-0000-0000EEB80000}"/>
    <cellStyle name="Normal 7 3 4 4 8 2" xfId="39628" xr:uid="{00000000-0005-0000-0000-0000EFB80000}"/>
    <cellStyle name="Normal 7 3 4 4 9" xfId="27187" xr:uid="{00000000-0005-0000-0000-0000F0B80000}"/>
    <cellStyle name="Normal 7 3 4 5" xfId="2188" xr:uid="{00000000-0005-0000-0000-0000F1B80000}"/>
    <cellStyle name="Normal 7 3 4 5 2" xfId="4821" xr:uid="{00000000-0005-0000-0000-0000F2B80000}"/>
    <cellStyle name="Normal 7 3 4 5 2 2" xfId="9838" xr:uid="{00000000-0005-0000-0000-0000F3B80000}"/>
    <cellStyle name="Normal 7 3 4 5 2 2 2" xfId="22281" xr:uid="{00000000-0005-0000-0000-0000F4B80000}"/>
    <cellStyle name="Normal 7 3 4 5 2 2 2 2" xfId="47155" xr:uid="{00000000-0005-0000-0000-0000F5B80000}"/>
    <cellStyle name="Normal 7 3 4 5 2 2 3" xfId="34722" xr:uid="{00000000-0005-0000-0000-0000F6B80000}"/>
    <cellStyle name="Normal 7 3 4 5 2 3" xfId="17274" xr:uid="{00000000-0005-0000-0000-0000F7B80000}"/>
    <cellStyle name="Normal 7 3 4 5 2 3 2" xfId="42148" xr:uid="{00000000-0005-0000-0000-0000F8B80000}"/>
    <cellStyle name="Normal 7 3 4 5 2 4" xfId="29715" xr:uid="{00000000-0005-0000-0000-0000F9B80000}"/>
    <cellStyle name="Normal 7 3 4 5 3" xfId="6219" xr:uid="{00000000-0005-0000-0000-0000FAB80000}"/>
    <cellStyle name="Normal 7 3 4 5 3 2" xfId="11234" xr:uid="{00000000-0005-0000-0000-0000FBB80000}"/>
    <cellStyle name="Normal 7 3 4 5 3 2 2" xfId="23677" xr:uid="{00000000-0005-0000-0000-0000FCB80000}"/>
    <cellStyle name="Normal 7 3 4 5 3 2 2 2" xfId="48551" xr:uid="{00000000-0005-0000-0000-0000FDB80000}"/>
    <cellStyle name="Normal 7 3 4 5 3 2 3" xfId="36118" xr:uid="{00000000-0005-0000-0000-0000FEB80000}"/>
    <cellStyle name="Normal 7 3 4 5 3 3" xfId="18670" xr:uid="{00000000-0005-0000-0000-0000FFB80000}"/>
    <cellStyle name="Normal 7 3 4 5 3 3 2" xfId="43544" xr:uid="{00000000-0005-0000-0000-000000B90000}"/>
    <cellStyle name="Normal 7 3 4 5 3 4" xfId="31111" xr:uid="{00000000-0005-0000-0000-000001B90000}"/>
    <cellStyle name="Normal 7 3 4 5 4" xfId="8131" xr:uid="{00000000-0005-0000-0000-000002B90000}"/>
    <cellStyle name="Normal 7 3 4 5 4 2" xfId="20577" xr:uid="{00000000-0005-0000-0000-000003B90000}"/>
    <cellStyle name="Normal 7 3 4 5 4 2 2" xfId="45451" xr:uid="{00000000-0005-0000-0000-000004B90000}"/>
    <cellStyle name="Normal 7 3 4 5 4 3" xfId="33018" xr:uid="{00000000-0005-0000-0000-000005B90000}"/>
    <cellStyle name="Normal 7 3 4 5 5" xfId="12688" xr:uid="{00000000-0005-0000-0000-000006B90000}"/>
    <cellStyle name="Normal 7 3 4 5 5 2" xfId="25122" xr:uid="{00000000-0005-0000-0000-000007B90000}"/>
    <cellStyle name="Normal 7 3 4 5 5 2 2" xfId="49996" xr:uid="{00000000-0005-0000-0000-000008B90000}"/>
    <cellStyle name="Normal 7 3 4 5 5 3" xfId="37563" xr:uid="{00000000-0005-0000-0000-000009B90000}"/>
    <cellStyle name="Normal 7 3 4 5 6" xfId="7432" xr:uid="{00000000-0005-0000-0000-00000AB90000}"/>
    <cellStyle name="Normal 7 3 4 5 6 2" xfId="19880" xr:uid="{00000000-0005-0000-0000-00000BB90000}"/>
    <cellStyle name="Normal 7 3 4 5 6 2 2" xfId="44754" xr:uid="{00000000-0005-0000-0000-00000CB90000}"/>
    <cellStyle name="Normal 7 3 4 5 6 3" xfId="32321" xr:uid="{00000000-0005-0000-0000-00000DB90000}"/>
    <cellStyle name="Normal 7 3 4 5 7" xfId="3061" xr:uid="{00000000-0005-0000-0000-00000EB90000}"/>
    <cellStyle name="Normal 7 3 4 5 7 2" xfId="15570" xr:uid="{00000000-0005-0000-0000-00000FB90000}"/>
    <cellStyle name="Normal 7 3 4 5 7 2 2" xfId="40444" xr:uid="{00000000-0005-0000-0000-000010B90000}"/>
    <cellStyle name="Normal 7 3 4 5 7 3" xfId="28003" xr:uid="{00000000-0005-0000-0000-000011B90000}"/>
    <cellStyle name="Normal 7 3 4 5 8" xfId="14873" xr:uid="{00000000-0005-0000-0000-000012B90000}"/>
    <cellStyle name="Normal 7 3 4 5 8 2" xfId="39747" xr:uid="{00000000-0005-0000-0000-000013B90000}"/>
    <cellStyle name="Normal 7 3 4 5 9" xfId="27306" xr:uid="{00000000-0005-0000-0000-000014B90000}"/>
    <cellStyle name="Normal 7 3 4 6" xfId="1030" xr:uid="{00000000-0005-0000-0000-000015B90000}"/>
    <cellStyle name="Normal 7 3 4 6 2" xfId="9017" xr:uid="{00000000-0005-0000-0000-000016B90000}"/>
    <cellStyle name="Normal 7 3 4 6 2 2" xfId="21460" xr:uid="{00000000-0005-0000-0000-000017B90000}"/>
    <cellStyle name="Normal 7 3 4 6 2 2 2" xfId="46334" xr:uid="{00000000-0005-0000-0000-000018B90000}"/>
    <cellStyle name="Normal 7 3 4 6 2 3" xfId="33901" xr:uid="{00000000-0005-0000-0000-000019B90000}"/>
    <cellStyle name="Normal 7 3 4 6 3" xfId="3999" xr:uid="{00000000-0005-0000-0000-00001AB90000}"/>
    <cellStyle name="Normal 7 3 4 6 3 2" xfId="16453" xr:uid="{00000000-0005-0000-0000-00001BB90000}"/>
    <cellStyle name="Normal 7 3 4 6 3 2 2" xfId="41327" xr:uid="{00000000-0005-0000-0000-00001CB90000}"/>
    <cellStyle name="Normal 7 3 4 6 3 3" xfId="28894" xr:uid="{00000000-0005-0000-0000-00001DB90000}"/>
    <cellStyle name="Normal 7 3 4 6 4" xfId="13830" xr:uid="{00000000-0005-0000-0000-00001EB90000}"/>
    <cellStyle name="Normal 7 3 4 6 4 2" xfId="38704" xr:uid="{00000000-0005-0000-0000-00001FB90000}"/>
    <cellStyle name="Normal 7 3 4 6 5" xfId="26263" xr:uid="{00000000-0005-0000-0000-000020B90000}"/>
    <cellStyle name="Normal 7 3 4 7" xfId="5175" xr:uid="{00000000-0005-0000-0000-000021B90000}"/>
    <cellStyle name="Normal 7 3 4 7 2" xfId="10191" xr:uid="{00000000-0005-0000-0000-000022B90000}"/>
    <cellStyle name="Normal 7 3 4 7 2 2" xfId="22634" xr:uid="{00000000-0005-0000-0000-000023B90000}"/>
    <cellStyle name="Normal 7 3 4 7 2 2 2" xfId="47508" xr:uid="{00000000-0005-0000-0000-000024B90000}"/>
    <cellStyle name="Normal 7 3 4 7 2 3" xfId="35075" xr:uid="{00000000-0005-0000-0000-000025B90000}"/>
    <cellStyle name="Normal 7 3 4 7 3" xfId="17627" xr:uid="{00000000-0005-0000-0000-000026B90000}"/>
    <cellStyle name="Normal 7 3 4 7 3 2" xfId="42501" xr:uid="{00000000-0005-0000-0000-000027B90000}"/>
    <cellStyle name="Normal 7 3 4 7 4" xfId="30068" xr:uid="{00000000-0005-0000-0000-000028B90000}"/>
    <cellStyle name="Normal 7 3 4 8" xfId="7752" xr:uid="{00000000-0005-0000-0000-000029B90000}"/>
    <cellStyle name="Normal 7 3 4 8 2" xfId="20198" xr:uid="{00000000-0005-0000-0000-00002AB90000}"/>
    <cellStyle name="Normal 7 3 4 8 2 2" xfId="45072" xr:uid="{00000000-0005-0000-0000-00002BB90000}"/>
    <cellStyle name="Normal 7 3 4 8 3" xfId="32639" xr:uid="{00000000-0005-0000-0000-00002CB90000}"/>
    <cellStyle name="Normal 7 3 4 9" xfId="11645" xr:uid="{00000000-0005-0000-0000-00002DB90000}"/>
    <cellStyle name="Normal 7 3 4 9 2" xfId="24079" xr:uid="{00000000-0005-0000-0000-00002EB90000}"/>
    <cellStyle name="Normal 7 3 4 9 2 2" xfId="48953" xr:uid="{00000000-0005-0000-0000-00002FB90000}"/>
    <cellStyle name="Normal 7 3 4 9 3" xfId="36520" xr:uid="{00000000-0005-0000-0000-000030B90000}"/>
    <cellStyle name="Normal 7 3 4_Degree data" xfId="2580" xr:uid="{00000000-0005-0000-0000-000031B90000}"/>
    <cellStyle name="Normal 7 3 5" xfId="376" xr:uid="{00000000-0005-0000-0000-000032B90000}"/>
    <cellStyle name="Normal 7 3 5 10" xfId="13192" xr:uid="{00000000-0005-0000-0000-000033B90000}"/>
    <cellStyle name="Normal 7 3 5 10 2" xfId="38066" xr:uid="{00000000-0005-0000-0000-000034B90000}"/>
    <cellStyle name="Normal 7 3 5 11" xfId="25625" xr:uid="{00000000-0005-0000-0000-000035B90000}"/>
    <cellStyle name="Normal 7 3 5 2" xfId="736" xr:uid="{00000000-0005-0000-0000-000036B90000}"/>
    <cellStyle name="Normal 7 3 5 2 2" xfId="1608" xr:uid="{00000000-0005-0000-0000-000037B90000}"/>
    <cellStyle name="Normal 7 3 5 2 2 2" xfId="9712" xr:uid="{00000000-0005-0000-0000-000038B90000}"/>
    <cellStyle name="Normal 7 3 5 2 2 2 2" xfId="22155" xr:uid="{00000000-0005-0000-0000-000039B90000}"/>
    <cellStyle name="Normal 7 3 5 2 2 2 2 2" xfId="47029" xr:uid="{00000000-0005-0000-0000-00003AB90000}"/>
    <cellStyle name="Normal 7 3 5 2 2 2 3" xfId="34596" xr:uid="{00000000-0005-0000-0000-00003BB90000}"/>
    <cellStyle name="Normal 7 3 5 2 2 3" xfId="4694" xr:uid="{00000000-0005-0000-0000-00003CB90000}"/>
    <cellStyle name="Normal 7 3 5 2 2 3 2" xfId="17148" xr:uid="{00000000-0005-0000-0000-00003DB90000}"/>
    <cellStyle name="Normal 7 3 5 2 2 3 2 2" xfId="42022" xr:uid="{00000000-0005-0000-0000-00003EB90000}"/>
    <cellStyle name="Normal 7 3 5 2 2 3 3" xfId="29589" xr:uid="{00000000-0005-0000-0000-00003FB90000}"/>
    <cellStyle name="Normal 7 3 5 2 2 4" xfId="14408" xr:uid="{00000000-0005-0000-0000-000040B90000}"/>
    <cellStyle name="Normal 7 3 5 2 2 4 2" xfId="39282" xr:uid="{00000000-0005-0000-0000-000041B90000}"/>
    <cellStyle name="Normal 7 3 5 2 2 5" xfId="26841" xr:uid="{00000000-0005-0000-0000-000042B90000}"/>
    <cellStyle name="Normal 7 3 5 2 3" xfId="5754" xr:uid="{00000000-0005-0000-0000-000043B90000}"/>
    <cellStyle name="Normal 7 3 5 2 3 2" xfId="10769" xr:uid="{00000000-0005-0000-0000-000044B90000}"/>
    <cellStyle name="Normal 7 3 5 2 3 2 2" xfId="23212" xr:uid="{00000000-0005-0000-0000-000045B90000}"/>
    <cellStyle name="Normal 7 3 5 2 3 2 2 2" xfId="48086" xr:uid="{00000000-0005-0000-0000-000046B90000}"/>
    <cellStyle name="Normal 7 3 5 2 3 2 3" xfId="35653" xr:uid="{00000000-0005-0000-0000-000047B90000}"/>
    <cellStyle name="Normal 7 3 5 2 3 3" xfId="18205" xr:uid="{00000000-0005-0000-0000-000048B90000}"/>
    <cellStyle name="Normal 7 3 5 2 3 3 2" xfId="43079" xr:uid="{00000000-0005-0000-0000-000049B90000}"/>
    <cellStyle name="Normal 7 3 5 2 3 4" xfId="30646" xr:uid="{00000000-0005-0000-0000-00004AB90000}"/>
    <cellStyle name="Normal 7 3 5 2 4" xfId="8828" xr:uid="{00000000-0005-0000-0000-00004BB90000}"/>
    <cellStyle name="Normal 7 3 5 2 4 2" xfId="21272" xr:uid="{00000000-0005-0000-0000-00004CB90000}"/>
    <cellStyle name="Normal 7 3 5 2 4 2 2" xfId="46146" xr:uid="{00000000-0005-0000-0000-00004DB90000}"/>
    <cellStyle name="Normal 7 3 5 2 4 3" xfId="33713" xr:uid="{00000000-0005-0000-0000-00004EB90000}"/>
    <cellStyle name="Normal 7 3 5 2 5" xfId="12223" xr:uid="{00000000-0005-0000-0000-00004FB90000}"/>
    <cellStyle name="Normal 7 3 5 2 5 2" xfId="24657" xr:uid="{00000000-0005-0000-0000-000050B90000}"/>
    <cellStyle name="Normal 7 3 5 2 5 2 2" xfId="49531" xr:uid="{00000000-0005-0000-0000-000051B90000}"/>
    <cellStyle name="Normal 7 3 5 2 5 3" xfId="37098" xr:uid="{00000000-0005-0000-0000-000052B90000}"/>
    <cellStyle name="Normal 7 3 5 2 6" xfId="7305" xr:uid="{00000000-0005-0000-0000-000053B90000}"/>
    <cellStyle name="Normal 7 3 5 2 6 2" xfId="19754" xr:uid="{00000000-0005-0000-0000-000054B90000}"/>
    <cellStyle name="Normal 7 3 5 2 6 2 2" xfId="44628" xr:uid="{00000000-0005-0000-0000-000055B90000}"/>
    <cellStyle name="Normal 7 3 5 2 6 3" xfId="32195" xr:uid="{00000000-0005-0000-0000-000056B90000}"/>
    <cellStyle name="Normal 7 3 5 2 7" xfId="3759" xr:uid="{00000000-0005-0000-0000-000057B90000}"/>
    <cellStyle name="Normal 7 3 5 2 7 2" xfId="16265" xr:uid="{00000000-0005-0000-0000-000058B90000}"/>
    <cellStyle name="Normal 7 3 5 2 7 2 2" xfId="41139" xr:uid="{00000000-0005-0000-0000-000059B90000}"/>
    <cellStyle name="Normal 7 3 5 2 7 3" xfId="28698" xr:uid="{00000000-0005-0000-0000-00005AB90000}"/>
    <cellStyle name="Normal 7 3 5 2 8" xfId="13539" xr:uid="{00000000-0005-0000-0000-00005BB90000}"/>
    <cellStyle name="Normal 7 3 5 2 8 2" xfId="38413" xr:uid="{00000000-0005-0000-0000-00005CB90000}"/>
    <cellStyle name="Normal 7 3 5 2 9" xfId="25972" xr:uid="{00000000-0005-0000-0000-00005DB90000}"/>
    <cellStyle name="Normal 7 3 5 3" xfId="1956" xr:uid="{00000000-0005-0000-0000-00005EB90000}"/>
    <cellStyle name="Normal 7 3 5 3 2" xfId="4921" xr:uid="{00000000-0005-0000-0000-00005FB90000}"/>
    <cellStyle name="Normal 7 3 5 3 2 2" xfId="9938" xr:uid="{00000000-0005-0000-0000-000060B90000}"/>
    <cellStyle name="Normal 7 3 5 3 2 2 2" xfId="22381" xr:uid="{00000000-0005-0000-0000-000061B90000}"/>
    <cellStyle name="Normal 7 3 5 3 2 2 2 2" xfId="47255" xr:uid="{00000000-0005-0000-0000-000062B90000}"/>
    <cellStyle name="Normal 7 3 5 3 2 2 3" xfId="34822" xr:uid="{00000000-0005-0000-0000-000063B90000}"/>
    <cellStyle name="Normal 7 3 5 3 2 3" xfId="17374" xr:uid="{00000000-0005-0000-0000-000064B90000}"/>
    <cellStyle name="Normal 7 3 5 3 2 3 2" xfId="42248" xr:uid="{00000000-0005-0000-0000-000065B90000}"/>
    <cellStyle name="Normal 7 3 5 3 2 4" xfId="29815" xr:uid="{00000000-0005-0000-0000-000066B90000}"/>
    <cellStyle name="Normal 7 3 5 3 3" xfId="6102" xr:uid="{00000000-0005-0000-0000-000067B90000}"/>
    <cellStyle name="Normal 7 3 5 3 3 2" xfId="11117" xr:uid="{00000000-0005-0000-0000-000068B90000}"/>
    <cellStyle name="Normal 7 3 5 3 3 2 2" xfId="23560" xr:uid="{00000000-0005-0000-0000-000069B90000}"/>
    <cellStyle name="Normal 7 3 5 3 3 2 2 2" xfId="48434" xr:uid="{00000000-0005-0000-0000-00006AB90000}"/>
    <cellStyle name="Normal 7 3 5 3 3 2 3" xfId="36001" xr:uid="{00000000-0005-0000-0000-00006BB90000}"/>
    <cellStyle name="Normal 7 3 5 3 3 3" xfId="18553" xr:uid="{00000000-0005-0000-0000-00006CB90000}"/>
    <cellStyle name="Normal 7 3 5 3 3 3 2" xfId="43427" xr:uid="{00000000-0005-0000-0000-00006DB90000}"/>
    <cellStyle name="Normal 7 3 5 3 3 4" xfId="30994" xr:uid="{00000000-0005-0000-0000-00006EB90000}"/>
    <cellStyle name="Normal 7 3 5 3 4" xfId="8345" xr:uid="{00000000-0005-0000-0000-00006FB90000}"/>
    <cellStyle name="Normal 7 3 5 3 4 2" xfId="20789" xr:uid="{00000000-0005-0000-0000-000070B90000}"/>
    <cellStyle name="Normal 7 3 5 3 4 2 2" xfId="45663" xr:uid="{00000000-0005-0000-0000-000071B90000}"/>
    <cellStyle name="Normal 7 3 5 3 4 3" xfId="33230" xr:uid="{00000000-0005-0000-0000-000072B90000}"/>
    <cellStyle name="Normal 7 3 5 3 5" xfId="12571" xr:uid="{00000000-0005-0000-0000-000073B90000}"/>
    <cellStyle name="Normal 7 3 5 3 5 2" xfId="25005" xr:uid="{00000000-0005-0000-0000-000074B90000}"/>
    <cellStyle name="Normal 7 3 5 3 5 2 2" xfId="49879" xr:uid="{00000000-0005-0000-0000-000075B90000}"/>
    <cellStyle name="Normal 7 3 5 3 5 3" xfId="37446" xr:uid="{00000000-0005-0000-0000-000076B90000}"/>
    <cellStyle name="Normal 7 3 5 3 6" xfId="7532" xr:uid="{00000000-0005-0000-0000-000077B90000}"/>
    <cellStyle name="Normal 7 3 5 3 6 2" xfId="19980" xr:uid="{00000000-0005-0000-0000-000078B90000}"/>
    <cellStyle name="Normal 7 3 5 3 6 2 2" xfId="44854" xr:uid="{00000000-0005-0000-0000-000079B90000}"/>
    <cellStyle name="Normal 7 3 5 3 6 3" xfId="32421" xr:uid="{00000000-0005-0000-0000-00007AB90000}"/>
    <cellStyle name="Normal 7 3 5 3 7" xfId="3276" xr:uid="{00000000-0005-0000-0000-00007BB90000}"/>
    <cellStyle name="Normal 7 3 5 3 7 2" xfId="15782" xr:uid="{00000000-0005-0000-0000-00007CB90000}"/>
    <cellStyle name="Normal 7 3 5 3 7 2 2" xfId="40656" xr:uid="{00000000-0005-0000-0000-00007DB90000}"/>
    <cellStyle name="Normal 7 3 5 3 7 3" xfId="28215" xr:uid="{00000000-0005-0000-0000-00007EB90000}"/>
    <cellStyle name="Normal 7 3 5 3 8" xfId="14756" xr:uid="{00000000-0005-0000-0000-00007FB90000}"/>
    <cellStyle name="Normal 7 3 5 3 8 2" xfId="39630" xr:uid="{00000000-0005-0000-0000-000080B90000}"/>
    <cellStyle name="Normal 7 3 5 3 9" xfId="27189" xr:uid="{00000000-0005-0000-0000-000081B90000}"/>
    <cellStyle name="Normal 7 3 5 4" xfId="2294" xr:uid="{00000000-0005-0000-0000-000082B90000}"/>
    <cellStyle name="Normal 7 3 5 4 2" xfId="6319" xr:uid="{00000000-0005-0000-0000-000083B90000}"/>
    <cellStyle name="Normal 7 3 5 4 2 2" xfId="11334" xr:uid="{00000000-0005-0000-0000-000084B90000}"/>
    <cellStyle name="Normal 7 3 5 4 2 2 2" xfId="23777" xr:uid="{00000000-0005-0000-0000-000085B90000}"/>
    <cellStyle name="Normal 7 3 5 4 2 2 2 2" xfId="48651" xr:uid="{00000000-0005-0000-0000-000086B90000}"/>
    <cellStyle name="Normal 7 3 5 4 2 2 3" xfId="36218" xr:uid="{00000000-0005-0000-0000-000087B90000}"/>
    <cellStyle name="Normal 7 3 5 4 2 3" xfId="18770" xr:uid="{00000000-0005-0000-0000-000088B90000}"/>
    <cellStyle name="Normal 7 3 5 4 2 3 2" xfId="43644" xr:uid="{00000000-0005-0000-0000-000089B90000}"/>
    <cellStyle name="Normal 7 3 5 4 2 4" xfId="31211" xr:uid="{00000000-0005-0000-0000-00008AB90000}"/>
    <cellStyle name="Normal 7 3 5 4 3" xfId="12788" xr:uid="{00000000-0005-0000-0000-00008BB90000}"/>
    <cellStyle name="Normal 7 3 5 4 3 2" xfId="25222" xr:uid="{00000000-0005-0000-0000-00008CB90000}"/>
    <cellStyle name="Normal 7 3 5 4 3 2 2" xfId="50096" xr:uid="{00000000-0005-0000-0000-00008DB90000}"/>
    <cellStyle name="Normal 7 3 5 4 3 3" xfId="37663" xr:uid="{00000000-0005-0000-0000-00008EB90000}"/>
    <cellStyle name="Normal 7 3 5 4 4" xfId="9229" xr:uid="{00000000-0005-0000-0000-00008FB90000}"/>
    <cellStyle name="Normal 7 3 5 4 4 2" xfId="21672" xr:uid="{00000000-0005-0000-0000-000090B90000}"/>
    <cellStyle name="Normal 7 3 5 4 4 2 2" xfId="46546" xr:uid="{00000000-0005-0000-0000-000091B90000}"/>
    <cellStyle name="Normal 7 3 5 4 4 3" xfId="34113" xr:uid="{00000000-0005-0000-0000-000092B90000}"/>
    <cellStyle name="Normal 7 3 5 4 5" xfId="4211" xr:uid="{00000000-0005-0000-0000-000093B90000}"/>
    <cellStyle name="Normal 7 3 5 4 5 2" xfId="16665" xr:uid="{00000000-0005-0000-0000-000094B90000}"/>
    <cellStyle name="Normal 7 3 5 4 5 2 2" xfId="41539" xr:uid="{00000000-0005-0000-0000-000095B90000}"/>
    <cellStyle name="Normal 7 3 5 4 5 3" xfId="29106" xr:uid="{00000000-0005-0000-0000-000096B90000}"/>
    <cellStyle name="Normal 7 3 5 4 6" xfId="14973" xr:uid="{00000000-0005-0000-0000-000097B90000}"/>
    <cellStyle name="Normal 7 3 5 4 6 2" xfId="39847" xr:uid="{00000000-0005-0000-0000-000098B90000}"/>
    <cellStyle name="Normal 7 3 5 4 7" xfId="27406" xr:uid="{00000000-0005-0000-0000-000099B90000}"/>
    <cellStyle name="Normal 7 3 5 5" xfId="1130" xr:uid="{00000000-0005-0000-0000-00009AB90000}"/>
    <cellStyle name="Normal 7 3 5 5 2" xfId="10291" xr:uid="{00000000-0005-0000-0000-00009BB90000}"/>
    <cellStyle name="Normal 7 3 5 5 2 2" xfId="22734" xr:uid="{00000000-0005-0000-0000-00009CB90000}"/>
    <cellStyle name="Normal 7 3 5 5 2 2 2" xfId="47608" xr:uid="{00000000-0005-0000-0000-00009DB90000}"/>
    <cellStyle name="Normal 7 3 5 5 2 3" xfId="35175" xr:uid="{00000000-0005-0000-0000-00009EB90000}"/>
    <cellStyle name="Normal 7 3 5 5 3" xfId="5275" xr:uid="{00000000-0005-0000-0000-00009FB90000}"/>
    <cellStyle name="Normal 7 3 5 5 3 2" xfId="17727" xr:uid="{00000000-0005-0000-0000-0000A0B90000}"/>
    <cellStyle name="Normal 7 3 5 5 3 2 2" xfId="42601" xr:uid="{00000000-0005-0000-0000-0000A1B90000}"/>
    <cellStyle name="Normal 7 3 5 5 3 3" xfId="30168" xr:uid="{00000000-0005-0000-0000-0000A2B90000}"/>
    <cellStyle name="Normal 7 3 5 5 4" xfId="13930" xr:uid="{00000000-0005-0000-0000-0000A3B90000}"/>
    <cellStyle name="Normal 7 3 5 5 4 2" xfId="38804" xr:uid="{00000000-0005-0000-0000-0000A4B90000}"/>
    <cellStyle name="Normal 7 3 5 5 5" xfId="26363" xr:uid="{00000000-0005-0000-0000-0000A5B90000}"/>
    <cellStyle name="Normal 7 3 5 6" xfId="7852" xr:uid="{00000000-0005-0000-0000-0000A6B90000}"/>
    <cellStyle name="Normal 7 3 5 6 2" xfId="20298" xr:uid="{00000000-0005-0000-0000-0000A7B90000}"/>
    <cellStyle name="Normal 7 3 5 6 2 2" xfId="45172" xr:uid="{00000000-0005-0000-0000-0000A8B90000}"/>
    <cellStyle name="Normal 7 3 5 6 3" xfId="32739" xr:uid="{00000000-0005-0000-0000-0000A9B90000}"/>
    <cellStyle name="Normal 7 3 5 7" xfId="11745" xr:uid="{00000000-0005-0000-0000-0000AAB90000}"/>
    <cellStyle name="Normal 7 3 5 7 2" xfId="24179" xr:uid="{00000000-0005-0000-0000-0000ABB90000}"/>
    <cellStyle name="Normal 7 3 5 7 2 2" xfId="49053" xr:uid="{00000000-0005-0000-0000-0000ACB90000}"/>
    <cellStyle name="Normal 7 3 5 7 3" xfId="36620" xr:uid="{00000000-0005-0000-0000-0000ADB90000}"/>
    <cellStyle name="Normal 7 3 5 8" xfId="6822" xr:uid="{00000000-0005-0000-0000-0000AEB90000}"/>
    <cellStyle name="Normal 7 3 5 8 2" xfId="19271" xr:uid="{00000000-0005-0000-0000-0000AFB90000}"/>
    <cellStyle name="Normal 7 3 5 8 2 2" xfId="44145" xr:uid="{00000000-0005-0000-0000-0000B0B90000}"/>
    <cellStyle name="Normal 7 3 5 8 3" xfId="31712" xr:uid="{00000000-0005-0000-0000-0000B1B90000}"/>
    <cellStyle name="Normal 7 3 5 9" xfId="2773" xr:uid="{00000000-0005-0000-0000-0000B2B90000}"/>
    <cellStyle name="Normal 7 3 5 9 2" xfId="15291" xr:uid="{00000000-0005-0000-0000-0000B3B90000}"/>
    <cellStyle name="Normal 7 3 5 9 2 2" xfId="40165" xr:uid="{00000000-0005-0000-0000-0000B4B90000}"/>
    <cellStyle name="Normal 7 3 5 9 3" xfId="27724" xr:uid="{00000000-0005-0000-0000-0000B5B90000}"/>
    <cellStyle name="Normal 7 3 5_Degree data" xfId="2582" xr:uid="{00000000-0005-0000-0000-0000B6B90000}"/>
    <cellStyle name="Normal 7 3 6" xfId="238" xr:uid="{00000000-0005-0000-0000-0000B7B90000}"/>
    <cellStyle name="Normal 7 3 6 10" xfId="13064" xr:uid="{00000000-0005-0000-0000-0000B8B90000}"/>
    <cellStyle name="Normal 7 3 6 10 2" xfId="37938" xr:uid="{00000000-0005-0000-0000-0000B9B90000}"/>
    <cellStyle name="Normal 7 3 6 11" xfId="25497" xr:uid="{00000000-0005-0000-0000-0000BAB90000}"/>
    <cellStyle name="Normal 7 3 6 2" xfId="602" xr:uid="{00000000-0005-0000-0000-0000BBB90000}"/>
    <cellStyle name="Normal 7 3 6 2 2" xfId="1609" xr:uid="{00000000-0005-0000-0000-0000BCB90000}"/>
    <cellStyle name="Normal 7 3 6 2 2 2" xfId="9713" xr:uid="{00000000-0005-0000-0000-0000BDB90000}"/>
    <cellStyle name="Normal 7 3 6 2 2 2 2" xfId="22156" xr:uid="{00000000-0005-0000-0000-0000BEB90000}"/>
    <cellStyle name="Normal 7 3 6 2 2 2 2 2" xfId="47030" xr:uid="{00000000-0005-0000-0000-0000BFB90000}"/>
    <cellStyle name="Normal 7 3 6 2 2 2 3" xfId="34597" xr:uid="{00000000-0005-0000-0000-0000C0B90000}"/>
    <cellStyle name="Normal 7 3 6 2 2 3" xfId="4695" xr:uid="{00000000-0005-0000-0000-0000C1B90000}"/>
    <cellStyle name="Normal 7 3 6 2 2 3 2" xfId="17149" xr:uid="{00000000-0005-0000-0000-0000C2B90000}"/>
    <cellStyle name="Normal 7 3 6 2 2 3 2 2" xfId="42023" xr:uid="{00000000-0005-0000-0000-0000C3B90000}"/>
    <cellStyle name="Normal 7 3 6 2 2 3 3" xfId="29590" xr:uid="{00000000-0005-0000-0000-0000C4B90000}"/>
    <cellStyle name="Normal 7 3 6 2 2 4" xfId="14409" xr:uid="{00000000-0005-0000-0000-0000C5B90000}"/>
    <cellStyle name="Normal 7 3 6 2 2 4 2" xfId="39283" xr:uid="{00000000-0005-0000-0000-0000C6B90000}"/>
    <cellStyle name="Normal 7 3 6 2 2 5" xfId="26842" xr:uid="{00000000-0005-0000-0000-0000C7B90000}"/>
    <cellStyle name="Normal 7 3 6 2 3" xfId="5755" xr:uid="{00000000-0005-0000-0000-0000C8B90000}"/>
    <cellStyle name="Normal 7 3 6 2 3 2" xfId="10770" xr:uid="{00000000-0005-0000-0000-0000C9B90000}"/>
    <cellStyle name="Normal 7 3 6 2 3 2 2" xfId="23213" xr:uid="{00000000-0005-0000-0000-0000CAB90000}"/>
    <cellStyle name="Normal 7 3 6 2 3 2 2 2" xfId="48087" xr:uid="{00000000-0005-0000-0000-0000CBB90000}"/>
    <cellStyle name="Normal 7 3 6 2 3 2 3" xfId="35654" xr:uid="{00000000-0005-0000-0000-0000CCB90000}"/>
    <cellStyle name="Normal 7 3 6 2 3 3" xfId="18206" xr:uid="{00000000-0005-0000-0000-0000CDB90000}"/>
    <cellStyle name="Normal 7 3 6 2 3 3 2" xfId="43080" xr:uid="{00000000-0005-0000-0000-0000CEB90000}"/>
    <cellStyle name="Normal 7 3 6 2 3 4" xfId="30647" xr:uid="{00000000-0005-0000-0000-0000CFB90000}"/>
    <cellStyle name="Normal 7 3 6 2 4" xfId="8829" xr:uid="{00000000-0005-0000-0000-0000D0B90000}"/>
    <cellStyle name="Normal 7 3 6 2 4 2" xfId="21273" xr:uid="{00000000-0005-0000-0000-0000D1B90000}"/>
    <cellStyle name="Normal 7 3 6 2 4 2 2" xfId="46147" xr:uid="{00000000-0005-0000-0000-0000D2B90000}"/>
    <cellStyle name="Normal 7 3 6 2 4 3" xfId="33714" xr:uid="{00000000-0005-0000-0000-0000D3B90000}"/>
    <cellStyle name="Normal 7 3 6 2 5" xfId="12224" xr:uid="{00000000-0005-0000-0000-0000D4B90000}"/>
    <cellStyle name="Normal 7 3 6 2 5 2" xfId="24658" xr:uid="{00000000-0005-0000-0000-0000D5B90000}"/>
    <cellStyle name="Normal 7 3 6 2 5 2 2" xfId="49532" xr:uid="{00000000-0005-0000-0000-0000D6B90000}"/>
    <cellStyle name="Normal 7 3 6 2 5 3" xfId="37099" xr:uid="{00000000-0005-0000-0000-0000D7B90000}"/>
    <cellStyle name="Normal 7 3 6 2 6" xfId="7306" xr:uid="{00000000-0005-0000-0000-0000D8B90000}"/>
    <cellStyle name="Normal 7 3 6 2 6 2" xfId="19755" xr:uid="{00000000-0005-0000-0000-0000D9B90000}"/>
    <cellStyle name="Normal 7 3 6 2 6 2 2" xfId="44629" xr:uid="{00000000-0005-0000-0000-0000DAB90000}"/>
    <cellStyle name="Normal 7 3 6 2 6 3" xfId="32196" xr:uid="{00000000-0005-0000-0000-0000DBB90000}"/>
    <cellStyle name="Normal 7 3 6 2 7" xfId="3760" xr:uid="{00000000-0005-0000-0000-0000DCB90000}"/>
    <cellStyle name="Normal 7 3 6 2 7 2" xfId="16266" xr:uid="{00000000-0005-0000-0000-0000DDB90000}"/>
    <cellStyle name="Normal 7 3 6 2 7 2 2" xfId="41140" xr:uid="{00000000-0005-0000-0000-0000DEB90000}"/>
    <cellStyle name="Normal 7 3 6 2 7 3" xfId="28699" xr:uid="{00000000-0005-0000-0000-0000DFB90000}"/>
    <cellStyle name="Normal 7 3 6 2 8" xfId="13411" xr:uid="{00000000-0005-0000-0000-0000E0B90000}"/>
    <cellStyle name="Normal 7 3 6 2 8 2" xfId="38285" xr:uid="{00000000-0005-0000-0000-0000E1B90000}"/>
    <cellStyle name="Normal 7 3 6 2 9" xfId="25844" xr:uid="{00000000-0005-0000-0000-0000E2B90000}"/>
    <cellStyle name="Normal 7 3 6 3" xfId="1957" xr:uid="{00000000-0005-0000-0000-0000E3B90000}"/>
    <cellStyle name="Normal 7 3 6 3 2" xfId="4793" xr:uid="{00000000-0005-0000-0000-0000E4B90000}"/>
    <cellStyle name="Normal 7 3 6 3 2 2" xfId="9810" xr:uid="{00000000-0005-0000-0000-0000E5B90000}"/>
    <cellStyle name="Normal 7 3 6 3 2 2 2" xfId="22253" xr:uid="{00000000-0005-0000-0000-0000E6B90000}"/>
    <cellStyle name="Normal 7 3 6 3 2 2 2 2" xfId="47127" xr:uid="{00000000-0005-0000-0000-0000E7B90000}"/>
    <cellStyle name="Normal 7 3 6 3 2 2 3" xfId="34694" xr:uid="{00000000-0005-0000-0000-0000E8B90000}"/>
    <cellStyle name="Normal 7 3 6 3 2 3" xfId="17246" xr:uid="{00000000-0005-0000-0000-0000E9B90000}"/>
    <cellStyle name="Normal 7 3 6 3 2 3 2" xfId="42120" xr:uid="{00000000-0005-0000-0000-0000EAB90000}"/>
    <cellStyle name="Normal 7 3 6 3 2 4" xfId="29687" xr:uid="{00000000-0005-0000-0000-0000EBB90000}"/>
    <cellStyle name="Normal 7 3 6 3 3" xfId="6103" xr:uid="{00000000-0005-0000-0000-0000ECB90000}"/>
    <cellStyle name="Normal 7 3 6 3 3 2" xfId="11118" xr:uid="{00000000-0005-0000-0000-0000EDB90000}"/>
    <cellStyle name="Normal 7 3 6 3 3 2 2" xfId="23561" xr:uid="{00000000-0005-0000-0000-0000EEB90000}"/>
    <cellStyle name="Normal 7 3 6 3 3 2 2 2" xfId="48435" xr:uid="{00000000-0005-0000-0000-0000EFB90000}"/>
    <cellStyle name="Normal 7 3 6 3 3 2 3" xfId="36002" xr:uid="{00000000-0005-0000-0000-0000F0B90000}"/>
    <cellStyle name="Normal 7 3 6 3 3 3" xfId="18554" xr:uid="{00000000-0005-0000-0000-0000F1B90000}"/>
    <cellStyle name="Normal 7 3 6 3 3 3 2" xfId="43428" xr:uid="{00000000-0005-0000-0000-0000F2B90000}"/>
    <cellStyle name="Normal 7 3 6 3 3 4" xfId="30995" xr:uid="{00000000-0005-0000-0000-0000F3B90000}"/>
    <cellStyle name="Normal 7 3 6 3 4" xfId="8883" xr:uid="{00000000-0005-0000-0000-0000F4B90000}"/>
    <cellStyle name="Normal 7 3 6 3 4 2" xfId="21326" xr:uid="{00000000-0005-0000-0000-0000F5B90000}"/>
    <cellStyle name="Normal 7 3 6 3 4 2 2" xfId="46200" xr:uid="{00000000-0005-0000-0000-0000F6B90000}"/>
    <cellStyle name="Normal 7 3 6 3 4 3" xfId="33767" xr:uid="{00000000-0005-0000-0000-0000F7B90000}"/>
    <cellStyle name="Normal 7 3 6 3 5" xfId="12572" xr:uid="{00000000-0005-0000-0000-0000F8B90000}"/>
    <cellStyle name="Normal 7 3 6 3 5 2" xfId="25006" xr:uid="{00000000-0005-0000-0000-0000F9B90000}"/>
    <cellStyle name="Normal 7 3 6 3 5 2 2" xfId="49880" xr:uid="{00000000-0005-0000-0000-0000FAB90000}"/>
    <cellStyle name="Normal 7 3 6 3 5 3" xfId="37447" xr:uid="{00000000-0005-0000-0000-0000FBB90000}"/>
    <cellStyle name="Normal 7 3 6 3 6" xfId="7404" xr:uid="{00000000-0005-0000-0000-0000FCB90000}"/>
    <cellStyle name="Normal 7 3 6 3 6 2" xfId="19852" xr:uid="{00000000-0005-0000-0000-0000FDB90000}"/>
    <cellStyle name="Normal 7 3 6 3 6 2 2" xfId="44726" xr:uid="{00000000-0005-0000-0000-0000FEB90000}"/>
    <cellStyle name="Normal 7 3 6 3 6 3" xfId="32293" xr:uid="{00000000-0005-0000-0000-0000FFB90000}"/>
    <cellStyle name="Normal 7 3 6 3 7" xfId="3865" xr:uid="{00000000-0005-0000-0000-000000BA0000}"/>
    <cellStyle name="Normal 7 3 6 3 7 2" xfId="16319" xr:uid="{00000000-0005-0000-0000-000001BA0000}"/>
    <cellStyle name="Normal 7 3 6 3 7 2 2" xfId="41193" xr:uid="{00000000-0005-0000-0000-000002BA0000}"/>
    <cellStyle name="Normal 7 3 6 3 7 3" xfId="28760" xr:uid="{00000000-0005-0000-0000-000003BA0000}"/>
    <cellStyle name="Normal 7 3 6 3 8" xfId="14757" xr:uid="{00000000-0005-0000-0000-000004BA0000}"/>
    <cellStyle name="Normal 7 3 6 3 8 2" xfId="39631" xr:uid="{00000000-0005-0000-0000-000005BA0000}"/>
    <cellStyle name="Normal 7 3 6 3 9" xfId="27190" xr:uid="{00000000-0005-0000-0000-000006BA0000}"/>
    <cellStyle name="Normal 7 3 6 4" xfId="2156" xr:uid="{00000000-0005-0000-0000-000007BA0000}"/>
    <cellStyle name="Normal 7 3 6 4 2" xfId="6191" xr:uid="{00000000-0005-0000-0000-000008BA0000}"/>
    <cellStyle name="Normal 7 3 6 4 2 2" xfId="11206" xr:uid="{00000000-0005-0000-0000-000009BA0000}"/>
    <cellStyle name="Normal 7 3 6 4 2 2 2" xfId="23649" xr:uid="{00000000-0005-0000-0000-00000ABA0000}"/>
    <cellStyle name="Normal 7 3 6 4 2 2 2 2" xfId="48523" xr:uid="{00000000-0005-0000-0000-00000BBA0000}"/>
    <cellStyle name="Normal 7 3 6 4 2 2 3" xfId="36090" xr:uid="{00000000-0005-0000-0000-00000CBA0000}"/>
    <cellStyle name="Normal 7 3 6 4 2 3" xfId="18642" xr:uid="{00000000-0005-0000-0000-00000DBA0000}"/>
    <cellStyle name="Normal 7 3 6 4 2 3 2" xfId="43516" xr:uid="{00000000-0005-0000-0000-00000EBA0000}"/>
    <cellStyle name="Normal 7 3 6 4 2 4" xfId="31083" xr:uid="{00000000-0005-0000-0000-00000FBA0000}"/>
    <cellStyle name="Normal 7 3 6 4 3" xfId="12660" xr:uid="{00000000-0005-0000-0000-000010BA0000}"/>
    <cellStyle name="Normal 7 3 6 4 3 2" xfId="25094" xr:uid="{00000000-0005-0000-0000-000011BA0000}"/>
    <cellStyle name="Normal 7 3 6 4 3 2 2" xfId="49968" xr:uid="{00000000-0005-0000-0000-000012BA0000}"/>
    <cellStyle name="Normal 7 3 6 4 3 3" xfId="37535" xr:uid="{00000000-0005-0000-0000-000013BA0000}"/>
    <cellStyle name="Normal 7 3 6 4 4" xfId="9101" xr:uid="{00000000-0005-0000-0000-000014BA0000}"/>
    <cellStyle name="Normal 7 3 6 4 4 2" xfId="21544" xr:uid="{00000000-0005-0000-0000-000015BA0000}"/>
    <cellStyle name="Normal 7 3 6 4 4 2 2" xfId="46418" xr:uid="{00000000-0005-0000-0000-000016BA0000}"/>
    <cellStyle name="Normal 7 3 6 4 4 3" xfId="33985" xr:uid="{00000000-0005-0000-0000-000017BA0000}"/>
    <cellStyle name="Normal 7 3 6 4 5" xfId="4083" xr:uid="{00000000-0005-0000-0000-000018BA0000}"/>
    <cellStyle name="Normal 7 3 6 4 5 2" xfId="16537" xr:uid="{00000000-0005-0000-0000-000019BA0000}"/>
    <cellStyle name="Normal 7 3 6 4 5 2 2" xfId="41411" xr:uid="{00000000-0005-0000-0000-00001ABA0000}"/>
    <cellStyle name="Normal 7 3 6 4 5 3" xfId="28978" xr:uid="{00000000-0005-0000-0000-00001BBA0000}"/>
    <cellStyle name="Normal 7 3 6 4 6" xfId="14845" xr:uid="{00000000-0005-0000-0000-00001CBA0000}"/>
    <cellStyle name="Normal 7 3 6 4 6 2" xfId="39719" xr:uid="{00000000-0005-0000-0000-00001DBA0000}"/>
    <cellStyle name="Normal 7 3 6 4 7" xfId="27278" xr:uid="{00000000-0005-0000-0000-00001EBA0000}"/>
    <cellStyle name="Normal 7 3 6 5" xfId="1002" xr:uid="{00000000-0005-0000-0000-00001FBA0000}"/>
    <cellStyle name="Normal 7 3 6 5 2" xfId="10161" xr:uid="{00000000-0005-0000-0000-000020BA0000}"/>
    <cellStyle name="Normal 7 3 6 5 2 2" xfId="22604" xr:uid="{00000000-0005-0000-0000-000021BA0000}"/>
    <cellStyle name="Normal 7 3 6 5 2 2 2" xfId="47478" xr:uid="{00000000-0005-0000-0000-000022BA0000}"/>
    <cellStyle name="Normal 7 3 6 5 2 3" xfId="35045" xr:uid="{00000000-0005-0000-0000-000023BA0000}"/>
    <cellStyle name="Normal 7 3 6 5 3" xfId="5145" xr:uid="{00000000-0005-0000-0000-000024BA0000}"/>
    <cellStyle name="Normal 7 3 6 5 3 2" xfId="17597" xr:uid="{00000000-0005-0000-0000-000025BA0000}"/>
    <cellStyle name="Normal 7 3 6 5 3 2 2" xfId="42471" xr:uid="{00000000-0005-0000-0000-000026BA0000}"/>
    <cellStyle name="Normal 7 3 6 5 3 3" xfId="30038" xr:uid="{00000000-0005-0000-0000-000027BA0000}"/>
    <cellStyle name="Normal 7 3 6 5 4" xfId="13802" xr:uid="{00000000-0005-0000-0000-000028BA0000}"/>
    <cellStyle name="Normal 7 3 6 5 4 2" xfId="38676" xr:uid="{00000000-0005-0000-0000-000029BA0000}"/>
    <cellStyle name="Normal 7 3 6 5 5" xfId="26235" xr:uid="{00000000-0005-0000-0000-00002ABA0000}"/>
    <cellStyle name="Normal 7 3 6 6" xfId="8217" xr:uid="{00000000-0005-0000-0000-00002BBA0000}"/>
    <cellStyle name="Normal 7 3 6 6 2" xfId="20661" xr:uid="{00000000-0005-0000-0000-00002CBA0000}"/>
    <cellStyle name="Normal 7 3 6 6 2 2" xfId="45535" xr:uid="{00000000-0005-0000-0000-00002DBA0000}"/>
    <cellStyle name="Normal 7 3 6 6 3" xfId="33102" xr:uid="{00000000-0005-0000-0000-00002EBA0000}"/>
    <cellStyle name="Normal 7 3 6 7" xfId="11617" xr:uid="{00000000-0005-0000-0000-00002FBA0000}"/>
    <cellStyle name="Normal 7 3 6 7 2" xfId="24051" xr:uid="{00000000-0005-0000-0000-000030BA0000}"/>
    <cellStyle name="Normal 7 3 6 7 2 2" xfId="48925" xr:uid="{00000000-0005-0000-0000-000031BA0000}"/>
    <cellStyle name="Normal 7 3 6 7 3" xfId="36492" xr:uid="{00000000-0005-0000-0000-000032BA0000}"/>
    <cellStyle name="Normal 7 3 6 8" xfId="6694" xr:uid="{00000000-0005-0000-0000-000033BA0000}"/>
    <cellStyle name="Normal 7 3 6 8 2" xfId="19143" xr:uid="{00000000-0005-0000-0000-000034BA0000}"/>
    <cellStyle name="Normal 7 3 6 8 2 2" xfId="44017" xr:uid="{00000000-0005-0000-0000-000035BA0000}"/>
    <cellStyle name="Normal 7 3 6 8 3" xfId="31584" xr:uid="{00000000-0005-0000-0000-000036BA0000}"/>
    <cellStyle name="Normal 7 3 6 9" xfId="3148" xr:uid="{00000000-0005-0000-0000-000037BA0000}"/>
    <cellStyle name="Normal 7 3 6 9 2" xfId="15654" xr:uid="{00000000-0005-0000-0000-000038BA0000}"/>
    <cellStyle name="Normal 7 3 6 9 2 2" xfId="40528" xr:uid="{00000000-0005-0000-0000-000039BA0000}"/>
    <cellStyle name="Normal 7 3 6 9 3" xfId="28087" xr:uid="{00000000-0005-0000-0000-00003ABA0000}"/>
    <cellStyle name="Normal 7 3 6_Degree data" xfId="2583" xr:uid="{00000000-0005-0000-0000-00003BBA0000}"/>
    <cellStyle name="Normal 7 3 7" xfId="556" xr:uid="{00000000-0005-0000-0000-00003CBA0000}"/>
    <cellStyle name="Normal 7 3 7 2" xfId="1600" xr:uid="{00000000-0005-0000-0000-00003DBA0000}"/>
    <cellStyle name="Normal 7 3 7 2 2" xfId="9704" xr:uid="{00000000-0005-0000-0000-00003EBA0000}"/>
    <cellStyle name="Normal 7 3 7 2 2 2" xfId="22147" xr:uid="{00000000-0005-0000-0000-00003FBA0000}"/>
    <cellStyle name="Normal 7 3 7 2 2 2 2" xfId="47021" xr:uid="{00000000-0005-0000-0000-000040BA0000}"/>
    <cellStyle name="Normal 7 3 7 2 2 3" xfId="34588" xr:uid="{00000000-0005-0000-0000-000041BA0000}"/>
    <cellStyle name="Normal 7 3 7 2 3" xfId="4686" xr:uid="{00000000-0005-0000-0000-000042BA0000}"/>
    <cellStyle name="Normal 7 3 7 2 3 2" xfId="17140" xr:uid="{00000000-0005-0000-0000-000043BA0000}"/>
    <cellStyle name="Normal 7 3 7 2 3 2 2" xfId="42014" xr:uid="{00000000-0005-0000-0000-000044BA0000}"/>
    <cellStyle name="Normal 7 3 7 2 3 3" xfId="29581" xr:uid="{00000000-0005-0000-0000-000045BA0000}"/>
    <cellStyle name="Normal 7 3 7 2 4" xfId="14400" xr:uid="{00000000-0005-0000-0000-000046BA0000}"/>
    <cellStyle name="Normal 7 3 7 2 4 2" xfId="39274" xr:uid="{00000000-0005-0000-0000-000047BA0000}"/>
    <cellStyle name="Normal 7 3 7 2 5" xfId="26833" xr:uid="{00000000-0005-0000-0000-000048BA0000}"/>
    <cellStyle name="Normal 7 3 7 3" xfId="5746" xr:uid="{00000000-0005-0000-0000-000049BA0000}"/>
    <cellStyle name="Normal 7 3 7 3 2" xfId="10761" xr:uid="{00000000-0005-0000-0000-00004ABA0000}"/>
    <cellStyle name="Normal 7 3 7 3 2 2" xfId="23204" xr:uid="{00000000-0005-0000-0000-00004BBA0000}"/>
    <cellStyle name="Normal 7 3 7 3 2 2 2" xfId="48078" xr:uid="{00000000-0005-0000-0000-00004CBA0000}"/>
    <cellStyle name="Normal 7 3 7 3 2 3" xfId="35645" xr:uid="{00000000-0005-0000-0000-00004DBA0000}"/>
    <cellStyle name="Normal 7 3 7 3 3" xfId="18197" xr:uid="{00000000-0005-0000-0000-00004EBA0000}"/>
    <cellStyle name="Normal 7 3 7 3 3 2" xfId="43071" xr:uid="{00000000-0005-0000-0000-00004FBA0000}"/>
    <cellStyle name="Normal 7 3 7 3 4" xfId="30638" xr:uid="{00000000-0005-0000-0000-000050BA0000}"/>
    <cellStyle name="Normal 7 3 7 4" xfId="8820" xr:uid="{00000000-0005-0000-0000-000051BA0000}"/>
    <cellStyle name="Normal 7 3 7 4 2" xfId="21264" xr:uid="{00000000-0005-0000-0000-000052BA0000}"/>
    <cellStyle name="Normal 7 3 7 4 2 2" xfId="46138" xr:uid="{00000000-0005-0000-0000-000053BA0000}"/>
    <cellStyle name="Normal 7 3 7 4 3" xfId="33705" xr:uid="{00000000-0005-0000-0000-000054BA0000}"/>
    <cellStyle name="Normal 7 3 7 5" xfId="12215" xr:uid="{00000000-0005-0000-0000-000055BA0000}"/>
    <cellStyle name="Normal 7 3 7 5 2" xfId="24649" xr:uid="{00000000-0005-0000-0000-000056BA0000}"/>
    <cellStyle name="Normal 7 3 7 5 2 2" xfId="49523" xr:uid="{00000000-0005-0000-0000-000057BA0000}"/>
    <cellStyle name="Normal 7 3 7 5 3" xfId="37090" xr:uid="{00000000-0005-0000-0000-000058BA0000}"/>
    <cellStyle name="Normal 7 3 7 6" xfId="7297" xr:uid="{00000000-0005-0000-0000-000059BA0000}"/>
    <cellStyle name="Normal 7 3 7 6 2" xfId="19746" xr:uid="{00000000-0005-0000-0000-00005ABA0000}"/>
    <cellStyle name="Normal 7 3 7 6 2 2" xfId="44620" xr:uid="{00000000-0005-0000-0000-00005BBA0000}"/>
    <cellStyle name="Normal 7 3 7 6 3" xfId="32187" xr:uid="{00000000-0005-0000-0000-00005CBA0000}"/>
    <cellStyle name="Normal 7 3 7 7" xfId="3751" xr:uid="{00000000-0005-0000-0000-00005DBA0000}"/>
    <cellStyle name="Normal 7 3 7 7 2" xfId="16257" xr:uid="{00000000-0005-0000-0000-00005EBA0000}"/>
    <cellStyle name="Normal 7 3 7 7 2 2" xfId="41131" xr:uid="{00000000-0005-0000-0000-00005FBA0000}"/>
    <cellStyle name="Normal 7 3 7 7 3" xfId="28690" xr:uid="{00000000-0005-0000-0000-000060BA0000}"/>
    <cellStyle name="Normal 7 3 7 8" xfId="13366" xr:uid="{00000000-0005-0000-0000-000061BA0000}"/>
    <cellStyle name="Normal 7 3 7 8 2" xfId="38240" xr:uid="{00000000-0005-0000-0000-000062BA0000}"/>
    <cellStyle name="Normal 7 3 7 9" xfId="25799" xr:uid="{00000000-0005-0000-0000-000063BA0000}"/>
    <cellStyle name="Normal 7 3 8" xfId="1948" xr:uid="{00000000-0005-0000-0000-000064BA0000}"/>
    <cellStyle name="Normal 7 3 8 2" xfId="4748" xr:uid="{00000000-0005-0000-0000-000065BA0000}"/>
    <cellStyle name="Normal 7 3 8 2 2" xfId="9765" xr:uid="{00000000-0005-0000-0000-000066BA0000}"/>
    <cellStyle name="Normal 7 3 8 2 2 2" xfId="22208" xr:uid="{00000000-0005-0000-0000-000067BA0000}"/>
    <cellStyle name="Normal 7 3 8 2 2 2 2" xfId="47082" xr:uid="{00000000-0005-0000-0000-000068BA0000}"/>
    <cellStyle name="Normal 7 3 8 2 2 3" xfId="34649" xr:uid="{00000000-0005-0000-0000-000069BA0000}"/>
    <cellStyle name="Normal 7 3 8 2 3" xfId="17201" xr:uid="{00000000-0005-0000-0000-00006ABA0000}"/>
    <cellStyle name="Normal 7 3 8 2 3 2" xfId="42075" xr:uid="{00000000-0005-0000-0000-00006BBA0000}"/>
    <cellStyle name="Normal 7 3 8 2 4" xfId="29642" xr:uid="{00000000-0005-0000-0000-00006CBA0000}"/>
    <cellStyle name="Normal 7 3 8 3" xfId="6094" xr:uid="{00000000-0005-0000-0000-00006DBA0000}"/>
    <cellStyle name="Normal 7 3 8 3 2" xfId="11109" xr:uid="{00000000-0005-0000-0000-00006EBA0000}"/>
    <cellStyle name="Normal 7 3 8 3 2 2" xfId="23552" xr:uid="{00000000-0005-0000-0000-00006FBA0000}"/>
    <cellStyle name="Normal 7 3 8 3 2 2 2" xfId="48426" xr:uid="{00000000-0005-0000-0000-000070BA0000}"/>
    <cellStyle name="Normal 7 3 8 3 2 3" xfId="35993" xr:uid="{00000000-0005-0000-0000-000071BA0000}"/>
    <cellStyle name="Normal 7 3 8 3 3" xfId="18545" xr:uid="{00000000-0005-0000-0000-000072BA0000}"/>
    <cellStyle name="Normal 7 3 8 3 3 2" xfId="43419" xr:uid="{00000000-0005-0000-0000-000073BA0000}"/>
    <cellStyle name="Normal 7 3 8 3 4" xfId="30986" xr:uid="{00000000-0005-0000-0000-000074BA0000}"/>
    <cellStyle name="Normal 7 3 8 4" xfId="8025" xr:uid="{00000000-0005-0000-0000-000075BA0000}"/>
    <cellStyle name="Normal 7 3 8 4 2" xfId="20471" xr:uid="{00000000-0005-0000-0000-000076BA0000}"/>
    <cellStyle name="Normal 7 3 8 4 2 2" xfId="45345" xr:uid="{00000000-0005-0000-0000-000077BA0000}"/>
    <cellStyle name="Normal 7 3 8 4 3" xfId="32912" xr:uid="{00000000-0005-0000-0000-000078BA0000}"/>
    <cellStyle name="Normal 7 3 8 5" xfId="12563" xr:uid="{00000000-0005-0000-0000-000079BA0000}"/>
    <cellStyle name="Normal 7 3 8 5 2" xfId="24997" xr:uid="{00000000-0005-0000-0000-00007ABA0000}"/>
    <cellStyle name="Normal 7 3 8 5 2 2" xfId="49871" xr:uid="{00000000-0005-0000-0000-00007BBA0000}"/>
    <cellStyle name="Normal 7 3 8 5 3" xfId="37438" xr:uid="{00000000-0005-0000-0000-00007CBA0000}"/>
    <cellStyle name="Normal 7 3 8 6" xfId="7359" xr:uid="{00000000-0005-0000-0000-00007DBA0000}"/>
    <cellStyle name="Normal 7 3 8 6 2" xfId="19807" xr:uid="{00000000-0005-0000-0000-00007EBA0000}"/>
    <cellStyle name="Normal 7 3 8 6 2 2" xfId="44681" xr:uid="{00000000-0005-0000-0000-00007FBA0000}"/>
    <cellStyle name="Normal 7 3 8 6 3" xfId="32248" xr:uid="{00000000-0005-0000-0000-000080BA0000}"/>
    <cellStyle name="Normal 7 3 8 7" xfId="2949" xr:uid="{00000000-0005-0000-0000-000081BA0000}"/>
    <cellStyle name="Normal 7 3 8 7 2" xfId="15464" xr:uid="{00000000-0005-0000-0000-000082BA0000}"/>
    <cellStyle name="Normal 7 3 8 7 2 2" xfId="40338" xr:uid="{00000000-0005-0000-0000-000083BA0000}"/>
    <cellStyle name="Normal 7 3 8 7 3" xfId="27897" xr:uid="{00000000-0005-0000-0000-000084BA0000}"/>
    <cellStyle name="Normal 7 3 8 8" xfId="14748" xr:uid="{00000000-0005-0000-0000-000085BA0000}"/>
    <cellStyle name="Normal 7 3 8 8 2" xfId="39622" xr:uid="{00000000-0005-0000-0000-000086BA0000}"/>
    <cellStyle name="Normal 7 3 8 9" xfId="27181" xr:uid="{00000000-0005-0000-0000-000087BA0000}"/>
    <cellStyle name="Normal 7 3 9" xfId="2107" xr:uid="{00000000-0005-0000-0000-000088BA0000}"/>
    <cellStyle name="Normal 7 3 9 2" xfId="6146" xr:uid="{00000000-0005-0000-0000-000089BA0000}"/>
    <cellStyle name="Normal 7 3 9 2 2" xfId="11161" xr:uid="{00000000-0005-0000-0000-00008ABA0000}"/>
    <cellStyle name="Normal 7 3 9 2 2 2" xfId="23604" xr:uid="{00000000-0005-0000-0000-00008BBA0000}"/>
    <cellStyle name="Normal 7 3 9 2 2 2 2" xfId="48478" xr:uid="{00000000-0005-0000-0000-00008CBA0000}"/>
    <cellStyle name="Normal 7 3 9 2 2 3" xfId="36045" xr:uid="{00000000-0005-0000-0000-00008DBA0000}"/>
    <cellStyle name="Normal 7 3 9 2 3" xfId="18597" xr:uid="{00000000-0005-0000-0000-00008EBA0000}"/>
    <cellStyle name="Normal 7 3 9 2 3 2" xfId="43471" xr:uid="{00000000-0005-0000-0000-00008FBA0000}"/>
    <cellStyle name="Normal 7 3 9 2 4" xfId="31038" xr:uid="{00000000-0005-0000-0000-000090BA0000}"/>
    <cellStyle name="Normal 7 3 9 3" xfId="12615" xr:uid="{00000000-0005-0000-0000-000091BA0000}"/>
    <cellStyle name="Normal 7 3 9 3 2" xfId="25049" xr:uid="{00000000-0005-0000-0000-000092BA0000}"/>
    <cellStyle name="Normal 7 3 9 3 2 2" xfId="49923" xr:uid="{00000000-0005-0000-0000-000093BA0000}"/>
    <cellStyle name="Normal 7 3 9 3 3" xfId="37490" xr:uid="{00000000-0005-0000-0000-000094BA0000}"/>
    <cellStyle name="Normal 7 3 9 4" xfId="8912" xr:uid="{00000000-0005-0000-0000-000095BA0000}"/>
    <cellStyle name="Normal 7 3 9 4 2" xfId="21355" xr:uid="{00000000-0005-0000-0000-000096BA0000}"/>
    <cellStyle name="Normal 7 3 9 4 2 2" xfId="46229" xr:uid="{00000000-0005-0000-0000-000097BA0000}"/>
    <cellStyle name="Normal 7 3 9 4 3" xfId="33796" xr:uid="{00000000-0005-0000-0000-000098BA0000}"/>
    <cellStyle name="Normal 7 3 9 5" xfId="3894" xr:uid="{00000000-0005-0000-0000-000099BA0000}"/>
    <cellStyle name="Normal 7 3 9 5 2" xfId="16348" xr:uid="{00000000-0005-0000-0000-00009ABA0000}"/>
    <cellStyle name="Normal 7 3 9 5 2 2" xfId="41222" xr:uid="{00000000-0005-0000-0000-00009BBA0000}"/>
    <cellStyle name="Normal 7 3 9 5 3" xfId="28789" xr:uid="{00000000-0005-0000-0000-00009CBA0000}"/>
    <cellStyle name="Normal 7 3 9 6" xfId="14800" xr:uid="{00000000-0005-0000-0000-00009DBA0000}"/>
    <cellStyle name="Normal 7 3 9 6 2" xfId="39674" xr:uid="{00000000-0005-0000-0000-00009EBA0000}"/>
    <cellStyle name="Normal 7 3 9 7" xfId="27233" xr:uid="{00000000-0005-0000-0000-00009FBA0000}"/>
    <cellStyle name="Normal 7 3_Degree data" xfId="2574" xr:uid="{00000000-0005-0000-0000-0000A0BA0000}"/>
    <cellStyle name="Normal 7 4" xfId="139" xr:uid="{00000000-0005-0000-0000-0000A1BA0000}"/>
    <cellStyle name="Normal 7 4 10" xfId="7702" xr:uid="{00000000-0005-0000-0000-0000A2BA0000}"/>
    <cellStyle name="Normal 7 4 10 2" xfId="20148" xr:uid="{00000000-0005-0000-0000-0000A3BA0000}"/>
    <cellStyle name="Normal 7 4 10 2 2" xfId="45022" xr:uid="{00000000-0005-0000-0000-0000A4BA0000}"/>
    <cellStyle name="Normal 7 4 10 3" xfId="32589" xr:uid="{00000000-0005-0000-0000-0000A5BA0000}"/>
    <cellStyle name="Normal 7 4 11" xfId="11522" xr:uid="{00000000-0005-0000-0000-0000A6BA0000}"/>
    <cellStyle name="Normal 7 4 11 2" xfId="23956" xr:uid="{00000000-0005-0000-0000-0000A7BA0000}"/>
    <cellStyle name="Normal 7 4 11 2 2" xfId="48830" xr:uid="{00000000-0005-0000-0000-0000A8BA0000}"/>
    <cellStyle name="Normal 7 4 11 3" xfId="36397" xr:uid="{00000000-0005-0000-0000-0000A9BA0000}"/>
    <cellStyle name="Normal 7 4 12" xfId="6514" xr:uid="{00000000-0005-0000-0000-0000AABA0000}"/>
    <cellStyle name="Normal 7 4 12 2" xfId="18963" xr:uid="{00000000-0005-0000-0000-0000ABBA0000}"/>
    <cellStyle name="Normal 7 4 12 2 2" xfId="43837" xr:uid="{00000000-0005-0000-0000-0000ACBA0000}"/>
    <cellStyle name="Normal 7 4 12 3" xfId="31404" xr:uid="{00000000-0005-0000-0000-0000ADBA0000}"/>
    <cellStyle name="Normal 7 4 13" xfId="2622" xr:uid="{00000000-0005-0000-0000-0000AEBA0000}"/>
    <cellStyle name="Normal 7 4 13 2" xfId="15141" xr:uid="{00000000-0005-0000-0000-0000AFBA0000}"/>
    <cellStyle name="Normal 7 4 13 2 2" xfId="40015" xr:uid="{00000000-0005-0000-0000-0000B0BA0000}"/>
    <cellStyle name="Normal 7 4 13 3" xfId="27574" xr:uid="{00000000-0005-0000-0000-0000B1BA0000}"/>
    <cellStyle name="Normal 7 4 14" xfId="12969" xr:uid="{00000000-0005-0000-0000-0000B2BA0000}"/>
    <cellStyle name="Normal 7 4 14 2" xfId="37843" xr:uid="{00000000-0005-0000-0000-0000B3BA0000}"/>
    <cellStyle name="Normal 7 4 15" xfId="25402" xr:uid="{00000000-0005-0000-0000-0000B4BA0000}"/>
    <cellStyle name="Normal 7 4 2" xfId="327" xr:uid="{00000000-0005-0000-0000-0000B5BA0000}"/>
    <cellStyle name="Normal 7 4 2 10" xfId="6557" xr:uid="{00000000-0005-0000-0000-0000B6BA0000}"/>
    <cellStyle name="Normal 7 4 2 10 2" xfId="19006" xr:uid="{00000000-0005-0000-0000-0000B7BA0000}"/>
    <cellStyle name="Normal 7 4 2 10 2 2" xfId="43880" xr:uid="{00000000-0005-0000-0000-0000B8BA0000}"/>
    <cellStyle name="Normal 7 4 2 10 3" xfId="31447" xr:uid="{00000000-0005-0000-0000-0000B9BA0000}"/>
    <cellStyle name="Normal 7 4 2 11" xfId="2725" xr:uid="{00000000-0005-0000-0000-0000BABA0000}"/>
    <cellStyle name="Normal 7 4 2 11 2" xfId="15243" xr:uid="{00000000-0005-0000-0000-0000BBBA0000}"/>
    <cellStyle name="Normal 7 4 2 11 2 2" xfId="40117" xr:uid="{00000000-0005-0000-0000-0000BCBA0000}"/>
    <cellStyle name="Normal 7 4 2 11 3" xfId="27676" xr:uid="{00000000-0005-0000-0000-0000BDBA0000}"/>
    <cellStyle name="Normal 7 4 2 12" xfId="13144" xr:uid="{00000000-0005-0000-0000-0000BEBA0000}"/>
    <cellStyle name="Normal 7 4 2 12 2" xfId="38018" xr:uid="{00000000-0005-0000-0000-0000BFBA0000}"/>
    <cellStyle name="Normal 7 4 2 13" xfId="25577" xr:uid="{00000000-0005-0000-0000-0000C0BA0000}"/>
    <cellStyle name="Normal 7 4 2 2" xfId="429" xr:uid="{00000000-0005-0000-0000-0000C1BA0000}"/>
    <cellStyle name="Normal 7 4 2 2 10" xfId="13244" xr:uid="{00000000-0005-0000-0000-0000C2BA0000}"/>
    <cellStyle name="Normal 7 4 2 2 10 2" xfId="38118" xr:uid="{00000000-0005-0000-0000-0000C3BA0000}"/>
    <cellStyle name="Normal 7 4 2 2 11" xfId="25677" xr:uid="{00000000-0005-0000-0000-0000C4BA0000}"/>
    <cellStyle name="Normal 7 4 2 2 2" xfId="789" xr:uid="{00000000-0005-0000-0000-0000C5BA0000}"/>
    <cellStyle name="Normal 7 4 2 2 2 2" xfId="1612" xr:uid="{00000000-0005-0000-0000-0000C6BA0000}"/>
    <cellStyle name="Normal 7 4 2 2 2 2 2" xfId="9716" xr:uid="{00000000-0005-0000-0000-0000C7BA0000}"/>
    <cellStyle name="Normal 7 4 2 2 2 2 2 2" xfId="22159" xr:uid="{00000000-0005-0000-0000-0000C8BA0000}"/>
    <cellStyle name="Normal 7 4 2 2 2 2 2 2 2" xfId="47033" xr:uid="{00000000-0005-0000-0000-0000C9BA0000}"/>
    <cellStyle name="Normal 7 4 2 2 2 2 2 3" xfId="34600" xr:uid="{00000000-0005-0000-0000-0000CABA0000}"/>
    <cellStyle name="Normal 7 4 2 2 2 2 3" xfId="4698" xr:uid="{00000000-0005-0000-0000-0000CBBA0000}"/>
    <cellStyle name="Normal 7 4 2 2 2 2 3 2" xfId="17152" xr:uid="{00000000-0005-0000-0000-0000CCBA0000}"/>
    <cellStyle name="Normal 7 4 2 2 2 2 3 2 2" xfId="42026" xr:uid="{00000000-0005-0000-0000-0000CDBA0000}"/>
    <cellStyle name="Normal 7 4 2 2 2 2 3 3" xfId="29593" xr:uid="{00000000-0005-0000-0000-0000CEBA0000}"/>
    <cellStyle name="Normal 7 4 2 2 2 2 4" xfId="14412" xr:uid="{00000000-0005-0000-0000-0000CFBA0000}"/>
    <cellStyle name="Normal 7 4 2 2 2 2 4 2" xfId="39286" xr:uid="{00000000-0005-0000-0000-0000D0BA0000}"/>
    <cellStyle name="Normal 7 4 2 2 2 2 5" xfId="26845" xr:uid="{00000000-0005-0000-0000-0000D1BA0000}"/>
    <cellStyle name="Normal 7 4 2 2 2 3" xfId="5758" xr:uid="{00000000-0005-0000-0000-0000D2BA0000}"/>
    <cellStyle name="Normal 7 4 2 2 2 3 2" xfId="10773" xr:uid="{00000000-0005-0000-0000-0000D3BA0000}"/>
    <cellStyle name="Normal 7 4 2 2 2 3 2 2" xfId="23216" xr:uid="{00000000-0005-0000-0000-0000D4BA0000}"/>
    <cellStyle name="Normal 7 4 2 2 2 3 2 2 2" xfId="48090" xr:uid="{00000000-0005-0000-0000-0000D5BA0000}"/>
    <cellStyle name="Normal 7 4 2 2 2 3 2 3" xfId="35657" xr:uid="{00000000-0005-0000-0000-0000D6BA0000}"/>
    <cellStyle name="Normal 7 4 2 2 2 3 3" xfId="18209" xr:uid="{00000000-0005-0000-0000-0000D7BA0000}"/>
    <cellStyle name="Normal 7 4 2 2 2 3 3 2" xfId="43083" xr:uid="{00000000-0005-0000-0000-0000D8BA0000}"/>
    <cellStyle name="Normal 7 4 2 2 2 3 4" xfId="30650" xr:uid="{00000000-0005-0000-0000-0000D9BA0000}"/>
    <cellStyle name="Normal 7 4 2 2 2 4" xfId="8832" xr:uid="{00000000-0005-0000-0000-0000DABA0000}"/>
    <cellStyle name="Normal 7 4 2 2 2 4 2" xfId="21276" xr:uid="{00000000-0005-0000-0000-0000DBBA0000}"/>
    <cellStyle name="Normal 7 4 2 2 2 4 2 2" xfId="46150" xr:uid="{00000000-0005-0000-0000-0000DCBA0000}"/>
    <cellStyle name="Normal 7 4 2 2 2 4 3" xfId="33717" xr:uid="{00000000-0005-0000-0000-0000DDBA0000}"/>
    <cellStyle name="Normal 7 4 2 2 2 5" xfId="12227" xr:uid="{00000000-0005-0000-0000-0000DEBA0000}"/>
    <cellStyle name="Normal 7 4 2 2 2 5 2" xfId="24661" xr:uid="{00000000-0005-0000-0000-0000DFBA0000}"/>
    <cellStyle name="Normal 7 4 2 2 2 5 2 2" xfId="49535" xr:uid="{00000000-0005-0000-0000-0000E0BA0000}"/>
    <cellStyle name="Normal 7 4 2 2 2 5 3" xfId="37102" xr:uid="{00000000-0005-0000-0000-0000E1BA0000}"/>
    <cellStyle name="Normal 7 4 2 2 2 6" xfId="7309" xr:uid="{00000000-0005-0000-0000-0000E2BA0000}"/>
    <cellStyle name="Normal 7 4 2 2 2 6 2" xfId="19758" xr:uid="{00000000-0005-0000-0000-0000E3BA0000}"/>
    <cellStyle name="Normal 7 4 2 2 2 6 2 2" xfId="44632" xr:uid="{00000000-0005-0000-0000-0000E4BA0000}"/>
    <cellStyle name="Normal 7 4 2 2 2 6 3" xfId="32199" xr:uid="{00000000-0005-0000-0000-0000E5BA0000}"/>
    <cellStyle name="Normal 7 4 2 2 2 7" xfId="3763" xr:uid="{00000000-0005-0000-0000-0000E6BA0000}"/>
    <cellStyle name="Normal 7 4 2 2 2 7 2" xfId="16269" xr:uid="{00000000-0005-0000-0000-0000E7BA0000}"/>
    <cellStyle name="Normal 7 4 2 2 2 7 2 2" xfId="41143" xr:uid="{00000000-0005-0000-0000-0000E8BA0000}"/>
    <cellStyle name="Normal 7 4 2 2 2 7 3" xfId="28702" xr:uid="{00000000-0005-0000-0000-0000E9BA0000}"/>
    <cellStyle name="Normal 7 4 2 2 2 8" xfId="13591" xr:uid="{00000000-0005-0000-0000-0000EABA0000}"/>
    <cellStyle name="Normal 7 4 2 2 2 8 2" xfId="38465" xr:uid="{00000000-0005-0000-0000-0000EBBA0000}"/>
    <cellStyle name="Normal 7 4 2 2 2 9" xfId="26024" xr:uid="{00000000-0005-0000-0000-0000ECBA0000}"/>
    <cellStyle name="Normal 7 4 2 2 3" xfId="1960" xr:uid="{00000000-0005-0000-0000-0000EDBA0000}"/>
    <cellStyle name="Normal 7 4 2 2 3 2" xfId="4973" xr:uid="{00000000-0005-0000-0000-0000EEBA0000}"/>
    <cellStyle name="Normal 7 4 2 2 3 2 2" xfId="9990" xr:uid="{00000000-0005-0000-0000-0000EFBA0000}"/>
    <cellStyle name="Normal 7 4 2 2 3 2 2 2" xfId="22433" xr:uid="{00000000-0005-0000-0000-0000F0BA0000}"/>
    <cellStyle name="Normal 7 4 2 2 3 2 2 2 2" xfId="47307" xr:uid="{00000000-0005-0000-0000-0000F1BA0000}"/>
    <cellStyle name="Normal 7 4 2 2 3 2 2 3" xfId="34874" xr:uid="{00000000-0005-0000-0000-0000F2BA0000}"/>
    <cellStyle name="Normal 7 4 2 2 3 2 3" xfId="17426" xr:uid="{00000000-0005-0000-0000-0000F3BA0000}"/>
    <cellStyle name="Normal 7 4 2 2 3 2 3 2" xfId="42300" xr:uid="{00000000-0005-0000-0000-0000F4BA0000}"/>
    <cellStyle name="Normal 7 4 2 2 3 2 4" xfId="29867" xr:uid="{00000000-0005-0000-0000-0000F5BA0000}"/>
    <cellStyle name="Normal 7 4 2 2 3 3" xfId="6106" xr:uid="{00000000-0005-0000-0000-0000F6BA0000}"/>
    <cellStyle name="Normal 7 4 2 2 3 3 2" xfId="11121" xr:uid="{00000000-0005-0000-0000-0000F7BA0000}"/>
    <cellStyle name="Normal 7 4 2 2 3 3 2 2" xfId="23564" xr:uid="{00000000-0005-0000-0000-0000F8BA0000}"/>
    <cellStyle name="Normal 7 4 2 2 3 3 2 2 2" xfId="48438" xr:uid="{00000000-0005-0000-0000-0000F9BA0000}"/>
    <cellStyle name="Normal 7 4 2 2 3 3 2 3" xfId="36005" xr:uid="{00000000-0005-0000-0000-0000FABA0000}"/>
    <cellStyle name="Normal 7 4 2 2 3 3 3" xfId="18557" xr:uid="{00000000-0005-0000-0000-0000FBBA0000}"/>
    <cellStyle name="Normal 7 4 2 2 3 3 3 2" xfId="43431" xr:uid="{00000000-0005-0000-0000-0000FCBA0000}"/>
    <cellStyle name="Normal 7 4 2 2 3 3 4" xfId="30998" xr:uid="{00000000-0005-0000-0000-0000FDBA0000}"/>
    <cellStyle name="Normal 7 4 2 2 3 4" xfId="8397" xr:uid="{00000000-0005-0000-0000-0000FEBA0000}"/>
    <cellStyle name="Normal 7 4 2 2 3 4 2" xfId="20841" xr:uid="{00000000-0005-0000-0000-0000FFBA0000}"/>
    <cellStyle name="Normal 7 4 2 2 3 4 2 2" xfId="45715" xr:uid="{00000000-0005-0000-0000-000000BB0000}"/>
    <cellStyle name="Normal 7 4 2 2 3 4 3" xfId="33282" xr:uid="{00000000-0005-0000-0000-000001BB0000}"/>
    <cellStyle name="Normal 7 4 2 2 3 5" xfId="12575" xr:uid="{00000000-0005-0000-0000-000002BB0000}"/>
    <cellStyle name="Normal 7 4 2 2 3 5 2" xfId="25009" xr:uid="{00000000-0005-0000-0000-000003BB0000}"/>
    <cellStyle name="Normal 7 4 2 2 3 5 2 2" xfId="49883" xr:uid="{00000000-0005-0000-0000-000004BB0000}"/>
    <cellStyle name="Normal 7 4 2 2 3 5 3" xfId="37450" xr:uid="{00000000-0005-0000-0000-000005BB0000}"/>
    <cellStyle name="Normal 7 4 2 2 3 6" xfId="7584" xr:uid="{00000000-0005-0000-0000-000006BB0000}"/>
    <cellStyle name="Normal 7 4 2 2 3 6 2" xfId="20032" xr:uid="{00000000-0005-0000-0000-000007BB0000}"/>
    <cellStyle name="Normal 7 4 2 2 3 6 2 2" xfId="44906" xr:uid="{00000000-0005-0000-0000-000008BB0000}"/>
    <cellStyle name="Normal 7 4 2 2 3 6 3" xfId="32473" xr:uid="{00000000-0005-0000-0000-000009BB0000}"/>
    <cellStyle name="Normal 7 4 2 2 3 7" xfId="3328" xr:uid="{00000000-0005-0000-0000-00000ABB0000}"/>
    <cellStyle name="Normal 7 4 2 2 3 7 2" xfId="15834" xr:uid="{00000000-0005-0000-0000-00000BBB0000}"/>
    <cellStyle name="Normal 7 4 2 2 3 7 2 2" xfId="40708" xr:uid="{00000000-0005-0000-0000-00000CBB0000}"/>
    <cellStyle name="Normal 7 4 2 2 3 7 3" xfId="28267" xr:uid="{00000000-0005-0000-0000-00000DBB0000}"/>
    <cellStyle name="Normal 7 4 2 2 3 8" xfId="14760" xr:uid="{00000000-0005-0000-0000-00000EBB0000}"/>
    <cellStyle name="Normal 7 4 2 2 3 8 2" xfId="39634" xr:uid="{00000000-0005-0000-0000-00000FBB0000}"/>
    <cellStyle name="Normal 7 4 2 2 3 9" xfId="27193" xr:uid="{00000000-0005-0000-0000-000010BB0000}"/>
    <cellStyle name="Normal 7 4 2 2 4" xfId="2347" xr:uid="{00000000-0005-0000-0000-000011BB0000}"/>
    <cellStyle name="Normal 7 4 2 2 4 2" xfId="6371" xr:uid="{00000000-0005-0000-0000-000012BB0000}"/>
    <cellStyle name="Normal 7 4 2 2 4 2 2" xfId="11386" xr:uid="{00000000-0005-0000-0000-000013BB0000}"/>
    <cellStyle name="Normal 7 4 2 2 4 2 2 2" xfId="23829" xr:uid="{00000000-0005-0000-0000-000014BB0000}"/>
    <cellStyle name="Normal 7 4 2 2 4 2 2 2 2" xfId="48703" xr:uid="{00000000-0005-0000-0000-000015BB0000}"/>
    <cellStyle name="Normal 7 4 2 2 4 2 2 3" xfId="36270" xr:uid="{00000000-0005-0000-0000-000016BB0000}"/>
    <cellStyle name="Normal 7 4 2 2 4 2 3" xfId="18822" xr:uid="{00000000-0005-0000-0000-000017BB0000}"/>
    <cellStyle name="Normal 7 4 2 2 4 2 3 2" xfId="43696" xr:uid="{00000000-0005-0000-0000-000018BB0000}"/>
    <cellStyle name="Normal 7 4 2 2 4 2 4" xfId="31263" xr:uid="{00000000-0005-0000-0000-000019BB0000}"/>
    <cellStyle name="Normal 7 4 2 2 4 3" xfId="12840" xr:uid="{00000000-0005-0000-0000-00001ABB0000}"/>
    <cellStyle name="Normal 7 4 2 2 4 3 2" xfId="25274" xr:uid="{00000000-0005-0000-0000-00001BBB0000}"/>
    <cellStyle name="Normal 7 4 2 2 4 3 2 2" xfId="50148" xr:uid="{00000000-0005-0000-0000-00001CBB0000}"/>
    <cellStyle name="Normal 7 4 2 2 4 3 3" xfId="37715" xr:uid="{00000000-0005-0000-0000-00001DBB0000}"/>
    <cellStyle name="Normal 7 4 2 2 4 4" xfId="9281" xr:uid="{00000000-0005-0000-0000-00001EBB0000}"/>
    <cellStyle name="Normal 7 4 2 2 4 4 2" xfId="21724" xr:uid="{00000000-0005-0000-0000-00001FBB0000}"/>
    <cellStyle name="Normal 7 4 2 2 4 4 2 2" xfId="46598" xr:uid="{00000000-0005-0000-0000-000020BB0000}"/>
    <cellStyle name="Normal 7 4 2 2 4 4 3" xfId="34165" xr:uid="{00000000-0005-0000-0000-000021BB0000}"/>
    <cellStyle name="Normal 7 4 2 2 4 5" xfId="4263" xr:uid="{00000000-0005-0000-0000-000022BB0000}"/>
    <cellStyle name="Normal 7 4 2 2 4 5 2" xfId="16717" xr:uid="{00000000-0005-0000-0000-000023BB0000}"/>
    <cellStyle name="Normal 7 4 2 2 4 5 2 2" xfId="41591" xr:uid="{00000000-0005-0000-0000-000024BB0000}"/>
    <cellStyle name="Normal 7 4 2 2 4 5 3" xfId="29158" xr:uid="{00000000-0005-0000-0000-000025BB0000}"/>
    <cellStyle name="Normal 7 4 2 2 4 6" xfId="15025" xr:uid="{00000000-0005-0000-0000-000026BB0000}"/>
    <cellStyle name="Normal 7 4 2 2 4 6 2" xfId="39899" xr:uid="{00000000-0005-0000-0000-000027BB0000}"/>
    <cellStyle name="Normal 7 4 2 2 4 7" xfId="27458" xr:uid="{00000000-0005-0000-0000-000028BB0000}"/>
    <cellStyle name="Normal 7 4 2 2 5" xfId="1182" xr:uid="{00000000-0005-0000-0000-000029BB0000}"/>
    <cellStyle name="Normal 7 4 2 2 5 2" xfId="10343" xr:uid="{00000000-0005-0000-0000-00002ABB0000}"/>
    <cellStyle name="Normal 7 4 2 2 5 2 2" xfId="22786" xr:uid="{00000000-0005-0000-0000-00002BBB0000}"/>
    <cellStyle name="Normal 7 4 2 2 5 2 2 2" xfId="47660" xr:uid="{00000000-0005-0000-0000-00002CBB0000}"/>
    <cellStyle name="Normal 7 4 2 2 5 2 3" xfId="35227" xr:uid="{00000000-0005-0000-0000-00002DBB0000}"/>
    <cellStyle name="Normal 7 4 2 2 5 3" xfId="5327" xr:uid="{00000000-0005-0000-0000-00002EBB0000}"/>
    <cellStyle name="Normal 7 4 2 2 5 3 2" xfId="17779" xr:uid="{00000000-0005-0000-0000-00002FBB0000}"/>
    <cellStyle name="Normal 7 4 2 2 5 3 2 2" xfId="42653" xr:uid="{00000000-0005-0000-0000-000030BB0000}"/>
    <cellStyle name="Normal 7 4 2 2 5 3 3" xfId="30220" xr:uid="{00000000-0005-0000-0000-000031BB0000}"/>
    <cellStyle name="Normal 7 4 2 2 5 4" xfId="13982" xr:uid="{00000000-0005-0000-0000-000032BB0000}"/>
    <cellStyle name="Normal 7 4 2 2 5 4 2" xfId="38856" xr:uid="{00000000-0005-0000-0000-000033BB0000}"/>
    <cellStyle name="Normal 7 4 2 2 5 5" xfId="26415" xr:uid="{00000000-0005-0000-0000-000034BB0000}"/>
    <cellStyle name="Normal 7 4 2 2 6" xfId="7904" xr:uid="{00000000-0005-0000-0000-000035BB0000}"/>
    <cellStyle name="Normal 7 4 2 2 6 2" xfId="20350" xr:uid="{00000000-0005-0000-0000-000036BB0000}"/>
    <cellStyle name="Normal 7 4 2 2 6 2 2" xfId="45224" xr:uid="{00000000-0005-0000-0000-000037BB0000}"/>
    <cellStyle name="Normal 7 4 2 2 6 3" xfId="32791" xr:uid="{00000000-0005-0000-0000-000038BB0000}"/>
    <cellStyle name="Normal 7 4 2 2 7" xfId="11797" xr:uid="{00000000-0005-0000-0000-000039BB0000}"/>
    <cellStyle name="Normal 7 4 2 2 7 2" xfId="24231" xr:uid="{00000000-0005-0000-0000-00003ABB0000}"/>
    <cellStyle name="Normal 7 4 2 2 7 2 2" xfId="49105" xr:uid="{00000000-0005-0000-0000-00003BBB0000}"/>
    <cellStyle name="Normal 7 4 2 2 7 3" xfId="36672" xr:uid="{00000000-0005-0000-0000-00003CBB0000}"/>
    <cellStyle name="Normal 7 4 2 2 8" xfId="6874" xr:uid="{00000000-0005-0000-0000-00003DBB0000}"/>
    <cellStyle name="Normal 7 4 2 2 8 2" xfId="19323" xr:uid="{00000000-0005-0000-0000-00003EBB0000}"/>
    <cellStyle name="Normal 7 4 2 2 8 2 2" xfId="44197" xr:uid="{00000000-0005-0000-0000-00003FBB0000}"/>
    <cellStyle name="Normal 7 4 2 2 8 3" xfId="31764" xr:uid="{00000000-0005-0000-0000-000040BB0000}"/>
    <cellStyle name="Normal 7 4 2 2 9" xfId="2825" xr:uid="{00000000-0005-0000-0000-000041BB0000}"/>
    <cellStyle name="Normal 7 4 2 2 9 2" xfId="15343" xr:uid="{00000000-0005-0000-0000-000042BB0000}"/>
    <cellStyle name="Normal 7 4 2 2 9 2 2" xfId="40217" xr:uid="{00000000-0005-0000-0000-000043BB0000}"/>
    <cellStyle name="Normal 7 4 2 2 9 3" xfId="27776" xr:uid="{00000000-0005-0000-0000-000044BB0000}"/>
    <cellStyle name="Normal 7 4 2 2_Degree data" xfId="2586" xr:uid="{00000000-0005-0000-0000-000045BB0000}"/>
    <cellStyle name="Normal 7 4 2 3" xfId="688" xr:uid="{00000000-0005-0000-0000-000046BB0000}"/>
    <cellStyle name="Normal 7 4 2 3 2" xfId="1611" xr:uid="{00000000-0005-0000-0000-000047BB0000}"/>
    <cellStyle name="Normal 7 4 2 3 2 2" xfId="9181" xr:uid="{00000000-0005-0000-0000-000048BB0000}"/>
    <cellStyle name="Normal 7 4 2 3 2 2 2" xfId="21624" xr:uid="{00000000-0005-0000-0000-000049BB0000}"/>
    <cellStyle name="Normal 7 4 2 3 2 2 2 2" xfId="46498" xr:uid="{00000000-0005-0000-0000-00004ABB0000}"/>
    <cellStyle name="Normal 7 4 2 3 2 2 3" xfId="34065" xr:uid="{00000000-0005-0000-0000-00004BBB0000}"/>
    <cellStyle name="Normal 7 4 2 3 2 3" xfId="4163" xr:uid="{00000000-0005-0000-0000-00004CBB0000}"/>
    <cellStyle name="Normal 7 4 2 3 2 3 2" xfId="16617" xr:uid="{00000000-0005-0000-0000-00004DBB0000}"/>
    <cellStyle name="Normal 7 4 2 3 2 3 2 2" xfId="41491" xr:uid="{00000000-0005-0000-0000-00004EBB0000}"/>
    <cellStyle name="Normal 7 4 2 3 2 3 3" xfId="29058" xr:uid="{00000000-0005-0000-0000-00004FBB0000}"/>
    <cellStyle name="Normal 7 4 2 3 2 4" xfId="14411" xr:uid="{00000000-0005-0000-0000-000050BB0000}"/>
    <cellStyle name="Normal 7 4 2 3 2 4 2" xfId="39285" xr:uid="{00000000-0005-0000-0000-000051BB0000}"/>
    <cellStyle name="Normal 7 4 2 3 2 5" xfId="26844" xr:uid="{00000000-0005-0000-0000-000052BB0000}"/>
    <cellStyle name="Normal 7 4 2 3 3" xfId="5757" xr:uid="{00000000-0005-0000-0000-000053BB0000}"/>
    <cellStyle name="Normal 7 4 2 3 3 2" xfId="10772" xr:uid="{00000000-0005-0000-0000-000054BB0000}"/>
    <cellStyle name="Normal 7 4 2 3 3 2 2" xfId="23215" xr:uid="{00000000-0005-0000-0000-000055BB0000}"/>
    <cellStyle name="Normal 7 4 2 3 3 2 2 2" xfId="48089" xr:uid="{00000000-0005-0000-0000-000056BB0000}"/>
    <cellStyle name="Normal 7 4 2 3 3 2 3" xfId="35656" xr:uid="{00000000-0005-0000-0000-000057BB0000}"/>
    <cellStyle name="Normal 7 4 2 3 3 3" xfId="18208" xr:uid="{00000000-0005-0000-0000-000058BB0000}"/>
    <cellStyle name="Normal 7 4 2 3 3 3 2" xfId="43082" xr:uid="{00000000-0005-0000-0000-000059BB0000}"/>
    <cellStyle name="Normal 7 4 2 3 3 4" xfId="30649" xr:uid="{00000000-0005-0000-0000-00005ABB0000}"/>
    <cellStyle name="Normal 7 4 2 3 4" xfId="8297" xr:uid="{00000000-0005-0000-0000-00005BBB0000}"/>
    <cellStyle name="Normal 7 4 2 3 4 2" xfId="20741" xr:uid="{00000000-0005-0000-0000-00005CBB0000}"/>
    <cellStyle name="Normal 7 4 2 3 4 2 2" xfId="45615" xr:uid="{00000000-0005-0000-0000-00005DBB0000}"/>
    <cellStyle name="Normal 7 4 2 3 4 3" xfId="33182" xr:uid="{00000000-0005-0000-0000-00005EBB0000}"/>
    <cellStyle name="Normal 7 4 2 3 5" xfId="12226" xr:uid="{00000000-0005-0000-0000-00005FBB0000}"/>
    <cellStyle name="Normal 7 4 2 3 5 2" xfId="24660" xr:uid="{00000000-0005-0000-0000-000060BB0000}"/>
    <cellStyle name="Normal 7 4 2 3 5 2 2" xfId="49534" xr:uid="{00000000-0005-0000-0000-000061BB0000}"/>
    <cellStyle name="Normal 7 4 2 3 5 3" xfId="37101" xr:uid="{00000000-0005-0000-0000-000062BB0000}"/>
    <cellStyle name="Normal 7 4 2 3 6" xfId="6774" xr:uid="{00000000-0005-0000-0000-000063BB0000}"/>
    <cellStyle name="Normal 7 4 2 3 6 2" xfId="19223" xr:uid="{00000000-0005-0000-0000-000064BB0000}"/>
    <cellStyle name="Normal 7 4 2 3 6 2 2" xfId="44097" xr:uid="{00000000-0005-0000-0000-000065BB0000}"/>
    <cellStyle name="Normal 7 4 2 3 6 3" xfId="31664" xr:uid="{00000000-0005-0000-0000-000066BB0000}"/>
    <cellStyle name="Normal 7 4 2 3 7" xfId="3228" xr:uid="{00000000-0005-0000-0000-000067BB0000}"/>
    <cellStyle name="Normal 7 4 2 3 7 2" xfId="15734" xr:uid="{00000000-0005-0000-0000-000068BB0000}"/>
    <cellStyle name="Normal 7 4 2 3 7 2 2" xfId="40608" xr:uid="{00000000-0005-0000-0000-000069BB0000}"/>
    <cellStyle name="Normal 7 4 2 3 7 3" xfId="28167" xr:uid="{00000000-0005-0000-0000-00006ABB0000}"/>
    <cellStyle name="Normal 7 4 2 3 8" xfId="13491" xr:uid="{00000000-0005-0000-0000-00006BBB0000}"/>
    <cellStyle name="Normal 7 4 2 3 8 2" xfId="38365" xr:uid="{00000000-0005-0000-0000-00006CBB0000}"/>
    <cellStyle name="Normal 7 4 2 3 9" xfId="25924" xr:uid="{00000000-0005-0000-0000-00006DBB0000}"/>
    <cellStyle name="Normal 7 4 2 4" xfId="1959" xr:uid="{00000000-0005-0000-0000-00006EBB0000}"/>
    <cellStyle name="Normal 7 4 2 4 2" xfId="4697" xr:uid="{00000000-0005-0000-0000-00006FBB0000}"/>
    <cellStyle name="Normal 7 4 2 4 2 2" xfId="9715" xr:uid="{00000000-0005-0000-0000-000070BB0000}"/>
    <cellStyle name="Normal 7 4 2 4 2 2 2" xfId="22158" xr:uid="{00000000-0005-0000-0000-000071BB0000}"/>
    <cellStyle name="Normal 7 4 2 4 2 2 2 2" xfId="47032" xr:uid="{00000000-0005-0000-0000-000072BB0000}"/>
    <cellStyle name="Normal 7 4 2 4 2 2 3" xfId="34599" xr:uid="{00000000-0005-0000-0000-000073BB0000}"/>
    <cellStyle name="Normal 7 4 2 4 2 3" xfId="17151" xr:uid="{00000000-0005-0000-0000-000074BB0000}"/>
    <cellStyle name="Normal 7 4 2 4 2 3 2" xfId="42025" xr:uid="{00000000-0005-0000-0000-000075BB0000}"/>
    <cellStyle name="Normal 7 4 2 4 2 4" xfId="29592" xr:uid="{00000000-0005-0000-0000-000076BB0000}"/>
    <cellStyle name="Normal 7 4 2 4 3" xfId="6105" xr:uid="{00000000-0005-0000-0000-000077BB0000}"/>
    <cellStyle name="Normal 7 4 2 4 3 2" xfId="11120" xr:uid="{00000000-0005-0000-0000-000078BB0000}"/>
    <cellStyle name="Normal 7 4 2 4 3 2 2" xfId="23563" xr:uid="{00000000-0005-0000-0000-000079BB0000}"/>
    <cellStyle name="Normal 7 4 2 4 3 2 2 2" xfId="48437" xr:uid="{00000000-0005-0000-0000-00007ABB0000}"/>
    <cellStyle name="Normal 7 4 2 4 3 2 3" xfId="36004" xr:uid="{00000000-0005-0000-0000-00007BBB0000}"/>
    <cellStyle name="Normal 7 4 2 4 3 3" xfId="18556" xr:uid="{00000000-0005-0000-0000-00007CBB0000}"/>
    <cellStyle name="Normal 7 4 2 4 3 3 2" xfId="43430" xr:uid="{00000000-0005-0000-0000-00007DBB0000}"/>
    <cellStyle name="Normal 7 4 2 4 3 4" xfId="30997" xr:uid="{00000000-0005-0000-0000-00007EBB0000}"/>
    <cellStyle name="Normal 7 4 2 4 4" xfId="8831" xr:uid="{00000000-0005-0000-0000-00007FBB0000}"/>
    <cellStyle name="Normal 7 4 2 4 4 2" xfId="21275" xr:uid="{00000000-0005-0000-0000-000080BB0000}"/>
    <cellStyle name="Normal 7 4 2 4 4 2 2" xfId="46149" xr:uid="{00000000-0005-0000-0000-000081BB0000}"/>
    <cellStyle name="Normal 7 4 2 4 4 3" xfId="33716" xr:uid="{00000000-0005-0000-0000-000082BB0000}"/>
    <cellStyle name="Normal 7 4 2 4 5" xfId="12574" xr:uid="{00000000-0005-0000-0000-000083BB0000}"/>
    <cellStyle name="Normal 7 4 2 4 5 2" xfId="25008" xr:uid="{00000000-0005-0000-0000-000084BB0000}"/>
    <cellStyle name="Normal 7 4 2 4 5 2 2" xfId="49882" xr:uid="{00000000-0005-0000-0000-000085BB0000}"/>
    <cellStyle name="Normal 7 4 2 4 5 3" xfId="37449" xr:uid="{00000000-0005-0000-0000-000086BB0000}"/>
    <cellStyle name="Normal 7 4 2 4 6" xfId="7308" xr:uid="{00000000-0005-0000-0000-000087BB0000}"/>
    <cellStyle name="Normal 7 4 2 4 6 2" xfId="19757" xr:uid="{00000000-0005-0000-0000-000088BB0000}"/>
    <cellStyle name="Normal 7 4 2 4 6 2 2" xfId="44631" xr:uid="{00000000-0005-0000-0000-000089BB0000}"/>
    <cellStyle name="Normal 7 4 2 4 6 3" xfId="32198" xr:uid="{00000000-0005-0000-0000-00008ABB0000}"/>
    <cellStyle name="Normal 7 4 2 4 7" xfId="3762" xr:uid="{00000000-0005-0000-0000-00008BBB0000}"/>
    <cellStyle name="Normal 7 4 2 4 7 2" xfId="16268" xr:uid="{00000000-0005-0000-0000-00008CBB0000}"/>
    <cellStyle name="Normal 7 4 2 4 7 2 2" xfId="41142" xr:uid="{00000000-0005-0000-0000-00008DBB0000}"/>
    <cellStyle name="Normal 7 4 2 4 7 3" xfId="28701" xr:uid="{00000000-0005-0000-0000-00008EBB0000}"/>
    <cellStyle name="Normal 7 4 2 4 8" xfId="14759" xr:uid="{00000000-0005-0000-0000-00008FBB0000}"/>
    <cellStyle name="Normal 7 4 2 4 8 2" xfId="39633" xr:uid="{00000000-0005-0000-0000-000090BB0000}"/>
    <cellStyle name="Normal 7 4 2 4 9" xfId="27192" xr:uid="{00000000-0005-0000-0000-000091BB0000}"/>
    <cellStyle name="Normal 7 4 2 5" xfId="2245" xr:uid="{00000000-0005-0000-0000-000092BB0000}"/>
    <cellStyle name="Normal 7 4 2 5 2" xfId="4873" xr:uid="{00000000-0005-0000-0000-000093BB0000}"/>
    <cellStyle name="Normal 7 4 2 5 2 2" xfId="9890" xr:uid="{00000000-0005-0000-0000-000094BB0000}"/>
    <cellStyle name="Normal 7 4 2 5 2 2 2" xfId="22333" xr:uid="{00000000-0005-0000-0000-000095BB0000}"/>
    <cellStyle name="Normal 7 4 2 5 2 2 2 2" xfId="47207" xr:uid="{00000000-0005-0000-0000-000096BB0000}"/>
    <cellStyle name="Normal 7 4 2 5 2 2 3" xfId="34774" xr:uid="{00000000-0005-0000-0000-000097BB0000}"/>
    <cellStyle name="Normal 7 4 2 5 2 3" xfId="17326" xr:uid="{00000000-0005-0000-0000-000098BB0000}"/>
    <cellStyle name="Normal 7 4 2 5 2 3 2" xfId="42200" xr:uid="{00000000-0005-0000-0000-000099BB0000}"/>
    <cellStyle name="Normal 7 4 2 5 2 4" xfId="29767" xr:uid="{00000000-0005-0000-0000-00009ABB0000}"/>
    <cellStyle name="Normal 7 4 2 5 3" xfId="6271" xr:uid="{00000000-0005-0000-0000-00009BBB0000}"/>
    <cellStyle name="Normal 7 4 2 5 3 2" xfId="11286" xr:uid="{00000000-0005-0000-0000-00009CBB0000}"/>
    <cellStyle name="Normal 7 4 2 5 3 2 2" xfId="23729" xr:uid="{00000000-0005-0000-0000-00009DBB0000}"/>
    <cellStyle name="Normal 7 4 2 5 3 2 2 2" xfId="48603" xr:uid="{00000000-0005-0000-0000-00009EBB0000}"/>
    <cellStyle name="Normal 7 4 2 5 3 2 3" xfId="36170" xr:uid="{00000000-0005-0000-0000-00009FBB0000}"/>
    <cellStyle name="Normal 7 4 2 5 3 3" xfId="18722" xr:uid="{00000000-0005-0000-0000-0000A0BB0000}"/>
    <cellStyle name="Normal 7 4 2 5 3 3 2" xfId="43596" xr:uid="{00000000-0005-0000-0000-0000A1BB0000}"/>
    <cellStyle name="Normal 7 4 2 5 3 4" xfId="31163" xr:uid="{00000000-0005-0000-0000-0000A2BB0000}"/>
    <cellStyle name="Normal 7 4 2 5 4" xfId="8078" xr:uid="{00000000-0005-0000-0000-0000A3BB0000}"/>
    <cellStyle name="Normal 7 4 2 5 4 2" xfId="20524" xr:uid="{00000000-0005-0000-0000-0000A4BB0000}"/>
    <cellStyle name="Normal 7 4 2 5 4 2 2" xfId="45398" xr:uid="{00000000-0005-0000-0000-0000A5BB0000}"/>
    <cellStyle name="Normal 7 4 2 5 4 3" xfId="32965" xr:uid="{00000000-0005-0000-0000-0000A6BB0000}"/>
    <cellStyle name="Normal 7 4 2 5 5" xfId="12740" xr:uid="{00000000-0005-0000-0000-0000A7BB0000}"/>
    <cellStyle name="Normal 7 4 2 5 5 2" xfId="25174" xr:uid="{00000000-0005-0000-0000-0000A8BB0000}"/>
    <cellStyle name="Normal 7 4 2 5 5 2 2" xfId="50048" xr:uid="{00000000-0005-0000-0000-0000A9BB0000}"/>
    <cellStyle name="Normal 7 4 2 5 5 3" xfId="37615" xr:uid="{00000000-0005-0000-0000-0000AABB0000}"/>
    <cellStyle name="Normal 7 4 2 5 6" xfId="7484" xr:uid="{00000000-0005-0000-0000-0000ABBB0000}"/>
    <cellStyle name="Normal 7 4 2 5 6 2" xfId="19932" xr:uid="{00000000-0005-0000-0000-0000ACBB0000}"/>
    <cellStyle name="Normal 7 4 2 5 6 2 2" xfId="44806" xr:uid="{00000000-0005-0000-0000-0000ADBB0000}"/>
    <cellStyle name="Normal 7 4 2 5 6 3" xfId="32373" xr:uid="{00000000-0005-0000-0000-0000AEBB0000}"/>
    <cellStyle name="Normal 7 4 2 5 7" xfId="3007" xr:uid="{00000000-0005-0000-0000-0000AFBB0000}"/>
    <cellStyle name="Normal 7 4 2 5 7 2" xfId="15517" xr:uid="{00000000-0005-0000-0000-0000B0BB0000}"/>
    <cellStyle name="Normal 7 4 2 5 7 2 2" xfId="40391" xr:uid="{00000000-0005-0000-0000-0000B1BB0000}"/>
    <cellStyle name="Normal 7 4 2 5 7 3" xfId="27950" xr:uid="{00000000-0005-0000-0000-0000B2BB0000}"/>
    <cellStyle name="Normal 7 4 2 5 8" xfId="14925" xr:uid="{00000000-0005-0000-0000-0000B3BB0000}"/>
    <cellStyle name="Normal 7 4 2 5 8 2" xfId="39799" xr:uid="{00000000-0005-0000-0000-0000B4BB0000}"/>
    <cellStyle name="Normal 7 4 2 5 9" xfId="27358" xr:uid="{00000000-0005-0000-0000-0000B5BB0000}"/>
    <cellStyle name="Normal 7 4 2 6" xfId="1082" xr:uid="{00000000-0005-0000-0000-0000B6BB0000}"/>
    <cellStyle name="Normal 7 4 2 6 2" xfId="8964" xr:uid="{00000000-0005-0000-0000-0000B7BB0000}"/>
    <cellStyle name="Normal 7 4 2 6 2 2" xfId="21407" xr:uid="{00000000-0005-0000-0000-0000B8BB0000}"/>
    <cellStyle name="Normal 7 4 2 6 2 2 2" xfId="46281" xr:uid="{00000000-0005-0000-0000-0000B9BB0000}"/>
    <cellStyle name="Normal 7 4 2 6 2 3" xfId="33848" xr:uid="{00000000-0005-0000-0000-0000BABB0000}"/>
    <cellStyle name="Normal 7 4 2 6 3" xfId="3946" xr:uid="{00000000-0005-0000-0000-0000BBBB0000}"/>
    <cellStyle name="Normal 7 4 2 6 3 2" xfId="16400" xr:uid="{00000000-0005-0000-0000-0000BCBB0000}"/>
    <cellStyle name="Normal 7 4 2 6 3 2 2" xfId="41274" xr:uid="{00000000-0005-0000-0000-0000BDBB0000}"/>
    <cellStyle name="Normal 7 4 2 6 3 3" xfId="28841" xr:uid="{00000000-0005-0000-0000-0000BEBB0000}"/>
    <cellStyle name="Normal 7 4 2 6 4" xfId="13882" xr:uid="{00000000-0005-0000-0000-0000BFBB0000}"/>
    <cellStyle name="Normal 7 4 2 6 4 2" xfId="38756" xr:uid="{00000000-0005-0000-0000-0000C0BB0000}"/>
    <cellStyle name="Normal 7 4 2 6 5" xfId="26315" xr:uid="{00000000-0005-0000-0000-0000C1BB0000}"/>
    <cellStyle name="Normal 7 4 2 7" xfId="5227" xr:uid="{00000000-0005-0000-0000-0000C2BB0000}"/>
    <cellStyle name="Normal 7 4 2 7 2" xfId="10243" xr:uid="{00000000-0005-0000-0000-0000C3BB0000}"/>
    <cellStyle name="Normal 7 4 2 7 2 2" xfId="22686" xr:uid="{00000000-0005-0000-0000-0000C4BB0000}"/>
    <cellStyle name="Normal 7 4 2 7 2 2 2" xfId="47560" xr:uid="{00000000-0005-0000-0000-0000C5BB0000}"/>
    <cellStyle name="Normal 7 4 2 7 2 3" xfId="35127" xr:uid="{00000000-0005-0000-0000-0000C6BB0000}"/>
    <cellStyle name="Normal 7 4 2 7 3" xfId="17679" xr:uid="{00000000-0005-0000-0000-0000C7BB0000}"/>
    <cellStyle name="Normal 7 4 2 7 3 2" xfId="42553" xr:uid="{00000000-0005-0000-0000-0000C8BB0000}"/>
    <cellStyle name="Normal 7 4 2 7 4" xfId="30120" xr:uid="{00000000-0005-0000-0000-0000C9BB0000}"/>
    <cellStyle name="Normal 7 4 2 8" xfId="7804" xr:uid="{00000000-0005-0000-0000-0000CABB0000}"/>
    <cellStyle name="Normal 7 4 2 8 2" xfId="20250" xr:uid="{00000000-0005-0000-0000-0000CBBB0000}"/>
    <cellStyle name="Normal 7 4 2 8 2 2" xfId="45124" xr:uid="{00000000-0005-0000-0000-0000CCBB0000}"/>
    <cellStyle name="Normal 7 4 2 8 3" xfId="32691" xr:uid="{00000000-0005-0000-0000-0000CDBB0000}"/>
    <cellStyle name="Normal 7 4 2 9" xfId="11697" xr:uid="{00000000-0005-0000-0000-0000CEBB0000}"/>
    <cellStyle name="Normal 7 4 2 9 2" xfId="24131" xr:uid="{00000000-0005-0000-0000-0000CFBB0000}"/>
    <cellStyle name="Normal 7 4 2 9 2 2" xfId="49005" xr:uid="{00000000-0005-0000-0000-0000D0BB0000}"/>
    <cellStyle name="Normal 7 4 2 9 3" xfId="36572" xr:uid="{00000000-0005-0000-0000-0000D1BB0000}"/>
    <cellStyle name="Normal 7 4 2_Degree data" xfId="2585" xr:uid="{00000000-0005-0000-0000-0000D2BB0000}"/>
    <cellStyle name="Normal 7 4 3" xfId="282" xr:uid="{00000000-0005-0000-0000-0000D3BB0000}"/>
    <cellStyle name="Normal 7 4 3 10" xfId="6619" xr:uid="{00000000-0005-0000-0000-0000D4BB0000}"/>
    <cellStyle name="Normal 7 4 3 10 2" xfId="19068" xr:uid="{00000000-0005-0000-0000-0000D5BB0000}"/>
    <cellStyle name="Normal 7 4 3 10 2 2" xfId="43942" xr:uid="{00000000-0005-0000-0000-0000D6BB0000}"/>
    <cellStyle name="Normal 7 4 3 10 3" xfId="31509" xr:uid="{00000000-0005-0000-0000-0000D7BB0000}"/>
    <cellStyle name="Normal 7 4 3 11" xfId="2682" xr:uid="{00000000-0005-0000-0000-0000D8BB0000}"/>
    <cellStyle name="Normal 7 4 3 11 2" xfId="15200" xr:uid="{00000000-0005-0000-0000-0000D9BB0000}"/>
    <cellStyle name="Normal 7 4 3 11 2 2" xfId="40074" xr:uid="{00000000-0005-0000-0000-0000DABB0000}"/>
    <cellStyle name="Normal 7 4 3 11 3" xfId="27633" xr:uid="{00000000-0005-0000-0000-0000DBBB0000}"/>
    <cellStyle name="Normal 7 4 3 12" xfId="13101" xr:uid="{00000000-0005-0000-0000-0000DCBB0000}"/>
    <cellStyle name="Normal 7 4 3 12 2" xfId="37975" xr:uid="{00000000-0005-0000-0000-0000DDBB0000}"/>
    <cellStyle name="Normal 7 4 3 13" xfId="25534" xr:uid="{00000000-0005-0000-0000-0000DEBB0000}"/>
    <cellStyle name="Normal 7 4 3 2" xfId="493" xr:uid="{00000000-0005-0000-0000-0000DFBB0000}"/>
    <cellStyle name="Normal 7 4 3 2 10" xfId="13306" xr:uid="{00000000-0005-0000-0000-0000E0BB0000}"/>
    <cellStyle name="Normal 7 4 3 2 10 2" xfId="38180" xr:uid="{00000000-0005-0000-0000-0000E1BB0000}"/>
    <cellStyle name="Normal 7 4 3 2 11" xfId="25739" xr:uid="{00000000-0005-0000-0000-0000E2BB0000}"/>
    <cellStyle name="Normal 7 4 3 2 2" xfId="852" xr:uid="{00000000-0005-0000-0000-0000E3BB0000}"/>
    <cellStyle name="Normal 7 4 3 2 2 2" xfId="1614" xr:uid="{00000000-0005-0000-0000-0000E4BB0000}"/>
    <cellStyle name="Normal 7 4 3 2 2 2 2" xfId="9718" xr:uid="{00000000-0005-0000-0000-0000E5BB0000}"/>
    <cellStyle name="Normal 7 4 3 2 2 2 2 2" xfId="22161" xr:uid="{00000000-0005-0000-0000-0000E6BB0000}"/>
    <cellStyle name="Normal 7 4 3 2 2 2 2 2 2" xfId="47035" xr:uid="{00000000-0005-0000-0000-0000E7BB0000}"/>
    <cellStyle name="Normal 7 4 3 2 2 2 2 3" xfId="34602" xr:uid="{00000000-0005-0000-0000-0000E8BB0000}"/>
    <cellStyle name="Normal 7 4 3 2 2 2 3" xfId="4700" xr:uid="{00000000-0005-0000-0000-0000E9BB0000}"/>
    <cellStyle name="Normal 7 4 3 2 2 2 3 2" xfId="17154" xr:uid="{00000000-0005-0000-0000-0000EABB0000}"/>
    <cellStyle name="Normal 7 4 3 2 2 2 3 2 2" xfId="42028" xr:uid="{00000000-0005-0000-0000-0000EBBB0000}"/>
    <cellStyle name="Normal 7 4 3 2 2 2 3 3" xfId="29595" xr:uid="{00000000-0005-0000-0000-0000ECBB0000}"/>
    <cellStyle name="Normal 7 4 3 2 2 2 4" xfId="14414" xr:uid="{00000000-0005-0000-0000-0000EDBB0000}"/>
    <cellStyle name="Normal 7 4 3 2 2 2 4 2" xfId="39288" xr:uid="{00000000-0005-0000-0000-0000EEBB0000}"/>
    <cellStyle name="Normal 7 4 3 2 2 2 5" xfId="26847" xr:uid="{00000000-0005-0000-0000-0000EFBB0000}"/>
    <cellStyle name="Normal 7 4 3 2 2 3" xfId="5760" xr:uid="{00000000-0005-0000-0000-0000F0BB0000}"/>
    <cellStyle name="Normal 7 4 3 2 2 3 2" xfId="10775" xr:uid="{00000000-0005-0000-0000-0000F1BB0000}"/>
    <cellStyle name="Normal 7 4 3 2 2 3 2 2" xfId="23218" xr:uid="{00000000-0005-0000-0000-0000F2BB0000}"/>
    <cellStyle name="Normal 7 4 3 2 2 3 2 2 2" xfId="48092" xr:uid="{00000000-0005-0000-0000-0000F3BB0000}"/>
    <cellStyle name="Normal 7 4 3 2 2 3 2 3" xfId="35659" xr:uid="{00000000-0005-0000-0000-0000F4BB0000}"/>
    <cellStyle name="Normal 7 4 3 2 2 3 3" xfId="18211" xr:uid="{00000000-0005-0000-0000-0000F5BB0000}"/>
    <cellStyle name="Normal 7 4 3 2 2 3 3 2" xfId="43085" xr:uid="{00000000-0005-0000-0000-0000F6BB0000}"/>
    <cellStyle name="Normal 7 4 3 2 2 3 4" xfId="30652" xr:uid="{00000000-0005-0000-0000-0000F7BB0000}"/>
    <cellStyle name="Normal 7 4 3 2 2 4" xfId="8834" xr:uid="{00000000-0005-0000-0000-0000F8BB0000}"/>
    <cellStyle name="Normal 7 4 3 2 2 4 2" xfId="21278" xr:uid="{00000000-0005-0000-0000-0000F9BB0000}"/>
    <cellStyle name="Normal 7 4 3 2 2 4 2 2" xfId="46152" xr:uid="{00000000-0005-0000-0000-0000FABB0000}"/>
    <cellStyle name="Normal 7 4 3 2 2 4 3" xfId="33719" xr:uid="{00000000-0005-0000-0000-0000FBBB0000}"/>
    <cellStyle name="Normal 7 4 3 2 2 5" xfId="12229" xr:uid="{00000000-0005-0000-0000-0000FCBB0000}"/>
    <cellStyle name="Normal 7 4 3 2 2 5 2" xfId="24663" xr:uid="{00000000-0005-0000-0000-0000FDBB0000}"/>
    <cellStyle name="Normal 7 4 3 2 2 5 2 2" xfId="49537" xr:uid="{00000000-0005-0000-0000-0000FEBB0000}"/>
    <cellStyle name="Normal 7 4 3 2 2 5 3" xfId="37104" xr:uid="{00000000-0005-0000-0000-0000FFBB0000}"/>
    <cellStyle name="Normal 7 4 3 2 2 6" xfId="7311" xr:uid="{00000000-0005-0000-0000-000000BC0000}"/>
    <cellStyle name="Normal 7 4 3 2 2 6 2" xfId="19760" xr:uid="{00000000-0005-0000-0000-000001BC0000}"/>
    <cellStyle name="Normal 7 4 3 2 2 6 2 2" xfId="44634" xr:uid="{00000000-0005-0000-0000-000002BC0000}"/>
    <cellStyle name="Normal 7 4 3 2 2 6 3" xfId="32201" xr:uid="{00000000-0005-0000-0000-000003BC0000}"/>
    <cellStyle name="Normal 7 4 3 2 2 7" xfId="3765" xr:uid="{00000000-0005-0000-0000-000004BC0000}"/>
    <cellStyle name="Normal 7 4 3 2 2 7 2" xfId="16271" xr:uid="{00000000-0005-0000-0000-000005BC0000}"/>
    <cellStyle name="Normal 7 4 3 2 2 7 2 2" xfId="41145" xr:uid="{00000000-0005-0000-0000-000006BC0000}"/>
    <cellStyle name="Normal 7 4 3 2 2 7 3" xfId="28704" xr:uid="{00000000-0005-0000-0000-000007BC0000}"/>
    <cellStyle name="Normal 7 4 3 2 2 8" xfId="13653" xr:uid="{00000000-0005-0000-0000-000008BC0000}"/>
    <cellStyle name="Normal 7 4 3 2 2 8 2" xfId="38527" xr:uid="{00000000-0005-0000-0000-000009BC0000}"/>
    <cellStyle name="Normal 7 4 3 2 2 9" xfId="26086" xr:uid="{00000000-0005-0000-0000-00000ABC0000}"/>
    <cellStyle name="Normal 7 4 3 2 3" xfId="1962" xr:uid="{00000000-0005-0000-0000-00000BBC0000}"/>
    <cellStyle name="Normal 7 4 3 2 3 2" xfId="5035" xr:uid="{00000000-0005-0000-0000-00000CBC0000}"/>
    <cellStyle name="Normal 7 4 3 2 3 2 2" xfId="10052" xr:uid="{00000000-0005-0000-0000-00000DBC0000}"/>
    <cellStyle name="Normal 7 4 3 2 3 2 2 2" xfId="22495" xr:uid="{00000000-0005-0000-0000-00000EBC0000}"/>
    <cellStyle name="Normal 7 4 3 2 3 2 2 2 2" xfId="47369" xr:uid="{00000000-0005-0000-0000-00000FBC0000}"/>
    <cellStyle name="Normal 7 4 3 2 3 2 2 3" xfId="34936" xr:uid="{00000000-0005-0000-0000-000010BC0000}"/>
    <cellStyle name="Normal 7 4 3 2 3 2 3" xfId="17488" xr:uid="{00000000-0005-0000-0000-000011BC0000}"/>
    <cellStyle name="Normal 7 4 3 2 3 2 3 2" xfId="42362" xr:uid="{00000000-0005-0000-0000-000012BC0000}"/>
    <cellStyle name="Normal 7 4 3 2 3 2 4" xfId="29929" xr:uid="{00000000-0005-0000-0000-000013BC0000}"/>
    <cellStyle name="Normal 7 4 3 2 3 3" xfId="6108" xr:uid="{00000000-0005-0000-0000-000014BC0000}"/>
    <cellStyle name="Normal 7 4 3 2 3 3 2" xfId="11123" xr:uid="{00000000-0005-0000-0000-000015BC0000}"/>
    <cellStyle name="Normal 7 4 3 2 3 3 2 2" xfId="23566" xr:uid="{00000000-0005-0000-0000-000016BC0000}"/>
    <cellStyle name="Normal 7 4 3 2 3 3 2 2 2" xfId="48440" xr:uid="{00000000-0005-0000-0000-000017BC0000}"/>
    <cellStyle name="Normal 7 4 3 2 3 3 2 3" xfId="36007" xr:uid="{00000000-0005-0000-0000-000018BC0000}"/>
    <cellStyle name="Normal 7 4 3 2 3 3 3" xfId="18559" xr:uid="{00000000-0005-0000-0000-000019BC0000}"/>
    <cellStyle name="Normal 7 4 3 2 3 3 3 2" xfId="43433" xr:uid="{00000000-0005-0000-0000-00001ABC0000}"/>
    <cellStyle name="Normal 7 4 3 2 3 3 4" xfId="31000" xr:uid="{00000000-0005-0000-0000-00001BBC0000}"/>
    <cellStyle name="Normal 7 4 3 2 3 4" xfId="8459" xr:uid="{00000000-0005-0000-0000-00001CBC0000}"/>
    <cellStyle name="Normal 7 4 3 2 3 4 2" xfId="20903" xr:uid="{00000000-0005-0000-0000-00001DBC0000}"/>
    <cellStyle name="Normal 7 4 3 2 3 4 2 2" xfId="45777" xr:uid="{00000000-0005-0000-0000-00001EBC0000}"/>
    <cellStyle name="Normal 7 4 3 2 3 4 3" xfId="33344" xr:uid="{00000000-0005-0000-0000-00001FBC0000}"/>
    <cellStyle name="Normal 7 4 3 2 3 5" xfId="12577" xr:uid="{00000000-0005-0000-0000-000020BC0000}"/>
    <cellStyle name="Normal 7 4 3 2 3 5 2" xfId="25011" xr:uid="{00000000-0005-0000-0000-000021BC0000}"/>
    <cellStyle name="Normal 7 4 3 2 3 5 2 2" xfId="49885" xr:uid="{00000000-0005-0000-0000-000022BC0000}"/>
    <cellStyle name="Normal 7 4 3 2 3 5 3" xfId="37452" xr:uid="{00000000-0005-0000-0000-000023BC0000}"/>
    <cellStyle name="Normal 7 4 3 2 3 6" xfId="7646" xr:uid="{00000000-0005-0000-0000-000024BC0000}"/>
    <cellStyle name="Normal 7 4 3 2 3 6 2" xfId="20094" xr:uid="{00000000-0005-0000-0000-000025BC0000}"/>
    <cellStyle name="Normal 7 4 3 2 3 6 2 2" xfId="44968" xr:uid="{00000000-0005-0000-0000-000026BC0000}"/>
    <cellStyle name="Normal 7 4 3 2 3 6 3" xfId="32535" xr:uid="{00000000-0005-0000-0000-000027BC0000}"/>
    <cellStyle name="Normal 7 4 3 2 3 7" xfId="3390" xr:uid="{00000000-0005-0000-0000-000028BC0000}"/>
    <cellStyle name="Normal 7 4 3 2 3 7 2" xfId="15896" xr:uid="{00000000-0005-0000-0000-000029BC0000}"/>
    <cellStyle name="Normal 7 4 3 2 3 7 2 2" xfId="40770" xr:uid="{00000000-0005-0000-0000-00002ABC0000}"/>
    <cellStyle name="Normal 7 4 3 2 3 7 3" xfId="28329" xr:uid="{00000000-0005-0000-0000-00002BBC0000}"/>
    <cellStyle name="Normal 7 4 3 2 3 8" xfId="14762" xr:uid="{00000000-0005-0000-0000-00002CBC0000}"/>
    <cellStyle name="Normal 7 4 3 2 3 8 2" xfId="39636" xr:uid="{00000000-0005-0000-0000-00002DBC0000}"/>
    <cellStyle name="Normal 7 4 3 2 3 9" xfId="27195" xr:uid="{00000000-0005-0000-0000-00002EBC0000}"/>
    <cellStyle name="Normal 7 4 3 2 4" xfId="2411" xr:uid="{00000000-0005-0000-0000-00002FBC0000}"/>
    <cellStyle name="Normal 7 4 3 2 4 2" xfId="6433" xr:uid="{00000000-0005-0000-0000-000030BC0000}"/>
    <cellStyle name="Normal 7 4 3 2 4 2 2" xfId="11448" xr:uid="{00000000-0005-0000-0000-000031BC0000}"/>
    <cellStyle name="Normal 7 4 3 2 4 2 2 2" xfId="23891" xr:uid="{00000000-0005-0000-0000-000032BC0000}"/>
    <cellStyle name="Normal 7 4 3 2 4 2 2 2 2" xfId="48765" xr:uid="{00000000-0005-0000-0000-000033BC0000}"/>
    <cellStyle name="Normal 7 4 3 2 4 2 2 3" xfId="36332" xr:uid="{00000000-0005-0000-0000-000034BC0000}"/>
    <cellStyle name="Normal 7 4 3 2 4 2 3" xfId="18884" xr:uid="{00000000-0005-0000-0000-000035BC0000}"/>
    <cellStyle name="Normal 7 4 3 2 4 2 3 2" xfId="43758" xr:uid="{00000000-0005-0000-0000-000036BC0000}"/>
    <cellStyle name="Normal 7 4 3 2 4 2 4" xfId="31325" xr:uid="{00000000-0005-0000-0000-000037BC0000}"/>
    <cellStyle name="Normal 7 4 3 2 4 3" xfId="12902" xr:uid="{00000000-0005-0000-0000-000038BC0000}"/>
    <cellStyle name="Normal 7 4 3 2 4 3 2" xfId="25336" xr:uid="{00000000-0005-0000-0000-000039BC0000}"/>
    <cellStyle name="Normal 7 4 3 2 4 3 2 2" xfId="50210" xr:uid="{00000000-0005-0000-0000-00003ABC0000}"/>
    <cellStyle name="Normal 7 4 3 2 4 3 3" xfId="37777" xr:uid="{00000000-0005-0000-0000-00003BBC0000}"/>
    <cellStyle name="Normal 7 4 3 2 4 4" xfId="9343" xr:uid="{00000000-0005-0000-0000-00003CBC0000}"/>
    <cellStyle name="Normal 7 4 3 2 4 4 2" xfId="21786" xr:uid="{00000000-0005-0000-0000-00003DBC0000}"/>
    <cellStyle name="Normal 7 4 3 2 4 4 2 2" xfId="46660" xr:uid="{00000000-0005-0000-0000-00003EBC0000}"/>
    <cellStyle name="Normal 7 4 3 2 4 4 3" xfId="34227" xr:uid="{00000000-0005-0000-0000-00003FBC0000}"/>
    <cellStyle name="Normal 7 4 3 2 4 5" xfId="4325" xr:uid="{00000000-0005-0000-0000-000040BC0000}"/>
    <cellStyle name="Normal 7 4 3 2 4 5 2" xfId="16779" xr:uid="{00000000-0005-0000-0000-000041BC0000}"/>
    <cellStyle name="Normal 7 4 3 2 4 5 2 2" xfId="41653" xr:uid="{00000000-0005-0000-0000-000042BC0000}"/>
    <cellStyle name="Normal 7 4 3 2 4 5 3" xfId="29220" xr:uid="{00000000-0005-0000-0000-000043BC0000}"/>
    <cellStyle name="Normal 7 4 3 2 4 6" xfId="15087" xr:uid="{00000000-0005-0000-0000-000044BC0000}"/>
    <cellStyle name="Normal 7 4 3 2 4 6 2" xfId="39961" xr:uid="{00000000-0005-0000-0000-000045BC0000}"/>
    <cellStyle name="Normal 7 4 3 2 4 7" xfId="27520" xr:uid="{00000000-0005-0000-0000-000046BC0000}"/>
    <cellStyle name="Normal 7 4 3 2 5" xfId="1244" xr:uid="{00000000-0005-0000-0000-000047BC0000}"/>
    <cellStyle name="Normal 7 4 3 2 5 2" xfId="10405" xr:uid="{00000000-0005-0000-0000-000048BC0000}"/>
    <cellStyle name="Normal 7 4 3 2 5 2 2" xfId="22848" xr:uid="{00000000-0005-0000-0000-000049BC0000}"/>
    <cellStyle name="Normal 7 4 3 2 5 2 2 2" xfId="47722" xr:uid="{00000000-0005-0000-0000-00004ABC0000}"/>
    <cellStyle name="Normal 7 4 3 2 5 2 3" xfId="35289" xr:uid="{00000000-0005-0000-0000-00004BBC0000}"/>
    <cellStyle name="Normal 7 4 3 2 5 3" xfId="5389" xr:uid="{00000000-0005-0000-0000-00004CBC0000}"/>
    <cellStyle name="Normal 7 4 3 2 5 3 2" xfId="17841" xr:uid="{00000000-0005-0000-0000-00004DBC0000}"/>
    <cellStyle name="Normal 7 4 3 2 5 3 2 2" xfId="42715" xr:uid="{00000000-0005-0000-0000-00004EBC0000}"/>
    <cellStyle name="Normal 7 4 3 2 5 3 3" xfId="30282" xr:uid="{00000000-0005-0000-0000-00004FBC0000}"/>
    <cellStyle name="Normal 7 4 3 2 5 4" xfId="14044" xr:uid="{00000000-0005-0000-0000-000050BC0000}"/>
    <cellStyle name="Normal 7 4 3 2 5 4 2" xfId="38918" xr:uid="{00000000-0005-0000-0000-000051BC0000}"/>
    <cellStyle name="Normal 7 4 3 2 5 5" xfId="26477" xr:uid="{00000000-0005-0000-0000-000052BC0000}"/>
    <cellStyle name="Normal 7 4 3 2 6" xfId="7966" xr:uid="{00000000-0005-0000-0000-000053BC0000}"/>
    <cellStyle name="Normal 7 4 3 2 6 2" xfId="20412" xr:uid="{00000000-0005-0000-0000-000054BC0000}"/>
    <cellStyle name="Normal 7 4 3 2 6 2 2" xfId="45286" xr:uid="{00000000-0005-0000-0000-000055BC0000}"/>
    <cellStyle name="Normal 7 4 3 2 6 3" xfId="32853" xr:uid="{00000000-0005-0000-0000-000056BC0000}"/>
    <cellStyle name="Normal 7 4 3 2 7" xfId="11859" xr:uid="{00000000-0005-0000-0000-000057BC0000}"/>
    <cellStyle name="Normal 7 4 3 2 7 2" xfId="24293" xr:uid="{00000000-0005-0000-0000-000058BC0000}"/>
    <cellStyle name="Normal 7 4 3 2 7 2 2" xfId="49167" xr:uid="{00000000-0005-0000-0000-000059BC0000}"/>
    <cellStyle name="Normal 7 4 3 2 7 3" xfId="36734" xr:uid="{00000000-0005-0000-0000-00005ABC0000}"/>
    <cellStyle name="Normal 7 4 3 2 8" xfId="6936" xr:uid="{00000000-0005-0000-0000-00005BBC0000}"/>
    <cellStyle name="Normal 7 4 3 2 8 2" xfId="19385" xr:uid="{00000000-0005-0000-0000-00005CBC0000}"/>
    <cellStyle name="Normal 7 4 3 2 8 2 2" xfId="44259" xr:uid="{00000000-0005-0000-0000-00005DBC0000}"/>
    <cellStyle name="Normal 7 4 3 2 8 3" xfId="31826" xr:uid="{00000000-0005-0000-0000-00005EBC0000}"/>
    <cellStyle name="Normal 7 4 3 2 9" xfId="2887" xr:uid="{00000000-0005-0000-0000-00005FBC0000}"/>
    <cellStyle name="Normal 7 4 3 2 9 2" xfId="15405" xr:uid="{00000000-0005-0000-0000-000060BC0000}"/>
    <cellStyle name="Normal 7 4 3 2 9 2 2" xfId="40279" xr:uid="{00000000-0005-0000-0000-000061BC0000}"/>
    <cellStyle name="Normal 7 4 3 2 9 3" xfId="27838" xr:uid="{00000000-0005-0000-0000-000062BC0000}"/>
    <cellStyle name="Normal 7 4 3 2_Degree data" xfId="2588" xr:uid="{00000000-0005-0000-0000-000063BC0000}"/>
    <cellStyle name="Normal 7 4 3 3" xfId="644" xr:uid="{00000000-0005-0000-0000-000064BC0000}"/>
    <cellStyle name="Normal 7 4 3 3 2" xfId="1613" xr:uid="{00000000-0005-0000-0000-000065BC0000}"/>
    <cellStyle name="Normal 7 4 3 3 2 2" xfId="9138" xr:uid="{00000000-0005-0000-0000-000066BC0000}"/>
    <cellStyle name="Normal 7 4 3 3 2 2 2" xfId="21581" xr:uid="{00000000-0005-0000-0000-000067BC0000}"/>
    <cellStyle name="Normal 7 4 3 3 2 2 2 2" xfId="46455" xr:uid="{00000000-0005-0000-0000-000068BC0000}"/>
    <cellStyle name="Normal 7 4 3 3 2 2 3" xfId="34022" xr:uid="{00000000-0005-0000-0000-000069BC0000}"/>
    <cellStyle name="Normal 7 4 3 3 2 3" xfId="4120" xr:uid="{00000000-0005-0000-0000-00006ABC0000}"/>
    <cellStyle name="Normal 7 4 3 3 2 3 2" xfId="16574" xr:uid="{00000000-0005-0000-0000-00006BBC0000}"/>
    <cellStyle name="Normal 7 4 3 3 2 3 2 2" xfId="41448" xr:uid="{00000000-0005-0000-0000-00006CBC0000}"/>
    <cellStyle name="Normal 7 4 3 3 2 3 3" xfId="29015" xr:uid="{00000000-0005-0000-0000-00006DBC0000}"/>
    <cellStyle name="Normal 7 4 3 3 2 4" xfId="14413" xr:uid="{00000000-0005-0000-0000-00006EBC0000}"/>
    <cellStyle name="Normal 7 4 3 3 2 4 2" xfId="39287" xr:uid="{00000000-0005-0000-0000-00006FBC0000}"/>
    <cellStyle name="Normal 7 4 3 3 2 5" xfId="26846" xr:uid="{00000000-0005-0000-0000-000070BC0000}"/>
    <cellStyle name="Normal 7 4 3 3 3" xfId="5759" xr:uid="{00000000-0005-0000-0000-000071BC0000}"/>
    <cellStyle name="Normal 7 4 3 3 3 2" xfId="10774" xr:uid="{00000000-0005-0000-0000-000072BC0000}"/>
    <cellStyle name="Normal 7 4 3 3 3 2 2" xfId="23217" xr:uid="{00000000-0005-0000-0000-000073BC0000}"/>
    <cellStyle name="Normal 7 4 3 3 3 2 2 2" xfId="48091" xr:uid="{00000000-0005-0000-0000-000074BC0000}"/>
    <cellStyle name="Normal 7 4 3 3 3 2 3" xfId="35658" xr:uid="{00000000-0005-0000-0000-000075BC0000}"/>
    <cellStyle name="Normal 7 4 3 3 3 3" xfId="18210" xr:uid="{00000000-0005-0000-0000-000076BC0000}"/>
    <cellStyle name="Normal 7 4 3 3 3 3 2" xfId="43084" xr:uid="{00000000-0005-0000-0000-000077BC0000}"/>
    <cellStyle name="Normal 7 4 3 3 3 4" xfId="30651" xr:uid="{00000000-0005-0000-0000-000078BC0000}"/>
    <cellStyle name="Normal 7 4 3 3 4" xfId="8254" xr:uid="{00000000-0005-0000-0000-000079BC0000}"/>
    <cellStyle name="Normal 7 4 3 3 4 2" xfId="20698" xr:uid="{00000000-0005-0000-0000-00007ABC0000}"/>
    <cellStyle name="Normal 7 4 3 3 4 2 2" xfId="45572" xr:uid="{00000000-0005-0000-0000-00007BBC0000}"/>
    <cellStyle name="Normal 7 4 3 3 4 3" xfId="33139" xr:uid="{00000000-0005-0000-0000-00007CBC0000}"/>
    <cellStyle name="Normal 7 4 3 3 5" xfId="12228" xr:uid="{00000000-0005-0000-0000-00007DBC0000}"/>
    <cellStyle name="Normal 7 4 3 3 5 2" xfId="24662" xr:uid="{00000000-0005-0000-0000-00007EBC0000}"/>
    <cellStyle name="Normal 7 4 3 3 5 2 2" xfId="49536" xr:uid="{00000000-0005-0000-0000-00007FBC0000}"/>
    <cellStyle name="Normal 7 4 3 3 5 3" xfId="37103" xr:uid="{00000000-0005-0000-0000-000080BC0000}"/>
    <cellStyle name="Normal 7 4 3 3 6" xfId="6731" xr:uid="{00000000-0005-0000-0000-000081BC0000}"/>
    <cellStyle name="Normal 7 4 3 3 6 2" xfId="19180" xr:uid="{00000000-0005-0000-0000-000082BC0000}"/>
    <cellStyle name="Normal 7 4 3 3 6 2 2" xfId="44054" xr:uid="{00000000-0005-0000-0000-000083BC0000}"/>
    <cellStyle name="Normal 7 4 3 3 6 3" xfId="31621" xr:uid="{00000000-0005-0000-0000-000084BC0000}"/>
    <cellStyle name="Normal 7 4 3 3 7" xfId="3185" xr:uid="{00000000-0005-0000-0000-000085BC0000}"/>
    <cellStyle name="Normal 7 4 3 3 7 2" xfId="15691" xr:uid="{00000000-0005-0000-0000-000086BC0000}"/>
    <cellStyle name="Normal 7 4 3 3 7 2 2" xfId="40565" xr:uid="{00000000-0005-0000-0000-000087BC0000}"/>
    <cellStyle name="Normal 7 4 3 3 7 3" xfId="28124" xr:uid="{00000000-0005-0000-0000-000088BC0000}"/>
    <cellStyle name="Normal 7 4 3 3 8" xfId="13448" xr:uid="{00000000-0005-0000-0000-000089BC0000}"/>
    <cellStyle name="Normal 7 4 3 3 8 2" xfId="38322" xr:uid="{00000000-0005-0000-0000-00008ABC0000}"/>
    <cellStyle name="Normal 7 4 3 3 9" xfId="25881" xr:uid="{00000000-0005-0000-0000-00008BBC0000}"/>
    <cellStyle name="Normal 7 4 3 4" xfId="1961" xr:uid="{00000000-0005-0000-0000-00008CBC0000}"/>
    <cellStyle name="Normal 7 4 3 4 2" xfId="4699" xr:uid="{00000000-0005-0000-0000-00008DBC0000}"/>
    <cellStyle name="Normal 7 4 3 4 2 2" xfId="9717" xr:uid="{00000000-0005-0000-0000-00008EBC0000}"/>
    <cellStyle name="Normal 7 4 3 4 2 2 2" xfId="22160" xr:uid="{00000000-0005-0000-0000-00008FBC0000}"/>
    <cellStyle name="Normal 7 4 3 4 2 2 2 2" xfId="47034" xr:uid="{00000000-0005-0000-0000-000090BC0000}"/>
    <cellStyle name="Normal 7 4 3 4 2 2 3" xfId="34601" xr:uid="{00000000-0005-0000-0000-000091BC0000}"/>
    <cellStyle name="Normal 7 4 3 4 2 3" xfId="17153" xr:uid="{00000000-0005-0000-0000-000092BC0000}"/>
    <cellStyle name="Normal 7 4 3 4 2 3 2" xfId="42027" xr:uid="{00000000-0005-0000-0000-000093BC0000}"/>
    <cellStyle name="Normal 7 4 3 4 2 4" xfId="29594" xr:uid="{00000000-0005-0000-0000-000094BC0000}"/>
    <cellStyle name="Normal 7 4 3 4 3" xfId="6107" xr:uid="{00000000-0005-0000-0000-000095BC0000}"/>
    <cellStyle name="Normal 7 4 3 4 3 2" xfId="11122" xr:uid="{00000000-0005-0000-0000-000096BC0000}"/>
    <cellStyle name="Normal 7 4 3 4 3 2 2" xfId="23565" xr:uid="{00000000-0005-0000-0000-000097BC0000}"/>
    <cellStyle name="Normal 7 4 3 4 3 2 2 2" xfId="48439" xr:uid="{00000000-0005-0000-0000-000098BC0000}"/>
    <cellStyle name="Normal 7 4 3 4 3 2 3" xfId="36006" xr:uid="{00000000-0005-0000-0000-000099BC0000}"/>
    <cellStyle name="Normal 7 4 3 4 3 3" xfId="18558" xr:uid="{00000000-0005-0000-0000-00009ABC0000}"/>
    <cellStyle name="Normal 7 4 3 4 3 3 2" xfId="43432" xr:uid="{00000000-0005-0000-0000-00009BBC0000}"/>
    <cellStyle name="Normal 7 4 3 4 3 4" xfId="30999" xr:uid="{00000000-0005-0000-0000-00009CBC0000}"/>
    <cellStyle name="Normal 7 4 3 4 4" xfId="8833" xr:uid="{00000000-0005-0000-0000-00009DBC0000}"/>
    <cellStyle name="Normal 7 4 3 4 4 2" xfId="21277" xr:uid="{00000000-0005-0000-0000-00009EBC0000}"/>
    <cellStyle name="Normal 7 4 3 4 4 2 2" xfId="46151" xr:uid="{00000000-0005-0000-0000-00009FBC0000}"/>
    <cellStyle name="Normal 7 4 3 4 4 3" xfId="33718" xr:uid="{00000000-0005-0000-0000-0000A0BC0000}"/>
    <cellStyle name="Normal 7 4 3 4 5" xfId="12576" xr:uid="{00000000-0005-0000-0000-0000A1BC0000}"/>
    <cellStyle name="Normal 7 4 3 4 5 2" xfId="25010" xr:uid="{00000000-0005-0000-0000-0000A2BC0000}"/>
    <cellStyle name="Normal 7 4 3 4 5 2 2" xfId="49884" xr:uid="{00000000-0005-0000-0000-0000A3BC0000}"/>
    <cellStyle name="Normal 7 4 3 4 5 3" xfId="37451" xr:uid="{00000000-0005-0000-0000-0000A4BC0000}"/>
    <cellStyle name="Normal 7 4 3 4 6" xfId="7310" xr:uid="{00000000-0005-0000-0000-0000A5BC0000}"/>
    <cellStyle name="Normal 7 4 3 4 6 2" xfId="19759" xr:uid="{00000000-0005-0000-0000-0000A6BC0000}"/>
    <cellStyle name="Normal 7 4 3 4 6 2 2" xfId="44633" xr:uid="{00000000-0005-0000-0000-0000A7BC0000}"/>
    <cellStyle name="Normal 7 4 3 4 6 3" xfId="32200" xr:uid="{00000000-0005-0000-0000-0000A8BC0000}"/>
    <cellStyle name="Normal 7 4 3 4 7" xfId="3764" xr:uid="{00000000-0005-0000-0000-0000A9BC0000}"/>
    <cellStyle name="Normal 7 4 3 4 7 2" xfId="16270" xr:uid="{00000000-0005-0000-0000-0000AABC0000}"/>
    <cellStyle name="Normal 7 4 3 4 7 2 2" xfId="41144" xr:uid="{00000000-0005-0000-0000-0000ABBC0000}"/>
    <cellStyle name="Normal 7 4 3 4 7 3" xfId="28703" xr:uid="{00000000-0005-0000-0000-0000ACBC0000}"/>
    <cellStyle name="Normal 7 4 3 4 8" xfId="14761" xr:uid="{00000000-0005-0000-0000-0000ADBC0000}"/>
    <cellStyle name="Normal 7 4 3 4 8 2" xfId="39635" xr:uid="{00000000-0005-0000-0000-0000AEBC0000}"/>
    <cellStyle name="Normal 7 4 3 4 9" xfId="27194" xr:uid="{00000000-0005-0000-0000-0000AFBC0000}"/>
    <cellStyle name="Normal 7 4 3 5" xfId="2200" xr:uid="{00000000-0005-0000-0000-0000B0BC0000}"/>
    <cellStyle name="Normal 7 4 3 5 2" xfId="4830" xr:uid="{00000000-0005-0000-0000-0000B1BC0000}"/>
    <cellStyle name="Normal 7 4 3 5 2 2" xfId="9847" xr:uid="{00000000-0005-0000-0000-0000B2BC0000}"/>
    <cellStyle name="Normal 7 4 3 5 2 2 2" xfId="22290" xr:uid="{00000000-0005-0000-0000-0000B3BC0000}"/>
    <cellStyle name="Normal 7 4 3 5 2 2 2 2" xfId="47164" xr:uid="{00000000-0005-0000-0000-0000B4BC0000}"/>
    <cellStyle name="Normal 7 4 3 5 2 2 3" xfId="34731" xr:uid="{00000000-0005-0000-0000-0000B5BC0000}"/>
    <cellStyle name="Normal 7 4 3 5 2 3" xfId="17283" xr:uid="{00000000-0005-0000-0000-0000B6BC0000}"/>
    <cellStyle name="Normal 7 4 3 5 2 3 2" xfId="42157" xr:uid="{00000000-0005-0000-0000-0000B7BC0000}"/>
    <cellStyle name="Normal 7 4 3 5 2 4" xfId="29724" xr:uid="{00000000-0005-0000-0000-0000B8BC0000}"/>
    <cellStyle name="Normal 7 4 3 5 3" xfId="6228" xr:uid="{00000000-0005-0000-0000-0000B9BC0000}"/>
    <cellStyle name="Normal 7 4 3 5 3 2" xfId="11243" xr:uid="{00000000-0005-0000-0000-0000BABC0000}"/>
    <cellStyle name="Normal 7 4 3 5 3 2 2" xfId="23686" xr:uid="{00000000-0005-0000-0000-0000BBBC0000}"/>
    <cellStyle name="Normal 7 4 3 5 3 2 2 2" xfId="48560" xr:uid="{00000000-0005-0000-0000-0000BCBC0000}"/>
    <cellStyle name="Normal 7 4 3 5 3 2 3" xfId="36127" xr:uid="{00000000-0005-0000-0000-0000BDBC0000}"/>
    <cellStyle name="Normal 7 4 3 5 3 3" xfId="18679" xr:uid="{00000000-0005-0000-0000-0000BEBC0000}"/>
    <cellStyle name="Normal 7 4 3 5 3 3 2" xfId="43553" xr:uid="{00000000-0005-0000-0000-0000BFBC0000}"/>
    <cellStyle name="Normal 7 4 3 5 3 4" xfId="31120" xr:uid="{00000000-0005-0000-0000-0000C0BC0000}"/>
    <cellStyle name="Normal 7 4 3 5 4" xfId="8140" xr:uid="{00000000-0005-0000-0000-0000C1BC0000}"/>
    <cellStyle name="Normal 7 4 3 5 4 2" xfId="20586" xr:uid="{00000000-0005-0000-0000-0000C2BC0000}"/>
    <cellStyle name="Normal 7 4 3 5 4 2 2" xfId="45460" xr:uid="{00000000-0005-0000-0000-0000C3BC0000}"/>
    <cellStyle name="Normal 7 4 3 5 4 3" xfId="33027" xr:uid="{00000000-0005-0000-0000-0000C4BC0000}"/>
    <cellStyle name="Normal 7 4 3 5 5" xfId="12697" xr:uid="{00000000-0005-0000-0000-0000C5BC0000}"/>
    <cellStyle name="Normal 7 4 3 5 5 2" xfId="25131" xr:uid="{00000000-0005-0000-0000-0000C6BC0000}"/>
    <cellStyle name="Normal 7 4 3 5 5 2 2" xfId="50005" xr:uid="{00000000-0005-0000-0000-0000C7BC0000}"/>
    <cellStyle name="Normal 7 4 3 5 5 3" xfId="37572" xr:uid="{00000000-0005-0000-0000-0000C8BC0000}"/>
    <cellStyle name="Normal 7 4 3 5 6" xfId="7441" xr:uid="{00000000-0005-0000-0000-0000C9BC0000}"/>
    <cellStyle name="Normal 7 4 3 5 6 2" xfId="19889" xr:uid="{00000000-0005-0000-0000-0000CABC0000}"/>
    <cellStyle name="Normal 7 4 3 5 6 2 2" xfId="44763" xr:uid="{00000000-0005-0000-0000-0000CBBC0000}"/>
    <cellStyle name="Normal 7 4 3 5 6 3" xfId="32330" xr:uid="{00000000-0005-0000-0000-0000CCBC0000}"/>
    <cellStyle name="Normal 7 4 3 5 7" xfId="3070" xr:uid="{00000000-0005-0000-0000-0000CDBC0000}"/>
    <cellStyle name="Normal 7 4 3 5 7 2" xfId="15579" xr:uid="{00000000-0005-0000-0000-0000CEBC0000}"/>
    <cellStyle name="Normal 7 4 3 5 7 2 2" xfId="40453" xr:uid="{00000000-0005-0000-0000-0000CFBC0000}"/>
    <cellStyle name="Normal 7 4 3 5 7 3" xfId="28012" xr:uid="{00000000-0005-0000-0000-0000D0BC0000}"/>
    <cellStyle name="Normal 7 4 3 5 8" xfId="14882" xr:uid="{00000000-0005-0000-0000-0000D1BC0000}"/>
    <cellStyle name="Normal 7 4 3 5 8 2" xfId="39756" xr:uid="{00000000-0005-0000-0000-0000D2BC0000}"/>
    <cellStyle name="Normal 7 4 3 5 9" xfId="27315" xr:uid="{00000000-0005-0000-0000-0000D3BC0000}"/>
    <cellStyle name="Normal 7 4 3 6" xfId="1039" xr:uid="{00000000-0005-0000-0000-0000D4BC0000}"/>
    <cellStyle name="Normal 7 4 3 6 2" xfId="9026" xr:uid="{00000000-0005-0000-0000-0000D5BC0000}"/>
    <cellStyle name="Normal 7 4 3 6 2 2" xfId="21469" xr:uid="{00000000-0005-0000-0000-0000D6BC0000}"/>
    <cellStyle name="Normal 7 4 3 6 2 2 2" xfId="46343" xr:uid="{00000000-0005-0000-0000-0000D7BC0000}"/>
    <cellStyle name="Normal 7 4 3 6 2 3" xfId="33910" xr:uid="{00000000-0005-0000-0000-0000D8BC0000}"/>
    <cellStyle name="Normal 7 4 3 6 3" xfId="4008" xr:uid="{00000000-0005-0000-0000-0000D9BC0000}"/>
    <cellStyle name="Normal 7 4 3 6 3 2" xfId="16462" xr:uid="{00000000-0005-0000-0000-0000DABC0000}"/>
    <cellStyle name="Normal 7 4 3 6 3 2 2" xfId="41336" xr:uid="{00000000-0005-0000-0000-0000DBBC0000}"/>
    <cellStyle name="Normal 7 4 3 6 3 3" xfId="28903" xr:uid="{00000000-0005-0000-0000-0000DCBC0000}"/>
    <cellStyle name="Normal 7 4 3 6 4" xfId="13839" xr:uid="{00000000-0005-0000-0000-0000DDBC0000}"/>
    <cellStyle name="Normal 7 4 3 6 4 2" xfId="38713" xr:uid="{00000000-0005-0000-0000-0000DEBC0000}"/>
    <cellStyle name="Normal 7 4 3 6 5" xfId="26272" xr:uid="{00000000-0005-0000-0000-0000DFBC0000}"/>
    <cellStyle name="Normal 7 4 3 7" xfId="5184" xr:uid="{00000000-0005-0000-0000-0000E0BC0000}"/>
    <cellStyle name="Normal 7 4 3 7 2" xfId="10200" xr:uid="{00000000-0005-0000-0000-0000E1BC0000}"/>
    <cellStyle name="Normal 7 4 3 7 2 2" xfId="22643" xr:uid="{00000000-0005-0000-0000-0000E2BC0000}"/>
    <cellStyle name="Normal 7 4 3 7 2 2 2" xfId="47517" xr:uid="{00000000-0005-0000-0000-0000E3BC0000}"/>
    <cellStyle name="Normal 7 4 3 7 2 3" xfId="35084" xr:uid="{00000000-0005-0000-0000-0000E4BC0000}"/>
    <cellStyle name="Normal 7 4 3 7 3" xfId="17636" xr:uid="{00000000-0005-0000-0000-0000E5BC0000}"/>
    <cellStyle name="Normal 7 4 3 7 3 2" xfId="42510" xr:uid="{00000000-0005-0000-0000-0000E6BC0000}"/>
    <cellStyle name="Normal 7 4 3 7 4" xfId="30077" xr:uid="{00000000-0005-0000-0000-0000E7BC0000}"/>
    <cellStyle name="Normal 7 4 3 8" xfId="7761" xr:uid="{00000000-0005-0000-0000-0000E8BC0000}"/>
    <cellStyle name="Normal 7 4 3 8 2" xfId="20207" xr:uid="{00000000-0005-0000-0000-0000E9BC0000}"/>
    <cellStyle name="Normal 7 4 3 8 2 2" xfId="45081" xr:uid="{00000000-0005-0000-0000-0000EABC0000}"/>
    <cellStyle name="Normal 7 4 3 8 3" xfId="32648" xr:uid="{00000000-0005-0000-0000-0000EBBC0000}"/>
    <cellStyle name="Normal 7 4 3 9" xfId="11654" xr:uid="{00000000-0005-0000-0000-0000ECBC0000}"/>
    <cellStyle name="Normal 7 4 3 9 2" xfId="24088" xr:uid="{00000000-0005-0000-0000-0000EDBC0000}"/>
    <cellStyle name="Normal 7 4 3 9 2 2" xfId="48962" xr:uid="{00000000-0005-0000-0000-0000EEBC0000}"/>
    <cellStyle name="Normal 7 4 3 9 3" xfId="36529" xr:uid="{00000000-0005-0000-0000-0000EFBC0000}"/>
    <cellStyle name="Normal 7 4 3_Degree data" xfId="2587" xr:uid="{00000000-0005-0000-0000-0000F0BC0000}"/>
    <cellStyle name="Normal 7 4 4" xfId="385" xr:uid="{00000000-0005-0000-0000-0000F1BC0000}"/>
    <cellStyle name="Normal 7 4 4 10" xfId="13201" xr:uid="{00000000-0005-0000-0000-0000F2BC0000}"/>
    <cellStyle name="Normal 7 4 4 10 2" xfId="38075" xr:uid="{00000000-0005-0000-0000-0000F3BC0000}"/>
    <cellStyle name="Normal 7 4 4 11" xfId="25634" xr:uid="{00000000-0005-0000-0000-0000F4BC0000}"/>
    <cellStyle name="Normal 7 4 4 2" xfId="745" xr:uid="{00000000-0005-0000-0000-0000F5BC0000}"/>
    <cellStyle name="Normal 7 4 4 2 2" xfId="1615" xr:uid="{00000000-0005-0000-0000-0000F6BC0000}"/>
    <cellStyle name="Normal 7 4 4 2 2 2" xfId="9719" xr:uid="{00000000-0005-0000-0000-0000F7BC0000}"/>
    <cellStyle name="Normal 7 4 4 2 2 2 2" xfId="22162" xr:uid="{00000000-0005-0000-0000-0000F8BC0000}"/>
    <cellStyle name="Normal 7 4 4 2 2 2 2 2" xfId="47036" xr:uid="{00000000-0005-0000-0000-0000F9BC0000}"/>
    <cellStyle name="Normal 7 4 4 2 2 2 3" xfId="34603" xr:uid="{00000000-0005-0000-0000-0000FABC0000}"/>
    <cellStyle name="Normal 7 4 4 2 2 3" xfId="4701" xr:uid="{00000000-0005-0000-0000-0000FBBC0000}"/>
    <cellStyle name="Normal 7 4 4 2 2 3 2" xfId="17155" xr:uid="{00000000-0005-0000-0000-0000FCBC0000}"/>
    <cellStyle name="Normal 7 4 4 2 2 3 2 2" xfId="42029" xr:uid="{00000000-0005-0000-0000-0000FDBC0000}"/>
    <cellStyle name="Normal 7 4 4 2 2 3 3" xfId="29596" xr:uid="{00000000-0005-0000-0000-0000FEBC0000}"/>
    <cellStyle name="Normal 7 4 4 2 2 4" xfId="14415" xr:uid="{00000000-0005-0000-0000-0000FFBC0000}"/>
    <cellStyle name="Normal 7 4 4 2 2 4 2" xfId="39289" xr:uid="{00000000-0005-0000-0000-000000BD0000}"/>
    <cellStyle name="Normal 7 4 4 2 2 5" xfId="26848" xr:uid="{00000000-0005-0000-0000-000001BD0000}"/>
    <cellStyle name="Normal 7 4 4 2 3" xfId="5761" xr:uid="{00000000-0005-0000-0000-000002BD0000}"/>
    <cellStyle name="Normal 7 4 4 2 3 2" xfId="10776" xr:uid="{00000000-0005-0000-0000-000003BD0000}"/>
    <cellStyle name="Normal 7 4 4 2 3 2 2" xfId="23219" xr:uid="{00000000-0005-0000-0000-000004BD0000}"/>
    <cellStyle name="Normal 7 4 4 2 3 2 2 2" xfId="48093" xr:uid="{00000000-0005-0000-0000-000005BD0000}"/>
    <cellStyle name="Normal 7 4 4 2 3 2 3" xfId="35660" xr:uid="{00000000-0005-0000-0000-000006BD0000}"/>
    <cellStyle name="Normal 7 4 4 2 3 3" xfId="18212" xr:uid="{00000000-0005-0000-0000-000007BD0000}"/>
    <cellStyle name="Normal 7 4 4 2 3 3 2" xfId="43086" xr:uid="{00000000-0005-0000-0000-000008BD0000}"/>
    <cellStyle name="Normal 7 4 4 2 3 4" xfId="30653" xr:uid="{00000000-0005-0000-0000-000009BD0000}"/>
    <cellStyle name="Normal 7 4 4 2 4" xfId="8835" xr:uid="{00000000-0005-0000-0000-00000ABD0000}"/>
    <cellStyle name="Normal 7 4 4 2 4 2" xfId="21279" xr:uid="{00000000-0005-0000-0000-00000BBD0000}"/>
    <cellStyle name="Normal 7 4 4 2 4 2 2" xfId="46153" xr:uid="{00000000-0005-0000-0000-00000CBD0000}"/>
    <cellStyle name="Normal 7 4 4 2 4 3" xfId="33720" xr:uid="{00000000-0005-0000-0000-00000DBD0000}"/>
    <cellStyle name="Normal 7 4 4 2 5" xfId="12230" xr:uid="{00000000-0005-0000-0000-00000EBD0000}"/>
    <cellStyle name="Normal 7 4 4 2 5 2" xfId="24664" xr:uid="{00000000-0005-0000-0000-00000FBD0000}"/>
    <cellStyle name="Normal 7 4 4 2 5 2 2" xfId="49538" xr:uid="{00000000-0005-0000-0000-000010BD0000}"/>
    <cellStyle name="Normal 7 4 4 2 5 3" xfId="37105" xr:uid="{00000000-0005-0000-0000-000011BD0000}"/>
    <cellStyle name="Normal 7 4 4 2 6" xfId="7312" xr:uid="{00000000-0005-0000-0000-000012BD0000}"/>
    <cellStyle name="Normal 7 4 4 2 6 2" xfId="19761" xr:uid="{00000000-0005-0000-0000-000013BD0000}"/>
    <cellStyle name="Normal 7 4 4 2 6 2 2" xfId="44635" xr:uid="{00000000-0005-0000-0000-000014BD0000}"/>
    <cellStyle name="Normal 7 4 4 2 6 3" xfId="32202" xr:uid="{00000000-0005-0000-0000-000015BD0000}"/>
    <cellStyle name="Normal 7 4 4 2 7" xfId="3766" xr:uid="{00000000-0005-0000-0000-000016BD0000}"/>
    <cellStyle name="Normal 7 4 4 2 7 2" xfId="16272" xr:uid="{00000000-0005-0000-0000-000017BD0000}"/>
    <cellStyle name="Normal 7 4 4 2 7 2 2" xfId="41146" xr:uid="{00000000-0005-0000-0000-000018BD0000}"/>
    <cellStyle name="Normal 7 4 4 2 7 3" xfId="28705" xr:uid="{00000000-0005-0000-0000-000019BD0000}"/>
    <cellStyle name="Normal 7 4 4 2 8" xfId="13548" xr:uid="{00000000-0005-0000-0000-00001ABD0000}"/>
    <cellStyle name="Normal 7 4 4 2 8 2" xfId="38422" xr:uid="{00000000-0005-0000-0000-00001BBD0000}"/>
    <cellStyle name="Normal 7 4 4 2 9" xfId="25981" xr:uid="{00000000-0005-0000-0000-00001CBD0000}"/>
    <cellStyle name="Normal 7 4 4 3" xfId="1963" xr:uid="{00000000-0005-0000-0000-00001DBD0000}"/>
    <cellStyle name="Normal 7 4 4 3 2" xfId="4930" xr:uid="{00000000-0005-0000-0000-00001EBD0000}"/>
    <cellStyle name="Normal 7 4 4 3 2 2" xfId="9947" xr:uid="{00000000-0005-0000-0000-00001FBD0000}"/>
    <cellStyle name="Normal 7 4 4 3 2 2 2" xfId="22390" xr:uid="{00000000-0005-0000-0000-000020BD0000}"/>
    <cellStyle name="Normal 7 4 4 3 2 2 2 2" xfId="47264" xr:uid="{00000000-0005-0000-0000-000021BD0000}"/>
    <cellStyle name="Normal 7 4 4 3 2 2 3" xfId="34831" xr:uid="{00000000-0005-0000-0000-000022BD0000}"/>
    <cellStyle name="Normal 7 4 4 3 2 3" xfId="17383" xr:uid="{00000000-0005-0000-0000-000023BD0000}"/>
    <cellStyle name="Normal 7 4 4 3 2 3 2" xfId="42257" xr:uid="{00000000-0005-0000-0000-000024BD0000}"/>
    <cellStyle name="Normal 7 4 4 3 2 4" xfId="29824" xr:uid="{00000000-0005-0000-0000-000025BD0000}"/>
    <cellStyle name="Normal 7 4 4 3 3" xfId="6109" xr:uid="{00000000-0005-0000-0000-000026BD0000}"/>
    <cellStyle name="Normal 7 4 4 3 3 2" xfId="11124" xr:uid="{00000000-0005-0000-0000-000027BD0000}"/>
    <cellStyle name="Normal 7 4 4 3 3 2 2" xfId="23567" xr:uid="{00000000-0005-0000-0000-000028BD0000}"/>
    <cellStyle name="Normal 7 4 4 3 3 2 2 2" xfId="48441" xr:uid="{00000000-0005-0000-0000-000029BD0000}"/>
    <cellStyle name="Normal 7 4 4 3 3 2 3" xfId="36008" xr:uid="{00000000-0005-0000-0000-00002ABD0000}"/>
    <cellStyle name="Normal 7 4 4 3 3 3" xfId="18560" xr:uid="{00000000-0005-0000-0000-00002BBD0000}"/>
    <cellStyle name="Normal 7 4 4 3 3 3 2" xfId="43434" xr:uid="{00000000-0005-0000-0000-00002CBD0000}"/>
    <cellStyle name="Normal 7 4 4 3 3 4" xfId="31001" xr:uid="{00000000-0005-0000-0000-00002DBD0000}"/>
    <cellStyle name="Normal 7 4 4 3 4" xfId="8354" xr:uid="{00000000-0005-0000-0000-00002EBD0000}"/>
    <cellStyle name="Normal 7 4 4 3 4 2" xfId="20798" xr:uid="{00000000-0005-0000-0000-00002FBD0000}"/>
    <cellStyle name="Normal 7 4 4 3 4 2 2" xfId="45672" xr:uid="{00000000-0005-0000-0000-000030BD0000}"/>
    <cellStyle name="Normal 7 4 4 3 4 3" xfId="33239" xr:uid="{00000000-0005-0000-0000-000031BD0000}"/>
    <cellStyle name="Normal 7 4 4 3 5" xfId="12578" xr:uid="{00000000-0005-0000-0000-000032BD0000}"/>
    <cellStyle name="Normal 7 4 4 3 5 2" xfId="25012" xr:uid="{00000000-0005-0000-0000-000033BD0000}"/>
    <cellStyle name="Normal 7 4 4 3 5 2 2" xfId="49886" xr:uid="{00000000-0005-0000-0000-000034BD0000}"/>
    <cellStyle name="Normal 7 4 4 3 5 3" xfId="37453" xr:uid="{00000000-0005-0000-0000-000035BD0000}"/>
    <cellStyle name="Normal 7 4 4 3 6" xfId="7541" xr:uid="{00000000-0005-0000-0000-000036BD0000}"/>
    <cellStyle name="Normal 7 4 4 3 6 2" xfId="19989" xr:uid="{00000000-0005-0000-0000-000037BD0000}"/>
    <cellStyle name="Normal 7 4 4 3 6 2 2" xfId="44863" xr:uid="{00000000-0005-0000-0000-000038BD0000}"/>
    <cellStyle name="Normal 7 4 4 3 6 3" xfId="32430" xr:uid="{00000000-0005-0000-0000-000039BD0000}"/>
    <cellStyle name="Normal 7 4 4 3 7" xfId="3285" xr:uid="{00000000-0005-0000-0000-00003ABD0000}"/>
    <cellStyle name="Normal 7 4 4 3 7 2" xfId="15791" xr:uid="{00000000-0005-0000-0000-00003BBD0000}"/>
    <cellStyle name="Normal 7 4 4 3 7 2 2" xfId="40665" xr:uid="{00000000-0005-0000-0000-00003CBD0000}"/>
    <cellStyle name="Normal 7 4 4 3 7 3" xfId="28224" xr:uid="{00000000-0005-0000-0000-00003DBD0000}"/>
    <cellStyle name="Normal 7 4 4 3 8" xfId="14763" xr:uid="{00000000-0005-0000-0000-00003EBD0000}"/>
    <cellStyle name="Normal 7 4 4 3 8 2" xfId="39637" xr:uid="{00000000-0005-0000-0000-00003FBD0000}"/>
    <cellStyle name="Normal 7 4 4 3 9" xfId="27196" xr:uid="{00000000-0005-0000-0000-000040BD0000}"/>
    <cellStyle name="Normal 7 4 4 4" xfId="2303" xr:uid="{00000000-0005-0000-0000-000041BD0000}"/>
    <cellStyle name="Normal 7 4 4 4 2" xfId="6328" xr:uid="{00000000-0005-0000-0000-000042BD0000}"/>
    <cellStyle name="Normal 7 4 4 4 2 2" xfId="11343" xr:uid="{00000000-0005-0000-0000-000043BD0000}"/>
    <cellStyle name="Normal 7 4 4 4 2 2 2" xfId="23786" xr:uid="{00000000-0005-0000-0000-000044BD0000}"/>
    <cellStyle name="Normal 7 4 4 4 2 2 2 2" xfId="48660" xr:uid="{00000000-0005-0000-0000-000045BD0000}"/>
    <cellStyle name="Normal 7 4 4 4 2 2 3" xfId="36227" xr:uid="{00000000-0005-0000-0000-000046BD0000}"/>
    <cellStyle name="Normal 7 4 4 4 2 3" xfId="18779" xr:uid="{00000000-0005-0000-0000-000047BD0000}"/>
    <cellStyle name="Normal 7 4 4 4 2 3 2" xfId="43653" xr:uid="{00000000-0005-0000-0000-000048BD0000}"/>
    <cellStyle name="Normal 7 4 4 4 2 4" xfId="31220" xr:uid="{00000000-0005-0000-0000-000049BD0000}"/>
    <cellStyle name="Normal 7 4 4 4 3" xfId="12797" xr:uid="{00000000-0005-0000-0000-00004ABD0000}"/>
    <cellStyle name="Normal 7 4 4 4 3 2" xfId="25231" xr:uid="{00000000-0005-0000-0000-00004BBD0000}"/>
    <cellStyle name="Normal 7 4 4 4 3 2 2" xfId="50105" xr:uid="{00000000-0005-0000-0000-00004CBD0000}"/>
    <cellStyle name="Normal 7 4 4 4 3 3" xfId="37672" xr:uid="{00000000-0005-0000-0000-00004DBD0000}"/>
    <cellStyle name="Normal 7 4 4 4 4" xfId="9238" xr:uid="{00000000-0005-0000-0000-00004EBD0000}"/>
    <cellStyle name="Normal 7 4 4 4 4 2" xfId="21681" xr:uid="{00000000-0005-0000-0000-00004FBD0000}"/>
    <cellStyle name="Normal 7 4 4 4 4 2 2" xfId="46555" xr:uid="{00000000-0005-0000-0000-000050BD0000}"/>
    <cellStyle name="Normal 7 4 4 4 4 3" xfId="34122" xr:uid="{00000000-0005-0000-0000-000051BD0000}"/>
    <cellStyle name="Normal 7 4 4 4 5" xfId="4220" xr:uid="{00000000-0005-0000-0000-000052BD0000}"/>
    <cellStyle name="Normal 7 4 4 4 5 2" xfId="16674" xr:uid="{00000000-0005-0000-0000-000053BD0000}"/>
    <cellStyle name="Normal 7 4 4 4 5 2 2" xfId="41548" xr:uid="{00000000-0005-0000-0000-000054BD0000}"/>
    <cellStyle name="Normal 7 4 4 4 5 3" xfId="29115" xr:uid="{00000000-0005-0000-0000-000055BD0000}"/>
    <cellStyle name="Normal 7 4 4 4 6" xfId="14982" xr:uid="{00000000-0005-0000-0000-000056BD0000}"/>
    <cellStyle name="Normal 7 4 4 4 6 2" xfId="39856" xr:uid="{00000000-0005-0000-0000-000057BD0000}"/>
    <cellStyle name="Normal 7 4 4 4 7" xfId="27415" xr:uid="{00000000-0005-0000-0000-000058BD0000}"/>
    <cellStyle name="Normal 7 4 4 5" xfId="1139" xr:uid="{00000000-0005-0000-0000-000059BD0000}"/>
    <cellStyle name="Normal 7 4 4 5 2" xfId="10300" xr:uid="{00000000-0005-0000-0000-00005ABD0000}"/>
    <cellStyle name="Normal 7 4 4 5 2 2" xfId="22743" xr:uid="{00000000-0005-0000-0000-00005BBD0000}"/>
    <cellStyle name="Normal 7 4 4 5 2 2 2" xfId="47617" xr:uid="{00000000-0005-0000-0000-00005CBD0000}"/>
    <cellStyle name="Normal 7 4 4 5 2 3" xfId="35184" xr:uid="{00000000-0005-0000-0000-00005DBD0000}"/>
    <cellStyle name="Normal 7 4 4 5 3" xfId="5284" xr:uid="{00000000-0005-0000-0000-00005EBD0000}"/>
    <cellStyle name="Normal 7 4 4 5 3 2" xfId="17736" xr:uid="{00000000-0005-0000-0000-00005FBD0000}"/>
    <cellStyle name="Normal 7 4 4 5 3 2 2" xfId="42610" xr:uid="{00000000-0005-0000-0000-000060BD0000}"/>
    <cellStyle name="Normal 7 4 4 5 3 3" xfId="30177" xr:uid="{00000000-0005-0000-0000-000061BD0000}"/>
    <cellStyle name="Normal 7 4 4 5 4" xfId="13939" xr:uid="{00000000-0005-0000-0000-000062BD0000}"/>
    <cellStyle name="Normal 7 4 4 5 4 2" xfId="38813" xr:uid="{00000000-0005-0000-0000-000063BD0000}"/>
    <cellStyle name="Normal 7 4 4 5 5" xfId="26372" xr:uid="{00000000-0005-0000-0000-000064BD0000}"/>
    <cellStyle name="Normal 7 4 4 6" xfId="7861" xr:uid="{00000000-0005-0000-0000-000065BD0000}"/>
    <cellStyle name="Normal 7 4 4 6 2" xfId="20307" xr:uid="{00000000-0005-0000-0000-000066BD0000}"/>
    <cellStyle name="Normal 7 4 4 6 2 2" xfId="45181" xr:uid="{00000000-0005-0000-0000-000067BD0000}"/>
    <cellStyle name="Normal 7 4 4 6 3" xfId="32748" xr:uid="{00000000-0005-0000-0000-000068BD0000}"/>
    <cellStyle name="Normal 7 4 4 7" xfId="11754" xr:uid="{00000000-0005-0000-0000-000069BD0000}"/>
    <cellStyle name="Normal 7 4 4 7 2" xfId="24188" xr:uid="{00000000-0005-0000-0000-00006ABD0000}"/>
    <cellStyle name="Normal 7 4 4 7 2 2" xfId="49062" xr:uid="{00000000-0005-0000-0000-00006BBD0000}"/>
    <cellStyle name="Normal 7 4 4 7 3" xfId="36629" xr:uid="{00000000-0005-0000-0000-00006CBD0000}"/>
    <cellStyle name="Normal 7 4 4 8" xfId="6831" xr:uid="{00000000-0005-0000-0000-00006DBD0000}"/>
    <cellStyle name="Normal 7 4 4 8 2" xfId="19280" xr:uid="{00000000-0005-0000-0000-00006EBD0000}"/>
    <cellStyle name="Normal 7 4 4 8 2 2" xfId="44154" xr:uid="{00000000-0005-0000-0000-00006FBD0000}"/>
    <cellStyle name="Normal 7 4 4 8 3" xfId="31721" xr:uid="{00000000-0005-0000-0000-000070BD0000}"/>
    <cellStyle name="Normal 7 4 4 9" xfId="2782" xr:uid="{00000000-0005-0000-0000-000071BD0000}"/>
    <cellStyle name="Normal 7 4 4 9 2" xfId="15300" xr:uid="{00000000-0005-0000-0000-000072BD0000}"/>
    <cellStyle name="Normal 7 4 4 9 2 2" xfId="40174" xr:uid="{00000000-0005-0000-0000-000073BD0000}"/>
    <cellStyle name="Normal 7 4 4 9 3" xfId="27733" xr:uid="{00000000-0005-0000-0000-000074BD0000}"/>
    <cellStyle name="Normal 7 4 4_Degree data" xfId="2589" xr:uid="{00000000-0005-0000-0000-000075BD0000}"/>
    <cellStyle name="Normal 7 4 5" xfId="214" xr:uid="{00000000-0005-0000-0000-000076BD0000}"/>
    <cellStyle name="Normal 7 4 5 2" xfId="1610" xr:uid="{00000000-0005-0000-0000-000077BD0000}"/>
    <cellStyle name="Normal 7 4 5 2 2" xfId="9079" xr:uid="{00000000-0005-0000-0000-000078BD0000}"/>
    <cellStyle name="Normal 7 4 5 2 2 2" xfId="21522" xr:uid="{00000000-0005-0000-0000-000079BD0000}"/>
    <cellStyle name="Normal 7 4 5 2 2 2 2" xfId="46396" xr:uid="{00000000-0005-0000-0000-00007ABD0000}"/>
    <cellStyle name="Normal 7 4 5 2 2 3" xfId="33963" xr:uid="{00000000-0005-0000-0000-00007BBD0000}"/>
    <cellStyle name="Normal 7 4 5 2 3" xfId="4061" xr:uid="{00000000-0005-0000-0000-00007CBD0000}"/>
    <cellStyle name="Normal 7 4 5 2 3 2" xfId="16515" xr:uid="{00000000-0005-0000-0000-00007DBD0000}"/>
    <cellStyle name="Normal 7 4 5 2 3 2 2" xfId="41389" xr:uid="{00000000-0005-0000-0000-00007EBD0000}"/>
    <cellStyle name="Normal 7 4 5 2 3 3" xfId="28956" xr:uid="{00000000-0005-0000-0000-00007FBD0000}"/>
    <cellStyle name="Normal 7 4 5 2 4" xfId="14410" xr:uid="{00000000-0005-0000-0000-000080BD0000}"/>
    <cellStyle name="Normal 7 4 5 2 4 2" xfId="39284" xr:uid="{00000000-0005-0000-0000-000081BD0000}"/>
    <cellStyle name="Normal 7 4 5 2 5" xfId="26843" xr:uid="{00000000-0005-0000-0000-000082BD0000}"/>
    <cellStyle name="Normal 7 4 5 3" xfId="5756" xr:uid="{00000000-0005-0000-0000-000083BD0000}"/>
    <cellStyle name="Normal 7 4 5 3 2" xfId="10771" xr:uid="{00000000-0005-0000-0000-000084BD0000}"/>
    <cellStyle name="Normal 7 4 5 3 2 2" xfId="23214" xr:uid="{00000000-0005-0000-0000-000085BD0000}"/>
    <cellStyle name="Normal 7 4 5 3 2 2 2" xfId="48088" xr:uid="{00000000-0005-0000-0000-000086BD0000}"/>
    <cellStyle name="Normal 7 4 5 3 2 3" xfId="35655" xr:uid="{00000000-0005-0000-0000-000087BD0000}"/>
    <cellStyle name="Normal 7 4 5 3 3" xfId="18207" xr:uid="{00000000-0005-0000-0000-000088BD0000}"/>
    <cellStyle name="Normal 7 4 5 3 3 2" xfId="43081" xr:uid="{00000000-0005-0000-0000-000089BD0000}"/>
    <cellStyle name="Normal 7 4 5 3 4" xfId="30648" xr:uid="{00000000-0005-0000-0000-00008ABD0000}"/>
    <cellStyle name="Normal 7 4 5 4" xfId="8195" xr:uid="{00000000-0005-0000-0000-00008BBD0000}"/>
    <cellStyle name="Normal 7 4 5 4 2" xfId="20639" xr:uid="{00000000-0005-0000-0000-00008CBD0000}"/>
    <cellStyle name="Normal 7 4 5 4 2 2" xfId="45513" xr:uid="{00000000-0005-0000-0000-00008DBD0000}"/>
    <cellStyle name="Normal 7 4 5 4 3" xfId="33080" xr:uid="{00000000-0005-0000-0000-00008EBD0000}"/>
    <cellStyle name="Normal 7 4 5 5" xfId="12225" xr:uid="{00000000-0005-0000-0000-00008FBD0000}"/>
    <cellStyle name="Normal 7 4 5 5 2" xfId="24659" xr:uid="{00000000-0005-0000-0000-000090BD0000}"/>
    <cellStyle name="Normal 7 4 5 5 2 2" xfId="49533" xr:uid="{00000000-0005-0000-0000-000091BD0000}"/>
    <cellStyle name="Normal 7 4 5 5 3" xfId="37100" xr:uid="{00000000-0005-0000-0000-000092BD0000}"/>
    <cellStyle name="Normal 7 4 5 6" xfId="6672" xr:uid="{00000000-0005-0000-0000-000093BD0000}"/>
    <cellStyle name="Normal 7 4 5 6 2" xfId="19121" xr:uid="{00000000-0005-0000-0000-000094BD0000}"/>
    <cellStyle name="Normal 7 4 5 6 2 2" xfId="43995" xr:uid="{00000000-0005-0000-0000-000095BD0000}"/>
    <cellStyle name="Normal 7 4 5 6 3" xfId="31562" xr:uid="{00000000-0005-0000-0000-000096BD0000}"/>
    <cellStyle name="Normal 7 4 5 7" xfId="3126" xr:uid="{00000000-0005-0000-0000-000097BD0000}"/>
    <cellStyle name="Normal 7 4 5 7 2" xfId="15632" xr:uid="{00000000-0005-0000-0000-000098BD0000}"/>
    <cellStyle name="Normal 7 4 5 7 2 2" xfId="40506" xr:uid="{00000000-0005-0000-0000-000099BD0000}"/>
    <cellStyle name="Normal 7 4 5 7 3" xfId="28065" xr:uid="{00000000-0005-0000-0000-00009ABD0000}"/>
    <cellStyle name="Normal 7 4 5 8" xfId="13042" xr:uid="{00000000-0005-0000-0000-00009BBD0000}"/>
    <cellStyle name="Normal 7 4 5 8 2" xfId="37916" xr:uid="{00000000-0005-0000-0000-00009CBD0000}"/>
    <cellStyle name="Normal 7 4 5 9" xfId="25475" xr:uid="{00000000-0005-0000-0000-00009DBD0000}"/>
    <cellStyle name="Normal 7 4 6" xfId="580" xr:uid="{00000000-0005-0000-0000-00009EBD0000}"/>
    <cellStyle name="Normal 7 4 6 2" xfId="1958" xr:uid="{00000000-0005-0000-0000-00009FBD0000}"/>
    <cellStyle name="Normal 7 4 6 2 2" xfId="9714" xr:uid="{00000000-0005-0000-0000-0000A0BD0000}"/>
    <cellStyle name="Normal 7 4 6 2 2 2" xfId="22157" xr:uid="{00000000-0005-0000-0000-0000A1BD0000}"/>
    <cellStyle name="Normal 7 4 6 2 2 2 2" xfId="47031" xr:uid="{00000000-0005-0000-0000-0000A2BD0000}"/>
    <cellStyle name="Normal 7 4 6 2 2 3" xfId="34598" xr:uid="{00000000-0005-0000-0000-0000A3BD0000}"/>
    <cellStyle name="Normal 7 4 6 2 3" xfId="4696" xr:uid="{00000000-0005-0000-0000-0000A4BD0000}"/>
    <cellStyle name="Normal 7 4 6 2 3 2" xfId="17150" xr:uid="{00000000-0005-0000-0000-0000A5BD0000}"/>
    <cellStyle name="Normal 7 4 6 2 3 2 2" xfId="42024" xr:uid="{00000000-0005-0000-0000-0000A6BD0000}"/>
    <cellStyle name="Normal 7 4 6 2 3 3" xfId="29591" xr:uid="{00000000-0005-0000-0000-0000A7BD0000}"/>
    <cellStyle name="Normal 7 4 6 2 4" xfId="14758" xr:uid="{00000000-0005-0000-0000-0000A8BD0000}"/>
    <cellStyle name="Normal 7 4 6 2 4 2" xfId="39632" xr:uid="{00000000-0005-0000-0000-0000A9BD0000}"/>
    <cellStyle name="Normal 7 4 6 2 5" xfId="27191" xr:uid="{00000000-0005-0000-0000-0000AABD0000}"/>
    <cellStyle name="Normal 7 4 6 3" xfId="6104" xr:uid="{00000000-0005-0000-0000-0000ABBD0000}"/>
    <cellStyle name="Normal 7 4 6 3 2" xfId="11119" xr:uid="{00000000-0005-0000-0000-0000ACBD0000}"/>
    <cellStyle name="Normal 7 4 6 3 2 2" xfId="23562" xr:uid="{00000000-0005-0000-0000-0000ADBD0000}"/>
    <cellStyle name="Normal 7 4 6 3 2 2 2" xfId="48436" xr:uid="{00000000-0005-0000-0000-0000AEBD0000}"/>
    <cellStyle name="Normal 7 4 6 3 2 3" xfId="36003" xr:uid="{00000000-0005-0000-0000-0000AFBD0000}"/>
    <cellStyle name="Normal 7 4 6 3 3" xfId="18555" xr:uid="{00000000-0005-0000-0000-0000B0BD0000}"/>
    <cellStyle name="Normal 7 4 6 3 3 2" xfId="43429" xr:uid="{00000000-0005-0000-0000-0000B1BD0000}"/>
    <cellStyle name="Normal 7 4 6 3 4" xfId="30996" xr:uid="{00000000-0005-0000-0000-0000B2BD0000}"/>
    <cellStyle name="Normal 7 4 6 4" xfId="8830" xr:uid="{00000000-0005-0000-0000-0000B3BD0000}"/>
    <cellStyle name="Normal 7 4 6 4 2" xfId="21274" xr:uid="{00000000-0005-0000-0000-0000B4BD0000}"/>
    <cellStyle name="Normal 7 4 6 4 2 2" xfId="46148" xr:uid="{00000000-0005-0000-0000-0000B5BD0000}"/>
    <cellStyle name="Normal 7 4 6 4 3" xfId="33715" xr:uid="{00000000-0005-0000-0000-0000B6BD0000}"/>
    <cellStyle name="Normal 7 4 6 5" xfId="12573" xr:uid="{00000000-0005-0000-0000-0000B7BD0000}"/>
    <cellStyle name="Normal 7 4 6 5 2" xfId="25007" xr:uid="{00000000-0005-0000-0000-0000B8BD0000}"/>
    <cellStyle name="Normal 7 4 6 5 2 2" xfId="49881" xr:uid="{00000000-0005-0000-0000-0000B9BD0000}"/>
    <cellStyle name="Normal 7 4 6 5 3" xfId="37448" xr:uid="{00000000-0005-0000-0000-0000BABD0000}"/>
    <cellStyle name="Normal 7 4 6 6" xfId="7307" xr:uid="{00000000-0005-0000-0000-0000BBBD0000}"/>
    <cellStyle name="Normal 7 4 6 6 2" xfId="19756" xr:uid="{00000000-0005-0000-0000-0000BCBD0000}"/>
    <cellStyle name="Normal 7 4 6 6 2 2" xfId="44630" xr:uid="{00000000-0005-0000-0000-0000BDBD0000}"/>
    <cellStyle name="Normal 7 4 6 6 3" xfId="32197" xr:uid="{00000000-0005-0000-0000-0000BEBD0000}"/>
    <cellStyle name="Normal 7 4 6 7" xfId="3761" xr:uid="{00000000-0005-0000-0000-0000BFBD0000}"/>
    <cellStyle name="Normal 7 4 6 7 2" xfId="16267" xr:uid="{00000000-0005-0000-0000-0000C0BD0000}"/>
    <cellStyle name="Normal 7 4 6 7 2 2" xfId="41141" xr:uid="{00000000-0005-0000-0000-0000C1BD0000}"/>
    <cellStyle name="Normal 7 4 6 7 3" xfId="28700" xr:uid="{00000000-0005-0000-0000-0000C2BD0000}"/>
    <cellStyle name="Normal 7 4 6 8" xfId="13389" xr:uid="{00000000-0005-0000-0000-0000C3BD0000}"/>
    <cellStyle name="Normal 7 4 6 8 2" xfId="38263" xr:uid="{00000000-0005-0000-0000-0000C4BD0000}"/>
    <cellStyle name="Normal 7 4 6 9" xfId="25822" xr:uid="{00000000-0005-0000-0000-0000C5BD0000}"/>
    <cellStyle name="Normal 7 4 7" xfId="2132" xr:uid="{00000000-0005-0000-0000-0000C6BD0000}"/>
    <cellStyle name="Normal 7 4 7 2" xfId="4771" xr:uid="{00000000-0005-0000-0000-0000C7BD0000}"/>
    <cellStyle name="Normal 7 4 7 2 2" xfId="9788" xr:uid="{00000000-0005-0000-0000-0000C8BD0000}"/>
    <cellStyle name="Normal 7 4 7 2 2 2" xfId="22231" xr:uid="{00000000-0005-0000-0000-0000C9BD0000}"/>
    <cellStyle name="Normal 7 4 7 2 2 2 2" xfId="47105" xr:uid="{00000000-0005-0000-0000-0000CABD0000}"/>
    <cellStyle name="Normal 7 4 7 2 2 3" xfId="34672" xr:uid="{00000000-0005-0000-0000-0000CBBD0000}"/>
    <cellStyle name="Normal 7 4 7 2 3" xfId="17224" xr:uid="{00000000-0005-0000-0000-0000CCBD0000}"/>
    <cellStyle name="Normal 7 4 7 2 3 2" xfId="42098" xr:uid="{00000000-0005-0000-0000-0000CDBD0000}"/>
    <cellStyle name="Normal 7 4 7 2 4" xfId="29665" xr:uid="{00000000-0005-0000-0000-0000CEBD0000}"/>
    <cellStyle name="Normal 7 4 7 3" xfId="6169" xr:uid="{00000000-0005-0000-0000-0000CFBD0000}"/>
    <cellStyle name="Normal 7 4 7 3 2" xfId="11184" xr:uid="{00000000-0005-0000-0000-0000D0BD0000}"/>
    <cellStyle name="Normal 7 4 7 3 2 2" xfId="23627" xr:uid="{00000000-0005-0000-0000-0000D1BD0000}"/>
    <cellStyle name="Normal 7 4 7 3 2 2 2" xfId="48501" xr:uid="{00000000-0005-0000-0000-0000D2BD0000}"/>
    <cellStyle name="Normal 7 4 7 3 2 3" xfId="36068" xr:uid="{00000000-0005-0000-0000-0000D3BD0000}"/>
    <cellStyle name="Normal 7 4 7 3 3" xfId="18620" xr:uid="{00000000-0005-0000-0000-0000D4BD0000}"/>
    <cellStyle name="Normal 7 4 7 3 3 2" xfId="43494" xr:uid="{00000000-0005-0000-0000-0000D5BD0000}"/>
    <cellStyle name="Normal 7 4 7 3 4" xfId="31061" xr:uid="{00000000-0005-0000-0000-0000D6BD0000}"/>
    <cellStyle name="Normal 7 4 7 4" xfId="8034" xr:uid="{00000000-0005-0000-0000-0000D7BD0000}"/>
    <cellStyle name="Normal 7 4 7 4 2" xfId="20480" xr:uid="{00000000-0005-0000-0000-0000D8BD0000}"/>
    <cellStyle name="Normal 7 4 7 4 2 2" xfId="45354" xr:uid="{00000000-0005-0000-0000-0000D9BD0000}"/>
    <cellStyle name="Normal 7 4 7 4 3" xfId="32921" xr:uid="{00000000-0005-0000-0000-0000DABD0000}"/>
    <cellStyle name="Normal 7 4 7 5" xfId="12638" xr:uid="{00000000-0005-0000-0000-0000DBBD0000}"/>
    <cellStyle name="Normal 7 4 7 5 2" xfId="25072" xr:uid="{00000000-0005-0000-0000-0000DCBD0000}"/>
    <cellStyle name="Normal 7 4 7 5 2 2" xfId="49946" xr:uid="{00000000-0005-0000-0000-0000DDBD0000}"/>
    <cellStyle name="Normal 7 4 7 5 3" xfId="37513" xr:uid="{00000000-0005-0000-0000-0000DEBD0000}"/>
    <cellStyle name="Normal 7 4 7 6" xfId="7382" xr:uid="{00000000-0005-0000-0000-0000DFBD0000}"/>
    <cellStyle name="Normal 7 4 7 6 2" xfId="19830" xr:uid="{00000000-0005-0000-0000-0000E0BD0000}"/>
    <cellStyle name="Normal 7 4 7 6 2 2" xfId="44704" xr:uid="{00000000-0005-0000-0000-0000E1BD0000}"/>
    <cellStyle name="Normal 7 4 7 6 3" xfId="32271" xr:uid="{00000000-0005-0000-0000-0000E2BD0000}"/>
    <cellStyle name="Normal 7 4 7 7" xfId="2961" xr:uid="{00000000-0005-0000-0000-0000E3BD0000}"/>
    <cellStyle name="Normal 7 4 7 7 2" xfId="15473" xr:uid="{00000000-0005-0000-0000-0000E4BD0000}"/>
    <cellStyle name="Normal 7 4 7 7 2 2" xfId="40347" xr:uid="{00000000-0005-0000-0000-0000E5BD0000}"/>
    <cellStyle name="Normal 7 4 7 7 3" xfId="27906" xr:uid="{00000000-0005-0000-0000-0000E6BD0000}"/>
    <cellStyle name="Normal 7 4 7 8" xfId="14823" xr:uid="{00000000-0005-0000-0000-0000E7BD0000}"/>
    <cellStyle name="Normal 7 4 7 8 2" xfId="39697" xr:uid="{00000000-0005-0000-0000-0000E8BD0000}"/>
    <cellStyle name="Normal 7 4 7 9" xfId="27256" xr:uid="{00000000-0005-0000-0000-0000E9BD0000}"/>
    <cellStyle name="Normal 7 4 8" xfId="980" xr:uid="{00000000-0005-0000-0000-0000EABD0000}"/>
    <cellStyle name="Normal 7 4 8 2" xfId="11595" xr:uid="{00000000-0005-0000-0000-0000EBBD0000}"/>
    <cellStyle name="Normal 7 4 8 2 2" xfId="24029" xr:uid="{00000000-0005-0000-0000-0000ECBD0000}"/>
    <cellStyle name="Normal 7 4 8 2 2 2" xfId="48903" xr:uid="{00000000-0005-0000-0000-0000EDBD0000}"/>
    <cellStyle name="Normal 7 4 8 2 3" xfId="36470" xr:uid="{00000000-0005-0000-0000-0000EEBD0000}"/>
    <cellStyle name="Normal 7 4 8 3" xfId="8921" xr:uid="{00000000-0005-0000-0000-0000EFBD0000}"/>
    <cellStyle name="Normal 7 4 8 3 2" xfId="21364" xr:uid="{00000000-0005-0000-0000-0000F0BD0000}"/>
    <cellStyle name="Normal 7 4 8 3 2 2" xfId="46238" xr:uid="{00000000-0005-0000-0000-0000F1BD0000}"/>
    <cellStyle name="Normal 7 4 8 3 3" xfId="33805" xr:uid="{00000000-0005-0000-0000-0000F2BD0000}"/>
    <cellStyle name="Normal 7 4 8 4" xfId="3903" xr:uid="{00000000-0005-0000-0000-0000F3BD0000}"/>
    <cellStyle name="Normal 7 4 8 4 2" xfId="16357" xr:uid="{00000000-0005-0000-0000-0000F4BD0000}"/>
    <cellStyle name="Normal 7 4 8 4 2 2" xfId="41231" xr:uid="{00000000-0005-0000-0000-0000F5BD0000}"/>
    <cellStyle name="Normal 7 4 8 4 3" xfId="28798" xr:uid="{00000000-0005-0000-0000-0000F6BD0000}"/>
    <cellStyle name="Normal 7 4 8 5" xfId="13780" xr:uid="{00000000-0005-0000-0000-0000F7BD0000}"/>
    <cellStyle name="Normal 7 4 8 5 2" xfId="38654" xr:uid="{00000000-0005-0000-0000-0000F8BD0000}"/>
    <cellStyle name="Normal 7 4 8 6" xfId="26213" xr:uid="{00000000-0005-0000-0000-0000F9BD0000}"/>
    <cellStyle name="Normal 7 4 9" xfId="907" xr:uid="{00000000-0005-0000-0000-0000FABD0000}"/>
    <cellStyle name="Normal 7 4 9 2" xfId="10139" xr:uid="{00000000-0005-0000-0000-0000FBBD0000}"/>
    <cellStyle name="Normal 7 4 9 2 2" xfId="22582" xr:uid="{00000000-0005-0000-0000-0000FCBD0000}"/>
    <cellStyle name="Normal 7 4 9 2 2 2" xfId="47456" xr:uid="{00000000-0005-0000-0000-0000FDBD0000}"/>
    <cellStyle name="Normal 7 4 9 2 3" xfId="35023" xr:uid="{00000000-0005-0000-0000-0000FEBD0000}"/>
    <cellStyle name="Normal 7 4 9 3" xfId="5123" xr:uid="{00000000-0005-0000-0000-0000FFBD0000}"/>
    <cellStyle name="Normal 7 4 9 3 2" xfId="17575" xr:uid="{00000000-0005-0000-0000-000000BE0000}"/>
    <cellStyle name="Normal 7 4 9 3 2 2" xfId="42449" xr:uid="{00000000-0005-0000-0000-000001BE0000}"/>
    <cellStyle name="Normal 7 4 9 3 3" xfId="30016" xr:uid="{00000000-0005-0000-0000-000002BE0000}"/>
    <cellStyle name="Normal 7 4 9 4" xfId="13707" xr:uid="{00000000-0005-0000-0000-000003BE0000}"/>
    <cellStyle name="Normal 7 4 9 4 2" xfId="38581" xr:uid="{00000000-0005-0000-0000-000004BE0000}"/>
    <cellStyle name="Normal 7 4 9 5" xfId="26140" xr:uid="{00000000-0005-0000-0000-000005BE0000}"/>
    <cellStyle name="Normal 7 4_Degree data" xfId="2584" xr:uid="{00000000-0005-0000-0000-000006BE0000}"/>
    <cellStyle name="Normal 7 5" xfId="169" xr:uid="{00000000-0005-0000-0000-000007BE0000}"/>
    <cellStyle name="Normal 7 5 10" xfId="6540" xr:uid="{00000000-0005-0000-0000-000008BE0000}"/>
    <cellStyle name="Normal 7 5 10 2" xfId="18989" xr:uid="{00000000-0005-0000-0000-000009BE0000}"/>
    <cellStyle name="Normal 7 5 10 2 2" xfId="43863" xr:uid="{00000000-0005-0000-0000-00000ABE0000}"/>
    <cellStyle name="Normal 7 5 10 3" xfId="31430" xr:uid="{00000000-0005-0000-0000-00000BBE0000}"/>
    <cellStyle name="Normal 7 5 11" xfId="2708" xr:uid="{00000000-0005-0000-0000-00000CBE0000}"/>
    <cellStyle name="Normal 7 5 11 2" xfId="15226" xr:uid="{00000000-0005-0000-0000-00000DBE0000}"/>
    <cellStyle name="Normal 7 5 11 2 2" xfId="40100" xr:uid="{00000000-0005-0000-0000-00000EBE0000}"/>
    <cellStyle name="Normal 7 5 11 3" xfId="27659" xr:uid="{00000000-0005-0000-0000-00000FBE0000}"/>
    <cellStyle name="Normal 7 5 12" xfId="12999" xr:uid="{00000000-0005-0000-0000-000010BE0000}"/>
    <cellStyle name="Normal 7 5 12 2" xfId="37873" xr:uid="{00000000-0005-0000-0000-000011BE0000}"/>
    <cellStyle name="Normal 7 5 13" xfId="25432" xr:uid="{00000000-0005-0000-0000-000012BE0000}"/>
    <cellStyle name="Normal 7 5 2" xfId="412" xr:uid="{00000000-0005-0000-0000-000013BE0000}"/>
    <cellStyle name="Normal 7 5 2 10" xfId="13227" xr:uid="{00000000-0005-0000-0000-000014BE0000}"/>
    <cellStyle name="Normal 7 5 2 10 2" xfId="38101" xr:uid="{00000000-0005-0000-0000-000015BE0000}"/>
    <cellStyle name="Normal 7 5 2 11" xfId="25660" xr:uid="{00000000-0005-0000-0000-000016BE0000}"/>
    <cellStyle name="Normal 7 5 2 2" xfId="772" xr:uid="{00000000-0005-0000-0000-000017BE0000}"/>
    <cellStyle name="Normal 7 5 2 2 2" xfId="1617" xr:uid="{00000000-0005-0000-0000-000018BE0000}"/>
    <cellStyle name="Normal 7 5 2 2 2 2" xfId="9721" xr:uid="{00000000-0005-0000-0000-000019BE0000}"/>
    <cellStyle name="Normal 7 5 2 2 2 2 2" xfId="22164" xr:uid="{00000000-0005-0000-0000-00001ABE0000}"/>
    <cellStyle name="Normal 7 5 2 2 2 2 2 2" xfId="47038" xr:uid="{00000000-0005-0000-0000-00001BBE0000}"/>
    <cellStyle name="Normal 7 5 2 2 2 2 3" xfId="34605" xr:uid="{00000000-0005-0000-0000-00001CBE0000}"/>
    <cellStyle name="Normal 7 5 2 2 2 3" xfId="4703" xr:uid="{00000000-0005-0000-0000-00001DBE0000}"/>
    <cellStyle name="Normal 7 5 2 2 2 3 2" xfId="17157" xr:uid="{00000000-0005-0000-0000-00001EBE0000}"/>
    <cellStyle name="Normal 7 5 2 2 2 3 2 2" xfId="42031" xr:uid="{00000000-0005-0000-0000-00001FBE0000}"/>
    <cellStyle name="Normal 7 5 2 2 2 3 3" xfId="29598" xr:uid="{00000000-0005-0000-0000-000020BE0000}"/>
    <cellStyle name="Normal 7 5 2 2 2 4" xfId="14417" xr:uid="{00000000-0005-0000-0000-000021BE0000}"/>
    <cellStyle name="Normal 7 5 2 2 2 4 2" xfId="39291" xr:uid="{00000000-0005-0000-0000-000022BE0000}"/>
    <cellStyle name="Normal 7 5 2 2 2 5" xfId="26850" xr:uid="{00000000-0005-0000-0000-000023BE0000}"/>
    <cellStyle name="Normal 7 5 2 2 3" xfId="5763" xr:uid="{00000000-0005-0000-0000-000024BE0000}"/>
    <cellStyle name="Normal 7 5 2 2 3 2" xfId="10778" xr:uid="{00000000-0005-0000-0000-000025BE0000}"/>
    <cellStyle name="Normal 7 5 2 2 3 2 2" xfId="23221" xr:uid="{00000000-0005-0000-0000-000026BE0000}"/>
    <cellStyle name="Normal 7 5 2 2 3 2 2 2" xfId="48095" xr:uid="{00000000-0005-0000-0000-000027BE0000}"/>
    <cellStyle name="Normal 7 5 2 2 3 2 3" xfId="35662" xr:uid="{00000000-0005-0000-0000-000028BE0000}"/>
    <cellStyle name="Normal 7 5 2 2 3 3" xfId="18214" xr:uid="{00000000-0005-0000-0000-000029BE0000}"/>
    <cellStyle name="Normal 7 5 2 2 3 3 2" xfId="43088" xr:uid="{00000000-0005-0000-0000-00002ABE0000}"/>
    <cellStyle name="Normal 7 5 2 2 3 4" xfId="30655" xr:uid="{00000000-0005-0000-0000-00002BBE0000}"/>
    <cellStyle name="Normal 7 5 2 2 4" xfId="8837" xr:uid="{00000000-0005-0000-0000-00002CBE0000}"/>
    <cellStyle name="Normal 7 5 2 2 4 2" xfId="21281" xr:uid="{00000000-0005-0000-0000-00002DBE0000}"/>
    <cellStyle name="Normal 7 5 2 2 4 2 2" xfId="46155" xr:uid="{00000000-0005-0000-0000-00002EBE0000}"/>
    <cellStyle name="Normal 7 5 2 2 4 3" xfId="33722" xr:uid="{00000000-0005-0000-0000-00002FBE0000}"/>
    <cellStyle name="Normal 7 5 2 2 5" xfId="12232" xr:uid="{00000000-0005-0000-0000-000030BE0000}"/>
    <cellStyle name="Normal 7 5 2 2 5 2" xfId="24666" xr:uid="{00000000-0005-0000-0000-000031BE0000}"/>
    <cellStyle name="Normal 7 5 2 2 5 2 2" xfId="49540" xr:uid="{00000000-0005-0000-0000-000032BE0000}"/>
    <cellStyle name="Normal 7 5 2 2 5 3" xfId="37107" xr:uid="{00000000-0005-0000-0000-000033BE0000}"/>
    <cellStyle name="Normal 7 5 2 2 6" xfId="7314" xr:uid="{00000000-0005-0000-0000-000034BE0000}"/>
    <cellStyle name="Normal 7 5 2 2 6 2" xfId="19763" xr:uid="{00000000-0005-0000-0000-000035BE0000}"/>
    <cellStyle name="Normal 7 5 2 2 6 2 2" xfId="44637" xr:uid="{00000000-0005-0000-0000-000036BE0000}"/>
    <cellStyle name="Normal 7 5 2 2 6 3" xfId="32204" xr:uid="{00000000-0005-0000-0000-000037BE0000}"/>
    <cellStyle name="Normal 7 5 2 2 7" xfId="3768" xr:uid="{00000000-0005-0000-0000-000038BE0000}"/>
    <cellStyle name="Normal 7 5 2 2 7 2" xfId="16274" xr:uid="{00000000-0005-0000-0000-000039BE0000}"/>
    <cellStyle name="Normal 7 5 2 2 7 2 2" xfId="41148" xr:uid="{00000000-0005-0000-0000-00003ABE0000}"/>
    <cellStyle name="Normal 7 5 2 2 7 3" xfId="28707" xr:uid="{00000000-0005-0000-0000-00003BBE0000}"/>
    <cellStyle name="Normal 7 5 2 2 8" xfId="13574" xr:uid="{00000000-0005-0000-0000-00003CBE0000}"/>
    <cellStyle name="Normal 7 5 2 2 8 2" xfId="38448" xr:uid="{00000000-0005-0000-0000-00003DBE0000}"/>
    <cellStyle name="Normal 7 5 2 2 9" xfId="26007" xr:uid="{00000000-0005-0000-0000-00003EBE0000}"/>
    <cellStyle name="Normal 7 5 2 3" xfId="1965" xr:uid="{00000000-0005-0000-0000-00003FBE0000}"/>
    <cellStyle name="Normal 7 5 2 3 2" xfId="4956" xr:uid="{00000000-0005-0000-0000-000040BE0000}"/>
    <cellStyle name="Normal 7 5 2 3 2 2" xfId="9973" xr:uid="{00000000-0005-0000-0000-000041BE0000}"/>
    <cellStyle name="Normal 7 5 2 3 2 2 2" xfId="22416" xr:uid="{00000000-0005-0000-0000-000042BE0000}"/>
    <cellStyle name="Normal 7 5 2 3 2 2 2 2" xfId="47290" xr:uid="{00000000-0005-0000-0000-000043BE0000}"/>
    <cellStyle name="Normal 7 5 2 3 2 2 3" xfId="34857" xr:uid="{00000000-0005-0000-0000-000044BE0000}"/>
    <cellStyle name="Normal 7 5 2 3 2 3" xfId="17409" xr:uid="{00000000-0005-0000-0000-000045BE0000}"/>
    <cellStyle name="Normal 7 5 2 3 2 3 2" xfId="42283" xr:uid="{00000000-0005-0000-0000-000046BE0000}"/>
    <cellStyle name="Normal 7 5 2 3 2 4" xfId="29850" xr:uid="{00000000-0005-0000-0000-000047BE0000}"/>
    <cellStyle name="Normal 7 5 2 3 3" xfId="6111" xr:uid="{00000000-0005-0000-0000-000048BE0000}"/>
    <cellStyle name="Normal 7 5 2 3 3 2" xfId="11126" xr:uid="{00000000-0005-0000-0000-000049BE0000}"/>
    <cellStyle name="Normal 7 5 2 3 3 2 2" xfId="23569" xr:uid="{00000000-0005-0000-0000-00004ABE0000}"/>
    <cellStyle name="Normal 7 5 2 3 3 2 2 2" xfId="48443" xr:uid="{00000000-0005-0000-0000-00004BBE0000}"/>
    <cellStyle name="Normal 7 5 2 3 3 2 3" xfId="36010" xr:uid="{00000000-0005-0000-0000-00004CBE0000}"/>
    <cellStyle name="Normal 7 5 2 3 3 3" xfId="18562" xr:uid="{00000000-0005-0000-0000-00004DBE0000}"/>
    <cellStyle name="Normal 7 5 2 3 3 3 2" xfId="43436" xr:uid="{00000000-0005-0000-0000-00004EBE0000}"/>
    <cellStyle name="Normal 7 5 2 3 3 4" xfId="31003" xr:uid="{00000000-0005-0000-0000-00004FBE0000}"/>
    <cellStyle name="Normal 7 5 2 3 4" xfId="8380" xr:uid="{00000000-0005-0000-0000-000050BE0000}"/>
    <cellStyle name="Normal 7 5 2 3 4 2" xfId="20824" xr:uid="{00000000-0005-0000-0000-000051BE0000}"/>
    <cellStyle name="Normal 7 5 2 3 4 2 2" xfId="45698" xr:uid="{00000000-0005-0000-0000-000052BE0000}"/>
    <cellStyle name="Normal 7 5 2 3 4 3" xfId="33265" xr:uid="{00000000-0005-0000-0000-000053BE0000}"/>
    <cellStyle name="Normal 7 5 2 3 5" xfId="12580" xr:uid="{00000000-0005-0000-0000-000054BE0000}"/>
    <cellStyle name="Normal 7 5 2 3 5 2" xfId="25014" xr:uid="{00000000-0005-0000-0000-000055BE0000}"/>
    <cellStyle name="Normal 7 5 2 3 5 2 2" xfId="49888" xr:uid="{00000000-0005-0000-0000-000056BE0000}"/>
    <cellStyle name="Normal 7 5 2 3 5 3" xfId="37455" xr:uid="{00000000-0005-0000-0000-000057BE0000}"/>
    <cellStyle name="Normal 7 5 2 3 6" xfId="7567" xr:uid="{00000000-0005-0000-0000-000058BE0000}"/>
    <cellStyle name="Normal 7 5 2 3 6 2" xfId="20015" xr:uid="{00000000-0005-0000-0000-000059BE0000}"/>
    <cellStyle name="Normal 7 5 2 3 6 2 2" xfId="44889" xr:uid="{00000000-0005-0000-0000-00005ABE0000}"/>
    <cellStyle name="Normal 7 5 2 3 6 3" xfId="32456" xr:uid="{00000000-0005-0000-0000-00005BBE0000}"/>
    <cellStyle name="Normal 7 5 2 3 7" xfId="3311" xr:uid="{00000000-0005-0000-0000-00005CBE0000}"/>
    <cellStyle name="Normal 7 5 2 3 7 2" xfId="15817" xr:uid="{00000000-0005-0000-0000-00005DBE0000}"/>
    <cellStyle name="Normal 7 5 2 3 7 2 2" xfId="40691" xr:uid="{00000000-0005-0000-0000-00005EBE0000}"/>
    <cellStyle name="Normal 7 5 2 3 7 3" xfId="28250" xr:uid="{00000000-0005-0000-0000-00005FBE0000}"/>
    <cellStyle name="Normal 7 5 2 3 8" xfId="14765" xr:uid="{00000000-0005-0000-0000-000060BE0000}"/>
    <cellStyle name="Normal 7 5 2 3 8 2" xfId="39639" xr:uid="{00000000-0005-0000-0000-000061BE0000}"/>
    <cellStyle name="Normal 7 5 2 3 9" xfId="27198" xr:uid="{00000000-0005-0000-0000-000062BE0000}"/>
    <cellStyle name="Normal 7 5 2 4" xfId="2330" xr:uid="{00000000-0005-0000-0000-000063BE0000}"/>
    <cellStyle name="Normal 7 5 2 4 2" xfId="6354" xr:uid="{00000000-0005-0000-0000-000064BE0000}"/>
    <cellStyle name="Normal 7 5 2 4 2 2" xfId="11369" xr:uid="{00000000-0005-0000-0000-000065BE0000}"/>
    <cellStyle name="Normal 7 5 2 4 2 2 2" xfId="23812" xr:uid="{00000000-0005-0000-0000-000066BE0000}"/>
    <cellStyle name="Normal 7 5 2 4 2 2 2 2" xfId="48686" xr:uid="{00000000-0005-0000-0000-000067BE0000}"/>
    <cellStyle name="Normal 7 5 2 4 2 2 3" xfId="36253" xr:uid="{00000000-0005-0000-0000-000068BE0000}"/>
    <cellStyle name="Normal 7 5 2 4 2 3" xfId="18805" xr:uid="{00000000-0005-0000-0000-000069BE0000}"/>
    <cellStyle name="Normal 7 5 2 4 2 3 2" xfId="43679" xr:uid="{00000000-0005-0000-0000-00006ABE0000}"/>
    <cellStyle name="Normal 7 5 2 4 2 4" xfId="31246" xr:uid="{00000000-0005-0000-0000-00006BBE0000}"/>
    <cellStyle name="Normal 7 5 2 4 3" xfId="12823" xr:uid="{00000000-0005-0000-0000-00006CBE0000}"/>
    <cellStyle name="Normal 7 5 2 4 3 2" xfId="25257" xr:uid="{00000000-0005-0000-0000-00006DBE0000}"/>
    <cellStyle name="Normal 7 5 2 4 3 2 2" xfId="50131" xr:uid="{00000000-0005-0000-0000-00006EBE0000}"/>
    <cellStyle name="Normal 7 5 2 4 3 3" xfId="37698" xr:uid="{00000000-0005-0000-0000-00006FBE0000}"/>
    <cellStyle name="Normal 7 5 2 4 4" xfId="9264" xr:uid="{00000000-0005-0000-0000-000070BE0000}"/>
    <cellStyle name="Normal 7 5 2 4 4 2" xfId="21707" xr:uid="{00000000-0005-0000-0000-000071BE0000}"/>
    <cellStyle name="Normal 7 5 2 4 4 2 2" xfId="46581" xr:uid="{00000000-0005-0000-0000-000072BE0000}"/>
    <cellStyle name="Normal 7 5 2 4 4 3" xfId="34148" xr:uid="{00000000-0005-0000-0000-000073BE0000}"/>
    <cellStyle name="Normal 7 5 2 4 5" xfId="4246" xr:uid="{00000000-0005-0000-0000-000074BE0000}"/>
    <cellStyle name="Normal 7 5 2 4 5 2" xfId="16700" xr:uid="{00000000-0005-0000-0000-000075BE0000}"/>
    <cellStyle name="Normal 7 5 2 4 5 2 2" xfId="41574" xr:uid="{00000000-0005-0000-0000-000076BE0000}"/>
    <cellStyle name="Normal 7 5 2 4 5 3" xfId="29141" xr:uid="{00000000-0005-0000-0000-000077BE0000}"/>
    <cellStyle name="Normal 7 5 2 4 6" xfId="15008" xr:uid="{00000000-0005-0000-0000-000078BE0000}"/>
    <cellStyle name="Normal 7 5 2 4 6 2" xfId="39882" xr:uid="{00000000-0005-0000-0000-000079BE0000}"/>
    <cellStyle name="Normal 7 5 2 4 7" xfId="27441" xr:uid="{00000000-0005-0000-0000-00007ABE0000}"/>
    <cellStyle name="Normal 7 5 2 5" xfId="1165" xr:uid="{00000000-0005-0000-0000-00007BBE0000}"/>
    <cellStyle name="Normal 7 5 2 5 2" xfId="10326" xr:uid="{00000000-0005-0000-0000-00007CBE0000}"/>
    <cellStyle name="Normal 7 5 2 5 2 2" xfId="22769" xr:uid="{00000000-0005-0000-0000-00007DBE0000}"/>
    <cellStyle name="Normal 7 5 2 5 2 2 2" xfId="47643" xr:uid="{00000000-0005-0000-0000-00007EBE0000}"/>
    <cellStyle name="Normal 7 5 2 5 2 3" xfId="35210" xr:uid="{00000000-0005-0000-0000-00007FBE0000}"/>
    <cellStyle name="Normal 7 5 2 5 3" xfId="5310" xr:uid="{00000000-0005-0000-0000-000080BE0000}"/>
    <cellStyle name="Normal 7 5 2 5 3 2" xfId="17762" xr:uid="{00000000-0005-0000-0000-000081BE0000}"/>
    <cellStyle name="Normal 7 5 2 5 3 2 2" xfId="42636" xr:uid="{00000000-0005-0000-0000-000082BE0000}"/>
    <cellStyle name="Normal 7 5 2 5 3 3" xfId="30203" xr:uid="{00000000-0005-0000-0000-000083BE0000}"/>
    <cellStyle name="Normal 7 5 2 5 4" xfId="13965" xr:uid="{00000000-0005-0000-0000-000084BE0000}"/>
    <cellStyle name="Normal 7 5 2 5 4 2" xfId="38839" xr:uid="{00000000-0005-0000-0000-000085BE0000}"/>
    <cellStyle name="Normal 7 5 2 5 5" xfId="26398" xr:uid="{00000000-0005-0000-0000-000086BE0000}"/>
    <cellStyle name="Normal 7 5 2 6" xfId="7887" xr:uid="{00000000-0005-0000-0000-000087BE0000}"/>
    <cellStyle name="Normal 7 5 2 6 2" xfId="20333" xr:uid="{00000000-0005-0000-0000-000088BE0000}"/>
    <cellStyle name="Normal 7 5 2 6 2 2" xfId="45207" xr:uid="{00000000-0005-0000-0000-000089BE0000}"/>
    <cellStyle name="Normal 7 5 2 6 3" xfId="32774" xr:uid="{00000000-0005-0000-0000-00008ABE0000}"/>
    <cellStyle name="Normal 7 5 2 7" xfId="11780" xr:uid="{00000000-0005-0000-0000-00008BBE0000}"/>
    <cellStyle name="Normal 7 5 2 7 2" xfId="24214" xr:uid="{00000000-0005-0000-0000-00008CBE0000}"/>
    <cellStyle name="Normal 7 5 2 7 2 2" xfId="49088" xr:uid="{00000000-0005-0000-0000-00008DBE0000}"/>
    <cellStyle name="Normal 7 5 2 7 3" xfId="36655" xr:uid="{00000000-0005-0000-0000-00008EBE0000}"/>
    <cellStyle name="Normal 7 5 2 8" xfId="6857" xr:uid="{00000000-0005-0000-0000-00008FBE0000}"/>
    <cellStyle name="Normal 7 5 2 8 2" xfId="19306" xr:uid="{00000000-0005-0000-0000-000090BE0000}"/>
    <cellStyle name="Normal 7 5 2 8 2 2" xfId="44180" xr:uid="{00000000-0005-0000-0000-000091BE0000}"/>
    <cellStyle name="Normal 7 5 2 8 3" xfId="31747" xr:uid="{00000000-0005-0000-0000-000092BE0000}"/>
    <cellStyle name="Normal 7 5 2 9" xfId="2808" xr:uid="{00000000-0005-0000-0000-000093BE0000}"/>
    <cellStyle name="Normal 7 5 2 9 2" xfId="15326" xr:uid="{00000000-0005-0000-0000-000094BE0000}"/>
    <cellStyle name="Normal 7 5 2 9 2 2" xfId="40200" xr:uid="{00000000-0005-0000-0000-000095BE0000}"/>
    <cellStyle name="Normal 7 5 2 9 3" xfId="27759" xr:uid="{00000000-0005-0000-0000-000096BE0000}"/>
    <cellStyle name="Normal 7 5 2_Degree data" xfId="2591" xr:uid="{00000000-0005-0000-0000-000097BE0000}"/>
    <cellStyle name="Normal 7 5 3" xfId="310" xr:uid="{00000000-0005-0000-0000-000098BE0000}"/>
    <cellStyle name="Normal 7 5 3 2" xfId="1616" xr:uid="{00000000-0005-0000-0000-000099BE0000}"/>
    <cellStyle name="Normal 7 5 3 2 2" xfId="9164" xr:uid="{00000000-0005-0000-0000-00009ABE0000}"/>
    <cellStyle name="Normal 7 5 3 2 2 2" xfId="21607" xr:uid="{00000000-0005-0000-0000-00009BBE0000}"/>
    <cellStyle name="Normal 7 5 3 2 2 2 2" xfId="46481" xr:uid="{00000000-0005-0000-0000-00009CBE0000}"/>
    <cellStyle name="Normal 7 5 3 2 2 3" xfId="34048" xr:uid="{00000000-0005-0000-0000-00009DBE0000}"/>
    <cellStyle name="Normal 7 5 3 2 3" xfId="4146" xr:uid="{00000000-0005-0000-0000-00009EBE0000}"/>
    <cellStyle name="Normal 7 5 3 2 3 2" xfId="16600" xr:uid="{00000000-0005-0000-0000-00009FBE0000}"/>
    <cellStyle name="Normal 7 5 3 2 3 2 2" xfId="41474" xr:uid="{00000000-0005-0000-0000-0000A0BE0000}"/>
    <cellStyle name="Normal 7 5 3 2 3 3" xfId="29041" xr:uid="{00000000-0005-0000-0000-0000A1BE0000}"/>
    <cellStyle name="Normal 7 5 3 2 4" xfId="14416" xr:uid="{00000000-0005-0000-0000-0000A2BE0000}"/>
    <cellStyle name="Normal 7 5 3 2 4 2" xfId="39290" xr:uid="{00000000-0005-0000-0000-0000A3BE0000}"/>
    <cellStyle name="Normal 7 5 3 2 5" xfId="26849" xr:uid="{00000000-0005-0000-0000-0000A4BE0000}"/>
    <cellStyle name="Normal 7 5 3 3" xfId="5762" xr:uid="{00000000-0005-0000-0000-0000A5BE0000}"/>
    <cellStyle name="Normal 7 5 3 3 2" xfId="10777" xr:uid="{00000000-0005-0000-0000-0000A6BE0000}"/>
    <cellStyle name="Normal 7 5 3 3 2 2" xfId="23220" xr:uid="{00000000-0005-0000-0000-0000A7BE0000}"/>
    <cellStyle name="Normal 7 5 3 3 2 2 2" xfId="48094" xr:uid="{00000000-0005-0000-0000-0000A8BE0000}"/>
    <cellStyle name="Normal 7 5 3 3 2 3" xfId="35661" xr:uid="{00000000-0005-0000-0000-0000A9BE0000}"/>
    <cellStyle name="Normal 7 5 3 3 3" xfId="18213" xr:uid="{00000000-0005-0000-0000-0000AABE0000}"/>
    <cellStyle name="Normal 7 5 3 3 3 2" xfId="43087" xr:uid="{00000000-0005-0000-0000-0000ABBE0000}"/>
    <cellStyle name="Normal 7 5 3 3 4" xfId="30654" xr:uid="{00000000-0005-0000-0000-0000ACBE0000}"/>
    <cellStyle name="Normal 7 5 3 4" xfId="8280" xr:uid="{00000000-0005-0000-0000-0000ADBE0000}"/>
    <cellStyle name="Normal 7 5 3 4 2" xfId="20724" xr:uid="{00000000-0005-0000-0000-0000AEBE0000}"/>
    <cellStyle name="Normal 7 5 3 4 2 2" xfId="45598" xr:uid="{00000000-0005-0000-0000-0000AFBE0000}"/>
    <cellStyle name="Normal 7 5 3 4 3" xfId="33165" xr:uid="{00000000-0005-0000-0000-0000B0BE0000}"/>
    <cellStyle name="Normal 7 5 3 5" xfId="12231" xr:uid="{00000000-0005-0000-0000-0000B1BE0000}"/>
    <cellStyle name="Normal 7 5 3 5 2" xfId="24665" xr:uid="{00000000-0005-0000-0000-0000B2BE0000}"/>
    <cellStyle name="Normal 7 5 3 5 2 2" xfId="49539" xr:uid="{00000000-0005-0000-0000-0000B3BE0000}"/>
    <cellStyle name="Normal 7 5 3 5 3" xfId="37106" xr:uid="{00000000-0005-0000-0000-0000B4BE0000}"/>
    <cellStyle name="Normal 7 5 3 6" xfId="6757" xr:uid="{00000000-0005-0000-0000-0000B5BE0000}"/>
    <cellStyle name="Normal 7 5 3 6 2" xfId="19206" xr:uid="{00000000-0005-0000-0000-0000B6BE0000}"/>
    <cellStyle name="Normal 7 5 3 6 2 2" xfId="44080" xr:uid="{00000000-0005-0000-0000-0000B7BE0000}"/>
    <cellStyle name="Normal 7 5 3 6 3" xfId="31647" xr:uid="{00000000-0005-0000-0000-0000B8BE0000}"/>
    <cellStyle name="Normal 7 5 3 7" xfId="3211" xr:uid="{00000000-0005-0000-0000-0000B9BE0000}"/>
    <cellStyle name="Normal 7 5 3 7 2" xfId="15717" xr:uid="{00000000-0005-0000-0000-0000BABE0000}"/>
    <cellStyle name="Normal 7 5 3 7 2 2" xfId="40591" xr:uid="{00000000-0005-0000-0000-0000BBBE0000}"/>
    <cellStyle name="Normal 7 5 3 7 3" xfId="28150" xr:uid="{00000000-0005-0000-0000-0000BCBE0000}"/>
    <cellStyle name="Normal 7 5 3 8" xfId="13127" xr:uid="{00000000-0005-0000-0000-0000BDBE0000}"/>
    <cellStyle name="Normal 7 5 3 8 2" xfId="38001" xr:uid="{00000000-0005-0000-0000-0000BEBE0000}"/>
    <cellStyle name="Normal 7 5 3 9" xfId="25560" xr:uid="{00000000-0005-0000-0000-0000BFBE0000}"/>
    <cellStyle name="Normal 7 5 4" xfId="671" xr:uid="{00000000-0005-0000-0000-0000C0BE0000}"/>
    <cellStyle name="Normal 7 5 4 2" xfId="1964" xr:uid="{00000000-0005-0000-0000-0000C1BE0000}"/>
    <cellStyle name="Normal 7 5 4 2 2" xfId="9720" xr:uid="{00000000-0005-0000-0000-0000C2BE0000}"/>
    <cellStyle name="Normal 7 5 4 2 2 2" xfId="22163" xr:uid="{00000000-0005-0000-0000-0000C3BE0000}"/>
    <cellStyle name="Normal 7 5 4 2 2 2 2" xfId="47037" xr:uid="{00000000-0005-0000-0000-0000C4BE0000}"/>
    <cellStyle name="Normal 7 5 4 2 2 3" xfId="34604" xr:uid="{00000000-0005-0000-0000-0000C5BE0000}"/>
    <cellStyle name="Normal 7 5 4 2 3" xfId="4702" xr:uid="{00000000-0005-0000-0000-0000C6BE0000}"/>
    <cellStyle name="Normal 7 5 4 2 3 2" xfId="17156" xr:uid="{00000000-0005-0000-0000-0000C7BE0000}"/>
    <cellStyle name="Normal 7 5 4 2 3 2 2" xfId="42030" xr:uid="{00000000-0005-0000-0000-0000C8BE0000}"/>
    <cellStyle name="Normal 7 5 4 2 3 3" xfId="29597" xr:uid="{00000000-0005-0000-0000-0000C9BE0000}"/>
    <cellStyle name="Normal 7 5 4 2 4" xfId="14764" xr:uid="{00000000-0005-0000-0000-0000CABE0000}"/>
    <cellStyle name="Normal 7 5 4 2 4 2" xfId="39638" xr:uid="{00000000-0005-0000-0000-0000CBBE0000}"/>
    <cellStyle name="Normal 7 5 4 2 5" xfId="27197" xr:uid="{00000000-0005-0000-0000-0000CCBE0000}"/>
    <cellStyle name="Normal 7 5 4 3" xfId="6110" xr:uid="{00000000-0005-0000-0000-0000CDBE0000}"/>
    <cellStyle name="Normal 7 5 4 3 2" xfId="11125" xr:uid="{00000000-0005-0000-0000-0000CEBE0000}"/>
    <cellStyle name="Normal 7 5 4 3 2 2" xfId="23568" xr:uid="{00000000-0005-0000-0000-0000CFBE0000}"/>
    <cellStyle name="Normal 7 5 4 3 2 2 2" xfId="48442" xr:uid="{00000000-0005-0000-0000-0000D0BE0000}"/>
    <cellStyle name="Normal 7 5 4 3 2 3" xfId="36009" xr:uid="{00000000-0005-0000-0000-0000D1BE0000}"/>
    <cellStyle name="Normal 7 5 4 3 3" xfId="18561" xr:uid="{00000000-0005-0000-0000-0000D2BE0000}"/>
    <cellStyle name="Normal 7 5 4 3 3 2" xfId="43435" xr:uid="{00000000-0005-0000-0000-0000D3BE0000}"/>
    <cellStyle name="Normal 7 5 4 3 4" xfId="31002" xr:uid="{00000000-0005-0000-0000-0000D4BE0000}"/>
    <cellStyle name="Normal 7 5 4 4" xfId="8836" xr:uid="{00000000-0005-0000-0000-0000D5BE0000}"/>
    <cellStyle name="Normal 7 5 4 4 2" xfId="21280" xr:uid="{00000000-0005-0000-0000-0000D6BE0000}"/>
    <cellStyle name="Normal 7 5 4 4 2 2" xfId="46154" xr:uid="{00000000-0005-0000-0000-0000D7BE0000}"/>
    <cellStyle name="Normal 7 5 4 4 3" xfId="33721" xr:uid="{00000000-0005-0000-0000-0000D8BE0000}"/>
    <cellStyle name="Normal 7 5 4 5" xfId="12579" xr:uid="{00000000-0005-0000-0000-0000D9BE0000}"/>
    <cellStyle name="Normal 7 5 4 5 2" xfId="25013" xr:uid="{00000000-0005-0000-0000-0000DABE0000}"/>
    <cellStyle name="Normal 7 5 4 5 2 2" xfId="49887" xr:uid="{00000000-0005-0000-0000-0000DBBE0000}"/>
    <cellStyle name="Normal 7 5 4 5 3" xfId="37454" xr:uid="{00000000-0005-0000-0000-0000DCBE0000}"/>
    <cellStyle name="Normal 7 5 4 6" xfId="7313" xr:uid="{00000000-0005-0000-0000-0000DDBE0000}"/>
    <cellStyle name="Normal 7 5 4 6 2" xfId="19762" xr:uid="{00000000-0005-0000-0000-0000DEBE0000}"/>
    <cellStyle name="Normal 7 5 4 6 2 2" xfId="44636" xr:uid="{00000000-0005-0000-0000-0000DFBE0000}"/>
    <cellStyle name="Normal 7 5 4 6 3" xfId="32203" xr:uid="{00000000-0005-0000-0000-0000E0BE0000}"/>
    <cellStyle name="Normal 7 5 4 7" xfId="3767" xr:uid="{00000000-0005-0000-0000-0000E1BE0000}"/>
    <cellStyle name="Normal 7 5 4 7 2" xfId="16273" xr:uid="{00000000-0005-0000-0000-0000E2BE0000}"/>
    <cellStyle name="Normal 7 5 4 7 2 2" xfId="41147" xr:uid="{00000000-0005-0000-0000-0000E3BE0000}"/>
    <cellStyle name="Normal 7 5 4 7 3" xfId="28706" xr:uid="{00000000-0005-0000-0000-0000E4BE0000}"/>
    <cellStyle name="Normal 7 5 4 8" xfId="13474" xr:uid="{00000000-0005-0000-0000-0000E5BE0000}"/>
    <cellStyle name="Normal 7 5 4 8 2" xfId="38348" xr:uid="{00000000-0005-0000-0000-0000E6BE0000}"/>
    <cellStyle name="Normal 7 5 4 9" xfId="25907" xr:uid="{00000000-0005-0000-0000-0000E7BE0000}"/>
    <cellStyle name="Normal 7 5 5" xfId="2228" xr:uid="{00000000-0005-0000-0000-0000E8BE0000}"/>
    <cellStyle name="Normal 7 5 5 2" xfId="4856" xr:uid="{00000000-0005-0000-0000-0000E9BE0000}"/>
    <cellStyle name="Normal 7 5 5 2 2" xfId="9873" xr:uid="{00000000-0005-0000-0000-0000EABE0000}"/>
    <cellStyle name="Normal 7 5 5 2 2 2" xfId="22316" xr:uid="{00000000-0005-0000-0000-0000EBBE0000}"/>
    <cellStyle name="Normal 7 5 5 2 2 2 2" xfId="47190" xr:uid="{00000000-0005-0000-0000-0000ECBE0000}"/>
    <cellStyle name="Normal 7 5 5 2 2 3" xfId="34757" xr:uid="{00000000-0005-0000-0000-0000EDBE0000}"/>
    <cellStyle name="Normal 7 5 5 2 3" xfId="17309" xr:uid="{00000000-0005-0000-0000-0000EEBE0000}"/>
    <cellStyle name="Normal 7 5 5 2 3 2" xfId="42183" xr:uid="{00000000-0005-0000-0000-0000EFBE0000}"/>
    <cellStyle name="Normal 7 5 5 2 4" xfId="29750" xr:uid="{00000000-0005-0000-0000-0000F0BE0000}"/>
    <cellStyle name="Normal 7 5 5 3" xfId="6254" xr:uid="{00000000-0005-0000-0000-0000F1BE0000}"/>
    <cellStyle name="Normal 7 5 5 3 2" xfId="11269" xr:uid="{00000000-0005-0000-0000-0000F2BE0000}"/>
    <cellStyle name="Normal 7 5 5 3 2 2" xfId="23712" xr:uid="{00000000-0005-0000-0000-0000F3BE0000}"/>
    <cellStyle name="Normal 7 5 5 3 2 2 2" xfId="48586" xr:uid="{00000000-0005-0000-0000-0000F4BE0000}"/>
    <cellStyle name="Normal 7 5 5 3 2 3" xfId="36153" xr:uid="{00000000-0005-0000-0000-0000F5BE0000}"/>
    <cellStyle name="Normal 7 5 5 3 3" xfId="18705" xr:uid="{00000000-0005-0000-0000-0000F6BE0000}"/>
    <cellStyle name="Normal 7 5 5 3 3 2" xfId="43579" xr:uid="{00000000-0005-0000-0000-0000F7BE0000}"/>
    <cellStyle name="Normal 7 5 5 3 4" xfId="31146" xr:uid="{00000000-0005-0000-0000-0000F8BE0000}"/>
    <cellStyle name="Normal 7 5 5 4" xfId="8061" xr:uid="{00000000-0005-0000-0000-0000F9BE0000}"/>
    <cellStyle name="Normal 7 5 5 4 2" xfId="20507" xr:uid="{00000000-0005-0000-0000-0000FABE0000}"/>
    <cellStyle name="Normal 7 5 5 4 2 2" xfId="45381" xr:uid="{00000000-0005-0000-0000-0000FBBE0000}"/>
    <cellStyle name="Normal 7 5 5 4 3" xfId="32948" xr:uid="{00000000-0005-0000-0000-0000FCBE0000}"/>
    <cellStyle name="Normal 7 5 5 5" xfId="12723" xr:uid="{00000000-0005-0000-0000-0000FDBE0000}"/>
    <cellStyle name="Normal 7 5 5 5 2" xfId="25157" xr:uid="{00000000-0005-0000-0000-0000FEBE0000}"/>
    <cellStyle name="Normal 7 5 5 5 2 2" xfId="50031" xr:uid="{00000000-0005-0000-0000-0000FFBE0000}"/>
    <cellStyle name="Normal 7 5 5 5 3" xfId="37598" xr:uid="{00000000-0005-0000-0000-000000BF0000}"/>
    <cellStyle name="Normal 7 5 5 6" xfId="7467" xr:uid="{00000000-0005-0000-0000-000001BF0000}"/>
    <cellStyle name="Normal 7 5 5 6 2" xfId="19915" xr:uid="{00000000-0005-0000-0000-000002BF0000}"/>
    <cellStyle name="Normal 7 5 5 6 2 2" xfId="44789" xr:uid="{00000000-0005-0000-0000-000003BF0000}"/>
    <cellStyle name="Normal 7 5 5 6 3" xfId="32356" xr:uid="{00000000-0005-0000-0000-000004BF0000}"/>
    <cellStyle name="Normal 7 5 5 7" xfId="2990" xr:uid="{00000000-0005-0000-0000-000005BF0000}"/>
    <cellStyle name="Normal 7 5 5 7 2" xfId="15500" xr:uid="{00000000-0005-0000-0000-000006BF0000}"/>
    <cellStyle name="Normal 7 5 5 7 2 2" xfId="40374" xr:uid="{00000000-0005-0000-0000-000007BF0000}"/>
    <cellStyle name="Normal 7 5 5 7 3" xfId="27933" xr:uid="{00000000-0005-0000-0000-000008BF0000}"/>
    <cellStyle name="Normal 7 5 5 8" xfId="14908" xr:uid="{00000000-0005-0000-0000-000009BF0000}"/>
    <cellStyle name="Normal 7 5 5 8 2" xfId="39782" xr:uid="{00000000-0005-0000-0000-00000ABF0000}"/>
    <cellStyle name="Normal 7 5 5 9" xfId="27341" xr:uid="{00000000-0005-0000-0000-00000BBF0000}"/>
    <cellStyle name="Normal 7 5 6" xfId="1065" xr:uid="{00000000-0005-0000-0000-00000CBF0000}"/>
    <cellStyle name="Normal 7 5 6 2" xfId="8947" xr:uid="{00000000-0005-0000-0000-00000DBF0000}"/>
    <cellStyle name="Normal 7 5 6 2 2" xfId="21390" xr:uid="{00000000-0005-0000-0000-00000EBF0000}"/>
    <cellStyle name="Normal 7 5 6 2 2 2" xfId="46264" xr:uid="{00000000-0005-0000-0000-00000FBF0000}"/>
    <cellStyle name="Normal 7 5 6 2 3" xfId="33831" xr:uid="{00000000-0005-0000-0000-000010BF0000}"/>
    <cellStyle name="Normal 7 5 6 3" xfId="3929" xr:uid="{00000000-0005-0000-0000-000011BF0000}"/>
    <cellStyle name="Normal 7 5 6 3 2" xfId="16383" xr:uid="{00000000-0005-0000-0000-000012BF0000}"/>
    <cellStyle name="Normal 7 5 6 3 2 2" xfId="41257" xr:uid="{00000000-0005-0000-0000-000013BF0000}"/>
    <cellStyle name="Normal 7 5 6 3 3" xfId="28824" xr:uid="{00000000-0005-0000-0000-000014BF0000}"/>
    <cellStyle name="Normal 7 5 6 4" xfId="13865" xr:uid="{00000000-0005-0000-0000-000015BF0000}"/>
    <cellStyle name="Normal 7 5 6 4 2" xfId="38739" xr:uid="{00000000-0005-0000-0000-000016BF0000}"/>
    <cellStyle name="Normal 7 5 6 5" xfId="26298" xr:uid="{00000000-0005-0000-0000-000017BF0000}"/>
    <cellStyle name="Normal 7 5 7" xfId="5210" xr:uid="{00000000-0005-0000-0000-000018BF0000}"/>
    <cellStyle name="Normal 7 5 7 2" xfId="10226" xr:uid="{00000000-0005-0000-0000-000019BF0000}"/>
    <cellStyle name="Normal 7 5 7 2 2" xfId="22669" xr:uid="{00000000-0005-0000-0000-00001ABF0000}"/>
    <cellStyle name="Normal 7 5 7 2 2 2" xfId="47543" xr:uid="{00000000-0005-0000-0000-00001BBF0000}"/>
    <cellStyle name="Normal 7 5 7 2 3" xfId="35110" xr:uid="{00000000-0005-0000-0000-00001CBF0000}"/>
    <cellStyle name="Normal 7 5 7 3" xfId="17662" xr:uid="{00000000-0005-0000-0000-00001DBF0000}"/>
    <cellStyle name="Normal 7 5 7 3 2" xfId="42536" xr:uid="{00000000-0005-0000-0000-00001EBF0000}"/>
    <cellStyle name="Normal 7 5 7 4" xfId="30103" xr:uid="{00000000-0005-0000-0000-00001FBF0000}"/>
    <cellStyle name="Normal 7 5 8" xfId="7787" xr:uid="{00000000-0005-0000-0000-000020BF0000}"/>
    <cellStyle name="Normal 7 5 8 2" xfId="20233" xr:uid="{00000000-0005-0000-0000-000021BF0000}"/>
    <cellStyle name="Normal 7 5 8 2 2" xfId="45107" xr:uid="{00000000-0005-0000-0000-000022BF0000}"/>
    <cellStyle name="Normal 7 5 8 3" xfId="32674" xr:uid="{00000000-0005-0000-0000-000023BF0000}"/>
    <cellStyle name="Normal 7 5 9" xfId="11680" xr:uid="{00000000-0005-0000-0000-000024BF0000}"/>
    <cellStyle name="Normal 7 5 9 2" xfId="24114" xr:uid="{00000000-0005-0000-0000-000025BF0000}"/>
    <cellStyle name="Normal 7 5 9 2 2" xfId="48988" xr:uid="{00000000-0005-0000-0000-000026BF0000}"/>
    <cellStyle name="Normal 7 5 9 3" xfId="36555" xr:uid="{00000000-0005-0000-0000-000027BF0000}"/>
    <cellStyle name="Normal 7 5_Degree data" xfId="2590" xr:uid="{00000000-0005-0000-0000-000028BF0000}"/>
    <cellStyle name="Normal 7 6" xfId="248" xr:uid="{00000000-0005-0000-0000-000029BF0000}"/>
    <cellStyle name="Normal 7 6 10" xfId="6588" xr:uid="{00000000-0005-0000-0000-00002ABF0000}"/>
    <cellStyle name="Normal 7 6 10 2" xfId="19037" xr:uid="{00000000-0005-0000-0000-00002BBF0000}"/>
    <cellStyle name="Normal 7 6 10 2 2" xfId="43911" xr:uid="{00000000-0005-0000-0000-00002CBF0000}"/>
    <cellStyle name="Normal 7 6 10 3" xfId="31478" xr:uid="{00000000-0005-0000-0000-00002DBF0000}"/>
    <cellStyle name="Normal 7 6 11" xfId="2651" xr:uid="{00000000-0005-0000-0000-00002EBF0000}"/>
    <cellStyle name="Normal 7 6 11 2" xfId="15169" xr:uid="{00000000-0005-0000-0000-00002FBF0000}"/>
    <cellStyle name="Normal 7 6 11 2 2" xfId="40043" xr:uid="{00000000-0005-0000-0000-000030BF0000}"/>
    <cellStyle name="Normal 7 6 11 3" xfId="27602" xr:uid="{00000000-0005-0000-0000-000031BF0000}"/>
    <cellStyle name="Normal 7 6 12" xfId="13070" xr:uid="{00000000-0005-0000-0000-000032BF0000}"/>
    <cellStyle name="Normal 7 6 12 2" xfId="37944" xr:uid="{00000000-0005-0000-0000-000033BF0000}"/>
    <cellStyle name="Normal 7 6 13" xfId="25503" xr:uid="{00000000-0005-0000-0000-000034BF0000}"/>
    <cellStyle name="Normal 7 6 2" xfId="462" xr:uid="{00000000-0005-0000-0000-000035BF0000}"/>
    <cellStyle name="Normal 7 6 2 10" xfId="13275" xr:uid="{00000000-0005-0000-0000-000036BF0000}"/>
    <cellStyle name="Normal 7 6 2 10 2" xfId="38149" xr:uid="{00000000-0005-0000-0000-000037BF0000}"/>
    <cellStyle name="Normal 7 6 2 11" xfId="25708" xr:uid="{00000000-0005-0000-0000-000038BF0000}"/>
    <cellStyle name="Normal 7 6 2 2" xfId="821" xr:uid="{00000000-0005-0000-0000-000039BF0000}"/>
    <cellStyle name="Normal 7 6 2 2 2" xfId="1619" xr:uid="{00000000-0005-0000-0000-00003ABF0000}"/>
    <cellStyle name="Normal 7 6 2 2 2 2" xfId="9723" xr:uid="{00000000-0005-0000-0000-00003BBF0000}"/>
    <cellStyle name="Normal 7 6 2 2 2 2 2" xfId="22166" xr:uid="{00000000-0005-0000-0000-00003CBF0000}"/>
    <cellStyle name="Normal 7 6 2 2 2 2 2 2" xfId="47040" xr:uid="{00000000-0005-0000-0000-00003DBF0000}"/>
    <cellStyle name="Normal 7 6 2 2 2 2 3" xfId="34607" xr:uid="{00000000-0005-0000-0000-00003EBF0000}"/>
    <cellStyle name="Normal 7 6 2 2 2 3" xfId="4705" xr:uid="{00000000-0005-0000-0000-00003FBF0000}"/>
    <cellStyle name="Normal 7 6 2 2 2 3 2" xfId="17159" xr:uid="{00000000-0005-0000-0000-000040BF0000}"/>
    <cellStyle name="Normal 7 6 2 2 2 3 2 2" xfId="42033" xr:uid="{00000000-0005-0000-0000-000041BF0000}"/>
    <cellStyle name="Normal 7 6 2 2 2 3 3" xfId="29600" xr:uid="{00000000-0005-0000-0000-000042BF0000}"/>
    <cellStyle name="Normal 7 6 2 2 2 4" xfId="14419" xr:uid="{00000000-0005-0000-0000-000043BF0000}"/>
    <cellStyle name="Normal 7 6 2 2 2 4 2" xfId="39293" xr:uid="{00000000-0005-0000-0000-000044BF0000}"/>
    <cellStyle name="Normal 7 6 2 2 2 5" xfId="26852" xr:uid="{00000000-0005-0000-0000-000045BF0000}"/>
    <cellStyle name="Normal 7 6 2 2 3" xfId="5765" xr:uid="{00000000-0005-0000-0000-000046BF0000}"/>
    <cellStyle name="Normal 7 6 2 2 3 2" xfId="10780" xr:uid="{00000000-0005-0000-0000-000047BF0000}"/>
    <cellStyle name="Normal 7 6 2 2 3 2 2" xfId="23223" xr:uid="{00000000-0005-0000-0000-000048BF0000}"/>
    <cellStyle name="Normal 7 6 2 2 3 2 2 2" xfId="48097" xr:uid="{00000000-0005-0000-0000-000049BF0000}"/>
    <cellStyle name="Normal 7 6 2 2 3 2 3" xfId="35664" xr:uid="{00000000-0005-0000-0000-00004ABF0000}"/>
    <cellStyle name="Normal 7 6 2 2 3 3" xfId="18216" xr:uid="{00000000-0005-0000-0000-00004BBF0000}"/>
    <cellStyle name="Normal 7 6 2 2 3 3 2" xfId="43090" xr:uid="{00000000-0005-0000-0000-00004CBF0000}"/>
    <cellStyle name="Normal 7 6 2 2 3 4" xfId="30657" xr:uid="{00000000-0005-0000-0000-00004DBF0000}"/>
    <cellStyle name="Normal 7 6 2 2 4" xfId="8839" xr:uid="{00000000-0005-0000-0000-00004EBF0000}"/>
    <cellStyle name="Normal 7 6 2 2 4 2" xfId="21283" xr:uid="{00000000-0005-0000-0000-00004FBF0000}"/>
    <cellStyle name="Normal 7 6 2 2 4 2 2" xfId="46157" xr:uid="{00000000-0005-0000-0000-000050BF0000}"/>
    <cellStyle name="Normal 7 6 2 2 4 3" xfId="33724" xr:uid="{00000000-0005-0000-0000-000051BF0000}"/>
    <cellStyle name="Normal 7 6 2 2 5" xfId="12234" xr:uid="{00000000-0005-0000-0000-000052BF0000}"/>
    <cellStyle name="Normal 7 6 2 2 5 2" xfId="24668" xr:uid="{00000000-0005-0000-0000-000053BF0000}"/>
    <cellStyle name="Normal 7 6 2 2 5 2 2" xfId="49542" xr:uid="{00000000-0005-0000-0000-000054BF0000}"/>
    <cellStyle name="Normal 7 6 2 2 5 3" xfId="37109" xr:uid="{00000000-0005-0000-0000-000055BF0000}"/>
    <cellStyle name="Normal 7 6 2 2 6" xfId="7316" xr:uid="{00000000-0005-0000-0000-000056BF0000}"/>
    <cellStyle name="Normal 7 6 2 2 6 2" xfId="19765" xr:uid="{00000000-0005-0000-0000-000057BF0000}"/>
    <cellStyle name="Normal 7 6 2 2 6 2 2" xfId="44639" xr:uid="{00000000-0005-0000-0000-000058BF0000}"/>
    <cellStyle name="Normal 7 6 2 2 6 3" xfId="32206" xr:uid="{00000000-0005-0000-0000-000059BF0000}"/>
    <cellStyle name="Normal 7 6 2 2 7" xfId="3770" xr:uid="{00000000-0005-0000-0000-00005ABF0000}"/>
    <cellStyle name="Normal 7 6 2 2 7 2" xfId="16276" xr:uid="{00000000-0005-0000-0000-00005BBF0000}"/>
    <cellStyle name="Normal 7 6 2 2 7 2 2" xfId="41150" xr:uid="{00000000-0005-0000-0000-00005CBF0000}"/>
    <cellStyle name="Normal 7 6 2 2 7 3" xfId="28709" xr:uid="{00000000-0005-0000-0000-00005DBF0000}"/>
    <cellStyle name="Normal 7 6 2 2 8" xfId="13622" xr:uid="{00000000-0005-0000-0000-00005EBF0000}"/>
    <cellStyle name="Normal 7 6 2 2 8 2" xfId="38496" xr:uid="{00000000-0005-0000-0000-00005FBF0000}"/>
    <cellStyle name="Normal 7 6 2 2 9" xfId="26055" xr:uid="{00000000-0005-0000-0000-000060BF0000}"/>
    <cellStyle name="Normal 7 6 2 3" xfId="1967" xr:uid="{00000000-0005-0000-0000-000061BF0000}"/>
    <cellStyle name="Normal 7 6 2 3 2" xfId="5004" xr:uid="{00000000-0005-0000-0000-000062BF0000}"/>
    <cellStyle name="Normal 7 6 2 3 2 2" xfId="10021" xr:uid="{00000000-0005-0000-0000-000063BF0000}"/>
    <cellStyle name="Normal 7 6 2 3 2 2 2" xfId="22464" xr:uid="{00000000-0005-0000-0000-000064BF0000}"/>
    <cellStyle name="Normal 7 6 2 3 2 2 2 2" xfId="47338" xr:uid="{00000000-0005-0000-0000-000065BF0000}"/>
    <cellStyle name="Normal 7 6 2 3 2 2 3" xfId="34905" xr:uid="{00000000-0005-0000-0000-000066BF0000}"/>
    <cellStyle name="Normal 7 6 2 3 2 3" xfId="17457" xr:uid="{00000000-0005-0000-0000-000067BF0000}"/>
    <cellStyle name="Normal 7 6 2 3 2 3 2" xfId="42331" xr:uid="{00000000-0005-0000-0000-000068BF0000}"/>
    <cellStyle name="Normal 7 6 2 3 2 4" xfId="29898" xr:uid="{00000000-0005-0000-0000-000069BF0000}"/>
    <cellStyle name="Normal 7 6 2 3 3" xfId="6113" xr:uid="{00000000-0005-0000-0000-00006ABF0000}"/>
    <cellStyle name="Normal 7 6 2 3 3 2" xfId="11128" xr:uid="{00000000-0005-0000-0000-00006BBF0000}"/>
    <cellStyle name="Normal 7 6 2 3 3 2 2" xfId="23571" xr:uid="{00000000-0005-0000-0000-00006CBF0000}"/>
    <cellStyle name="Normal 7 6 2 3 3 2 2 2" xfId="48445" xr:uid="{00000000-0005-0000-0000-00006DBF0000}"/>
    <cellStyle name="Normal 7 6 2 3 3 2 3" xfId="36012" xr:uid="{00000000-0005-0000-0000-00006EBF0000}"/>
    <cellStyle name="Normal 7 6 2 3 3 3" xfId="18564" xr:uid="{00000000-0005-0000-0000-00006FBF0000}"/>
    <cellStyle name="Normal 7 6 2 3 3 3 2" xfId="43438" xr:uid="{00000000-0005-0000-0000-000070BF0000}"/>
    <cellStyle name="Normal 7 6 2 3 3 4" xfId="31005" xr:uid="{00000000-0005-0000-0000-000071BF0000}"/>
    <cellStyle name="Normal 7 6 2 3 4" xfId="8428" xr:uid="{00000000-0005-0000-0000-000072BF0000}"/>
    <cellStyle name="Normal 7 6 2 3 4 2" xfId="20872" xr:uid="{00000000-0005-0000-0000-000073BF0000}"/>
    <cellStyle name="Normal 7 6 2 3 4 2 2" xfId="45746" xr:uid="{00000000-0005-0000-0000-000074BF0000}"/>
    <cellStyle name="Normal 7 6 2 3 4 3" xfId="33313" xr:uid="{00000000-0005-0000-0000-000075BF0000}"/>
    <cellStyle name="Normal 7 6 2 3 5" xfId="12582" xr:uid="{00000000-0005-0000-0000-000076BF0000}"/>
    <cellStyle name="Normal 7 6 2 3 5 2" xfId="25016" xr:uid="{00000000-0005-0000-0000-000077BF0000}"/>
    <cellStyle name="Normal 7 6 2 3 5 2 2" xfId="49890" xr:uid="{00000000-0005-0000-0000-000078BF0000}"/>
    <cellStyle name="Normal 7 6 2 3 5 3" xfId="37457" xr:uid="{00000000-0005-0000-0000-000079BF0000}"/>
    <cellStyle name="Normal 7 6 2 3 6" xfId="7615" xr:uid="{00000000-0005-0000-0000-00007ABF0000}"/>
    <cellStyle name="Normal 7 6 2 3 6 2" xfId="20063" xr:uid="{00000000-0005-0000-0000-00007BBF0000}"/>
    <cellStyle name="Normal 7 6 2 3 6 2 2" xfId="44937" xr:uid="{00000000-0005-0000-0000-00007CBF0000}"/>
    <cellStyle name="Normal 7 6 2 3 6 3" xfId="32504" xr:uid="{00000000-0005-0000-0000-00007DBF0000}"/>
    <cellStyle name="Normal 7 6 2 3 7" xfId="3359" xr:uid="{00000000-0005-0000-0000-00007EBF0000}"/>
    <cellStyle name="Normal 7 6 2 3 7 2" xfId="15865" xr:uid="{00000000-0005-0000-0000-00007FBF0000}"/>
    <cellStyle name="Normal 7 6 2 3 7 2 2" xfId="40739" xr:uid="{00000000-0005-0000-0000-000080BF0000}"/>
    <cellStyle name="Normal 7 6 2 3 7 3" xfId="28298" xr:uid="{00000000-0005-0000-0000-000081BF0000}"/>
    <cellStyle name="Normal 7 6 2 3 8" xfId="14767" xr:uid="{00000000-0005-0000-0000-000082BF0000}"/>
    <cellStyle name="Normal 7 6 2 3 8 2" xfId="39641" xr:uid="{00000000-0005-0000-0000-000083BF0000}"/>
    <cellStyle name="Normal 7 6 2 3 9" xfId="27200" xr:uid="{00000000-0005-0000-0000-000084BF0000}"/>
    <cellStyle name="Normal 7 6 2 4" xfId="2380" xr:uid="{00000000-0005-0000-0000-000085BF0000}"/>
    <cellStyle name="Normal 7 6 2 4 2" xfId="6402" xr:uid="{00000000-0005-0000-0000-000086BF0000}"/>
    <cellStyle name="Normal 7 6 2 4 2 2" xfId="11417" xr:uid="{00000000-0005-0000-0000-000087BF0000}"/>
    <cellStyle name="Normal 7 6 2 4 2 2 2" xfId="23860" xr:uid="{00000000-0005-0000-0000-000088BF0000}"/>
    <cellStyle name="Normal 7 6 2 4 2 2 2 2" xfId="48734" xr:uid="{00000000-0005-0000-0000-000089BF0000}"/>
    <cellStyle name="Normal 7 6 2 4 2 2 3" xfId="36301" xr:uid="{00000000-0005-0000-0000-00008ABF0000}"/>
    <cellStyle name="Normal 7 6 2 4 2 3" xfId="18853" xr:uid="{00000000-0005-0000-0000-00008BBF0000}"/>
    <cellStyle name="Normal 7 6 2 4 2 3 2" xfId="43727" xr:uid="{00000000-0005-0000-0000-00008CBF0000}"/>
    <cellStyle name="Normal 7 6 2 4 2 4" xfId="31294" xr:uid="{00000000-0005-0000-0000-00008DBF0000}"/>
    <cellStyle name="Normal 7 6 2 4 3" xfId="12871" xr:uid="{00000000-0005-0000-0000-00008EBF0000}"/>
    <cellStyle name="Normal 7 6 2 4 3 2" xfId="25305" xr:uid="{00000000-0005-0000-0000-00008FBF0000}"/>
    <cellStyle name="Normal 7 6 2 4 3 2 2" xfId="50179" xr:uid="{00000000-0005-0000-0000-000090BF0000}"/>
    <cellStyle name="Normal 7 6 2 4 3 3" xfId="37746" xr:uid="{00000000-0005-0000-0000-000091BF0000}"/>
    <cellStyle name="Normal 7 6 2 4 4" xfId="9312" xr:uid="{00000000-0005-0000-0000-000092BF0000}"/>
    <cellStyle name="Normal 7 6 2 4 4 2" xfId="21755" xr:uid="{00000000-0005-0000-0000-000093BF0000}"/>
    <cellStyle name="Normal 7 6 2 4 4 2 2" xfId="46629" xr:uid="{00000000-0005-0000-0000-000094BF0000}"/>
    <cellStyle name="Normal 7 6 2 4 4 3" xfId="34196" xr:uid="{00000000-0005-0000-0000-000095BF0000}"/>
    <cellStyle name="Normal 7 6 2 4 5" xfId="4294" xr:uid="{00000000-0005-0000-0000-000096BF0000}"/>
    <cellStyle name="Normal 7 6 2 4 5 2" xfId="16748" xr:uid="{00000000-0005-0000-0000-000097BF0000}"/>
    <cellStyle name="Normal 7 6 2 4 5 2 2" xfId="41622" xr:uid="{00000000-0005-0000-0000-000098BF0000}"/>
    <cellStyle name="Normal 7 6 2 4 5 3" xfId="29189" xr:uid="{00000000-0005-0000-0000-000099BF0000}"/>
    <cellStyle name="Normal 7 6 2 4 6" xfId="15056" xr:uid="{00000000-0005-0000-0000-00009ABF0000}"/>
    <cellStyle name="Normal 7 6 2 4 6 2" xfId="39930" xr:uid="{00000000-0005-0000-0000-00009BBF0000}"/>
    <cellStyle name="Normal 7 6 2 4 7" xfId="27489" xr:uid="{00000000-0005-0000-0000-00009CBF0000}"/>
    <cellStyle name="Normal 7 6 2 5" xfId="1213" xr:uid="{00000000-0005-0000-0000-00009DBF0000}"/>
    <cellStyle name="Normal 7 6 2 5 2" xfId="10374" xr:uid="{00000000-0005-0000-0000-00009EBF0000}"/>
    <cellStyle name="Normal 7 6 2 5 2 2" xfId="22817" xr:uid="{00000000-0005-0000-0000-00009FBF0000}"/>
    <cellStyle name="Normal 7 6 2 5 2 2 2" xfId="47691" xr:uid="{00000000-0005-0000-0000-0000A0BF0000}"/>
    <cellStyle name="Normal 7 6 2 5 2 3" xfId="35258" xr:uid="{00000000-0005-0000-0000-0000A1BF0000}"/>
    <cellStyle name="Normal 7 6 2 5 3" xfId="5358" xr:uid="{00000000-0005-0000-0000-0000A2BF0000}"/>
    <cellStyle name="Normal 7 6 2 5 3 2" xfId="17810" xr:uid="{00000000-0005-0000-0000-0000A3BF0000}"/>
    <cellStyle name="Normal 7 6 2 5 3 2 2" xfId="42684" xr:uid="{00000000-0005-0000-0000-0000A4BF0000}"/>
    <cellStyle name="Normal 7 6 2 5 3 3" xfId="30251" xr:uid="{00000000-0005-0000-0000-0000A5BF0000}"/>
    <cellStyle name="Normal 7 6 2 5 4" xfId="14013" xr:uid="{00000000-0005-0000-0000-0000A6BF0000}"/>
    <cellStyle name="Normal 7 6 2 5 4 2" xfId="38887" xr:uid="{00000000-0005-0000-0000-0000A7BF0000}"/>
    <cellStyle name="Normal 7 6 2 5 5" xfId="26446" xr:uid="{00000000-0005-0000-0000-0000A8BF0000}"/>
    <cellStyle name="Normal 7 6 2 6" xfId="7935" xr:uid="{00000000-0005-0000-0000-0000A9BF0000}"/>
    <cellStyle name="Normal 7 6 2 6 2" xfId="20381" xr:uid="{00000000-0005-0000-0000-0000AABF0000}"/>
    <cellStyle name="Normal 7 6 2 6 2 2" xfId="45255" xr:uid="{00000000-0005-0000-0000-0000ABBF0000}"/>
    <cellStyle name="Normal 7 6 2 6 3" xfId="32822" xr:uid="{00000000-0005-0000-0000-0000ACBF0000}"/>
    <cellStyle name="Normal 7 6 2 7" xfId="11828" xr:uid="{00000000-0005-0000-0000-0000ADBF0000}"/>
    <cellStyle name="Normal 7 6 2 7 2" xfId="24262" xr:uid="{00000000-0005-0000-0000-0000AEBF0000}"/>
    <cellStyle name="Normal 7 6 2 7 2 2" xfId="49136" xr:uid="{00000000-0005-0000-0000-0000AFBF0000}"/>
    <cellStyle name="Normal 7 6 2 7 3" xfId="36703" xr:uid="{00000000-0005-0000-0000-0000B0BF0000}"/>
    <cellStyle name="Normal 7 6 2 8" xfId="6905" xr:uid="{00000000-0005-0000-0000-0000B1BF0000}"/>
    <cellStyle name="Normal 7 6 2 8 2" xfId="19354" xr:uid="{00000000-0005-0000-0000-0000B2BF0000}"/>
    <cellStyle name="Normal 7 6 2 8 2 2" xfId="44228" xr:uid="{00000000-0005-0000-0000-0000B3BF0000}"/>
    <cellStyle name="Normal 7 6 2 8 3" xfId="31795" xr:uid="{00000000-0005-0000-0000-0000B4BF0000}"/>
    <cellStyle name="Normal 7 6 2 9" xfId="2856" xr:uid="{00000000-0005-0000-0000-0000B5BF0000}"/>
    <cellStyle name="Normal 7 6 2 9 2" xfId="15374" xr:uid="{00000000-0005-0000-0000-0000B6BF0000}"/>
    <cellStyle name="Normal 7 6 2 9 2 2" xfId="40248" xr:uid="{00000000-0005-0000-0000-0000B7BF0000}"/>
    <cellStyle name="Normal 7 6 2 9 3" xfId="27807" xr:uid="{00000000-0005-0000-0000-0000B8BF0000}"/>
    <cellStyle name="Normal 7 6 2_Degree data" xfId="2593" xr:uid="{00000000-0005-0000-0000-0000B9BF0000}"/>
    <cellStyle name="Normal 7 6 3" xfId="610" xr:uid="{00000000-0005-0000-0000-0000BABF0000}"/>
    <cellStyle name="Normal 7 6 3 2" xfId="1618" xr:uid="{00000000-0005-0000-0000-0000BBBF0000}"/>
    <cellStyle name="Normal 7 6 3 2 2" xfId="9107" xr:uid="{00000000-0005-0000-0000-0000BCBF0000}"/>
    <cellStyle name="Normal 7 6 3 2 2 2" xfId="21550" xr:uid="{00000000-0005-0000-0000-0000BDBF0000}"/>
    <cellStyle name="Normal 7 6 3 2 2 2 2" xfId="46424" xr:uid="{00000000-0005-0000-0000-0000BEBF0000}"/>
    <cellStyle name="Normal 7 6 3 2 2 3" xfId="33991" xr:uid="{00000000-0005-0000-0000-0000BFBF0000}"/>
    <cellStyle name="Normal 7 6 3 2 3" xfId="4089" xr:uid="{00000000-0005-0000-0000-0000C0BF0000}"/>
    <cellStyle name="Normal 7 6 3 2 3 2" xfId="16543" xr:uid="{00000000-0005-0000-0000-0000C1BF0000}"/>
    <cellStyle name="Normal 7 6 3 2 3 2 2" xfId="41417" xr:uid="{00000000-0005-0000-0000-0000C2BF0000}"/>
    <cellStyle name="Normal 7 6 3 2 3 3" xfId="28984" xr:uid="{00000000-0005-0000-0000-0000C3BF0000}"/>
    <cellStyle name="Normal 7 6 3 2 4" xfId="14418" xr:uid="{00000000-0005-0000-0000-0000C4BF0000}"/>
    <cellStyle name="Normal 7 6 3 2 4 2" xfId="39292" xr:uid="{00000000-0005-0000-0000-0000C5BF0000}"/>
    <cellStyle name="Normal 7 6 3 2 5" xfId="26851" xr:uid="{00000000-0005-0000-0000-0000C6BF0000}"/>
    <cellStyle name="Normal 7 6 3 3" xfId="5764" xr:uid="{00000000-0005-0000-0000-0000C7BF0000}"/>
    <cellStyle name="Normal 7 6 3 3 2" xfId="10779" xr:uid="{00000000-0005-0000-0000-0000C8BF0000}"/>
    <cellStyle name="Normal 7 6 3 3 2 2" xfId="23222" xr:uid="{00000000-0005-0000-0000-0000C9BF0000}"/>
    <cellStyle name="Normal 7 6 3 3 2 2 2" xfId="48096" xr:uid="{00000000-0005-0000-0000-0000CABF0000}"/>
    <cellStyle name="Normal 7 6 3 3 2 3" xfId="35663" xr:uid="{00000000-0005-0000-0000-0000CBBF0000}"/>
    <cellStyle name="Normal 7 6 3 3 3" xfId="18215" xr:uid="{00000000-0005-0000-0000-0000CCBF0000}"/>
    <cellStyle name="Normal 7 6 3 3 3 2" xfId="43089" xr:uid="{00000000-0005-0000-0000-0000CDBF0000}"/>
    <cellStyle name="Normal 7 6 3 3 4" xfId="30656" xr:uid="{00000000-0005-0000-0000-0000CEBF0000}"/>
    <cellStyle name="Normal 7 6 3 4" xfId="8223" xr:uid="{00000000-0005-0000-0000-0000CFBF0000}"/>
    <cellStyle name="Normal 7 6 3 4 2" xfId="20667" xr:uid="{00000000-0005-0000-0000-0000D0BF0000}"/>
    <cellStyle name="Normal 7 6 3 4 2 2" xfId="45541" xr:uid="{00000000-0005-0000-0000-0000D1BF0000}"/>
    <cellStyle name="Normal 7 6 3 4 3" xfId="33108" xr:uid="{00000000-0005-0000-0000-0000D2BF0000}"/>
    <cellStyle name="Normal 7 6 3 5" xfId="12233" xr:uid="{00000000-0005-0000-0000-0000D3BF0000}"/>
    <cellStyle name="Normal 7 6 3 5 2" xfId="24667" xr:uid="{00000000-0005-0000-0000-0000D4BF0000}"/>
    <cellStyle name="Normal 7 6 3 5 2 2" xfId="49541" xr:uid="{00000000-0005-0000-0000-0000D5BF0000}"/>
    <cellStyle name="Normal 7 6 3 5 3" xfId="37108" xr:uid="{00000000-0005-0000-0000-0000D6BF0000}"/>
    <cellStyle name="Normal 7 6 3 6" xfId="6700" xr:uid="{00000000-0005-0000-0000-0000D7BF0000}"/>
    <cellStyle name="Normal 7 6 3 6 2" xfId="19149" xr:uid="{00000000-0005-0000-0000-0000D8BF0000}"/>
    <cellStyle name="Normal 7 6 3 6 2 2" xfId="44023" xr:uid="{00000000-0005-0000-0000-0000D9BF0000}"/>
    <cellStyle name="Normal 7 6 3 6 3" xfId="31590" xr:uid="{00000000-0005-0000-0000-0000DABF0000}"/>
    <cellStyle name="Normal 7 6 3 7" xfId="3154" xr:uid="{00000000-0005-0000-0000-0000DBBF0000}"/>
    <cellStyle name="Normal 7 6 3 7 2" xfId="15660" xr:uid="{00000000-0005-0000-0000-0000DCBF0000}"/>
    <cellStyle name="Normal 7 6 3 7 2 2" xfId="40534" xr:uid="{00000000-0005-0000-0000-0000DDBF0000}"/>
    <cellStyle name="Normal 7 6 3 7 3" xfId="28093" xr:uid="{00000000-0005-0000-0000-0000DEBF0000}"/>
    <cellStyle name="Normal 7 6 3 8" xfId="13417" xr:uid="{00000000-0005-0000-0000-0000DFBF0000}"/>
    <cellStyle name="Normal 7 6 3 8 2" xfId="38291" xr:uid="{00000000-0005-0000-0000-0000E0BF0000}"/>
    <cellStyle name="Normal 7 6 3 9" xfId="25850" xr:uid="{00000000-0005-0000-0000-0000E1BF0000}"/>
    <cellStyle name="Normal 7 6 4" xfId="1966" xr:uid="{00000000-0005-0000-0000-0000E2BF0000}"/>
    <cellStyle name="Normal 7 6 4 2" xfId="4704" xr:uid="{00000000-0005-0000-0000-0000E3BF0000}"/>
    <cellStyle name="Normal 7 6 4 2 2" xfId="9722" xr:uid="{00000000-0005-0000-0000-0000E4BF0000}"/>
    <cellStyle name="Normal 7 6 4 2 2 2" xfId="22165" xr:uid="{00000000-0005-0000-0000-0000E5BF0000}"/>
    <cellStyle name="Normal 7 6 4 2 2 2 2" xfId="47039" xr:uid="{00000000-0005-0000-0000-0000E6BF0000}"/>
    <cellStyle name="Normal 7 6 4 2 2 3" xfId="34606" xr:uid="{00000000-0005-0000-0000-0000E7BF0000}"/>
    <cellStyle name="Normal 7 6 4 2 3" xfId="17158" xr:uid="{00000000-0005-0000-0000-0000E8BF0000}"/>
    <cellStyle name="Normal 7 6 4 2 3 2" xfId="42032" xr:uid="{00000000-0005-0000-0000-0000E9BF0000}"/>
    <cellStyle name="Normal 7 6 4 2 4" xfId="29599" xr:uid="{00000000-0005-0000-0000-0000EABF0000}"/>
    <cellStyle name="Normal 7 6 4 3" xfId="6112" xr:uid="{00000000-0005-0000-0000-0000EBBF0000}"/>
    <cellStyle name="Normal 7 6 4 3 2" xfId="11127" xr:uid="{00000000-0005-0000-0000-0000ECBF0000}"/>
    <cellStyle name="Normal 7 6 4 3 2 2" xfId="23570" xr:uid="{00000000-0005-0000-0000-0000EDBF0000}"/>
    <cellStyle name="Normal 7 6 4 3 2 2 2" xfId="48444" xr:uid="{00000000-0005-0000-0000-0000EEBF0000}"/>
    <cellStyle name="Normal 7 6 4 3 2 3" xfId="36011" xr:uid="{00000000-0005-0000-0000-0000EFBF0000}"/>
    <cellStyle name="Normal 7 6 4 3 3" xfId="18563" xr:uid="{00000000-0005-0000-0000-0000F0BF0000}"/>
    <cellStyle name="Normal 7 6 4 3 3 2" xfId="43437" xr:uid="{00000000-0005-0000-0000-0000F1BF0000}"/>
    <cellStyle name="Normal 7 6 4 3 4" xfId="31004" xr:uid="{00000000-0005-0000-0000-0000F2BF0000}"/>
    <cellStyle name="Normal 7 6 4 4" xfId="8838" xr:uid="{00000000-0005-0000-0000-0000F3BF0000}"/>
    <cellStyle name="Normal 7 6 4 4 2" xfId="21282" xr:uid="{00000000-0005-0000-0000-0000F4BF0000}"/>
    <cellStyle name="Normal 7 6 4 4 2 2" xfId="46156" xr:uid="{00000000-0005-0000-0000-0000F5BF0000}"/>
    <cellStyle name="Normal 7 6 4 4 3" xfId="33723" xr:uid="{00000000-0005-0000-0000-0000F6BF0000}"/>
    <cellStyle name="Normal 7 6 4 5" xfId="12581" xr:uid="{00000000-0005-0000-0000-0000F7BF0000}"/>
    <cellStyle name="Normal 7 6 4 5 2" xfId="25015" xr:uid="{00000000-0005-0000-0000-0000F8BF0000}"/>
    <cellStyle name="Normal 7 6 4 5 2 2" xfId="49889" xr:uid="{00000000-0005-0000-0000-0000F9BF0000}"/>
    <cellStyle name="Normal 7 6 4 5 3" xfId="37456" xr:uid="{00000000-0005-0000-0000-0000FABF0000}"/>
    <cellStyle name="Normal 7 6 4 6" xfId="7315" xr:uid="{00000000-0005-0000-0000-0000FBBF0000}"/>
    <cellStyle name="Normal 7 6 4 6 2" xfId="19764" xr:uid="{00000000-0005-0000-0000-0000FCBF0000}"/>
    <cellStyle name="Normal 7 6 4 6 2 2" xfId="44638" xr:uid="{00000000-0005-0000-0000-0000FDBF0000}"/>
    <cellStyle name="Normal 7 6 4 6 3" xfId="32205" xr:uid="{00000000-0005-0000-0000-0000FEBF0000}"/>
    <cellStyle name="Normal 7 6 4 7" xfId="3769" xr:uid="{00000000-0005-0000-0000-0000FFBF0000}"/>
    <cellStyle name="Normal 7 6 4 7 2" xfId="16275" xr:uid="{00000000-0005-0000-0000-000000C00000}"/>
    <cellStyle name="Normal 7 6 4 7 2 2" xfId="41149" xr:uid="{00000000-0005-0000-0000-000001C00000}"/>
    <cellStyle name="Normal 7 6 4 7 3" xfId="28708" xr:uid="{00000000-0005-0000-0000-000002C00000}"/>
    <cellStyle name="Normal 7 6 4 8" xfId="14766" xr:uid="{00000000-0005-0000-0000-000003C00000}"/>
    <cellStyle name="Normal 7 6 4 8 2" xfId="39640" xr:uid="{00000000-0005-0000-0000-000004C00000}"/>
    <cellStyle name="Normal 7 6 4 9" xfId="27199" xr:uid="{00000000-0005-0000-0000-000005C00000}"/>
    <cellStyle name="Normal 7 6 5" xfId="2166" xr:uid="{00000000-0005-0000-0000-000006C00000}"/>
    <cellStyle name="Normal 7 6 5 2" xfId="4799" xr:uid="{00000000-0005-0000-0000-000007C00000}"/>
    <cellStyle name="Normal 7 6 5 2 2" xfId="9816" xr:uid="{00000000-0005-0000-0000-000008C00000}"/>
    <cellStyle name="Normal 7 6 5 2 2 2" xfId="22259" xr:uid="{00000000-0005-0000-0000-000009C00000}"/>
    <cellStyle name="Normal 7 6 5 2 2 2 2" xfId="47133" xr:uid="{00000000-0005-0000-0000-00000AC00000}"/>
    <cellStyle name="Normal 7 6 5 2 2 3" xfId="34700" xr:uid="{00000000-0005-0000-0000-00000BC00000}"/>
    <cellStyle name="Normal 7 6 5 2 3" xfId="17252" xr:uid="{00000000-0005-0000-0000-00000CC00000}"/>
    <cellStyle name="Normal 7 6 5 2 3 2" xfId="42126" xr:uid="{00000000-0005-0000-0000-00000DC00000}"/>
    <cellStyle name="Normal 7 6 5 2 4" xfId="29693" xr:uid="{00000000-0005-0000-0000-00000EC00000}"/>
    <cellStyle name="Normal 7 6 5 3" xfId="6197" xr:uid="{00000000-0005-0000-0000-00000FC00000}"/>
    <cellStyle name="Normal 7 6 5 3 2" xfId="11212" xr:uid="{00000000-0005-0000-0000-000010C00000}"/>
    <cellStyle name="Normal 7 6 5 3 2 2" xfId="23655" xr:uid="{00000000-0005-0000-0000-000011C00000}"/>
    <cellStyle name="Normal 7 6 5 3 2 2 2" xfId="48529" xr:uid="{00000000-0005-0000-0000-000012C00000}"/>
    <cellStyle name="Normal 7 6 5 3 2 3" xfId="36096" xr:uid="{00000000-0005-0000-0000-000013C00000}"/>
    <cellStyle name="Normal 7 6 5 3 3" xfId="18648" xr:uid="{00000000-0005-0000-0000-000014C00000}"/>
    <cellStyle name="Normal 7 6 5 3 3 2" xfId="43522" xr:uid="{00000000-0005-0000-0000-000015C00000}"/>
    <cellStyle name="Normal 7 6 5 3 4" xfId="31089" xr:uid="{00000000-0005-0000-0000-000016C00000}"/>
    <cellStyle name="Normal 7 6 5 4" xfId="8109" xr:uid="{00000000-0005-0000-0000-000017C00000}"/>
    <cellStyle name="Normal 7 6 5 4 2" xfId="20555" xr:uid="{00000000-0005-0000-0000-000018C00000}"/>
    <cellStyle name="Normal 7 6 5 4 2 2" xfId="45429" xr:uid="{00000000-0005-0000-0000-000019C00000}"/>
    <cellStyle name="Normal 7 6 5 4 3" xfId="32996" xr:uid="{00000000-0005-0000-0000-00001AC00000}"/>
    <cellStyle name="Normal 7 6 5 5" xfId="12666" xr:uid="{00000000-0005-0000-0000-00001BC00000}"/>
    <cellStyle name="Normal 7 6 5 5 2" xfId="25100" xr:uid="{00000000-0005-0000-0000-00001CC00000}"/>
    <cellStyle name="Normal 7 6 5 5 2 2" xfId="49974" xr:uid="{00000000-0005-0000-0000-00001DC00000}"/>
    <cellStyle name="Normal 7 6 5 5 3" xfId="37541" xr:uid="{00000000-0005-0000-0000-00001EC00000}"/>
    <cellStyle name="Normal 7 6 5 6" xfId="7410" xr:uid="{00000000-0005-0000-0000-00001FC00000}"/>
    <cellStyle name="Normal 7 6 5 6 2" xfId="19858" xr:uid="{00000000-0005-0000-0000-000020C00000}"/>
    <cellStyle name="Normal 7 6 5 6 2 2" xfId="44732" xr:uid="{00000000-0005-0000-0000-000021C00000}"/>
    <cellStyle name="Normal 7 6 5 6 3" xfId="32299" xr:uid="{00000000-0005-0000-0000-000022C00000}"/>
    <cellStyle name="Normal 7 6 5 7" xfId="3039" xr:uid="{00000000-0005-0000-0000-000023C00000}"/>
    <cellStyle name="Normal 7 6 5 7 2" xfId="15548" xr:uid="{00000000-0005-0000-0000-000024C00000}"/>
    <cellStyle name="Normal 7 6 5 7 2 2" xfId="40422" xr:uid="{00000000-0005-0000-0000-000025C00000}"/>
    <cellStyle name="Normal 7 6 5 7 3" xfId="27981" xr:uid="{00000000-0005-0000-0000-000026C00000}"/>
    <cellStyle name="Normal 7 6 5 8" xfId="14851" xr:uid="{00000000-0005-0000-0000-000027C00000}"/>
    <cellStyle name="Normal 7 6 5 8 2" xfId="39725" xr:uid="{00000000-0005-0000-0000-000028C00000}"/>
    <cellStyle name="Normal 7 6 5 9" xfId="27284" xr:uid="{00000000-0005-0000-0000-000029C00000}"/>
    <cellStyle name="Normal 7 6 6" xfId="1008" xr:uid="{00000000-0005-0000-0000-00002AC00000}"/>
    <cellStyle name="Normal 7 6 6 2" xfId="8995" xr:uid="{00000000-0005-0000-0000-00002BC00000}"/>
    <cellStyle name="Normal 7 6 6 2 2" xfId="21438" xr:uid="{00000000-0005-0000-0000-00002CC00000}"/>
    <cellStyle name="Normal 7 6 6 2 2 2" xfId="46312" xr:uid="{00000000-0005-0000-0000-00002DC00000}"/>
    <cellStyle name="Normal 7 6 6 2 3" xfId="33879" xr:uid="{00000000-0005-0000-0000-00002EC00000}"/>
    <cellStyle name="Normal 7 6 6 3" xfId="3977" xr:uid="{00000000-0005-0000-0000-00002FC00000}"/>
    <cellStyle name="Normal 7 6 6 3 2" xfId="16431" xr:uid="{00000000-0005-0000-0000-000030C00000}"/>
    <cellStyle name="Normal 7 6 6 3 2 2" xfId="41305" xr:uid="{00000000-0005-0000-0000-000031C00000}"/>
    <cellStyle name="Normal 7 6 6 3 3" xfId="28872" xr:uid="{00000000-0005-0000-0000-000032C00000}"/>
    <cellStyle name="Normal 7 6 6 4" xfId="13808" xr:uid="{00000000-0005-0000-0000-000033C00000}"/>
    <cellStyle name="Normal 7 6 6 4 2" xfId="38682" xr:uid="{00000000-0005-0000-0000-000034C00000}"/>
    <cellStyle name="Normal 7 6 6 5" xfId="26241" xr:uid="{00000000-0005-0000-0000-000035C00000}"/>
    <cellStyle name="Normal 7 6 7" xfId="5153" xr:uid="{00000000-0005-0000-0000-000036C00000}"/>
    <cellStyle name="Normal 7 6 7 2" xfId="10169" xr:uid="{00000000-0005-0000-0000-000037C00000}"/>
    <cellStyle name="Normal 7 6 7 2 2" xfId="22612" xr:uid="{00000000-0005-0000-0000-000038C00000}"/>
    <cellStyle name="Normal 7 6 7 2 2 2" xfId="47486" xr:uid="{00000000-0005-0000-0000-000039C00000}"/>
    <cellStyle name="Normal 7 6 7 2 3" xfId="35053" xr:uid="{00000000-0005-0000-0000-00003AC00000}"/>
    <cellStyle name="Normal 7 6 7 3" xfId="17605" xr:uid="{00000000-0005-0000-0000-00003BC00000}"/>
    <cellStyle name="Normal 7 6 7 3 2" xfId="42479" xr:uid="{00000000-0005-0000-0000-00003CC00000}"/>
    <cellStyle name="Normal 7 6 7 4" xfId="30046" xr:uid="{00000000-0005-0000-0000-00003DC00000}"/>
    <cellStyle name="Normal 7 6 8" xfId="7730" xr:uid="{00000000-0005-0000-0000-00003EC00000}"/>
    <cellStyle name="Normal 7 6 8 2" xfId="20176" xr:uid="{00000000-0005-0000-0000-00003FC00000}"/>
    <cellStyle name="Normal 7 6 8 2 2" xfId="45050" xr:uid="{00000000-0005-0000-0000-000040C00000}"/>
    <cellStyle name="Normal 7 6 8 3" xfId="32617" xr:uid="{00000000-0005-0000-0000-000041C00000}"/>
    <cellStyle name="Normal 7 6 9" xfId="11623" xr:uid="{00000000-0005-0000-0000-000042C00000}"/>
    <cellStyle name="Normal 7 6 9 2" xfId="24057" xr:uid="{00000000-0005-0000-0000-000043C00000}"/>
    <cellStyle name="Normal 7 6 9 2 2" xfId="48931" xr:uid="{00000000-0005-0000-0000-000044C00000}"/>
    <cellStyle name="Normal 7 6 9 3" xfId="36498" xr:uid="{00000000-0005-0000-0000-000045C00000}"/>
    <cellStyle name="Normal 7 6_Degree data" xfId="2592" xr:uid="{00000000-0005-0000-0000-000046C00000}"/>
    <cellStyle name="Normal 7 7" xfId="518" xr:uid="{00000000-0005-0000-0000-000047C00000}"/>
    <cellStyle name="Normal 7 7 10" xfId="2912" xr:uid="{00000000-0005-0000-0000-000048C00000}"/>
    <cellStyle name="Normal 7 7 10 2" xfId="15430" xr:uid="{00000000-0005-0000-0000-000049C00000}"/>
    <cellStyle name="Normal 7 7 10 2 2" xfId="40304" xr:uid="{00000000-0005-0000-0000-00004AC00000}"/>
    <cellStyle name="Normal 7 7 10 3" xfId="27863" xr:uid="{00000000-0005-0000-0000-00004BC00000}"/>
    <cellStyle name="Normal 7 7 11" xfId="13331" xr:uid="{00000000-0005-0000-0000-00004CC00000}"/>
    <cellStyle name="Normal 7 7 11 2" xfId="38205" xr:uid="{00000000-0005-0000-0000-00004DC00000}"/>
    <cellStyle name="Normal 7 7 12" xfId="25764" xr:uid="{00000000-0005-0000-0000-00004EC00000}"/>
    <cellStyle name="Normal 7 7 2" xfId="877" xr:uid="{00000000-0005-0000-0000-00004FC00000}"/>
    <cellStyle name="Normal 7 7 2 2" xfId="1620" xr:uid="{00000000-0005-0000-0000-000050C00000}"/>
    <cellStyle name="Normal 7 7 2 2 2" xfId="9368" xr:uid="{00000000-0005-0000-0000-000051C00000}"/>
    <cellStyle name="Normal 7 7 2 2 2 2" xfId="21811" xr:uid="{00000000-0005-0000-0000-000052C00000}"/>
    <cellStyle name="Normal 7 7 2 2 2 2 2" xfId="46685" xr:uid="{00000000-0005-0000-0000-000053C00000}"/>
    <cellStyle name="Normal 7 7 2 2 2 3" xfId="34252" xr:uid="{00000000-0005-0000-0000-000054C00000}"/>
    <cellStyle name="Normal 7 7 2 2 3" xfId="4350" xr:uid="{00000000-0005-0000-0000-000055C00000}"/>
    <cellStyle name="Normal 7 7 2 2 3 2" xfId="16804" xr:uid="{00000000-0005-0000-0000-000056C00000}"/>
    <cellStyle name="Normal 7 7 2 2 3 2 2" xfId="41678" xr:uid="{00000000-0005-0000-0000-000057C00000}"/>
    <cellStyle name="Normal 7 7 2 2 3 3" xfId="29245" xr:uid="{00000000-0005-0000-0000-000058C00000}"/>
    <cellStyle name="Normal 7 7 2 2 4" xfId="14420" xr:uid="{00000000-0005-0000-0000-000059C00000}"/>
    <cellStyle name="Normal 7 7 2 2 4 2" xfId="39294" xr:uid="{00000000-0005-0000-0000-00005AC00000}"/>
    <cellStyle name="Normal 7 7 2 2 5" xfId="26853" xr:uid="{00000000-0005-0000-0000-00005BC00000}"/>
    <cellStyle name="Normal 7 7 2 3" xfId="5766" xr:uid="{00000000-0005-0000-0000-00005CC00000}"/>
    <cellStyle name="Normal 7 7 2 3 2" xfId="10781" xr:uid="{00000000-0005-0000-0000-00005DC00000}"/>
    <cellStyle name="Normal 7 7 2 3 2 2" xfId="23224" xr:uid="{00000000-0005-0000-0000-00005EC00000}"/>
    <cellStyle name="Normal 7 7 2 3 2 2 2" xfId="48098" xr:uid="{00000000-0005-0000-0000-00005FC00000}"/>
    <cellStyle name="Normal 7 7 2 3 2 3" xfId="35665" xr:uid="{00000000-0005-0000-0000-000060C00000}"/>
    <cellStyle name="Normal 7 7 2 3 3" xfId="18217" xr:uid="{00000000-0005-0000-0000-000061C00000}"/>
    <cellStyle name="Normal 7 7 2 3 3 2" xfId="43091" xr:uid="{00000000-0005-0000-0000-000062C00000}"/>
    <cellStyle name="Normal 7 7 2 3 4" xfId="30658" xr:uid="{00000000-0005-0000-0000-000063C00000}"/>
    <cellStyle name="Normal 7 7 2 4" xfId="8484" xr:uid="{00000000-0005-0000-0000-000064C00000}"/>
    <cellStyle name="Normal 7 7 2 4 2" xfId="20928" xr:uid="{00000000-0005-0000-0000-000065C00000}"/>
    <cellStyle name="Normal 7 7 2 4 2 2" xfId="45802" xr:uid="{00000000-0005-0000-0000-000066C00000}"/>
    <cellStyle name="Normal 7 7 2 4 3" xfId="33369" xr:uid="{00000000-0005-0000-0000-000067C00000}"/>
    <cellStyle name="Normal 7 7 2 5" xfId="12235" xr:uid="{00000000-0005-0000-0000-000068C00000}"/>
    <cellStyle name="Normal 7 7 2 5 2" xfId="24669" xr:uid="{00000000-0005-0000-0000-000069C00000}"/>
    <cellStyle name="Normal 7 7 2 5 2 2" xfId="49543" xr:uid="{00000000-0005-0000-0000-00006AC00000}"/>
    <cellStyle name="Normal 7 7 2 5 3" xfId="37110" xr:uid="{00000000-0005-0000-0000-00006BC00000}"/>
    <cellStyle name="Normal 7 7 2 6" xfId="6961" xr:uid="{00000000-0005-0000-0000-00006CC00000}"/>
    <cellStyle name="Normal 7 7 2 6 2" xfId="19410" xr:uid="{00000000-0005-0000-0000-00006DC00000}"/>
    <cellStyle name="Normal 7 7 2 6 2 2" xfId="44284" xr:uid="{00000000-0005-0000-0000-00006EC00000}"/>
    <cellStyle name="Normal 7 7 2 6 3" xfId="31851" xr:uid="{00000000-0005-0000-0000-00006FC00000}"/>
    <cellStyle name="Normal 7 7 2 7" xfId="3415" xr:uid="{00000000-0005-0000-0000-000070C00000}"/>
    <cellStyle name="Normal 7 7 2 7 2" xfId="15921" xr:uid="{00000000-0005-0000-0000-000071C00000}"/>
    <cellStyle name="Normal 7 7 2 7 2 2" xfId="40795" xr:uid="{00000000-0005-0000-0000-000072C00000}"/>
    <cellStyle name="Normal 7 7 2 7 3" xfId="28354" xr:uid="{00000000-0005-0000-0000-000073C00000}"/>
    <cellStyle name="Normal 7 7 2 8" xfId="13678" xr:uid="{00000000-0005-0000-0000-000074C00000}"/>
    <cellStyle name="Normal 7 7 2 8 2" xfId="38552" xr:uid="{00000000-0005-0000-0000-000075C00000}"/>
    <cellStyle name="Normal 7 7 2 9" xfId="26111" xr:uid="{00000000-0005-0000-0000-000076C00000}"/>
    <cellStyle name="Normal 7 7 3" xfId="1968" xr:uid="{00000000-0005-0000-0000-000077C00000}"/>
    <cellStyle name="Normal 7 7 3 2" xfId="4706" xr:uid="{00000000-0005-0000-0000-000078C00000}"/>
    <cellStyle name="Normal 7 7 3 2 2" xfId="9724" xr:uid="{00000000-0005-0000-0000-000079C00000}"/>
    <cellStyle name="Normal 7 7 3 2 2 2" xfId="22167" xr:uid="{00000000-0005-0000-0000-00007AC00000}"/>
    <cellStyle name="Normal 7 7 3 2 2 2 2" xfId="47041" xr:uid="{00000000-0005-0000-0000-00007BC00000}"/>
    <cellStyle name="Normal 7 7 3 2 2 3" xfId="34608" xr:uid="{00000000-0005-0000-0000-00007CC00000}"/>
    <cellStyle name="Normal 7 7 3 2 3" xfId="17160" xr:uid="{00000000-0005-0000-0000-00007DC00000}"/>
    <cellStyle name="Normal 7 7 3 2 3 2" xfId="42034" xr:uid="{00000000-0005-0000-0000-00007EC00000}"/>
    <cellStyle name="Normal 7 7 3 2 4" xfId="29601" xr:uid="{00000000-0005-0000-0000-00007FC00000}"/>
    <cellStyle name="Normal 7 7 3 3" xfId="6114" xr:uid="{00000000-0005-0000-0000-000080C00000}"/>
    <cellStyle name="Normal 7 7 3 3 2" xfId="11129" xr:uid="{00000000-0005-0000-0000-000081C00000}"/>
    <cellStyle name="Normal 7 7 3 3 2 2" xfId="23572" xr:uid="{00000000-0005-0000-0000-000082C00000}"/>
    <cellStyle name="Normal 7 7 3 3 2 2 2" xfId="48446" xr:uid="{00000000-0005-0000-0000-000083C00000}"/>
    <cellStyle name="Normal 7 7 3 3 2 3" xfId="36013" xr:uid="{00000000-0005-0000-0000-000084C00000}"/>
    <cellStyle name="Normal 7 7 3 3 3" xfId="18565" xr:uid="{00000000-0005-0000-0000-000085C00000}"/>
    <cellStyle name="Normal 7 7 3 3 3 2" xfId="43439" xr:uid="{00000000-0005-0000-0000-000086C00000}"/>
    <cellStyle name="Normal 7 7 3 3 4" xfId="31006" xr:uid="{00000000-0005-0000-0000-000087C00000}"/>
    <cellStyle name="Normal 7 7 3 4" xfId="8840" xr:uid="{00000000-0005-0000-0000-000088C00000}"/>
    <cellStyle name="Normal 7 7 3 4 2" xfId="21284" xr:uid="{00000000-0005-0000-0000-000089C00000}"/>
    <cellStyle name="Normal 7 7 3 4 2 2" xfId="46158" xr:uid="{00000000-0005-0000-0000-00008AC00000}"/>
    <cellStyle name="Normal 7 7 3 4 3" xfId="33725" xr:uid="{00000000-0005-0000-0000-00008BC00000}"/>
    <cellStyle name="Normal 7 7 3 5" xfId="12583" xr:uid="{00000000-0005-0000-0000-00008CC00000}"/>
    <cellStyle name="Normal 7 7 3 5 2" xfId="25017" xr:uid="{00000000-0005-0000-0000-00008DC00000}"/>
    <cellStyle name="Normal 7 7 3 5 2 2" xfId="49891" xr:uid="{00000000-0005-0000-0000-00008EC00000}"/>
    <cellStyle name="Normal 7 7 3 5 3" xfId="37458" xr:uid="{00000000-0005-0000-0000-00008FC00000}"/>
    <cellStyle name="Normal 7 7 3 6" xfId="7317" xr:uid="{00000000-0005-0000-0000-000090C00000}"/>
    <cellStyle name="Normal 7 7 3 6 2" xfId="19766" xr:uid="{00000000-0005-0000-0000-000091C00000}"/>
    <cellStyle name="Normal 7 7 3 6 2 2" xfId="44640" xr:uid="{00000000-0005-0000-0000-000092C00000}"/>
    <cellStyle name="Normal 7 7 3 6 3" xfId="32207" xr:uid="{00000000-0005-0000-0000-000093C00000}"/>
    <cellStyle name="Normal 7 7 3 7" xfId="3771" xr:uid="{00000000-0005-0000-0000-000094C00000}"/>
    <cellStyle name="Normal 7 7 3 7 2" xfId="16277" xr:uid="{00000000-0005-0000-0000-000095C00000}"/>
    <cellStyle name="Normal 7 7 3 7 2 2" xfId="41151" xr:uid="{00000000-0005-0000-0000-000096C00000}"/>
    <cellStyle name="Normal 7 7 3 7 3" xfId="28710" xr:uid="{00000000-0005-0000-0000-000097C00000}"/>
    <cellStyle name="Normal 7 7 3 8" xfId="14768" xr:uid="{00000000-0005-0000-0000-000098C00000}"/>
    <cellStyle name="Normal 7 7 3 8 2" xfId="39642" xr:uid="{00000000-0005-0000-0000-000099C00000}"/>
    <cellStyle name="Normal 7 7 3 9" xfId="27201" xr:uid="{00000000-0005-0000-0000-00009AC00000}"/>
    <cellStyle name="Normal 7 7 4" xfId="2436" xr:uid="{00000000-0005-0000-0000-00009BC00000}"/>
    <cellStyle name="Normal 7 7 4 2" xfId="5060" xr:uid="{00000000-0005-0000-0000-00009CC00000}"/>
    <cellStyle name="Normal 7 7 4 2 2" xfId="10077" xr:uid="{00000000-0005-0000-0000-00009DC00000}"/>
    <cellStyle name="Normal 7 7 4 2 2 2" xfId="22520" xr:uid="{00000000-0005-0000-0000-00009EC00000}"/>
    <cellStyle name="Normal 7 7 4 2 2 2 2" xfId="47394" xr:uid="{00000000-0005-0000-0000-00009FC00000}"/>
    <cellStyle name="Normal 7 7 4 2 2 3" xfId="34961" xr:uid="{00000000-0005-0000-0000-0000A0C00000}"/>
    <cellStyle name="Normal 7 7 4 2 3" xfId="17513" xr:uid="{00000000-0005-0000-0000-0000A1C00000}"/>
    <cellStyle name="Normal 7 7 4 2 3 2" xfId="42387" xr:uid="{00000000-0005-0000-0000-0000A2C00000}"/>
    <cellStyle name="Normal 7 7 4 2 4" xfId="29954" xr:uid="{00000000-0005-0000-0000-0000A3C00000}"/>
    <cellStyle name="Normal 7 7 4 3" xfId="6458" xr:uid="{00000000-0005-0000-0000-0000A4C00000}"/>
    <cellStyle name="Normal 7 7 4 3 2" xfId="11473" xr:uid="{00000000-0005-0000-0000-0000A5C00000}"/>
    <cellStyle name="Normal 7 7 4 3 2 2" xfId="23916" xr:uid="{00000000-0005-0000-0000-0000A6C00000}"/>
    <cellStyle name="Normal 7 7 4 3 2 2 2" xfId="48790" xr:uid="{00000000-0005-0000-0000-0000A7C00000}"/>
    <cellStyle name="Normal 7 7 4 3 2 3" xfId="36357" xr:uid="{00000000-0005-0000-0000-0000A8C00000}"/>
    <cellStyle name="Normal 7 7 4 3 3" xfId="18909" xr:uid="{00000000-0005-0000-0000-0000A9C00000}"/>
    <cellStyle name="Normal 7 7 4 3 3 2" xfId="43783" xr:uid="{00000000-0005-0000-0000-0000AAC00000}"/>
    <cellStyle name="Normal 7 7 4 3 4" xfId="31350" xr:uid="{00000000-0005-0000-0000-0000ABC00000}"/>
    <cellStyle name="Normal 7 7 4 4" xfId="8165" xr:uid="{00000000-0005-0000-0000-0000ACC00000}"/>
    <cellStyle name="Normal 7 7 4 4 2" xfId="20611" xr:uid="{00000000-0005-0000-0000-0000ADC00000}"/>
    <cellStyle name="Normal 7 7 4 4 2 2" xfId="45485" xr:uid="{00000000-0005-0000-0000-0000AEC00000}"/>
    <cellStyle name="Normal 7 7 4 4 3" xfId="33052" xr:uid="{00000000-0005-0000-0000-0000AFC00000}"/>
    <cellStyle name="Normal 7 7 4 5" xfId="12927" xr:uid="{00000000-0005-0000-0000-0000B0C00000}"/>
    <cellStyle name="Normal 7 7 4 5 2" xfId="25361" xr:uid="{00000000-0005-0000-0000-0000B1C00000}"/>
    <cellStyle name="Normal 7 7 4 5 2 2" xfId="50235" xr:uid="{00000000-0005-0000-0000-0000B2C00000}"/>
    <cellStyle name="Normal 7 7 4 5 3" xfId="37802" xr:uid="{00000000-0005-0000-0000-0000B3C00000}"/>
    <cellStyle name="Normal 7 7 4 6" xfId="7671" xr:uid="{00000000-0005-0000-0000-0000B4C00000}"/>
    <cellStyle name="Normal 7 7 4 6 2" xfId="20119" xr:uid="{00000000-0005-0000-0000-0000B5C00000}"/>
    <cellStyle name="Normal 7 7 4 6 2 2" xfId="44993" xr:uid="{00000000-0005-0000-0000-0000B6C00000}"/>
    <cellStyle name="Normal 7 7 4 6 3" xfId="32560" xr:uid="{00000000-0005-0000-0000-0000B7C00000}"/>
    <cellStyle name="Normal 7 7 4 7" xfId="3095" xr:uid="{00000000-0005-0000-0000-0000B8C00000}"/>
    <cellStyle name="Normal 7 7 4 7 2" xfId="15604" xr:uid="{00000000-0005-0000-0000-0000B9C00000}"/>
    <cellStyle name="Normal 7 7 4 7 2 2" xfId="40478" xr:uid="{00000000-0005-0000-0000-0000BAC00000}"/>
    <cellStyle name="Normal 7 7 4 7 3" xfId="28037" xr:uid="{00000000-0005-0000-0000-0000BBC00000}"/>
    <cellStyle name="Normal 7 7 4 8" xfId="15112" xr:uid="{00000000-0005-0000-0000-0000BCC00000}"/>
    <cellStyle name="Normal 7 7 4 8 2" xfId="39986" xr:uid="{00000000-0005-0000-0000-0000BDC00000}"/>
    <cellStyle name="Normal 7 7 4 9" xfId="27545" xr:uid="{00000000-0005-0000-0000-0000BEC00000}"/>
    <cellStyle name="Normal 7 7 5" xfId="1269" xr:uid="{00000000-0005-0000-0000-0000BFC00000}"/>
    <cellStyle name="Normal 7 7 5 2" xfId="9051" xr:uid="{00000000-0005-0000-0000-0000C0C00000}"/>
    <cellStyle name="Normal 7 7 5 2 2" xfId="21494" xr:uid="{00000000-0005-0000-0000-0000C1C00000}"/>
    <cellStyle name="Normal 7 7 5 2 2 2" xfId="46368" xr:uid="{00000000-0005-0000-0000-0000C2C00000}"/>
    <cellStyle name="Normal 7 7 5 2 3" xfId="33935" xr:uid="{00000000-0005-0000-0000-0000C3C00000}"/>
    <cellStyle name="Normal 7 7 5 3" xfId="4033" xr:uid="{00000000-0005-0000-0000-0000C4C00000}"/>
    <cellStyle name="Normal 7 7 5 3 2" xfId="16487" xr:uid="{00000000-0005-0000-0000-0000C5C00000}"/>
    <cellStyle name="Normal 7 7 5 3 2 2" xfId="41361" xr:uid="{00000000-0005-0000-0000-0000C6C00000}"/>
    <cellStyle name="Normal 7 7 5 3 3" xfId="28928" xr:uid="{00000000-0005-0000-0000-0000C7C00000}"/>
    <cellStyle name="Normal 7 7 5 4" xfId="14069" xr:uid="{00000000-0005-0000-0000-0000C8C00000}"/>
    <cellStyle name="Normal 7 7 5 4 2" xfId="38943" xr:uid="{00000000-0005-0000-0000-0000C9C00000}"/>
    <cellStyle name="Normal 7 7 5 5" xfId="26502" xr:uid="{00000000-0005-0000-0000-0000CAC00000}"/>
    <cellStyle name="Normal 7 7 6" xfId="5414" xr:uid="{00000000-0005-0000-0000-0000CBC00000}"/>
    <cellStyle name="Normal 7 7 6 2" xfId="10430" xr:uid="{00000000-0005-0000-0000-0000CCC00000}"/>
    <cellStyle name="Normal 7 7 6 2 2" xfId="22873" xr:uid="{00000000-0005-0000-0000-0000CDC00000}"/>
    <cellStyle name="Normal 7 7 6 2 2 2" xfId="47747" xr:uid="{00000000-0005-0000-0000-0000CEC00000}"/>
    <cellStyle name="Normal 7 7 6 2 3" xfId="35314" xr:uid="{00000000-0005-0000-0000-0000CFC00000}"/>
    <cellStyle name="Normal 7 7 6 3" xfId="17866" xr:uid="{00000000-0005-0000-0000-0000D0C00000}"/>
    <cellStyle name="Normal 7 7 6 3 2" xfId="42740" xr:uid="{00000000-0005-0000-0000-0000D1C00000}"/>
    <cellStyle name="Normal 7 7 6 4" xfId="30307" xr:uid="{00000000-0005-0000-0000-0000D2C00000}"/>
    <cellStyle name="Normal 7 7 7" xfId="7991" xr:uid="{00000000-0005-0000-0000-0000D3C00000}"/>
    <cellStyle name="Normal 7 7 7 2" xfId="20437" xr:uid="{00000000-0005-0000-0000-0000D4C00000}"/>
    <cellStyle name="Normal 7 7 7 2 2" xfId="45311" xr:uid="{00000000-0005-0000-0000-0000D5C00000}"/>
    <cellStyle name="Normal 7 7 7 3" xfId="32878" xr:uid="{00000000-0005-0000-0000-0000D6C00000}"/>
    <cellStyle name="Normal 7 7 8" xfId="11884" xr:uid="{00000000-0005-0000-0000-0000D7C00000}"/>
    <cellStyle name="Normal 7 7 8 2" xfId="24318" xr:uid="{00000000-0005-0000-0000-0000D8C00000}"/>
    <cellStyle name="Normal 7 7 8 2 2" xfId="49192" xr:uid="{00000000-0005-0000-0000-0000D9C00000}"/>
    <cellStyle name="Normal 7 7 8 3" xfId="36759" xr:uid="{00000000-0005-0000-0000-0000DAC00000}"/>
    <cellStyle name="Normal 7 7 9" xfId="6644" xr:uid="{00000000-0005-0000-0000-0000DBC00000}"/>
    <cellStyle name="Normal 7 7 9 2" xfId="19093" xr:uid="{00000000-0005-0000-0000-0000DCC00000}"/>
    <cellStyle name="Normal 7 7 9 2 2" xfId="43967" xr:uid="{00000000-0005-0000-0000-0000DDC00000}"/>
    <cellStyle name="Normal 7 7 9 3" xfId="31534" xr:uid="{00000000-0005-0000-0000-0000DEC00000}"/>
    <cellStyle name="Normal 7 7_Degree data" xfId="2594" xr:uid="{00000000-0005-0000-0000-0000DFC00000}"/>
    <cellStyle name="Normal 7 8" xfId="354" xr:uid="{00000000-0005-0000-0000-0000E0C00000}"/>
    <cellStyle name="Normal 7 8 10" xfId="13170" xr:uid="{00000000-0005-0000-0000-0000E1C00000}"/>
    <cellStyle name="Normal 7 8 10 2" xfId="38044" xr:uid="{00000000-0005-0000-0000-0000E2C00000}"/>
    <cellStyle name="Normal 7 8 11" xfId="25603" xr:uid="{00000000-0005-0000-0000-0000E3C00000}"/>
    <cellStyle name="Normal 7 8 2" xfId="714" xr:uid="{00000000-0005-0000-0000-0000E4C00000}"/>
    <cellStyle name="Normal 7 8 2 2" xfId="1621" xr:uid="{00000000-0005-0000-0000-0000E5C00000}"/>
    <cellStyle name="Normal 7 8 2 2 2" xfId="9725" xr:uid="{00000000-0005-0000-0000-0000E6C00000}"/>
    <cellStyle name="Normal 7 8 2 2 2 2" xfId="22168" xr:uid="{00000000-0005-0000-0000-0000E7C00000}"/>
    <cellStyle name="Normal 7 8 2 2 2 2 2" xfId="47042" xr:uid="{00000000-0005-0000-0000-0000E8C00000}"/>
    <cellStyle name="Normal 7 8 2 2 2 3" xfId="34609" xr:uid="{00000000-0005-0000-0000-0000E9C00000}"/>
    <cellStyle name="Normal 7 8 2 2 3" xfId="4707" xr:uid="{00000000-0005-0000-0000-0000EAC00000}"/>
    <cellStyle name="Normal 7 8 2 2 3 2" xfId="17161" xr:uid="{00000000-0005-0000-0000-0000EBC00000}"/>
    <cellStyle name="Normal 7 8 2 2 3 2 2" xfId="42035" xr:uid="{00000000-0005-0000-0000-0000ECC00000}"/>
    <cellStyle name="Normal 7 8 2 2 3 3" xfId="29602" xr:uid="{00000000-0005-0000-0000-0000EDC00000}"/>
    <cellStyle name="Normal 7 8 2 2 4" xfId="14421" xr:uid="{00000000-0005-0000-0000-0000EEC00000}"/>
    <cellStyle name="Normal 7 8 2 2 4 2" xfId="39295" xr:uid="{00000000-0005-0000-0000-0000EFC00000}"/>
    <cellStyle name="Normal 7 8 2 2 5" xfId="26854" xr:uid="{00000000-0005-0000-0000-0000F0C00000}"/>
    <cellStyle name="Normal 7 8 2 3" xfId="5767" xr:uid="{00000000-0005-0000-0000-0000F1C00000}"/>
    <cellStyle name="Normal 7 8 2 3 2" xfId="10782" xr:uid="{00000000-0005-0000-0000-0000F2C00000}"/>
    <cellStyle name="Normal 7 8 2 3 2 2" xfId="23225" xr:uid="{00000000-0005-0000-0000-0000F3C00000}"/>
    <cellStyle name="Normal 7 8 2 3 2 2 2" xfId="48099" xr:uid="{00000000-0005-0000-0000-0000F4C00000}"/>
    <cellStyle name="Normal 7 8 2 3 2 3" xfId="35666" xr:uid="{00000000-0005-0000-0000-0000F5C00000}"/>
    <cellStyle name="Normal 7 8 2 3 3" xfId="18218" xr:uid="{00000000-0005-0000-0000-0000F6C00000}"/>
    <cellStyle name="Normal 7 8 2 3 3 2" xfId="43092" xr:uid="{00000000-0005-0000-0000-0000F7C00000}"/>
    <cellStyle name="Normal 7 8 2 3 4" xfId="30659" xr:uid="{00000000-0005-0000-0000-0000F8C00000}"/>
    <cellStyle name="Normal 7 8 2 4" xfId="8841" xr:uid="{00000000-0005-0000-0000-0000F9C00000}"/>
    <cellStyle name="Normal 7 8 2 4 2" xfId="21285" xr:uid="{00000000-0005-0000-0000-0000FAC00000}"/>
    <cellStyle name="Normal 7 8 2 4 2 2" xfId="46159" xr:uid="{00000000-0005-0000-0000-0000FBC00000}"/>
    <cellStyle name="Normal 7 8 2 4 3" xfId="33726" xr:uid="{00000000-0005-0000-0000-0000FCC00000}"/>
    <cellStyle name="Normal 7 8 2 5" xfId="12236" xr:uid="{00000000-0005-0000-0000-0000FDC00000}"/>
    <cellStyle name="Normal 7 8 2 5 2" xfId="24670" xr:uid="{00000000-0005-0000-0000-0000FEC00000}"/>
    <cellStyle name="Normal 7 8 2 5 2 2" xfId="49544" xr:uid="{00000000-0005-0000-0000-0000FFC00000}"/>
    <cellStyle name="Normal 7 8 2 5 3" xfId="37111" xr:uid="{00000000-0005-0000-0000-000000C10000}"/>
    <cellStyle name="Normal 7 8 2 6" xfId="7318" xr:uid="{00000000-0005-0000-0000-000001C10000}"/>
    <cellStyle name="Normal 7 8 2 6 2" xfId="19767" xr:uid="{00000000-0005-0000-0000-000002C10000}"/>
    <cellStyle name="Normal 7 8 2 6 2 2" xfId="44641" xr:uid="{00000000-0005-0000-0000-000003C10000}"/>
    <cellStyle name="Normal 7 8 2 6 3" xfId="32208" xr:uid="{00000000-0005-0000-0000-000004C10000}"/>
    <cellStyle name="Normal 7 8 2 7" xfId="3772" xr:uid="{00000000-0005-0000-0000-000005C10000}"/>
    <cellStyle name="Normal 7 8 2 7 2" xfId="16278" xr:uid="{00000000-0005-0000-0000-000006C10000}"/>
    <cellStyle name="Normal 7 8 2 7 2 2" xfId="41152" xr:uid="{00000000-0005-0000-0000-000007C10000}"/>
    <cellStyle name="Normal 7 8 2 7 3" xfId="28711" xr:uid="{00000000-0005-0000-0000-000008C10000}"/>
    <cellStyle name="Normal 7 8 2 8" xfId="13517" xr:uid="{00000000-0005-0000-0000-000009C10000}"/>
    <cellStyle name="Normal 7 8 2 8 2" xfId="38391" xr:uid="{00000000-0005-0000-0000-00000AC10000}"/>
    <cellStyle name="Normal 7 8 2 9" xfId="25950" xr:uid="{00000000-0005-0000-0000-00000BC10000}"/>
    <cellStyle name="Normal 7 8 3" xfId="1969" xr:uid="{00000000-0005-0000-0000-00000CC10000}"/>
    <cellStyle name="Normal 7 8 3 2" xfId="4899" xr:uid="{00000000-0005-0000-0000-00000DC10000}"/>
    <cellStyle name="Normal 7 8 3 2 2" xfId="9916" xr:uid="{00000000-0005-0000-0000-00000EC10000}"/>
    <cellStyle name="Normal 7 8 3 2 2 2" xfId="22359" xr:uid="{00000000-0005-0000-0000-00000FC10000}"/>
    <cellStyle name="Normal 7 8 3 2 2 2 2" xfId="47233" xr:uid="{00000000-0005-0000-0000-000010C10000}"/>
    <cellStyle name="Normal 7 8 3 2 2 3" xfId="34800" xr:uid="{00000000-0005-0000-0000-000011C10000}"/>
    <cellStyle name="Normal 7 8 3 2 3" xfId="17352" xr:uid="{00000000-0005-0000-0000-000012C10000}"/>
    <cellStyle name="Normal 7 8 3 2 3 2" xfId="42226" xr:uid="{00000000-0005-0000-0000-000013C10000}"/>
    <cellStyle name="Normal 7 8 3 2 4" xfId="29793" xr:uid="{00000000-0005-0000-0000-000014C10000}"/>
    <cellStyle name="Normal 7 8 3 3" xfId="6115" xr:uid="{00000000-0005-0000-0000-000015C10000}"/>
    <cellStyle name="Normal 7 8 3 3 2" xfId="11130" xr:uid="{00000000-0005-0000-0000-000016C10000}"/>
    <cellStyle name="Normal 7 8 3 3 2 2" xfId="23573" xr:uid="{00000000-0005-0000-0000-000017C10000}"/>
    <cellStyle name="Normal 7 8 3 3 2 2 2" xfId="48447" xr:uid="{00000000-0005-0000-0000-000018C10000}"/>
    <cellStyle name="Normal 7 8 3 3 2 3" xfId="36014" xr:uid="{00000000-0005-0000-0000-000019C10000}"/>
    <cellStyle name="Normal 7 8 3 3 3" xfId="18566" xr:uid="{00000000-0005-0000-0000-00001AC10000}"/>
    <cellStyle name="Normal 7 8 3 3 3 2" xfId="43440" xr:uid="{00000000-0005-0000-0000-00001BC10000}"/>
    <cellStyle name="Normal 7 8 3 3 4" xfId="31007" xr:uid="{00000000-0005-0000-0000-00001CC10000}"/>
    <cellStyle name="Normal 7 8 3 4" xfId="8323" xr:uid="{00000000-0005-0000-0000-00001DC10000}"/>
    <cellStyle name="Normal 7 8 3 4 2" xfId="20767" xr:uid="{00000000-0005-0000-0000-00001EC10000}"/>
    <cellStyle name="Normal 7 8 3 4 2 2" xfId="45641" xr:uid="{00000000-0005-0000-0000-00001FC10000}"/>
    <cellStyle name="Normal 7 8 3 4 3" xfId="33208" xr:uid="{00000000-0005-0000-0000-000020C10000}"/>
    <cellStyle name="Normal 7 8 3 5" xfId="12584" xr:uid="{00000000-0005-0000-0000-000021C10000}"/>
    <cellStyle name="Normal 7 8 3 5 2" xfId="25018" xr:uid="{00000000-0005-0000-0000-000022C10000}"/>
    <cellStyle name="Normal 7 8 3 5 2 2" xfId="49892" xr:uid="{00000000-0005-0000-0000-000023C10000}"/>
    <cellStyle name="Normal 7 8 3 5 3" xfId="37459" xr:uid="{00000000-0005-0000-0000-000024C10000}"/>
    <cellStyle name="Normal 7 8 3 6" xfId="7510" xr:uid="{00000000-0005-0000-0000-000025C10000}"/>
    <cellStyle name="Normal 7 8 3 6 2" xfId="19958" xr:uid="{00000000-0005-0000-0000-000026C10000}"/>
    <cellStyle name="Normal 7 8 3 6 2 2" xfId="44832" xr:uid="{00000000-0005-0000-0000-000027C10000}"/>
    <cellStyle name="Normal 7 8 3 6 3" xfId="32399" xr:uid="{00000000-0005-0000-0000-000028C10000}"/>
    <cellStyle name="Normal 7 8 3 7" xfId="3254" xr:uid="{00000000-0005-0000-0000-000029C10000}"/>
    <cellStyle name="Normal 7 8 3 7 2" xfId="15760" xr:uid="{00000000-0005-0000-0000-00002AC10000}"/>
    <cellStyle name="Normal 7 8 3 7 2 2" xfId="40634" xr:uid="{00000000-0005-0000-0000-00002BC10000}"/>
    <cellStyle name="Normal 7 8 3 7 3" xfId="28193" xr:uid="{00000000-0005-0000-0000-00002CC10000}"/>
    <cellStyle name="Normal 7 8 3 8" xfId="14769" xr:uid="{00000000-0005-0000-0000-00002DC10000}"/>
    <cellStyle name="Normal 7 8 3 8 2" xfId="39643" xr:uid="{00000000-0005-0000-0000-00002EC10000}"/>
    <cellStyle name="Normal 7 8 3 9" xfId="27202" xr:uid="{00000000-0005-0000-0000-00002FC10000}"/>
    <cellStyle name="Normal 7 8 4" xfId="2272" xr:uid="{00000000-0005-0000-0000-000030C10000}"/>
    <cellStyle name="Normal 7 8 4 2" xfId="6297" xr:uid="{00000000-0005-0000-0000-000031C10000}"/>
    <cellStyle name="Normal 7 8 4 2 2" xfId="11312" xr:uid="{00000000-0005-0000-0000-000032C10000}"/>
    <cellStyle name="Normal 7 8 4 2 2 2" xfId="23755" xr:uid="{00000000-0005-0000-0000-000033C10000}"/>
    <cellStyle name="Normal 7 8 4 2 2 2 2" xfId="48629" xr:uid="{00000000-0005-0000-0000-000034C10000}"/>
    <cellStyle name="Normal 7 8 4 2 2 3" xfId="36196" xr:uid="{00000000-0005-0000-0000-000035C10000}"/>
    <cellStyle name="Normal 7 8 4 2 3" xfId="18748" xr:uid="{00000000-0005-0000-0000-000036C10000}"/>
    <cellStyle name="Normal 7 8 4 2 3 2" xfId="43622" xr:uid="{00000000-0005-0000-0000-000037C10000}"/>
    <cellStyle name="Normal 7 8 4 2 4" xfId="31189" xr:uid="{00000000-0005-0000-0000-000038C10000}"/>
    <cellStyle name="Normal 7 8 4 3" xfId="12766" xr:uid="{00000000-0005-0000-0000-000039C10000}"/>
    <cellStyle name="Normal 7 8 4 3 2" xfId="25200" xr:uid="{00000000-0005-0000-0000-00003AC10000}"/>
    <cellStyle name="Normal 7 8 4 3 2 2" xfId="50074" xr:uid="{00000000-0005-0000-0000-00003BC10000}"/>
    <cellStyle name="Normal 7 8 4 3 3" xfId="37641" xr:uid="{00000000-0005-0000-0000-00003CC10000}"/>
    <cellStyle name="Normal 7 8 4 4" xfId="9207" xr:uid="{00000000-0005-0000-0000-00003DC10000}"/>
    <cellStyle name="Normal 7 8 4 4 2" xfId="21650" xr:uid="{00000000-0005-0000-0000-00003EC10000}"/>
    <cellStyle name="Normal 7 8 4 4 2 2" xfId="46524" xr:uid="{00000000-0005-0000-0000-00003FC10000}"/>
    <cellStyle name="Normal 7 8 4 4 3" xfId="34091" xr:uid="{00000000-0005-0000-0000-000040C10000}"/>
    <cellStyle name="Normal 7 8 4 5" xfId="4189" xr:uid="{00000000-0005-0000-0000-000041C10000}"/>
    <cellStyle name="Normal 7 8 4 5 2" xfId="16643" xr:uid="{00000000-0005-0000-0000-000042C10000}"/>
    <cellStyle name="Normal 7 8 4 5 2 2" xfId="41517" xr:uid="{00000000-0005-0000-0000-000043C10000}"/>
    <cellStyle name="Normal 7 8 4 5 3" xfId="29084" xr:uid="{00000000-0005-0000-0000-000044C10000}"/>
    <cellStyle name="Normal 7 8 4 6" xfId="14951" xr:uid="{00000000-0005-0000-0000-000045C10000}"/>
    <cellStyle name="Normal 7 8 4 6 2" xfId="39825" xr:uid="{00000000-0005-0000-0000-000046C10000}"/>
    <cellStyle name="Normal 7 8 4 7" xfId="27384" xr:uid="{00000000-0005-0000-0000-000047C10000}"/>
    <cellStyle name="Normal 7 8 5" xfId="1108" xr:uid="{00000000-0005-0000-0000-000048C10000}"/>
    <cellStyle name="Normal 7 8 5 2" xfId="10269" xr:uid="{00000000-0005-0000-0000-000049C10000}"/>
    <cellStyle name="Normal 7 8 5 2 2" xfId="22712" xr:uid="{00000000-0005-0000-0000-00004AC10000}"/>
    <cellStyle name="Normal 7 8 5 2 2 2" xfId="47586" xr:uid="{00000000-0005-0000-0000-00004BC10000}"/>
    <cellStyle name="Normal 7 8 5 2 3" xfId="35153" xr:uid="{00000000-0005-0000-0000-00004CC10000}"/>
    <cellStyle name="Normal 7 8 5 3" xfId="5253" xr:uid="{00000000-0005-0000-0000-00004DC10000}"/>
    <cellStyle name="Normal 7 8 5 3 2" xfId="17705" xr:uid="{00000000-0005-0000-0000-00004EC10000}"/>
    <cellStyle name="Normal 7 8 5 3 2 2" xfId="42579" xr:uid="{00000000-0005-0000-0000-00004FC10000}"/>
    <cellStyle name="Normal 7 8 5 3 3" xfId="30146" xr:uid="{00000000-0005-0000-0000-000050C10000}"/>
    <cellStyle name="Normal 7 8 5 4" xfId="13908" xr:uid="{00000000-0005-0000-0000-000051C10000}"/>
    <cellStyle name="Normal 7 8 5 4 2" xfId="38782" xr:uid="{00000000-0005-0000-0000-000052C10000}"/>
    <cellStyle name="Normal 7 8 5 5" xfId="26341" xr:uid="{00000000-0005-0000-0000-000053C10000}"/>
    <cellStyle name="Normal 7 8 6" xfId="7830" xr:uid="{00000000-0005-0000-0000-000054C10000}"/>
    <cellStyle name="Normal 7 8 6 2" xfId="20276" xr:uid="{00000000-0005-0000-0000-000055C10000}"/>
    <cellStyle name="Normal 7 8 6 2 2" xfId="45150" xr:uid="{00000000-0005-0000-0000-000056C10000}"/>
    <cellStyle name="Normal 7 8 6 3" xfId="32717" xr:uid="{00000000-0005-0000-0000-000057C10000}"/>
    <cellStyle name="Normal 7 8 7" xfId="11723" xr:uid="{00000000-0005-0000-0000-000058C10000}"/>
    <cellStyle name="Normal 7 8 7 2" xfId="24157" xr:uid="{00000000-0005-0000-0000-000059C10000}"/>
    <cellStyle name="Normal 7 8 7 2 2" xfId="49031" xr:uid="{00000000-0005-0000-0000-00005AC10000}"/>
    <cellStyle name="Normal 7 8 7 3" xfId="36598" xr:uid="{00000000-0005-0000-0000-00005BC10000}"/>
    <cellStyle name="Normal 7 8 8" xfId="6800" xr:uid="{00000000-0005-0000-0000-00005CC10000}"/>
    <cellStyle name="Normal 7 8 8 2" xfId="19249" xr:uid="{00000000-0005-0000-0000-00005DC10000}"/>
    <cellStyle name="Normal 7 8 8 2 2" xfId="44123" xr:uid="{00000000-0005-0000-0000-00005EC10000}"/>
    <cellStyle name="Normal 7 8 8 3" xfId="31690" xr:uid="{00000000-0005-0000-0000-00005FC10000}"/>
    <cellStyle name="Normal 7 8 9" xfId="2751" xr:uid="{00000000-0005-0000-0000-000060C10000}"/>
    <cellStyle name="Normal 7 8 9 2" xfId="15269" xr:uid="{00000000-0005-0000-0000-000061C10000}"/>
    <cellStyle name="Normal 7 8 9 2 2" xfId="40143" xr:uid="{00000000-0005-0000-0000-000062C10000}"/>
    <cellStyle name="Normal 7 8 9 3" xfId="27702" xr:uid="{00000000-0005-0000-0000-000063C10000}"/>
    <cellStyle name="Normal 7 8_Degree data" xfId="2595" xr:uid="{00000000-0005-0000-0000-000064C10000}"/>
    <cellStyle name="Normal 7 9" xfId="201" xr:uid="{00000000-0005-0000-0000-000065C10000}"/>
    <cellStyle name="Normal 7 9 10" xfId="13031" xr:uid="{00000000-0005-0000-0000-000066C10000}"/>
    <cellStyle name="Normal 7 9 10 2" xfId="37905" xr:uid="{00000000-0005-0000-0000-000067C10000}"/>
    <cellStyle name="Normal 7 9 11" xfId="25464" xr:uid="{00000000-0005-0000-0000-000068C10000}"/>
    <cellStyle name="Normal 7 9 2" xfId="568" xr:uid="{00000000-0005-0000-0000-000069C10000}"/>
    <cellStyle name="Normal 7 9 2 2" xfId="1622" xr:uid="{00000000-0005-0000-0000-00006AC10000}"/>
    <cellStyle name="Normal 7 9 2 2 2" xfId="9726" xr:uid="{00000000-0005-0000-0000-00006BC10000}"/>
    <cellStyle name="Normal 7 9 2 2 2 2" xfId="22169" xr:uid="{00000000-0005-0000-0000-00006CC10000}"/>
    <cellStyle name="Normal 7 9 2 2 2 2 2" xfId="47043" xr:uid="{00000000-0005-0000-0000-00006DC10000}"/>
    <cellStyle name="Normal 7 9 2 2 2 3" xfId="34610" xr:uid="{00000000-0005-0000-0000-00006EC10000}"/>
    <cellStyle name="Normal 7 9 2 2 3" xfId="4708" xr:uid="{00000000-0005-0000-0000-00006FC10000}"/>
    <cellStyle name="Normal 7 9 2 2 3 2" xfId="17162" xr:uid="{00000000-0005-0000-0000-000070C10000}"/>
    <cellStyle name="Normal 7 9 2 2 3 2 2" xfId="42036" xr:uid="{00000000-0005-0000-0000-000071C10000}"/>
    <cellStyle name="Normal 7 9 2 2 3 3" xfId="29603" xr:uid="{00000000-0005-0000-0000-000072C10000}"/>
    <cellStyle name="Normal 7 9 2 2 4" xfId="14422" xr:uid="{00000000-0005-0000-0000-000073C10000}"/>
    <cellStyle name="Normal 7 9 2 2 4 2" xfId="39296" xr:uid="{00000000-0005-0000-0000-000074C10000}"/>
    <cellStyle name="Normal 7 9 2 2 5" xfId="26855" xr:uid="{00000000-0005-0000-0000-000075C10000}"/>
    <cellStyle name="Normal 7 9 2 3" xfId="5768" xr:uid="{00000000-0005-0000-0000-000076C10000}"/>
    <cellStyle name="Normal 7 9 2 3 2" xfId="10783" xr:uid="{00000000-0005-0000-0000-000077C10000}"/>
    <cellStyle name="Normal 7 9 2 3 2 2" xfId="23226" xr:uid="{00000000-0005-0000-0000-000078C10000}"/>
    <cellStyle name="Normal 7 9 2 3 2 2 2" xfId="48100" xr:uid="{00000000-0005-0000-0000-000079C10000}"/>
    <cellStyle name="Normal 7 9 2 3 2 3" xfId="35667" xr:uid="{00000000-0005-0000-0000-00007AC10000}"/>
    <cellStyle name="Normal 7 9 2 3 3" xfId="18219" xr:uid="{00000000-0005-0000-0000-00007BC10000}"/>
    <cellStyle name="Normal 7 9 2 3 3 2" xfId="43093" xr:uid="{00000000-0005-0000-0000-00007CC10000}"/>
    <cellStyle name="Normal 7 9 2 3 4" xfId="30660" xr:uid="{00000000-0005-0000-0000-00007DC10000}"/>
    <cellStyle name="Normal 7 9 2 4" xfId="8842" xr:uid="{00000000-0005-0000-0000-00007EC10000}"/>
    <cellStyle name="Normal 7 9 2 4 2" xfId="21286" xr:uid="{00000000-0005-0000-0000-00007FC10000}"/>
    <cellStyle name="Normal 7 9 2 4 2 2" xfId="46160" xr:uid="{00000000-0005-0000-0000-000080C10000}"/>
    <cellStyle name="Normal 7 9 2 4 3" xfId="33727" xr:uid="{00000000-0005-0000-0000-000081C10000}"/>
    <cellStyle name="Normal 7 9 2 5" xfId="12237" xr:uid="{00000000-0005-0000-0000-000082C10000}"/>
    <cellStyle name="Normal 7 9 2 5 2" xfId="24671" xr:uid="{00000000-0005-0000-0000-000083C10000}"/>
    <cellStyle name="Normal 7 9 2 5 2 2" xfId="49545" xr:uid="{00000000-0005-0000-0000-000084C10000}"/>
    <cellStyle name="Normal 7 9 2 5 3" xfId="37112" xr:uid="{00000000-0005-0000-0000-000085C10000}"/>
    <cellStyle name="Normal 7 9 2 6" xfId="7319" xr:uid="{00000000-0005-0000-0000-000086C10000}"/>
    <cellStyle name="Normal 7 9 2 6 2" xfId="19768" xr:uid="{00000000-0005-0000-0000-000087C10000}"/>
    <cellStyle name="Normal 7 9 2 6 2 2" xfId="44642" xr:uid="{00000000-0005-0000-0000-000088C10000}"/>
    <cellStyle name="Normal 7 9 2 6 3" xfId="32209" xr:uid="{00000000-0005-0000-0000-000089C10000}"/>
    <cellStyle name="Normal 7 9 2 7" xfId="3773" xr:uid="{00000000-0005-0000-0000-00008AC10000}"/>
    <cellStyle name="Normal 7 9 2 7 2" xfId="16279" xr:uid="{00000000-0005-0000-0000-00008BC10000}"/>
    <cellStyle name="Normal 7 9 2 7 2 2" xfId="41153" xr:uid="{00000000-0005-0000-0000-00008CC10000}"/>
    <cellStyle name="Normal 7 9 2 7 3" xfId="28712" xr:uid="{00000000-0005-0000-0000-00008DC10000}"/>
    <cellStyle name="Normal 7 9 2 8" xfId="13378" xr:uid="{00000000-0005-0000-0000-00008EC10000}"/>
    <cellStyle name="Normal 7 9 2 8 2" xfId="38252" xr:uid="{00000000-0005-0000-0000-00008FC10000}"/>
    <cellStyle name="Normal 7 9 2 9" xfId="25811" xr:uid="{00000000-0005-0000-0000-000090C10000}"/>
    <cellStyle name="Normal 7 9 3" xfId="1970" xr:uid="{00000000-0005-0000-0000-000091C10000}"/>
    <cellStyle name="Normal 7 9 3 2" xfId="4760" xr:uid="{00000000-0005-0000-0000-000092C10000}"/>
    <cellStyle name="Normal 7 9 3 2 2" xfId="9777" xr:uid="{00000000-0005-0000-0000-000093C10000}"/>
    <cellStyle name="Normal 7 9 3 2 2 2" xfId="22220" xr:uid="{00000000-0005-0000-0000-000094C10000}"/>
    <cellStyle name="Normal 7 9 3 2 2 2 2" xfId="47094" xr:uid="{00000000-0005-0000-0000-000095C10000}"/>
    <cellStyle name="Normal 7 9 3 2 2 3" xfId="34661" xr:uid="{00000000-0005-0000-0000-000096C10000}"/>
    <cellStyle name="Normal 7 9 3 2 3" xfId="17213" xr:uid="{00000000-0005-0000-0000-000097C10000}"/>
    <cellStyle name="Normal 7 9 3 2 3 2" xfId="42087" xr:uid="{00000000-0005-0000-0000-000098C10000}"/>
    <cellStyle name="Normal 7 9 3 2 4" xfId="29654" xr:uid="{00000000-0005-0000-0000-000099C10000}"/>
    <cellStyle name="Normal 7 9 3 3" xfId="6116" xr:uid="{00000000-0005-0000-0000-00009AC10000}"/>
    <cellStyle name="Normal 7 9 3 3 2" xfId="11131" xr:uid="{00000000-0005-0000-0000-00009BC10000}"/>
    <cellStyle name="Normal 7 9 3 3 2 2" xfId="23574" xr:uid="{00000000-0005-0000-0000-00009CC10000}"/>
    <cellStyle name="Normal 7 9 3 3 2 2 2" xfId="48448" xr:uid="{00000000-0005-0000-0000-00009DC10000}"/>
    <cellStyle name="Normal 7 9 3 3 2 3" xfId="36015" xr:uid="{00000000-0005-0000-0000-00009EC10000}"/>
    <cellStyle name="Normal 7 9 3 3 3" xfId="18567" xr:uid="{00000000-0005-0000-0000-00009FC10000}"/>
    <cellStyle name="Normal 7 9 3 3 3 2" xfId="43441" xr:uid="{00000000-0005-0000-0000-0000A0C10000}"/>
    <cellStyle name="Normal 7 9 3 3 4" xfId="31008" xr:uid="{00000000-0005-0000-0000-0000A1C10000}"/>
    <cellStyle name="Normal 7 9 3 4" xfId="8884" xr:uid="{00000000-0005-0000-0000-0000A2C10000}"/>
    <cellStyle name="Normal 7 9 3 4 2" xfId="21327" xr:uid="{00000000-0005-0000-0000-0000A3C10000}"/>
    <cellStyle name="Normal 7 9 3 4 2 2" xfId="46201" xr:uid="{00000000-0005-0000-0000-0000A4C10000}"/>
    <cellStyle name="Normal 7 9 3 4 3" xfId="33768" xr:uid="{00000000-0005-0000-0000-0000A5C10000}"/>
    <cellStyle name="Normal 7 9 3 5" xfId="12585" xr:uid="{00000000-0005-0000-0000-0000A6C10000}"/>
    <cellStyle name="Normal 7 9 3 5 2" xfId="25019" xr:uid="{00000000-0005-0000-0000-0000A7C10000}"/>
    <cellStyle name="Normal 7 9 3 5 2 2" xfId="49893" xr:uid="{00000000-0005-0000-0000-0000A8C10000}"/>
    <cellStyle name="Normal 7 9 3 5 3" xfId="37460" xr:uid="{00000000-0005-0000-0000-0000A9C10000}"/>
    <cellStyle name="Normal 7 9 3 6" xfId="7371" xr:uid="{00000000-0005-0000-0000-0000AAC10000}"/>
    <cellStyle name="Normal 7 9 3 6 2" xfId="19819" xr:uid="{00000000-0005-0000-0000-0000ABC10000}"/>
    <cellStyle name="Normal 7 9 3 6 2 2" xfId="44693" xr:uid="{00000000-0005-0000-0000-0000ACC10000}"/>
    <cellStyle name="Normal 7 9 3 6 3" xfId="32260" xr:uid="{00000000-0005-0000-0000-0000ADC10000}"/>
    <cellStyle name="Normal 7 9 3 7" xfId="3866" xr:uid="{00000000-0005-0000-0000-0000AEC10000}"/>
    <cellStyle name="Normal 7 9 3 7 2" xfId="16320" xr:uid="{00000000-0005-0000-0000-0000AFC10000}"/>
    <cellStyle name="Normal 7 9 3 7 2 2" xfId="41194" xr:uid="{00000000-0005-0000-0000-0000B0C10000}"/>
    <cellStyle name="Normal 7 9 3 7 3" xfId="28761" xr:uid="{00000000-0005-0000-0000-0000B1C10000}"/>
    <cellStyle name="Normal 7 9 3 8" xfId="14770" xr:uid="{00000000-0005-0000-0000-0000B2C10000}"/>
    <cellStyle name="Normal 7 9 3 8 2" xfId="39644" xr:uid="{00000000-0005-0000-0000-0000B3C10000}"/>
    <cellStyle name="Normal 7 9 3 9" xfId="27203" xr:uid="{00000000-0005-0000-0000-0000B4C10000}"/>
    <cellStyle name="Normal 7 9 4" xfId="2119" xr:uid="{00000000-0005-0000-0000-0000B5C10000}"/>
    <cellStyle name="Normal 7 9 4 2" xfId="6158" xr:uid="{00000000-0005-0000-0000-0000B6C10000}"/>
    <cellStyle name="Normal 7 9 4 2 2" xfId="11173" xr:uid="{00000000-0005-0000-0000-0000B7C10000}"/>
    <cellStyle name="Normal 7 9 4 2 2 2" xfId="23616" xr:uid="{00000000-0005-0000-0000-0000B8C10000}"/>
    <cellStyle name="Normal 7 9 4 2 2 2 2" xfId="48490" xr:uid="{00000000-0005-0000-0000-0000B9C10000}"/>
    <cellStyle name="Normal 7 9 4 2 2 3" xfId="36057" xr:uid="{00000000-0005-0000-0000-0000BAC10000}"/>
    <cellStyle name="Normal 7 9 4 2 3" xfId="18609" xr:uid="{00000000-0005-0000-0000-0000BBC10000}"/>
    <cellStyle name="Normal 7 9 4 2 3 2" xfId="43483" xr:uid="{00000000-0005-0000-0000-0000BCC10000}"/>
    <cellStyle name="Normal 7 9 4 2 4" xfId="31050" xr:uid="{00000000-0005-0000-0000-0000BDC10000}"/>
    <cellStyle name="Normal 7 9 4 3" xfId="12627" xr:uid="{00000000-0005-0000-0000-0000BEC10000}"/>
    <cellStyle name="Normal 7 9 4 3 2" xfId="25061" xr:uid="{00000000-0005-0000-0000-0000BFC10000}"/>
    <cellStyle name="Normal 7 9 4 3 2 2" xfId="49935" xr:uid="{00000000-0005-0000-0000-0000C0C10000}"/>
    <cellStyle name="Normal 7 9 4 3 3" xfId="37502" xr:uid="{00000000-0005-0000-0000-0000C1C10000}"/>
    <cellStyle name="Normal 7 9 4 4" xfId="9068" xr:uid="{00000000-0005-0000-0000-0000C2C10000}"/>
    <cellStyle name="Normal 7 9 4 4 2" xfId="21511" xr:uid="{00000000-0005-0000-0000-0000C3C10000}"/>
    <cellStyle name="Normal 7 9 4 4 2 2" xfId="46385" xr:uid="{00000000-0005-0000-0000-0000C4C10000}"/>
    <cellStyle name="Normal 7 9 4 4 3" xfId="33952" xr:uid="{00000000-0005-0000-0000-0000C5C10000}"/>
    <cellStyle name="Normal 7 9 4 5" xfId="4050" xr:uid="{00000000-0005-0000-0000-0000C6C10000}"/>
    <cellStyle name="Normal 7 9 4 5 2" xfId="16504" xr:uid="{00000000-0005-0000-0000-0000C7C10000}"/>
    <cellStyle name="Normal 7 9 4 5 2 2" xfId="41378" xr:uid="{00000000-0005-0000-0000-0000C8C10000}"/>
    <cellStyle name="Normal 7 9 4 5 3" xfId="28945" xr:uid="{00000000-0005-0000-0000-0000C9C10000}"/>
    <cellStyle name="Normal 7 9 4 6" xfId="14812" xr:uid="{00000000-0005-0000-0000-0000CAC10000}"/>
    <cellStyle name="Normal 7 9 4 6 2" xfId="39686" xr:uid="{00000000-0005-0000-0000-0000CBC10000}"/>
    <cellStyle name="Normal 7 9 4 7" xfId="27245" xr:uid="{00000000-0005-0000-0000-0000CCC10000}"/>
    <cellStyle name="Normal 7 9 5" xfId="969" xr:uid="{00000000-0005-0000-0000-0000CDC10000}"/>
    <cellStyle name="Normal 7 9 5 2" xfId="10128" xr:uid="{00000000-0005-0000-0000-0000CEC10000}"/>
    <cellStyle name="Normal 7 9 5 2 2" xfId="22571" xr:uid="{00000000-0005-0000-0000-0000CFC10000}"/>
    <cellStyle name="Normal 7 9 5 2 2 2" xfId="47445" xr:uid="{00000000-0005-0000-0000-0000D0C10000}"/>
    <cellStyle name="Normal 7 9 5 2 3" xfId="35012" xr:uid="{00000000-0005-0000-0000-0000D1C10000}"/>
    <cellStyle name="Normal 7 9 5 3" xfId="5112" xr:uid="{00000000-0005-0000-0000-0000D2C10000}"/>
    <cellStyle name="Normal 7 9 5 3 2" xfId="17564" xr:uid="{00000000-0005-0000-0000-0000D3C10000}"/>
    <cellStyle name="Normal 7 9 5 3 2 2" xfId="42438" xr:uid="{00000000-0005-0000-0000-0000D4C10000}"/>
    <cellStyle name="Normal 7 9 5 3 3" xfId="30005" xr:uid="{00000000-0005-0000-0000-0000D5C10000}"/>
    <cellStyle name="Normal 7 9 5 4" xfId="13769" xr:uid="{00000000-0005-0000-0000-0000D6C10000}"/>
    <cellStyle name="Normal 7 9 5 4 2" xfId="38643" xr:uid="{00000000-0005-0000-0000-0000D7C10000}"/>
    <cellStyle name="Normal 7 9 5 5" xfId="26202" xr:uid="{00000000-0005-0000-0000-0000D8C10000}"/>
    <cellStyle name="Normal 7 9 6" xfId="8184" xr:uid="{00000000-0005-0000-0000-0000D9C10000}"/>
    <cellStyle name="Normal 7 9 6 2" xfId="20628" xr:uid="{00000000-0005-0000-0000-0000DAC10000}"/>
    <cellStyle name="Normal 7 9 6 2 2" xfId="45502" xr:uid="{00000000-0005-0000-0000-0000DBC10000}"/>
    <cellStyle name="Normal 7 9 6 3" xfId="33069" xr:uid="{00000000-0005-0000-0000-0000DCC10000}"/>
    <cellStyle name="Normal 7 9 7" xfId="11584" xr:uid="{00000000-0005-0000-0000-0000DDC10000}"/>
    <cellStyle name="Normal 7 9 7 2" xfId="24018" xr:uid="{00000000-0005-0000-0000-0000DEC10000}"/>
    <cellStyle name="Normal 7 9 7 2 2" xfId="48892" xr:uid="{00000000-0005-0000-0000-0000DFC10000}"/>
    <cellStyle name="Normal 7 9 7 3" xfId="36459" xr:uid="{00000000-0005-0000-0000-0000E0C10000}"/>
    <cellStyle name="Normal 7 9 8" xfId="6661" xr:uid="{00000000-0005-0000-0000-0000E1C10000}"/>
    <cellStyle name="Normal 7 9 8 2" xfId="19110" xr:uid="{00000000-0005-0000-0000-0000E2C10000}"/>
    <cellStyle name="Normal 7 9 8 2 2" xfId="43984" xr:uid="{00000000-0005-0000-0000-0000E3C10000}"/>
    <cellStyle name="Normal 7 9 8 3" xfId="31551" xr:uid="{00000000-0005-0000-0000-0000E4C10000}"/>
    <cellStyle name="Normal 7 9 9" xfId="3115" xr:uid="{00000000-0005-0000-0000-0000E5C10000}"/>
    <cellStyle name="Normal 7 9 9 2" xfId="15621" xr:uid="{00000000-0005-0000-0000-0000E6C10000}"/>
    <cellStyle name="Normal 7 9 9 2 2" xfId="40495" xr:uid="{00000000-0005-0000-0000-0000E7C10000}"/>
    <cellStyle name="Normal 7 9 9 3" xfId="28054" xr:uid="{00000000-0005-0000-0000-0000E8C10000}"/>
    <cellStyle name="Normal 7 9_Degree data" xfId="2596" xr:uid="{00000000-0005-0000-0000-0000E9C10000}"/>
    <cellStyle name="Normal 7_Degree data" xfId="2563" xr:uid="{00000000-0005-0000-0000-0000EAC10000}"/>
    <cellStyle name="Normal 70" xfId="3103" xr:uid="{00000000-0005-0000-0000-0000EBC10000}"/>
    <cellStyle name="Normal 70 2" xfId="3774" xr:uid="{00000000-0005-0000-0000-0000ECC10000}"/>
    <cellStyle name="Normal 70 2 2" xfId="4709" xr:uid="{00000000-0005-0000-0000-0000EDC10000}"/>
    <cellStyle name="Normal 70 2 2 2" xfId="9727" xr:uid="{00000000-0005-0000-0000-0000EEC10000}"/>
    <cellStyle name="Normal 70 2 2 2 2" xfId="22170" xr:uid="{00000000-0005-0000-0000-0000EFC10000}"/>
    <cellStyle name="Normal 70 2 2 2 2 2" xfId="47044" xr:uid="{00000000-0005-0000-0000-0000F0C10000}"/>
    <cellStyle name="Normal 70 2 2 2 3" xfId="34611" xr:uid="{00000000-0005-0000-0000-0000F1C10000}"/>
    <cellStyle name="Normal 70 2 2 3" xfId="17163" xr:uid="{00000000-0005-0000-0000-0000F2C10000}"/>
    <cellStyle name="Normal 70 2 2 3 2" xfId="42037" xr:uid="{00000000-0005-0000-0000-0000F3C10000}"/>
    <cellStyle name="Normal 70 2 2 4" xfId="29604" xr:uid="{00000000-0005-0000-0000-0000F4C10000}"/>
    <cellStyle name="Normal 70 2 3" xfId="6474" xr:uid="{00000000-0005-0000-0000-0000F5C10000}"/>
    <cellStyle name="Normal 70 2 3 2" xfId="11488" xr:uid="{00000000-0005-0000-0000-0000F6C10000}"/>
    <cellStyle name="Normal 70 2 3 2 2" xfId="23931" xr:uid="{00000000-0005-0000-0000-0000F7C10000}"/>
    <cellStyle name="Normal 70 2 3 2 2 2" xfId="48805" xr:uid="{00000000-0005-0000-0000-0000F8C10000}"/>
    <cellStyle name="Normal 70 2 3 2 3" xfId="36372" xr:uid="{00000000-0005-0000-0000-0000F9C10000}"/>
    <cellStyle name="Normal 70 2 3 3" xfId="18924" xr:uid="{00000000-0005-0000-0000-0000FAC10000}"/>
    <cellStyle name="Normal 70 2 3 3 2" xfId="43798" xr:uid="{00000000-0005-0000-0000-0000FBC10000}"/>
    <cellStyle name="Normal 70 2 3 4" xfId="31365" xr:uid="{00000000-0005-0000-0000-0000FCC10000}"/>
    <cellStyle name="Normal 70 2 4" xfId="8843" xr:uid="{00000000-0005-0000-0000-0000FDC10000}"/>
    <cellStyle name="Normal 70 2 4 2" xfId="21287" xr:uid="{00000000-0005-0000-0000-0000FEC10000}"/>
    <cellStyle name="Normal 70 2 4 2 2" xfId="46161" xr:uid="{00000000-0005-0000-0000-0000FFC10000}"/>
    <cellStyle name="Normal 70 2 4 3" xfId="33728" xr:uid="{00000000-0005-0000-0000-000000C20000}"/>
    <cellStyle name="Normal 70 2 5" xfId="7320" xr:uid="{00000000-0005-0000-0000-000001C20000}"/>
    <cellStyle name="Normal 70 2 5 2" xfId="19769" xr:uid="{00000000-0005-0000-0000-000002C20000}"/>
    <cellStyle name="Normal 70 2 5 2 2" xfId="44643" xr:uid="{00000000-0005-0000-0000-000003C20000}"/>
    <cellStyle name="Normal 70 2 5 3" xfId="32210" xr:uid="{00000000-0005-0000-0000-000004C20000}"/>
    <cellStyle name="Normal 70 2 6" xfId="16280" xr:uid="{00000000-0005-0000-0000-000005C20000}"/>
    <cellStyle name="Normal 70 2 6 2" xfId="41154" xr:uid="{00000000-0005-0000-0000-000006C20000}"/>
    <cellStyle name="Normal 70 2 7" xfId="28713" xr:uid="{00000000-0005-0000-0000-000007C20000}"/>
    <cellStyle name="Normal 70 3" xfId="8172" xr:uid="{00000000-0005-0000-0000-000008C20000}"/>
    <cellStyle name="Normal 71" xfId="83" xr:uid="{00000000-0005-0000-0000-000009C20000}"/>
    <cellStyle name="Normal 72" xfId="84" xr:uid="{00000000-0005-0000-0000-00000AC20000}"/>
    <cellStyle name="Normal 73" xfId="3104" xr:uid="{00000000-0005-0000-0000-00000BC20000}"/>
    <cellStyle name="Normal 73 2" xfId="3775" xr:uid="{00000000-0005-0000-0000-00000CC20000}"/>
    <cellStyle name="Normal 73 2 2" xfId="4710" xr:uid="{00000000-0005-0000-0000-00000DC20000}"/>
    <cellStyle name="Normal 73 2 2 2" xfId="9728" xr:uid="{00000000-0005-0000-0000-00000EC20000}"/>
    <cellStyle name="Normal 73 2 2 2 2" xfId="22171" xr:uid="{00000000-0005-0000-0000-00000FC20000}"/>
    <cellStyle name="Normal 73 2 2 2 2 2" xfId="47045" xr:uid="{00000000-0005-0000-0000-000010C20000}"/>
    <cellStyle name="Normal 73 2 2 2 3" xfId="34612" xr:uid="{00000000-0005-0000-0000-000011C20000}"/>
    <cellStyle name="Normal 73 2 2 3" xfId="17164" xr:uid="{00000000-0005-0000-0000-000012C20000}"/>
    <cellStyle name="Normal 73 2 2 3 2" xfId="42038" xr:uid="{00000000-0005-0000-0000-000013C20000}"/>
    <cellStyle name="Normal 73 2 2 4" xfId="29605" xr:uid="{00000000-0005-0000-0000-000014C20000}"/>
    <cellStyle name="Normal 73 2 3" xfId="6472" xr:uid="{00000000-0005-0000-0000-000015C20000}"/>
    <cellStyle name="Normal 73 2 3 2" xfId="11486" xr:uid="{00000000-0005-0000-0000-000016C20000}"/>
    <cellStyle name="Normal 73 2 3 2 2" xfId="23929" xr:uid="{00000000-0005-0000-0000-000017C20000}"/>
    <cellStyle name="Normal 73 2 3 2 2 2" xfId="48803" xr:uid="{00000000-0005-0000-0000-000018C20000}"/>
    <cellStyle name="Normal 73 2 3 2 3" xfId="36370" xr:uid="{00000000-0005-0000-0000-000019C20000}"/>
    <cellStyle name="Normal 73 2 3 3" xfId="18922" xr:uid="{00000000-0005-0000-0000-00001AC20000}"/>
    <cellStyle name="Normal 73 2 3 3 2" xfId="43796" xr:uid="{00000000-0005-0000-0000-00001BC20000}"/>
    <cellStyle name="Normal 73 2 3 4" xfId="31363" xr:uid="{00000000-0005-0000-0000-00001CC20000}"/>
    <cellStyle name="Normal 73 2 4" xfId="8844" xr:uid="{00000000-0005-0000-0000-00001DC20000}"/>
    <cellStyle name="Normal 73 2 4 2" xfId="21288" xr:uid="{00000000-0005-0000-0000-00001EC20000}"/>
    <cellStyle name="Normal 73 2 4 2 2" xfId="46162" xr:uid="{00000000-0005-0000-0000-00001FC20000}"/>
    <cellStyle name="Normal 73 2 4 3" xfId="33729" xr:uid="{00000000-0005-0000-0000-000020C20000}"/>
    <cellStyle name="Normal 73 2 5" xfId="7321" xr:uid="{00000000-0005-0000-0000-000021C20000}"/>
    <cellStyle name="Normal 73 2 5 2" xfId="19770" xr:uid="{00000000-0005-0000-0000-000022C20000}"/>
    <cellStyle name="Normal 73 2 5 2 2" xfId="44644" xr:uid="{00000000-0005-0000-0000-000023C20000}"/>
    <cellStyle name="Normal 73 2 5 3" xfId="32211" xr:uid="{00000000-0005-0000-0000-000024C20000}"/>
    <cellStyle name="Normal 73 2 6" xfId="16281" xr:uid="{00000000-0005-0000-0000-000025C20000}"/>
    <cellStyle name="Normal 73 2 6 2" xfId="41155" xr:uid="{00000000-0005-0000-0000-000026C20000}"/>
    <cellStyle name="Normal 73 2 7" xfId="28714" xr:uid="{00000000-0005-0000-0000-000027C20000}"/>
    <cellStyle name="Normal 73 3" xfId="8173" xr:uid="{00000000-0005-0000-0000-000028C20000}"/>
    <cellStyle name="Normal 74" xfId="3776" xr:uid="{00000000-0005-0000-0000-000029C20000}"/>
    <cellStyle name="Normal 74 2" xfId="4711" xr:uid="{00000000-0005-0000-0000-00002AC20000}"/>
    <cellStyle name="Normal 74 2 2" xfId="9729" xr:uid="{00000000-0005-0000-0000-00002BC20000}"/>
    <cellStyle name="Normal 74 2 2 2" xfId="22172" xr:uid="{00000000-0005-0000-0000-00002CC20000}"/>
    <cellStyle name="Normal 74 2 2 2 2" xfId="47046" xr:uid="{00000000-0005-0000-0000-00002DC20000}"/>
    <cellStyle name="Normal 74 2 2 3" xfId="34613" xr:uid="{00000000-0005-0000-0000-00002EC20000}"/>
    <cellStyle name="Normal 74 2 3" xfId="17165" xr:uid="{00000000-0005-0000-0000-00002FC20000}"/>
    <cellStyle name="Normal 74 2 3 2" xfId="42039" xr:uid="{00000000-0005-0000-0000-000030C20000}"/>
    <cellStyle name="Normal 74 2 4" xfId="29606" xr:uid="{00000000-0005-0000-0000-000031C20000}"/>
    <cellStyle name="Normal 74 3" xfId="6470" xr:uid="{00000000-0005-0000-0000-000032C20000}"/>
    <cellStyle name="Normal 74 3 2" xfId="11485" xr:uid="{00000000-0005-0000-0000-000033C20000}"/>
    <cellStyle name="Normal 74 3 2 2" xfId="23928" xr:uid="{00000000-0005-0000-0000-000034C20000}"/>
    <cellStyle name="Normal 74 3 2 2 2" xfId="48802" xr:uid="{00000000-0005-0000-0000-000035C20000}"/>
    <cellStyle name="Normal 74 3 2 3" xfId="36369" xr:uid="{00000000-0005-0000-0000-000036C20000}"/>
    <cellStyle name="Normal 74 3 3" xfId="18921" xr:uid="{00000000-0005-0000-0000-000037C20000}"/>
    <cellStyle name="Normal 74 3 3 2" xfId="43795" xr:uid="{00000000-0005-0000-0000-000038C20000}"/>
    <cellStyle name="Normal 74 3 4" xfId="31362" xr:uid="{00000000-0005-0000-0000-000039C20000}"/>
    <cellStyle name="Normal 74 4" xfId="8845" xr:uid="{00000000-0005-0000-0000-00003AC20000}"/>
    <cellStyle name="Normal 74 4 2" xfId="21289" xr:uid="{00000000-0005-0000-0000-00003BC20000}"/>
    <cellStyle name="Normal 74 4 2 2" xfId="46163" xr:uid="{00000000-0005-0000-0000-00003CC20000}"/>
    <cellStyle name="Normal 74 4 3" xfId="33730" xr:uid="{00000000-0005-0000-0000-00003DC20000}"/>
    <cellStyle name="Normal 74 5" xfId="7322" xr:uid="{00000000-0005-0000-0000-00003EC20000}"/>
    <cellStyle name="Normal 74 5 2" xfId="19771" xr:uid="{00000000-0005-0000-0000-00003FC20000}"/>
    <cellStyle name="Normal 74 5 2 2" xfId="44645" xr:uid="{00000000-0005-0000-0000-000040C20000}"/>
    <cellStyle name="Normal 74 5 3" xfId="32212" xr:uid="{00000000-0005-0000-0000-000041C20000}"/>
    <cellStyle name="Normal 74 6" xfId="16282" xr:uid="{00000000-0005-0000-0000-000042C20000}"/>
    <cellStyle name="Normal 74 6 2" xfId="41156" xr:uid="{00000000-0005-0000-0000-000043C20000}"/>
    <cellStyle name="Normal 74 7" xfId="28715" xr:uid="{00000000-0005-0000-0000-000044C20000}"/>
    <cellStyle name="Normal 75" xfId="3777" xr:uid="{00000000-0005-0000-0000-000045C20000}"/>
    <cellStyle name="Normal 75 2" xfId="4712" xr:uid="{00000000-0005-0000-0000-000046C20000}"/>
    <cellStyle name="Normal 75 2 2" xfId="9730" xr:uid="{00000000-0005-0000-0000-000047C20000}"/>
    <cellStyle name="Normal 75 2 2 2" xfId="22173" xr:uid="{00000000-0005-0000-0000-000048C20000}"/>
    <cellStyle name="Normal 75 2 2 2 2" xfId="47047" xr:uid="{00000000-0005-0000-0000-000049C20000}"/>
    <cellStyle name="Normal 75 2 2 3" xfId="34614" xr:uid="{00000000-0005-0000-0000-00004AC20000}"/>
    <cellStyle name="Normal 75 2 3" xfId="17166" xr:uid="{00000000-0005-0000-0000-00004BC20000}"/>
    <cellStyle name="Normal 75 2 3 2" xfId="42040" xr:uid="{00000000-0005-0000-0000-00004CC20000}"/>
    <cellStyle name="Normal 75 2 4" xfId="29607" xr:uid="{00000000-0005-0000-0000-00004DC20000}"/>
    <cellStyle name="Normal 75 3" xfId="6467" xr:uid="{00000000-0005-0000-0000-00004EC20000}"/>
    <cellStyle name="Normal 75 3 2" xfId="11482" xr:uid="{00000000-0005-0000-0000-00004FC20000}"/>
    <cellStyle name="Normal 75 3 2 2" xfId="23925" xr:uid="{00000000-0005-0000-0000-000050C20000}"/>
    <cellStyle name="Normal 75 3 2 2 2" xfId="48799" xr:uid="{00000000-0005-0000-0000-000051C20000}"/>
    <cellStyle name="Normal 75 3 2 3" xfId="36366" xr:uid="{00000000-0005-0000-0000-000052C20000}"/>
    <cellStyle name="Normal 75 3 3" xfId="18918" xr:uid="{00000000-0005-0000-0000-000053C20000}"/>
    <cellStyle name="Normal 75 3 3 2" xfId="43792" xr:uid="{00000000-0005-0000-0000-000054C20000}"/>
    <cellStyle name="Normal 75 3 4" xfId="31359" xr:uid="{00000000-0005-0000-0000-000055C20000}"/>
    <cellStyle name="Normal 75 4" xfId="8846" xr:uid="{00000000-0005-0000-0000-000056C20000}"/>
    <cellStyle name="Normal 75 4 2" xfId="21290" xr:uid="{00000000-0005-0000-0000-000057C20000}"/>
    <cellStyle name="Normal 75 4 2 2" xfId="46164" xr:uid="{00000000-0005-0000-0000-000058C20000}"/>
    <cellStyle name="Normal 75 4 3" xfId="33731" xr:uid="{00000000-0005-0000-0000-000059C20000}"/>
    <cellStyle name="Normal 75 5" xfId="7323" xr:uid="{00000000-0005-0000-0000-00005AC20000}"/>
    <cellStyle name="Normal 75 5 2" xfId="19772" xr:uid="{00000000-0005-0000-0000-00005BC20000}"/>
    <cellStyle name="Normal 75 5 2 2" xfId="44646" xr:uid="{00000000-0005-0000-0000-00005CC20000}"/>
    <cellStyle name="Normal 75 5 3" xfId="32213" xr:uid="{00000000-0005-0000-0000-00005DC20000}"/>
    <cellStyle name="Normal 75 6" xfId="16283" xr:uid="{00000000-0005-0000-0000-00005EC20000}"/>
    <cellStyle name="Normal 75 6 2" xfId="41157" xr:uid="{00000000-0005-0000-0000-00005FC20000}"/>
    <cellStyle name="Normal 75 7" xfId="28716" xr:uid="{00000000-0005-0000-0000-000060C20000}"/>
    <cellStyle name="Normal 76" xfId="3778" xr:uid="{00000000-0005-0000-0000-000061C20000}"/>
    <cellStyle name="Normal 76 2" xfId="4713" xr:uid="{00000000-0005-0000-0000-000062C20000}"/>
    <cellStyle name="Normal 76 2 2" xfId="9731" xr:uid="{00000000-0005-0000-0000-000063C20000}"/>
    <cellStyle name="Normal 76 2 2 2" xfId="22174" xr:uid="{00000000-0005-0000-0000-000064C20000}"/>
    <cellStyle name="Normal 76 2 2 2 2" xfId="47048" xr:uid="{00000000-0005-0000-0000-000065C20000}"/>
    <cellStyle name="Normal 76 2 2 3" xfId="34615" xr:uid="{00000000-0005-0000-0000-000066C20000}"/>
    <cellStyle name="Normal 76 2 3" xfId="17167" xr:uid="{00000000-0005-0000-0000-000067C20000}"/>
    <cellStyle name="Normal 76 2 3 2" xfId="42041" xr:uid="{00000000-0005-0000-0000-000068C20000}"/>
    <cellStyle name="Normal 76 2 4" xfId="29608" xr:uid="{00000000-0005-0000-0000-000069C20000}"/>
    <cellStyle name="Normal 76 3" xfId="6466" xr:uid="{00000000-0005-0000-0000-00006AC20000}"/>
    <cellStyle name="Normal 76 3 2" xfId="11481" xr:uid="{00000000-0005-0000-0000-00006BC20000}"/>
    <cellStyle name="Normal 76 3 2 2" xfId="23924" xr:uid="{00000000-0005-0000-0000-00006CC20000}"/>
    <cellStyle name="Normal 76 3 2 2 2" xfId="48798" xr:uid="{00000000-0005-0000-0000-00006DC20000}"/>
    <cellStyle name="Normal 76 3 2 3" xfId="36365" xr:uid="{00000000-0005-0000-0000-00006EC20000}"/>
    <cellStyle name="Normal 76 3 3" xfId="18917" xr:uid="{00000000-0005-0000-0000-00006FC20000}"/>
    <cellStyle name="Normal 76 3 3 2" xfId="43791" xr:uid="{00000000-0005-0000-0000-000070C20000}"/>
    <cellStyle name="Normal 76 3 4" xfId="31358" xr:uid="{00000000-0005-0000-0000-000071C20000}"/>
    <cellStyle name="Normal 76 4" xfId="8847" xr:uid="{00000000-0005-0000-0000-000072C20000}"/>
    <cellStyle name="Normal 76 4 2" xfId="21291" xr:uid="{00000000-0005-0000-0000-000073C20000}"/>
    <cellStyle name="Normal 76 4 2 2" xfId="46165" xr:uid="{00000000-0005-0000-0000-000074C20000}"/>
    <cellStyle name="Normal 76 4 3" xfId="33732" xr:uid="{00000000-0005-0000-0000-000075C20000}"/>
    <cellStyle name="Normal 76 5" xfId="7324" xr:uid="{00000000-0005-0000-0000-000076C20000}"/>
    <cellStyle name="Normal 76 5 2" xfId="19773" xr:uid="{00000000-0005-0000-0000-000077C20000}"/>
    <cellStyle name="Normal 76 5 2 2" xfId="44647" xr:uid="{00000000-0005-0000-0000-000078C20000}"/>
    <cellStyle name="Normal 76 5 3" xfId="32214" xr:uid="{00000000-0005-0000-0000-000079C20000}"/>
    <cellStyle name="Normal 76 6" xfId="16284" xr:uid="{00000000-0005-0000-0000-00007AC20000}"/>
    <cellStyle name="Normal 76 6 2" xfId="41158" xr:uid="{00000000-0005-0000-0000-00007BC20000}"/>
    <cellStyle name="Normal 76 7" xfId="28717" xr:uid="{00000000-0005-0000-0000-00007CC20000}"/>
    <cellStyle name="Normal 77" xfId="3423" xr:uid="{00000000-0005-0000-0000-00007DC20000}"/>
    <cellStyle name="Normal 77 2" xfId="4358" xr:uid="{00000000-0005-0000-0000-00007EC20000}"/>
    <cellStyle name="Normal 77 2 2" xfId="9376" xr:uid="{00000000-0005-0000-0000-00007FC20000}"/>
    <cellStyle name="Normal 77 2 2 2" xfId="21819" xr:uid="{00000000-0005-0000-0000-000080C20000}"/>
    <cellStyle name="Normal 77 2 2 2 2" xfId="46693" xr:uid="{00000000-0005-0000-0000-000081C20000}"/>
    <cellStyle name="Normal 77 2 2 3" xfId="34260" xr:uid="{00000000-0005-0000-0000-000082C20000}"/>
    <cellStyle name="Normal 77 2 3" xfId="16812" xr:uid="{00000000-0005-0000-0000-000083C20000}"/>
    <cellStyle name="Normal 77 2 3 2" xfId="41686" xr:uid="{00000000-0005-0000-0000-000084C20000}"/>
    <cellStyle name="Normal 77 2 4" xfId="29253" xr:uid="{00000000-0005-0000-0000-000085C20000}"/>
    <cellStyle name="Normal 77 3" xfId="6475" xr:uid="{00000000-0005-0000-0000-000086C20000}"/>
    <cellStyle name="Normal 77 3 2" xfId="11489" xr:uid="{00000000-0005-0000-0000-000087C20000}"/>
    <cellStyle name="Normal 77 3 2 2" xfId="23932" xr:uid="{00000000-0005-0000-0000-000088C20000}"/>
    <cellStyle name="Normal 77 3 2 2 2" xfId="48806" xr:uid="{00000000-0005-0000-0000-000089C20000}"/>
    <cellStyle name="Normal 77 3 2 3" xfId="36373" xr:uid="{00000000-0005-0000-0000-00008AC20000}"/>
    <cellStyle name="Normal 77 3 3" xfId="18925" xr:uid="{00000000-0005-0000-0000-00008BC20000}"/>
    <cellStyle name="Normal 77 3 3 2" xfId="43799" xr:uid="{00000000-0005-0000-0000-00008CC20000}"/>
    <cellStyle name="Normal 77 3 4" xfId="31366" xr:uid="{00000000-0005-0000-0000-00008DC20000}"/>
    <cellStyle name="Normal 77 4" xfId="8492" xr:uid="{00000000-0005-0000-0000-00008EC20000}"/>
    <cellStyle name="Normal 77 4 2" xfId="20936" xr:uid="{00000000-0005-0000-0000-00008FC20000}"/>
    <cellStyle name="Normal 77 4 2 2" xfId="45810" xr:uid="{00000000-0005-0000-0000-000090C20000}"/>
    <cellStyle name="Normal 77 4 3" xfId="33377" xr:uid="{00000000-0005-0000-0000-000091C20000}"/>
    <cellStyle name="Normal 77 5" xfId="6969" xr:uid="{00000000-0005-0000-0000-000092C20000}"/>
    <cellStyle name="Normal 77 5 2" xfId="19418" xr:uid="{00000000-0005-0000-0000-000093C20000}"/>
    <cellStyle name="Normal 77 5 2 2" xfId="44292" xr:uid="{00000000-0005-0000-0000-000094C20000}"/>
    <cellStyle name="Normal 77 5 3" xfId="31859" xr:uid="{00000000-0005-0000-0000-000095C20000}"/>
    <cellStyle name="Normal 77 6" xfId="15929" xr:uid="{00000000-0005-0000-0000-000096C20000}"/>
    <cellStyle name="Normal 77 6 2" xfId="40803" xr:uid="{00000000-0005-0000-0000-000097C20000}"/>
    <cellStyle name="Normal 77 7" xfId="28362" xr:uid="{00000000-0005-0000-0000-000098C20000}"/>
    <cellStyle name="Normal 78" xfId="3779" xr:uid="{00000000-0005-0000-0000-000099C20000}"/>
    <cellStyle name="Normal 78 2" xfId="4714" xr:uid="{00000000-0005-0000-0000-00009AC20000}"/>
    <cellStyle name="Normal 78 2 2" xfId="9732" xr:uid="{00000000-0005-0000-0000-00009BC20000}"/>
    <cellStyle name="Normal 78 2 2 2" xfId="22175" xr:uid="{00000000-0005-0000-0000-00009CC20000}"/>
    <cellStyle name="Normal 78 2 2 2 2" xfId="47049" xr:uid="{00000000-0005-0000-0000-00009DC20000}"/>
    <cellStyle name="Normal 78 2 2 3" xfId="34616" xr:uid="{00000000-0005-0000-0000-00009EC20000}"/>
    <cellStyle name="Normal 78 2 3" xfId="17168" xr:uid="{00000000-0005-0000-0000-00009FC20000}"/>
    <cellStyle name="Normal 78 2 3 2" xfId="42042" xr:uid="{00000000-0005-0000-0000-0000A0C20000}"/>
    <cellStyle name="Normal 78 2 4" xfId="29609" xr:uid="{00000000-0005-0000-0000-0000A1C20000}"/>
    <cellStyle name="Normal 78 3" xfId="5148" xr:uid="{00000000-0005-0000-0000-0000A2C20000}"/>
    <cellStyle name="Normal 78 3 2" xfId="10164" xr:uid="{00000000-0005-0000-0000-0000A3C20000}"/>
    <cellStyle name="Normal 78 3 2 2" xfId="22607" xr:uid="{00000000-0005-0000-0000-0000A4C20000}"/>
    <cellStyle name="Normal 78 3 2 2 2" xfId="47481" xr:uid="{00000000-0005-0000-0000-0000A5C20000}"/>
    <cellStyle name="Normal 78 3 2 3" xfId="35048" xr:uid="{00000000-0005-0000-0000-0000A6C20000}"/>
    <cellStyle name="Normal 78 3 3" xfId="17600" xr:uid="{00000000-0005-0000-0000-0000A7C20000}"/>
    <cellStyle name="Normal 78 3 3 2" xfId="42474" xr:uid="{00000000-0005-0000-0000-0000A8C20000}"/>
    <cellStyle name="Normal 78 3 4" xfId="30041" xr:uid="{00000000-0005-0000-0000-0000A9C20000}"/>
    <cellStyle name="Normal 78 4" xfId="8848" xr:uid="{00000000-0005-0000-0000-0000AAC20000}"/>
    <cellStyle name="Normal 78 4 2" xfId="21292" xr:uid="{00000000-0005-0000-0000-0000ABC20000}"/>
    <cellStyle name="Normal 78 4 2 2" xfId="46166" xr:uid="{00000000-0005-0000-0000-0000ACC20000}"/>
    <cellStyle name="Normal 78 4 3" xfId="33733" xr:uid="{00000000-0005-0000-0000-0000ADC20000}"/>
    <cellStyle name="Normal 78 5" xfId="7325" xr:uid="{00000000-0005-0000-0000-0000AEC20000}"/>
    <cellStyle name="Normal 78 5 2" xfId="19774" xr:uid="{00000000-0005-0000-0000-0000AFC20000}"/>
    <cellStyle name="Normal 78 5 2 2" xfId="44648" xr:uid="{00000000-0005-0000-0000-0000B0C20000}"/>
    <cellStyle name="Normal 78 5 3" xfId="32215" xr:uid="{00000000-0005-0000-0000-0000B1C20000}"/>
    <cellStyle name="Normal 78 6" xfId="16285" xr:uid="{00000000-0005-0000-0000-0000B2C20000}"/>
    <cellStyle name="Normal 78 6 2" xfId="41159" xr:uid="{00000000-0005-0000-0000-0000B3C20000}"/>
    <cellStyle name="Normal 78 7" xfId="28718" xr:uid="{00000000-0005-0000-0000-0000B4C20000}"/>
    <cellStyle name="Normal 79" xfId="3424" xr:uid="{00000000-0005-0000-0000-0000B5C20000}"/>
    <cellStyle name="Normal 79 2" xfId="4359" xr:uid="{00000000-0005-0000-0000-0000B6C20000}"/>
    <cellStyle name="Normal 79 2 2" xfId="9377" xr:uid="{00000000-0005-0000-0000-0000B7C20000}"/>
    <cellStyle name="Normal 79 2 2 2" xfId="21820" xr:uid="{00000000-0005-0000-0000-0000B8C20000}"/>
    <cellStyle name="Normal 79 2 2 2 2" xfId="46694" xr:uid="{00000000-0005-0000-0000-0000B9C20000}"/>
    <cellStyle name="Normal 79 2 2 3" xfId="34261" xr:uid="{00000000-0005-0000-0000-0000BAC20000}"/>
    <cellStyle name="Normal 79 2 3" xfId="16813" xr:uid="{00000000-0005-0000-0000-0000BBC20000}"/>
    <cellStyle name="Normal 79 2 3 2" xfId="41687" xr:uid="{00000000-0005-0000-0000-0000BCC20000}"/>
    <cellStyle name="Normal 79 2 4" xfId="29254" xr:uid="{00000000-0005-0000-0000-0000BDC20000}"/>
    <cellStyle name="Normal 79 3" xfId="6473" xr:uid="{00000000-0005-0000-0000-0000BEC20000}"/>
    <cellStyle name="Normal 79 3 2" xfId="11487" xr:uid="{00000000-0005-0000-0000-0000BFC20000}"/>
    <cellStyle name="Normal 79 3 2 2" xfId="23930" xr:uid="{00000000-0005-0000-0000-0000C0C20000}"/>
    <cellStyle name="Normal 79 3 2 2 2" xfId="48804" xr:uid="{00000000-0005-0000-0000-0000C1C20000}"/>
    <cellStyle name="Normal 79 3 2 3" xfId="36371" xr:uid="{00000000-0005-0000-0000-0000C2C20000}"/>
    <cellStyle name="Normal 79 3 3" xfId="18923" xr:uid="{00000000-0005-0000-0000-0000C3C20000}"/>
    <cellStyle name="Normal 79 3 3 2" xfId="43797" xr:uid="{00000000-0005-0000-0000-0000C4C20000}"/>
    <cellStyle name="Normal 79 3 4" xfId="31364" xr:uid="{00000000-0005-0000-0000-0000C5C20000}"/>
    <cellStyle name="Normal 79 4" xfId="8493" xr:uid="{00000000-0005-0000-0000-0000C6C20000}"/>
    <cellStyle name="Normal 79 4 2" xfId="20937" xr:uid="{00000000-0005-0000-0000-0000C7C20000}"/>
    <cellStyle name="Normal 79 4 2 2" xfId="45811" xr:uid="{00000000-0005-0000-0000-0000C8C20000}"/>
    <cellStyle name="Normal 79 4 3" xfId="33378" xr:uid="{00000000-0005-0000-0000-0000C9C20000}"/>
    <cellStyle name="Normal 79 5" xfId="6970" xr:uid="{00000000-0005-0000-0000-0000CAC20000}"/>
    <cellStyle name="Normal 79 5 2" xfId="19419" xr:uid="{00000000-0005-0000-0000-0000CBC20000}"/>
    <cellStyle name="Normal 79 5 2 2" xfId="44293" xr:uid="{00000000-0005-0000-0000-0000CCC20000}"/>
    <cellStyle name="Normal 79 5 3" xfId="31860" xr:uid="{00000000-0005-0000-0000-0000CDC20000}"/>
    <cellStyle name="Normal 79 6" xfId="15930" xr:uid="{00000000-0005-0000-0000-0000CEC20000}"/>
    <cellStyle name="Normal 79 6 2" xfId="40804" xr:uid="{00000000-0005-0000-0000-0000CFC20000}"/>
    <cellStyle name="Normal 79 7" xfId="28363" xr:uid="{00000000-0005-0000-0000-0000D0C20000}"/>
    <cellStyle name="Normal 8" xfId="65" xr:uid="{00000000-0005-0000-0000-0000D1C20000}"/>
    <cellStyle name="Normal 8 2" xfId="118" xr:uid="{00000000-0005-0000-0000-0000D2C20000}"/>
    <cellStyle name="Normal 8 3" xfId="109" xr:uid="{00000000-0005-0000-0000-0000D3C20000}"/>
    <cellStyle name="Normal 80" xfId="3425" xr:uid="{00000000-0005-0000-0000-0000D4C20000}"/>
    <cellStyle name="Normal 80 2" xfId="4360" xr:uid="{00000000-0005-0000-0000-0000D5C20000}"/>
    <cellStyle name="Normal 80 2 2" xfId="9378" xr:uid="{00000000-0005-0000-0000-0000D6C20000}"/>
    <cellStyle name="Normal 80 2 2 2" xfId="21821" xr:uid="{00000000-0005-0000-0000-0000D7C20000}"/>
    <cellStyle name="Normal 80 2 2 2 2" xfId="46695" xr:uid="{00000000-0005-0000-0000-0000D8C20000}"/>
    <cellStyle name="Normal 80 2 2 3" xfId="34262" xr:uid="{00000000-0005-0000-0000-0000D9C20000}"/>
    <cellStyle name="Normal 80 2 3" xfId="16814" xr:uid="{00000000-0005-0000-0000-0000DAC20000}"/>
    <cellStyle name="Normal 80 2 3 2" xfId="41688" xr:uid="{00000000-0005-0000-0000-0000DBC20000}"/>
    <cellStyle name="Normal 80 2 4" xfId="29255" xr:uid="{00000000-0005-0000-0000-0000DCC20000}"/>
    <cellStyle name="Normal 80 3" xfId="6469" xr:uid="{00000000-0005-0000-0000-0000DDC20000}"/>
    <cellStyle name="Normal 80 3 2" xfId="11484" xr:uid="{00000000-0005-0000-0000-0000DEC20000}"/>
    <cellStyle name="Normal 80 3 2 2" xfId="23927" xr:uid="{00000000-0005-0000-0000-0000DFC20000}"/>
    <cellStyle name="Normal 80 3 2 2 2" xfId="48801" xr:uid="{00000000-0005-0000-0000-0000E0C20000}"/>
    <cellStyle name="Normal 80 3 2 3" xfId="36368" xr:uid="{00000000-0005-0000-0000-0000E1C20000}"/>
    <cellStyle name="Normal 80 3 3" xfId="18920" xr:uid="{00000000-0005-0000-0000-0000E2C20000}"/>
    <cellStyle name="Normal 80 3 3 2" xfId="43794" xr:uid="{00000000-0005-0000-0000-0000E3C20000}"/>
    <cellStyle name="Normal 80 3 4" xfId="31361" xr:uid="{00000000-0005-0000-0000-0000E4C20000}"/>
    <cellStyle name="Normal 80 4" xfId="8494" xr:uid="{00000000-0005-0000-0000-0000E5C20000}"/>
    <cellStyle name="Normal 80 4 2" xfId="20938" xr:uid="{00000000-0005-0000-0000-0000E6C20000}"/>
    <cellStyle name="Normal 80 4 2 2" xfId="45812" xr:uid="{00000000-0005-0000-0000-0000E7C20000}"/>
    <cellStyle name="Normal 80 4 3" xfId="33379" xr:uid="{00000000-0005-0000-0000-0000E8C20000}"/>
    <cellStyle name="Normal 80 5" xfId="6971" xr:uid="{00000000-0005-0000-0000-0000E9C20000}"/>
    <cellStyle name="Normal 80 5 2" xfId="19420" xr:uid="{00000000-0005-0000-0000-0000EAC20000}"/>
    <cellStyle name="Normal 80 5 2 2" xfId="44294" xr:uid="{00000000-0005-0000-0000-0000EBC20000}"/>
    <cellStyle name="Normal 80 5 3" xfId="31861" xr:uid="{00000000-0005-0000-0000-0000ECC20000}"/>
    <cellStyle name="Normal 80 6" xfId="15931" xr:uid="{00000000-0005-0000-0000-0000EDC20000}"/>
    <cellStyle name="Normal 80 6 2" xfId="40805" xr:uid="{00000000-0005-0000-0000-0000EEC20000}"/>
    <cellStyle name="Normal 80 7" xfId="28364" xr:uid="{00000000-0005-0000-0000-0000EFC20000}"/>
    <cellStyle name="Normal 81" xfId="3780" xr:uid="{00000000-0005-0000-0000-0000F0C20000}"/>
    <cellStyle name="Normal 81 2" xfId="4715" xr:uid="{00000000-0005-0000-0000-0000F1C20000}"/>
    <cellStyle name="Normal 81 2 2" xfId="9733" xr:uid="{00000000-0005-0000-0000-0000F2C20000}"/>
    <cellStyle name="Normal 81 2 2 2" xfId="22176" xr:uid="{00000000-0005-0000-0000-0000F3C20000}"/>
    <cellStyle name="Normal 81 2 2 2 2" xfId="47050" xr:uid="{00000000-0005-0000-0000-0000F4C20000}"/>
    <cellStyle name="Normal 81 2 2 3" xfId="34617" xr:uid="{00000000-0005-0000-0000-0000F5C20000}"/>
    <cellStyle name="Normal 81 2 3" xfId="17169" xr:uid="{00000000-0005-0000-0000-0000F6C20000}"/>
    <cellStyle name="Normal 81 2 3 2" xfId="42043" xr:uid="{00000000-0005-0000-0000-0000F7C20000}"/>
    <cellStyle name="Normal 81 2 4" xfId="29610" xr:uid="{00000000-0005-0000-0000-0000F8C20000}"/>
    <cellStyle name="Normal 81 3" xfId="5076" xr:uid="{00000000-0005-0000-0000-0000F9C20000}"/>
    <cellStyle name="Normal 81 3 2" xfId="10092" xr:uid="{00000000-0005-0000-0000-0000FAC20000}"/>
    <cellStyle name="Normal 81 3 2 2" xfId="22535" xr:uid="{00000000-0005-0000-0000-0000FBC20000}"/>
    <cellStyle name="Normal 81 3 2 2 2" xfId="47409" xr:uid="{00000000-0005-0000-0000-0000FCC20000}"/>
    <cellStyle name="Normal 81 3 2 3" xfId="34976" xr:uid="{00000000-0005-0000-0000-0000FDC20000}"/>
    <cellStyle name="Normal 81 3 3" xfId="17528" xr:uid="{00000000-0005-0000-0000-0000FEC20000}"/>
    <cellStyle name="Normal 81 3 3 2" xfId="42402" xr:uid="{00000000-0005-0000-0000-0000FFC20000}"/>
    <cellStyle name="Normal 81 3 4" xfId="29969" xr:uid="{00000000-0005-0000-0000-000000C30000}"/>
    <cellStyle name="Normal 81 4" xfId="8849" xr:uid="{00000000-0005-0000-0000-000001C30000}"/>
    <cellStyle name="Normal 81 4 2" xfId="21293" xr:uid="{00000000-0005-0000-0000-000002C30000}"/>
    <cellStyle name="Normal 81 4 2 2" xfId="46167" xr:uid="{00000000-0005-0000-0000-000003C30000}"/>
    <cellStyle name="Normal 81 4 3" xfId="33734" xr:uid="{00000000-0005-0000-0000-000004C30000}"/>
    <cellStyle name="Normal 81 5" xfId="7326" xr:uid="{00000000-0005-0000-0000-000005C30000}"/>
    <cellStyle name="Normal 81 5 2" xfId="19775" xr:uid="{00000000-0005-0000-0000-000006C30000}"/>
    <cellStyle name="Normal 81 5 2 2" xfId="44649" xr:uid="{00000000-0005-0000-0000-000007C30000}"/>
    <cellStyle name="Normal 81 5 3" xfId="32216" xr:uid="{00000000-0005-0000-0000-000008C30000}"/>
    <cellStyle name="Normal 81 6" xfId="16286" xr:uid="{00000000-0005-0000-0000-000009C30000}"/>
    <cellStyle name="Normal 81 6 2" xfId="41160" xr:uid="{00000000-0005-0000-0000-00000AC30000}"/>
    <cellStyle name="Normal 81 7" xfId="28719" xr:uid="{00000000-0005-0000-0000-00000BC30000}"/>
    <cellStyle name="Normal 82" xfId="3781" xr:uid="{00000000-0005-0000-0000-00000CC30000}"/>
    <cellStyle name="Normal 82 2" xfId="4716" xr:uid="{00000000-0005-0000-0000-00000DC30000}"/>
    <cellStyle name="Normal 82 2 2" xfId="9734" xr:uid="{00000000-0005-0000-0000-00000EC30000}"/>
    <cellStyle name="Normal 82 2 2 2" xfId="22177" xr:uid="{00000000-0005-0000-0000-00000FC30000}"/>
    <cellStyle name="Normal 82 2 2 2 2" xfId="47051" xr:uid="{00000000-0005-0000-0000-000010C30000}"/>
    <cellStyle name="Normal 82 2 2 3" xfId="34618" xr:uid="{00000000-0005-0000-0000-000011C30000}"/>
    <cellStyle name="Normal 82 2 3" xfId="17170" xr:uid="{00000000-0005-0000-0000-000012C30000}"/>
    <cellStyle name="Normal 82 2 3 2" xfId="42044" xr:uid="{00000000-0005-0000-0000-000013C30000}"/>
    <cellStyle name="Normal 82 2 4" xfId="29611" xr:uid="{00000000-0005-0000-0000-000014C30000}"/>
    <cellStyle name="Normal 82 3" xfId="6476" xr:uid="{00000000-0005-0000-0000-000015C30000}"/>
    <cellStyle name="Normal 82 3 2" xfId="11490" xr:uid="{00000000-0005-0000-0000-000016C30000}"/>
    <cellStyle name="Normal 82 3 2 2" xfId="23933" xr:uid="{00000000-0005-0000-0000-000017C30000}"/>
    <cellStyle name="Normal 82 3 2 2 2" xfId="48807" xr:uid="{00000000-0005-0000-0000-000018C30000}"/>
    <cellStyle name="Normal 82 3 2 3" xfId="36374" xr:uid="{00000000-0005-0000-0000-000019C30000}"/>
    <cellStyle name="Normal 82 3 3" xfId="18926" xr:uid="{00000000-0005-0000-0000-00001AC30000}"/>
    <cellStyle name="Normal 82 3 3 2" xfId="43800" xr:uid="{00000000-0005-0000-0000-00001BC30000}"/>
    <cellStyle name="Normal 82 3 4" xfId="31367" xr:uid="{00000000-0005-0000-0000-00001CC30000}"/>
    <cellStyle name="Normal 82 4" xfId="8850" xr:uid="{00000000-0005-0000-0000-00001DC30000}"/>
    <cellStyle name="Normal 82 4 2" xfId="21294" xr:uid="{00000000-0005-0000-0000-00001EC30000}"/>
    <cellStyle name="Normal 82 4 2 2" xfId="46168" xr:uid="{00000000-0005-0000-0000-00001FC30000}"/>
    <cellStyle name="Normal 82 4 3" xfId="33735" xr:uid="{00000000-0005-0000-0000-000020C30000}"/>
    <cellStyle name="Normal 82 5" xfId="7327" xr:uid="{00000000-0005-0000-0000-000021C30000}"/>
    <cellStyle name="Normal 82 5 2" xfId="19776" xr:uid="{00000000-0005-0000-0000-000022C30000}"/>
    <cellStyle name="Normal 82 5 2 2" xfId="44650" xr:uid="{00000000-0005-0000-0000-000023C30000}"/>
    <cellStyle name="Normal 82 5 3" xfId="32217" xr:uid="{00000000-0005-0000-0000-000024C30000}"/>
    <cellStyle name="Normal 82 6" xfId="16287" xr:uid="{00000000-0005-0000-0000-000025C30000}"/>
    <cellStyle name="Normal 82 6 2" xfId="41161" xr:uid="{00000000-0005-0000-0000-000026C30000}"/>
    <cellStyle name="Normal 82 7" xfId="28720" xr:uid="{00000000-0005-0000-0000-000027C30000}"/>
    <cellStyle name="Normal 83" xfId="85" xr:uid="{00000000-0005-0000-0000-000028C30000}"/>
    <cellStyle name="Normal 84" xfId="86" xr:uid="{00000000-0005-0000-0000-000029C30000}"/>
    <cellStyle name="Normal 85" xfId="3426" xr:uid="{00000000-0005-0000-0000-00002AC30000}"/>
    <cellStyle name="Normal 85 2" xfId="4361" xr:uid="{00000000-0005-0000-0000-00002BC30000}"/>
    <cellStyle name="Normal 85 2 2" xfId="9379" xr:uid="{00000000-0005-0000-0000-00002CC30000}"/>
    <cellStyle name="Normal 85 2 2 2" xfId="21822" xr:uid="{00000000-0005-0000-0000-00002DC30000}"/>
    <cellStyle name="Normal 85 2 2 2 2" xfId="46696" xr:uid="{00000000-0005-0000-0000-00002EC30000}"/>
    <cellStyle name="Normal 85 2 2 3" xfId="34263" xr:uid="{00000000-0005-0000-0000-00002FC30000}"/>
    <cellStyle name="Normal 85 2 3" xfId="16815" xr:uid="{00000000-0005-0000-0000-000030C30000}"/>
    <cellStyle name="Normal 85 2 3 2" xfId="41689" xr:uid="{00000000-0005-0000-0000-000031C30000}"/>
    <cellStyle name="Normal 85 2 4" xfId="29256" xr:uid="{00000000-0005-0000-0000-000032C30000}"/>
    <cellStyle name="Normal 85 3" xfId="6468" xr:uid="{00000000-0005-0000-0000-000033C30000}"/>
    <cellStyle name="Normal 85 3 2" xfId="11483" xr:uid="{00000000-0005-0000-0000-000034C30000}"/>
    <cellStyle name="Normal 85 3 2 2" xfId="23926" xr:uid="{00000000-0005-0000-0000-000035C30000}"/>
    <cellStyle name="Normal 85 3 2 2 2" xfId="48800" xr:uid="{00000000-0005-0000-0000-000036C30000}"/>
    <cellStyle name="Normal 85 3 2 3" xfId="36367" xr:uid="{00000000-0005-0000-0000-000037C30000}"/>
    <cellStyle name="Normal 85 3 3" xfId="18919" xr:uid="{00000000-0005-0000-0000-000038C30000}"/>
    <cellStyle name="Normal 85 3 3 2" xfId="43793" xr:uid="{00000000-0005-0000-0000-000039C30000}"/>
    <cellStyle name="Normal 85 3 4" xfId="31360" xr:uid="{00000000-0005-0000-0000-00003AC30000}"/>
    <cellStyle name="Normal 85 4" xfId="8495" xr:uid="{00000000-0005-0000-0000-00003BC30000}"/>
    <cellStyle name="Normal 85 4 2" xfId="20939" xr:uid="{00000000-0005-0000-0000-00003CC30000}"/>
    <cellStyle name="Normal 85 4 2 2" xfId="45813" xr:uid="{00000000-0005-0000-0000-00003DC30000}"/>
    <cellStyle name="Normal 85 4 3" xfId="33380" xr:uid="{00000000-0005-0000-0000-00003EC30000}"/>
    <cellStyle name="Normal 85 5" xfId="6972" xr:uid="{00000000-0005-0000-0000-00003FC30000}"/>
    <cellStyle name="Normal 85 5 2" xfId="19421" xr:uid="{00000000-0005-0000-0000-000040C30000}"/>
    <cellStyle name="Normal 85 5 2 2" xfId="44295" xr:uid="{00000000-0005-0000-0000-000041C30000}"/>
    <cellStyle name="Normal 85 5 3" xfId="31862" xr:uid="{00000000-0005-0000-0000-000042C30000}"/>
    <cellStyle name="Normal 85 6" xfId="15932" xr:uid="{00000000-0005-0000-0000-000043C30000}"/>
    <cellStyle name="Normal 85 6 2" xfId="40806" xr:uid="{00000000-0005-0000-0000-000044C30000}"/>
    <cellStyle name="Normal 85 7" xfId="28365" xr:uid="{00000000-0005-0000-0000-000045C30000}"/>
    <cellStyle name="Normal 86" xfId="87" xr:uid="{00000000-0005-0000-0000-000046C30000}"/>
    <cellStyle name="Normal 87" xfId="3422" xr:uid="{00000000-0005-0000-0000-000047C30000}"/>
    <cellStyle name="Normal 87 2" xfId="4357" xr:uid="{00000000-0005-0000-0000-000048C30000}"/>
    <cellStyle name="Normal 87 2 2" xfId="9375" xr:uid="{00000000-0005-0000-0000-000049C30000}"/>
    <cellStyle name="Normal 87 2 2 2" xfId="21818" xr:uid="{00000000-0005-0000-0000-00004AC30000}"/>
    <cellStyle name="Normal 87 2 2 2 2" xfId="46692" xr:uid="{00000000-0005-0000-0000-00004BC30000}"/>
    <cellStyle name="Normal 87 2 2 3" xfId="34259" xr:uid="{00000000-0005-0000-0000-00004CC30000}"/>
    <cellStyle name="Normal 87 2 3" xfId="16811" xr:uid="{00000000-0005-0000-0000-00004DC30000}"/>
    <cellStyle name="Normal 87 2 3 2" xfId="41685" xr:uid="{00000000-0005-0000-0000-00004EC30000}"/>
    <cellStyle name="Normal 87 2 4" xfId="29252" xr:uid="{00000000-0005-0000-0000-00004FC30000}"/>
    <cellStyle name="Normal 87 3" xfId="6477" xr:uid="{00000000-0005-0000-0000-000050C30000}"/>
    <cellStyle name="Normal 87 3 2" xfId="11491" xr:uid="{00000000-0005-0000-0000-000051C30000}"/>
    <cellStyle name="Normal 87 3 2 2" xfId="23934" xr:uid="{00000000-0005-0000-0000-000052C30000}"/>
    <cellStyle name="Normal 87 3 2 2 2" xfId="48808" xr:uid="{00000000-0005-0000-0000-000053C30000}"/>
    <cellStyle name="Normal 87 3 2 3" xfId="36375" xr:uid="{00000000-0005-0000-0000-000054C30000}"/>
    <cellStyle name="Normal 87 3 3" xfId="18927" xr:uid="{00000000-0005-0000-0000-000055C30000}"/>
    <cellStyle name="Normal 87 3 3 2" xfId="43801" xr:uid="{00000000-0005-0000-0000-000056C30000}"/>
    <cellStyle name="Normal 87 3 4" xfId="31368" xr:uid="{00000000-0005-0000-0000-000057C30000}"/>
    <cellStyle name="Normal 87 4" xfId="8491" xr:uid="{00000000-0005-0000-0000-000058C30000}"/>
    <cellStyle name="Normal 87 4 2" xfId="20935" xr:uid="{00000000-0005-0000-0000-000059C30000}"/>
    <cellStyle name="Normal 87 4 2 2" xfId="45809" xr:uid="{00000000-0005-0000-0000-00005AC30000}"/>
    <cellStyle name="Normal 87 4 3" xfId="33376" xr:uid="{00000000-0005-0000-0000-00005BC30000}"/>
    <cellStyle name="Normal 87 5" xfId="6968" xr:uid="{00000000-0005-0000-0000-00005CC30000}"/>
    <cellStyle name="Normal 87 5 2" xfId="19417" xr:uid="{00000000-0005-0000-0000-00005DC30000}"/>
    <cellStyle name="Normal 87 5 2 2" xfId="44291" xr:uid="{00000000-0005-0000-0000-00005EC30000}"/>
    <cellStyle name="Normal 87 5 3" xfId="31858" xr:uid="{00000000-0005-0000-0000-00005FC30000}"/>
    <cellStyle name="Normal 87 6" xfId="15928" xr:uid="{00000000-0005-0000-0000-000060C30000}"/>
    <cellStyle name="Normal 87 6 2" xfId="40802" xr:uid="{00000000-0005-0000-0000-000061C30000}"/>
    <cellStyle name="Normal 87 7" xfId="28361" xr:uid="{00000000-0005-0000-0000-000062C30000}"/>
    <cellStyle name="Normal 88" xfId="4719" xr:uid="{00000000-0005-0000-0000-000063C30000}"/>
    <cellStyle name="Normal 89" xfId="5070" xr:uid="{00000000-0005-0000-0000-000064C30000}"/>
    <cellStyle name="Normal 9" xfId="110" xr:uid="{00000000-0005-0000-0000-000065C30000}"/>
    <cellStyle name="Normal 9 2" xfId="524" xr:uid="{00000000-0005-0000-0000-000066C30000}"/>
    <cellStyle name="Normal 9 2 10" xfId="2916" xr:uid="{00000000-0005-0000-0000-000067C30000}"/>
    <cellStyle name="Normal 9 2 10 2" xfId="15434" xr:uid="{00000000-0005-0000-0000-000068C30000}"/>
    <cellStyle name="Normal 9 2 10 2 2" xfId="40308" xr:uid="{00000000-0005-0000-0000-000069C30000}"/>
    <cellStyle name="Normal 9 2 10 3" xfId="27867" xr:uid="{00000000-0005-0000-0000-00006AC30000}"/>
    <cellStyle name="Normal 9 2 11" xfId="13335" xr:uid="{00000000-0005-0000-0000-00006BC30000}"/>
    <cellStyle name="Normal 9 2 11 2" xfId="38209" xr:uid="{00000000-0005-0000-0000-00006CC30000}"/>
    <cellStyle name="Normal 9 2 12" xfId="25768" xr:uid="{00000000-0005-0000-0000-00006DC30000}"/>
    <cellStyle name="Normal 9 2 2" xfId="881" xr:uid="{00000000-0005-0000-0000-00006EC30000}"/>
    <cellStyle name="Normal 9 2 2 2" xfId="1623" xr:uid="{00000000-0005-0000-0000-00006FC30000}"/>
    <cellStyle name="Normal 9 2 2 2 2" xfId="9372" xr:uid="{00000000-0005-0000-0000-000070C30000}"/>
    <cellStyle name="Normal 9 2 2 2 2 2" xfId="21815" xr:uid="{00000000-0005-0000-0000-000071C30000}"/>
    <cellStyle name="Normal 9 2 2 2 2 2 2" xfId="46689" xr:uid="{00000000-0005-0000-0000-000072C30000}"/>
    <cellStyle name="Normal 9 2 2 2 2 3" xfId="34256" xr:uid="{00000000-0005-0000-0000-000073C30000}"/>
    <cellStyle name="Normal 9 2 2 2 3" xfId="4354" xr:uid="{00000000-0005-0000-0000-000074C30000}"/>
    <cellStyle name="Normal 9 2 2 2 3 2" xfId="16808" xr:uid="{00000000-0005-0000-0000-000075C30000}"/>
    <cellStyle name="Normal 9 2 2 2 3 2 2" xfId="41682" xr:uid="{00000000-0005-0000-0000-000076C30000}"/>
    <cellStyle name="Normal 9 2 2 2 3 3" xfId="29249" xr:uid="{00000000-0005-0000-0000-000077C30000}"/>
    <cellStyle name="Normal 9 2 2 2 4" xfId="14423" xr:uid="{00000000-0005-0000-0000-000078C30000}"/>
    <cellStyle name="Normal 9 2 2 2 4 2" xfId="39297" xr:uid="{00000000-0005-0000-0000-000079C30000}"/>
    <cellStyle name="Normal 9 2 2 2 5" xfId="26856" xr:uid="{00000000-0005-0000-0000-00007AC30000}"/>
    <cellStyle name="Normal 9 2 2 3" xfId="5769" xr:uid="{00000000-0005-0000-0000-00007BC30000}"/>
    <cellStyle name="Normal 9 2 2 3 2" xfId="10784" xr:uid="{00000000-0005-0000-0000-00007CC30000}"/>
    <cellStyle name="Normal 9 2 2 3 2 2" xfId="23227" xr:uid="{00000000-0005-0000-0000-00007DC30000}"/>
    <cellStyle name="Normal 9 2 2 3 2 2 2" xfId="48101" xr:uid="{00000000-0005-0000-0000-00007EC30000}"/>
    <cellStyle name="Normal 9 2 2 3 2 3" xfId="35668" xr:uid="{00000000-0005-0000-0000-00007FC30000}"/>
    <cellStyle name="Normal 9 2 2 3 3" xfId="18220" xr:uid="{00000000-0005-0000-0000-000080C30000}"/>
    <cellStyle name="Normal 9 2 2 3 3 2" xfId="43094" xr:uid="{00000000-0005-0000-0000-000081C30000}"/>
    <cellStyle name="Normal 9 2 2 3 4" xfId="30661" xr:uid="{00000000-0005-0000-0000-000082C30000}"/>
    <cellStyle name="Normal 9 2 2 4" xfId="8488" xr:uid="{00000000-0005-0000-0000-000083C30000}"/>
    <cellStyle name="Normal 9 2 2 4 2" xfId="20932" xr:uid="{00000000-0005-0000-0000-000084C30000}"/>
    <cellStyle name="Normal 9 2 2 4 2 2" xfId="45806" xr:uid="{00000000-0005-0000-0000-000085C30000}"/>
    <cellStyle name="Normal 9 2 2 4 3" xfId="33373" xr:uid="{00000000-0005-0000-0000-000086C30000}"/>
    <cellStyle name="Normal 9 2 2 5" xfId="12238" xr:uid="{00000000-0005-0000-0000-000087C30000}"/>
    <cellStyle name="Normal 9 2 2 5 2" xfId="24672" xr:uid="{00000000-0005-0000-0000-000088C30000}"/>
    <cellStyle name="Normal 9 2 2 5 2 2" xfId="49546" xr:uid="{00000000-0005-0000-0000-000089C30000}"/>
    <cellStyle name="Normal 9 2 2 5 3" xfId="37113" xr:uid="{00000000-0005-0000-0000-00008AC30000}"/>
    <cellStyle name="Normal 9 2 2 6" xfId="6965" xr:uid="{00000000-0005-0000-0000-00008BC30000}"/>
    <cellStyle name="Normal 9 2 2 6 2" xfId="19414" xr:uid="{00000000-0005-0000-0000-00008CC30000}"/>
    <cellStyle name="Normal 9 2 2 6 2 2" xfId="44288" xr:uid="{00000000-0005-0000-0000-00008DC30000}"/>
    <cellStyle name="Normal 9 2 2 6 3" xfId="31855" xr:uid="{00000000-0005-0000-0000-00008EC30000}"/>
    <cellStyle name="Normal 9 2 2 7" xfId="3419" xr:uid="{00000000-0005-0000-0000-00008FC30000}"/>
    <cellStyle name="Normal 9 2 2 7 2" xfId="15925" xr:uid="{00000000-0005-0000-0000-000090C30000}"/>
    <cellStyle name="Normal 9 2 2 7 2 2" xfId="40799" xr:uid="{00000000-0005-0000-0000-000091C30000}"/>
    <cellStyle name="Normal 9 2 2 7 3" xfId="28358" xr:uid="{00000000-0005-0000-0000-000092C30000}"/>
    <cellStyle name="Normal 9 2 2 8" xfId="13682" xr:uid="{00000000-0005-0000-0000-000093C30000}"/>
    <cellStyle name="Normal 9 2 2 8 2" xfId="38556" xr:uid="{00000000-0005-0000-0000-000094C30000}"/>
    <cellStyle name="Normal 9 2 2 9" xfId="26115" xr:uid="{00000000-0005-0000-0000-000095C30000}"/>
    <cellStyle name="Normal 9 2 3" xfId="1971" xr:uid="{00000000-0005-0000-0000-000096C30000}"/>
    <cellStyle name="Normal 9 2 3 2" xfId="4717" xr:uid="{00000000-0005-0000-0000-000097C30000}"/>
    <cellStyle name="Normal 9 2 3 2 2" xfId="9735" xr:uid="{00000000-0005-0000-0000-000098C30000}"/>
    <cellStyle name="Normal 9 2 3 2 2 2" xfId="22178" xr:uid="{00000000-0005-0000-0000-000099C30000}"/>
    <cellStyle name="Normal 9 2 3 2 2 2 2" xfId="47052" xr:uid="{00000000-0005-0000-0000-00009AC30000}"/>
    <cellStyle name="Normal 9 2 3 2 2 3" xfId="34619" xr:uid="{00000000-0005-0000-0000-00009BC30000}"/>
    <cellStyle name="Normal 9 2 3 2 3" xfId="17171" xr:uid="{00000000-0005-0000-0000-00009CC30000}"/>
    <cellStyle name="Normal 9 2 3 2 3 2" xfId="42045" xr:uid="{00000000-0005-0000-0000-00009DC30000}"/>
    <cellStyle name="Normal 9 2 3 2 4" xfId="29612" xr:uid="{00000000-0005-0000-0000-00009EC30000}"/>
    <cellStyle name="Normal 9 2 3 3" xfId="6117" xr:uid="{00000000-0005-0000-0000-00009FC30000}"/>
    <cellStyle name="Normal 9 2 3 3 2" xfId="11132" xr:uid="{00000000-0005-0000-0000-0000A0C30000}"/>
    <cellStyle name="Normal 9 2 3 3 2 2" xfId="23575" xr:uid="{00000000-0005-0000-0000-0000A1C30000}"/>
    <cellStyle name="Normal 9 2 3 3 2 2 2" xfId="48449" xr:uid="{00000000-0005-0000-0000-0000A2C30000}"/>
    <cellStyle name="Normal 9 2 3 3 2 3" xfId="36016" xr:uid="{00000000-0005-0000-0000-0000A3C30000}"/>
    <cellStyle name="Normal 9 2 3 3 3" xfId="18568" xr:uid="{00000000-0005-0000-0000-0000A4C30000}"/>
    <cellStyle name="Normal 9 2 3 3 3 2" xfId="43442" xr:uid="{00000000-0005-0000-0000-0000A5C30000}"/>
    <cellStyle name="Normal 9 2 3 3 4" xfId="31009" xr:uid="{00000000-0005-0000-0000-0000A6C30000}"/>
    <cellStyle name="Normal 9 2 3 4" xfId="8851" xr:uid="{00000000-0005-0000-0000-0000A7C30000}"/>
    <cellStyle name="Normal 9 2 3 4 2" xfId="21295" xr:uid="{00000000-0005-0000-0000-0000A8C30000}"/>
    <cellStyle name="Normal 9 2 3 4 2 2" xfId="46169" xr:uid="{00000000-0005-0000-0000-0000A9C30000}"/>
    <cellStyle name="Normal 9 2 3 4 3" xfId="33736" xr:uid="{00000000-0005-0000-0000-0000AAC30000}"/>
    <cellStyle name="Normal 9 2 3 5" xfId="12586" xr:uid="{00000000-0005-0000-0000-0000ABC30000}"/>
    <cellStyle name="Normal 9 2 3 5 2" xfId="25020" xr:uid="{00000000-0005-0000-0000-0000ACC30000}"/>
    <cellStyle name="Normal 9 2 3 5 2 2" xfId="49894" xr:uid="{00000000-0005-0000-0000-0000ADC30000}"/>
    <cellStyle name="Normal 9 2 3 5 3" xfId="37461" xr:uid="{00000000-0005-0000-0000-0000AEC30000}"/>
    <cellStyle name="Normal 9 2 3 6" xfId="7328" xr:uid="{00000000-0005-0000-0000-0000AFC30000}"/>
    <cellStyle name="Normal 9 2 3 6 2" xfId="19777" xr:uid="{00000000-0005-0000-0000-0000B0C30000}"/>
    <cellStyle name="Normal 9 2 3 6 2 2" xfId="44651" xr:uid="{00000000-0005-0000-0000-0000B1C30000}"/>
    <cellStyle name="Normal 9 2 3 6 3" xfId="32218" xr:uid="{00000000-0005-0000-0000-0000B2C30000}"/>
    <cellStyle name="Normal 9 2 3 7" xfId="3782" xr:uid="{00000000-0005-0000-0000-0000B3C30000}"/>
    <cellStyle name="Normal 9 2 3 7 2" xfId="16288" xr:uid="{00000000-0005-0000-0000-0000B4C30000}"/>
    <cellStyle name="Normal 9 2 3 7 2 2" xfId="41162" xr:uid="{00000000-0005-0000-0000-0000B5C30000}"/>
    <cellStyle name="Normal 9 2 3 7 3" xfId="28721" xr:uid="{00000000-0005-0000-0000-0000B6C30000}"/>
    <cellStyle name="Normal 9 2 3 8" xfId="14771" xr:uid="{00000000-0005-0000-0000-0000B7C30000}"/>
    <cellStyle name="Normal 9 2 3 8 2" xfId="39645" xr:uid="{00000000-0005-0000-0000-0000B8C30000}"/>
    <cellStyle name="Normal 9 2 3 9" xfId="27204" xr:uid="{00000000-0005-0000-0000-0000B9C30000}"/>
    <cellStyle name="Normal 9 2 4" xfId="2442" xr:uid="{00000000-0005-0000-0000-0000BAC30000}"/>
    <cellStyle name="Normal 9 2 4 2" xfId="5064" xr:uid="{00000000-0005-0000-0000-0000BBC30000}"/>
    <cellStyle name="Normal 9 2 4 2 2" xfId="10081" xr:uid="{00000000-0005-0000-0000-0000BCC30000}"/>
    <cellStyle name="Normal 9 2 4 2 2 2" xfId="22524" xr:uid="{00000000-0005-0000-0000-0000BDC30000}"/>
    <cellStyle name="Normal 9 2 4 2 2 2 2" xfId="47398" xr:uid="{00000000-0005-0000-0000-0000BEC30000}"/>
    <cellStyle name="Normal 9 2 4 2 2 3" xfId="34965" xr:uid="{00000000-0005-0000-0000-0000BFC30000}"/>
    <cellStyle name="Normal 9 2 4 2 3" xfId="17517" xr:uid="{00000000-0005-0000-0000-0000C0C30000}"/>
    <cellStyle name="Normal 9 2 4 2 3 2" xfId="42391" xr:uid="{00000000-0005-0000-0000-0000C1C30000}"/>
    <cellStyle name="Normal 9 2 4 2 4" xfId="29958" xr:uid="{00000000-0005-0000-0000-0000C2C30000}"/>
    <cellStyle name="Normal 9 2 4 3" xfId="6462" xr:uid="{00000000-0005-0000-0000-0000C3C30000}"/>
    <cellStyle name="Normal 9 2 4 3 2" xfId="11477" xr:uid="{00000000-0005-0000-0000-0000C4C30000}"/>
    <cellStyle name="Normal 9 2 4 3 2 2" xfId="23920" xr:uid="{00000000-0005-0000-0000-0000C5C30000}"/>
    <cellStyle name="Normal 9 2 4 3 2 2 2" xfId="48794" xr:uid="{00000000-0005-0000-0000-0000C6C30000}"/>
    <cellStyle name="Normal 9 2 4 3 2 3" xfId="36361" xr:uid="{00000000-0005-0000-0000-0000C7C30000}"/>
    <cellStyle name="Normal 9 2 4 3 3" xfId="18913" xr:uid="{00000000-0005-0000-0000-0000C8C30000}"/>
    <cellStyle name="Normal 9 2 4 3 3 2" xfId="43787" xr:uid="{00000000-0005-0000-0000-0000C9C30000}"/>
    <cellStyle name="Normal 9 2 4 3 4" xfId="31354" xr:uid="{00000000-0005-0000-0000-0000CAC30000}"/>
    <cellStyle name="Normal 9 2 4 4" xfId="8169" xr:uid="{00000000-0005-0000-0000-0000CBC30000}"/>
    <cellStyle name="Normal 9 2 4 4 2" xfId="20615" xr:uid="{00000000-0005-0000-0000-0000CCC30000}"/>
    <cellStyle name="Normal 9 2 4 4 2 2" xfId="45489" xr:uid="{00000000-0005-0000-0000-0000CDC30000}"/>
    <cellStyle name="Normal 9 2 4 4 3" xfId="33056" xr:uid="{00000000-0005-0000-0000-0000CEC30000}"/>
    <cellStyle name="Normal 9 2 4 5" xfId="12931" xr:uid="{00000000-0005-0000-0000-0000CFC30000}"/>
    <cellStyle name="Normal 9 2 4 5 2" xfId="25365" xr:uid="{00000000-0005-0000-0000-0000D0C30000}"/>
    <cellStyle name="Normal 9 2 4 5 2 2" xfId="50239" xr:uid="{00000000-0005-0000-0000-0000D1C30000}"/>
    <cellStyle name="Normal 9 2 4 5 3" xfId="37806" xr:uid="{00000000-0005-0000-0000-0000D2C30000}"/>
    <cellStyle name="Normal 9 2 4 6" xfId="7675" xr:uid="{00000000-0005-0000-0000-0000D3C30000}"/>
    <cellStyle name="Normal 9 2 4 6 2" xfId="20123" xr:uid="{00000000-0005-0000-0000-0000D4C30000}"/>
    <cellStyle name="Normal 9 2 4 6 2 2" xfId="44997" xr:uid="{00000000-0005-0000-0000-0000D5C30000}"/>
    <cellStyle name="Normal 9 2 4 6 3" xfId="32564" xr:uid="{00000000-0005-0000-0000-0000D6C30000}"/>
    <cellStyle name="Normal 9 2 4 7" xfId="3100" xr:uid="{00000000-0005-0000-0000-0000D7C30000}"/>
    <cellStyle name="Normal 9 2 4 7 2" xfId="15608" xr:uid="{00000000-0005-0000-0000-0000D8C30000}"/>
    <cellStyle name="Normal 9 2 4 7 2 2" xfId="40482" xr:uid="{00000000-0005-0000-0000-0000D9C30000}"/>
    <cellStyle name="Normal 9 2 4 7 3" xfId="28041" xr:uid="{00000000-0005-0000-0000-0000DAC30000}"/>
    <cellStyle name="Normal 9 2 4 8" xfId="15116" xr:uid="{00000000-0005-0000-0000-0000DBC30000}"/>
    <cellStyle name="Normal 9 2 4 8 2" xfId="39990" xr:uid="{00000000-0005-0000-0000-0000DCC30000}"/>
    <cellStyle name="Normal 9 2 4 9" xfId="27549" xr:uid="{00000000-0005-0000-0000-0000DDC30000}"/>
    <cellStyle name="Normal 9 2 5" xfId="1273" xr:uid="{00000000-0005-0000-0000-0000DEC30000}"/>
    <cellStyle name="Normal 9 2 5 2" xfId="9055" xr:uid="{00000000-0005-0000-0000-0000DFC30000}"/>
    <cellStyle name="Normal 9 2 5 2 2" xfId="21498" xr:uid="{00000000-0005-0000-0000-0000E0C30000}"/>
    <cellStyle name="Normal 9 2 5 2 2 2" xfId="46372" xr:uid="{00000000-0005-0000-0000-0000E1C30000}"/>
    <cellStyle name="Normal 9 2 5 2 3" xfId="33939" xr:uid="{00000000-0005-0000-0000-0000E2C30000}"/>
    <cellStyle name="Normal 9 2 5 3" xfId="4037" xr:uid="{00000000-0005-0000-0000-0000E3C30000}"/>
    <cellStyle name="Normal 9 2 5 3 2" xfId="16491" xr:uid="{00000000-0005-0000-0000-0000E4C30000}"/>
    <cellStyle name="Normal 9 2 5 3 2 2" xfId="41365" xr:uid="{00000000-0005-0000-0000-0000E5C30000}"/>
    <cellStyle name="Normal 9 2 5 3 3" xfId="28932" xr:uid="{00000000-0005-0000-0000-0000E6C30000}"/>
    <cellStyle name="Normal 9 2 5 4" xfId="14073" xr:uid="{00000000-0005-0000-0000-0000E7C30000}"/>
    <cellStyle name="Normal 9 2 5 4 2" xfId="38947" xr:uid="{00000000-0005-0000-0000-0000E8C30000}"/>
    <cellStyle name="Normal 9 2 5 5" xfId="26506" xr:uid="{00000000-0005-0000-0000-0000E9C30000}"/>
    <cellStyle name="Normal 9 2 6" xfId="5418" xr:uid="{00000000-0005-0000-0000-0000EAC30000}"/>
    <cellStyle name="Normal 9 2 6 2" xfId="10434" xr:uid="{00000000-0005-0000-0000-0000EBC30000}"/>
    <cellStyle name="Normal 9 2 6 2 2" xfId="22877" xr:uid="{00000000-0005-0000-0000-0000ECC30000}"/>
    <cellStyle name="Normal 9 2 6 2 2 2" xfId="47751" xr:uid="{00000000-0005-0000-0000-0000EDC30000}"/>
    <cellStyle name="Normal 9 2 6 2 3" xfId="35318" xr:uid="{00000000-0005-0000-0000-0000EEC30000}"/>
    <cellStyle name="Normal 9 2 6 3" xfId="17870" xr:uid="{00000000-0005-0000-0000-0000EFC30000}"/>
    <cellStyle name="Normal 9 2 6 3 2" xfId="42744" xr:uid="{00000000-0005-0000-0000-0000F0C30000}"/>
    <cellStyle name="Normal 9 2 6 4" xfId="30311" xr:uid="{00000000-0005-0000-0000-0000F1C30000}"/>
    <cellStyle name="Normal 9 2 7" xfId="7995" xr:uid="{00000000-0005-0000-0000-0000F2C30000}"/>
    <cellStyle name="Normal 9 2 7 2" xfId="20441" xr:uid="{00000000-0005-0000-0000-0000F3C30000}"/>
    <cellStyle name="Normal 9 2 7 2 2" xfId="45315" xr:uid="{00000000-0005-0000-0000-0000F4C30000}"/>
    <cellStyle name="Normal 9 2 7 3" xfId="32882" xr:uid="{00000000-0005-0000-0000-0000F5C30000}"/>
    <cellStyle name="Normal 9 2 8" xfId="11888" xr:uid="{00000000-0005-0000-0000-0000F6C30000}"/>
    <cellStyle name="Normal 9 2 8 2" xfId="24322" xr:uid="{00000000-0005-0000-0000-0000F7C30000}"/>
    <cellStyle name="Normal 9 2 8 2 2" xfId="49196" xr:uid="{00000000-0005-0000-0000-0000F8C30000}"/>
    <cellStyle name="Normal 9 2 8 3" xfId="36763" xr:uid="{00000000-0005-0000-0000-0000F9C30000}"/>
    <cellStyle name="Normal 9 2 9" xfId="6648" xr:uid="{00000000-0005-0000-0000-0000FAC30000}"/>
    <cellStyle name="Normal 9 2 9 2" xfId="19097" xr:uid="{00000000-0005-0000-0000-0000FBC30000}"/>
    <cellStyle name="Normal 9 2 9 2 2" xfId="43971" xr:uid="{00000000-0005-0000-0000-0000FCC30000}"/>
    <cellStyle name="Normal 9 2 9 3" xfId="31538" xr:uid="{00000000-0005-0000-0000-0000FDC30000}"/>
    <cellStyle name="Normal 9 2_Degree data" xfId="2597" xr:uid="{00000000-0005-0000-0000-0000FEC30000}"/>
    <cellStyle name="Normal 90" xfId="5734" xr:uid="{00000000-0005-0000-0000-0000FFC30000}"/>
    <cellStyle name="Normal 91" xfId="6471" xr:uid="{00000000-0005-0000-0000-000000C40000}"/>
    <cellStyle name="Normal 92" xfId="7679" xr:uid="{00000000-0005-0000-0000-000001C40000}"/>
    <cellStyle name="Normal 93" xfId="8853" xr:uid="{00000000-0005-0000-0000-000002C40000}"/>
    <cellStyle name="Normal 94" xfId="11493" xr:uid="{00000000-0005-0000-0000-000003C40000}"/>
    <cellStyle name="Normal 95" xfId="11492" xr:uid="{00000000-0005-0000-0000-000004C40000}"/>
    <cellStyle name="Normal 96" xfId="11497" xr:uid="{00000000-0005-0000-0000-000005C40000}"/>
    <cellStyle name="Normal 97" xfId="11498" xr:uid="{00000000-0005-0000-0000-000006C40000}"/>
    <cellStyle name="Normal 98" xfId="88" xr:uid="{00000000-0005-0000-0000-000007C40000}"/>
    <cellStyle name="Normal 99" xfId="11500" xr:uid="{00000000-0005-0000-0000-000008C40000}"/>
    <cellStyle name="Normal_Tuition Tables" xfId="50243" xr:uid="{00000000-0005-0000-0000-00000AC40000}"/>
    <cellStyle name="Note 2" xfId="3783" xr:uid="{00000000-0005-0000-0000-00000CC40000}"/>
    <cellStyle name="Note 2 2" xfId="3823" xr:uid="{00000000-0005-0000-0000-00000DC40000}"/>
    <cellStyle name="Note 2 2 2" xfId="28724" xr:uid="{00000000-0005-0000-0000-00000EC40000}"/>
    <cellStyle name="Note 2 3" xfId="3830" xr:uid="{00000000-0005-0000-0000-00000FC40000}"/>
    <cellStyle name="Note 2 3 2" xfId="28727" xr:uid="{00000000-0005-0000-0000-000010C40000}"/>
    <cellStyle name="Note 2 4" xfId="4718" xr:uid="{00000000-0005-0000-0000-000011C40000}"/>
    <cellStyle name="Note 2 4 2" xfId="9736" xr:uid="{00000000-0005-0000-0000-000012C40000}"/>
    <cellStyle name="Note 2 4 2 2" xfId="22179" xr:uid="{00000000-0005-0000-0000-000013C40000}"/>
    <cellStyle name="Note 2 4 2 2 2" xfId="47053" xr:uid="{00000000-0005-0000-0000-000014C40000}"/>
    <cellStyle name="Note 2 4 2 3" xfId="34620" xr:uid="{00000000-0005-0000-0000-000015C40000}"/>
    <cellStyle name="Note 2 4 3" xfId="17172" xr:uid="{00000000-0005-0000-0000-000016C40000}"/>
    <cellStyle name="Note 2 4 3 2" xfId="42046" xr:uid="{00000000-0005-0000-0000-000017C40000}"/>
    <cellStyle name="Note 2 4 4" xfId="29613" xr:uid="{00000000-0005-0000-0000-000018C40000}"/>
    <cellStyle name="Note 2 5" xfId="5147" xr:uid="{00000000-0005-0000-0000-000019C40000}"/>
    <cellStyle name="Note 2 5 2" xfId="10163" xr:uid="{00000000-0005-0000-0000-00001AC40000}"/>
    <cellStyle name="Note 2 5 2 2" xfId="22606" xr:uid="{00000000-0005-0000-0000-00001BC40000}"/>
    <cellStyle name="Note 2 5 2 2 2" xfId="47480" xr:uid="{00000000-0005-0000-0000-00001CC40000}"/>
    <cellStyle name="Note 2 5 2 3" xfId="35047" xr:uid="{00000000-0005-0000-0000-00001DC40000}"/>
    <cellStyle name="Note 2 5 3" xfId="17599" xr:uid="{00000000-0005-0000-0000-00001EC40000}"/>
    <cellStyle name="Note 2 5 3 2" xfId="42473" xr:uid="{00000000-0005-0000-0000-00001FC40000}"/>
    <cellStyle name="Note 2 5 4" xfId="30040" xr:uid="{00000000-0005-0000-0000-000020C40000}"/>
    <cellStyle name="Note 2 6" xfId="8852" xr:uid="{00000000-0005-0000-0000-000021C40000}"/>
    <cellStyle name="Note 2 6 2" xfId="21296" xr:uid="{00000000-0005-0000-0000-000022C40000}"/>
    <cellStyle name="Note 2 6 2 2" xfId="46170" xr:uid="{00000000-0005-0000-0000-000023C40000}"/>
    <cellStyle name="Note 2 6 3" xfId="33737" xr:uid="{00000000-0005-0000-0000-000024C40000}"/>
    <cellStyle name="Note 2 7" xfId="7329" xr:uid="{00000000-0005-0000-0000-000025C40000}"/>
    <cellStyle name="Note 2 7 2" xfId="19778" xr:uid="{00000000-0005-0000-0000-000026C40000}"/>
    <cellStyle name="Note 2 7 2 2" xfId="44652" xr:uid="{00000000-0005-0000-0000-000027C40000}"/>
    <cellStyle name="Note 2 7 3" xfId="32219" xr:uid="{00000000-0005-0000-0000-000028C40000}"/>
    <cellStyle name="Note 2 8" xfId="16289" xr:uid="{00000000-0005-0000-0000-000029C40000}"/>
    <cellStyle name="Note 2 8 2" xfId="41163" xr:uid="{00000000-0005-0000-0000-00002AC40000}"/>
    <cellStyle name="Note 2 9" xfId="28722" xr:uid="{00000000-0005-0000-0000-00002BC40000}"/>
    <cellStyle name="Note 3" xfId="3822" xr:uid="{00000000-0005-0000-0000-00002CC40000}"/>
    <cellStyle name="Note 3 2" xfId="28723" xr:uid="{00000000-0005-0000-0000-00002DC40000}"/>
    <cellStyle name="Note 4" xfId="3831" xr:uid="{00000000-0005-0000-0000-00002EC40000}"/>
    <cellStyle name="Note 4 2" xfId="28728" xr:uid="{00000000-0005-0000-0000-00002FC40000}"/>
    <cellStyle name="Output 2" xfId="3824" xr:uid="{00000000-0005-0000-0000-000030C40000}"/>
    <cellStyle name="Output 2 2" xfId="28725" xr:uid="{00000000-0005-0000-0000-000031C40000}"/>
    <cellStyle name="Output 3" xfId="3834" xr:uid="{00000000-0005-0000-0000-000032C40000}"/>
    <cellStyle name="Output 3 2" xfId="28729" xr:uid="{00000000-0005-0000-0000-000033C40000}"/>
    <cellStyle name="Percent 2" xfId="5" xr:uid="{00000000-0005-0000-0000-000034C40000}"/>
    <cellStyle name="Percent 2 2" xfId="115" xr:uid="{00000000-0005-0000-0000-000035C40000}"/>
    <cellStyle name="Percent 2 2 2" xfId="241" xr:uid="{00000000-0005-0000-0000-000036C40000}"/>
    <cellStyle name="Percent 2 2 3" xfId="226" xr:uid="{00000000-0005-0000-0000-000037C40000}"/>
    <cellStyle name="Percent 2 3" xfId="3826" xr:uid="{00000000-0005-0000-0000-000038C40000}"/>
    <cellStyle name="Percent 3" xfId="53" xr:uid="{00000000-0005-0000-0000-000039C40000}"/>
    <cellStyle name="Percent 4" xfId="63" xr:uid="{00000000-0005-0000-0000-00003AC40000}"/>
    <cellStyle name="Percent 5" xfId="60" xr:uid="{00000000-0005-0000-0000-00003BC40000}"/>
    <cellStyle name="Percent 6" xfId="3825" xr:uid="{00000000-0005-0000-0000-00003CC40000}"/>
    <cellStyle name="questionable" xfId="14" xr:uid="{00000000-0005-0000-0000-00003DC40000}"/>
    <cellStyle name="questionable 2" xfId="100" xr:uid="{00000000-0005-0000-0000-00003EC40000}"/>
    <cellStyle name="review" xfId="15" xr:uid="{00000000-0005-0000-0000-00003FC40000}"/>
    <cellStyle name="Title 2" xfId="3827" xr:uid="{00000000-0005-0000-0000-000040C40000}"/>
    <cellStyle name="Total 2" xfId="3828" xr:uid="{00000000-0005-0000-0000-000041C40000}"/>
    <cellStyle name="Total 2 2" xfId="28726" xr:uid="{00000000-0005-0000-0000-000042C40000}"/>
    <cellStyle name="Total 3" xfId="3835" xr:uid="{00000000-0005-0000-0000-000043C40000}"/>
    <cellStyle name="Total 3 2" xfId="28730" xr:uid="{00000000-0005-0000-0000-000044C40000}"/>
    <cellStyle name="Warning Text 2" xfId="3829" xr:uid="{00000000-0005-0000-0000-000045C40000}"/>
  </cellStyles>
  <dxfs count="1810">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numFmt numFmtId="169" formatCode="&quot; &quot;\ "/>
    </dxf>
    <dxf>
      <numFmt numFmtId="169" formatCode="&quot; &quot;\ "/>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s>
  <tableStyles count="0" defaultTableStyle="TableStyleMedium9" defaultPivotStyle="PivotStyleLight16"/>
  <colors>
    <mruColors>
      <color rgb="FFFFFFCC"/>
      <color rgb="FF00FF0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pivotCacheDefinition" Target="pivotCache/pivotCacheDefinition12.xml"/><Relationship Id="rId21" Type="http://schemas.openxmlformats.org/officeDocument/2006/relationships/pivotCacheDefinition" Target="pivotCache/pivotCacheDefinition7.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pivotCacheDefinition" Target="pivotCache/pivotCacheDefinition1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pivotCacheDefinition" Target="pivotCache/pivotCacheDefinition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0.xml"/><Relationship Id="rId32" Type="http://schemas.openxmlformats.org/officeDocument/2006/relationships/powerPivotData" Target="model/item.data"/><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pivotCacheDefinition" Target="pivotCache/pivotCacheDefinition9.xml"/><Relationship Id="rId28" Type="http://schemas.openxmlformats.org/officeDocument/2006/relationships/connections" Target="connections.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8.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2534722" backgroundQuery="1" createdVersion="8" refreshedVersion="8" minRefreshableVersion="3" recordCount="0" supportSubquery="1" supportAdvancedDrill="1" xr:uid="{ED566781-15F6-4F99-AAB6-FD2E770B45D6}">
  <cacheSource type="external" connectionId="2"/>
  <cacheFields count="38">
    <cacheField name="[Range 1].[State].[State]" caption="State" numFmtId="0" level="1">
      <sharedItems count="16">
        <s v="AL"/>
        <s v="AR"/>
        <s v="GA"/>
        <s v="KY"/>
        <s v="LA"/>
        <s v="MD"/>
        <s v="NC"/>
        <s v="OK"/>
        <s v="SC"/>
        <s v="TN"/>
        <s v="TX"/>
        <s v="VA"/>
        <s v="WV"/>
        <s v="DE" u="1"/>
        <s v="FL" u="1"/>
        <s v="MS"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GA]"/>
            <x15:cachedUniqueName index="3" name="[Range 1].[State].&amp;[KY]"/>
            <x15:cachedUniqueName index="4" name="[Range 1].[State].&amp;[LA]"/>
            <x15:cachedUniqueName index="5" name="[Range 1].[State].&amp;[MD]"/>
            <x15:cachedUniqueName index="6" name="[Range 1].[State].&amp;[NC]"/>
            <x15:cachedUniqueName index="7" name="[Range 1].[State].&amp;[OK]"/>
            <x15:cachedUniqueName index="8" name="[Range 1].[State].&amp;[SC]"/>
            <x15:cachedUniqueName index="9" name="[Range 1].[State].&amp;[TN]"/>
            <x15:cachedUniqueName index="10" name="[Range 1].[State].&amp;[TX]"/>
            <x15:cachedUniqueName index="11" name="[Range 1].[State].&amp;[VA]"/>
            <x15:cachedUniqueName index="12" name="[Range 1].[State].&amp;[WV]"/>
            <x15:cachedUniqueName index="13" name="[Range 1].[State].&amp;[DE]"/>
            <x15:cachedUniqueName index="14" name="[Range 1].[State].&amp;[FL]"/>
            <x15:cachedUniqueName index="15" name="[Range 1].[State].&amp;[MS]"/>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83333335" backgroundQuery="1" createdVersion="8" refreshedVersion="8" minRefreshableVersion="3" recordCount="0" supportSubquery="1" supportAdvancedDrill="1" xr:uid="{5842A42A-4AD2-4E83-907B-B854D96F0AB1}">
  <cacheSource type="external" connectionId="2"/>
  <cacheFields count="38">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Range 1].[Type].[Type]" caption="Type" numFmtId="0" hierarchy="4" level="1">
      <sharedItems containsSemiMixedTypes="0" containsString="0" containsNumber="1" containsInteger="1" minValue="1" maxValue="15" count="14">
        <n v="1"/>
        <n v="2"/>
        <n v="3"/>
        <n v="4"/>
        <n v="5"/>
        <n v="6"/>
        <n v="7"/>
        <n v="8"/>
        <n v="9"/>
        <n v="10"/>
        <n v="12"/>
        <n v="13"/>
        <n v="14"/>
        <n v="15"/>
      </sharedItems>
      <extLst>
        <ext xmlns:x15="http://schemas.microsoft.com/office/spreadsheetml/2010/11/main" uri="{4F2E5C28-24EA-4eb8-9CBF-B6C8F9C3D259}">
          <x15:cachedUniqueNames>
            <x15:cachedUniqueName index="0" name="[Range 1].[Type].&amp;[1]"/>
            <x15:cachedUniqueName index="1" name="[Range 1].[Type].&amp;[2]"/>
            <x15:cachedUniqueName index="2" name="[Range 1].[Type].&amp;[3]"/>
            <x15:cachedUniqueName index="3" name="[Range 1].[Type].&amp;[4]"/>
            <x15:cachedUniqueName index="4" name="[Range 1].[Type].&amp;[5]"/>
            <x15:cachedUniqueName index="5" name="[Range 1].[Type].&amp;[6]"/>
            <x15:cachedUniqueName index="6" name="[Range 1].[Type].&amp;[7]"/>
            <x15:cachedUniqueName index="7" name="[Range 1].[Type].&amp;[8]"/>
            <x15:cachedUniqueName index="8" name="[Range 1].[Type].&amp;[9]"/>
            <x15:cachedUniqueName index="9" name="[Range 1].[Type].&amp;[10]"/>
            <x15:cachedUniqueName index="10" name="[Range 1].[Type].&amp;[12]"/>
            <x15:cachedUniqueName index="11" name="[Range 1].[Type].&amp;[13]"/>
            <x15:cachedUniqueName index="12" name="[Range 1].[Type].&amp;[14]"/>
            <x15:cachedUniqueName index="13" name="[Range 1].[Type].&amp;[15]"/>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1"/>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4"/>
      </fieldsUsage>
    </cacheHierarchy>
    <cacheHierarchy uniqueName="[Measures].[mOldUGIS]" caption="mOldUGIS" measure="1" displayFolder="" measureGroup="Range 1" count="0" oneField="1">
      <fieldsUsage count="1">
        <fieldUsage x="3"/>
      </fieldsUsage>
    </cacheHierarchy>
    <cacheHierarchy uniqueName="[Measures].[mNewUGIS]" caption="mNewUGIS" measure="1" displayFolder="" measureGroup="Range 1" count="0" oneField="1">
      <fieldsUsage count="1">
        <fieldUsage x="2"/>
      </fieldsUsage>
    </cacheHierarchy>
    <cacheHierarchy uniqueName="[Measures].[mNewDenIS]" caption="mNewDenIS" measure="1" displayFolder="" measureGroup="Range 1" count="0" oneField="1">
      <fieldsUsage count="1">
        <fieldUsage x="17"/>
      </fieldsUsage>
    </cacheHierarchy>
    <cacheHierarchy uniqueName="[Measures].[mNewDenOS]" caption="mNewDenOS" measure="1" displayFolder="" measureGroup="Range 1" count="0" oneField="1">
      <fieldsUsage count="1">
        <fieldUsage x="19"/>
      </fieldsUsage>
    </cacheHierarchy>
    <cacheHierarchy uniqueName="[Measures].[mNewGIS]" caption="mNewGIS" measure="1" displayFolder="" measureGroup="Range 1" count="0" oneField="1">
      <fieldsUsage count="1">
        <fieldUsage x="5"/>
      </fieldsUsage>
    </cacheHierarchy>
    <cacheHierarchy uniqueName="[Measures].[mNewGOS]" caption="mNewGOS" measure="1" displayFolder="" measureGroup="Range 1" count="0" oneField="1">
      <fieldsUsage count="1">
        <fieldUsage x="11"/>
      </fieldsUsage>
    </cacheHierarchy>
    <cacheHierarchy uniqueName="[Measures].[mNewLawIS]" caption="mNewLawIS" measure="1" displayFolder="" measureGroup="Range 1" count="0" oneField="1">
      <fieldsUsage count="1">
        <fieldUsage x="7"/>
      </fieldsUsage>
    </cacheHierarchy>
    <cacheHierarchy uniqueName="[Measures].[mNewMedIS]" caption="mNewMedIS" measure="1" displayFolder="" measureGroup="Range 1" count="0" oneField="1">
      <fieldsUsage count="1">
        <fieldUsage x="15"/>
      </fieldsUsage>
    </cacheHierarchy>
    <cacheHierarchy uniqueName="[Measures].[mOldLawIS]" caption="mOldLawIS" measure="1" displayFolder="" measureGroup="Range 1" count="0" oneField="1">
      <fieldsUsage count="1">
        <fieldUsage x="6"/>
      </fieldsUsage>
    </cacheHierarchy>
    <cacheHierarchy uniqueName="[Measures].[mOldLawOS]" caption="mOldLawOS" measure="1" displayFolder="" measureGroup="Range 1" count="0" oneField="1">
      <fieldsUsage count="1">
        <fieldUsage x="8"/>
      </fieldsUsage>
    </cacheHierarchy>
    <cacheHierarchy uniqueName="[Measures].[mNewLawOS]" caption="mNewLawOS" measure="1" displayFolder="" measureGroup="Range 1" count="0" oneField="1">
      <fieldsUsage count="1">
        <fieldUsage x="9"/>
      </fieldsUsage>
    </cacheHierarchy>
    <cacheHierarchy uniqueName="[Measures].[mOldUGOS]" caption="mOldUGOS" measure="1" displayFolder="" measureGroup="Range 1" count="0" oneField="1">
      <fieldsUsage count="1">
        <fieldUsage x="10"/>
      </fieldsUsage>
    </cacheHierarchy>
    <cacheHierarchy uniqueName="[Measures].[mNewUGOS]" caption="mNewUGOS" measure="1" displayFolder="" measureGroup="Range 1" count="0" oneField="1">
      <fieldsUsage count="1">
        <fieldUsage x="12"/>
      </fieldsUsage>
    </cacheHierarchy>
    <cacheHierarchy uniqueName="[Measures].[mOldGOS]" caption="mOldGOS" measure="1" displayFolder="" measureGroup="Range 1" count="0" oneField="1">
      <fieldsUsage count="1">
        <fieldUsage x="13"/>
      </fieldsUsage>
    </cacheHierarchy>
    <cacheHierarchy uniqueName="[Measures].[mOldMedIS]" caption="mOldMedIS" measure="1" displayFolder="" measureGroup="Range 1" count="0" oneField="1">
      <fieldsUsage count="1">
        <fieldUsage x="14"/>
      </fieldsUsage>
    </cacheHierarchy>
    <cacheHierarchy uniqueName="[Measures].[mOldDenIS]" caption="mOldDenIS" measure="1" displayFolder="" measureGroup="Range 1" count="0" oneField="1">
      <fieldsUsage count="1">
        <fieldUsage x="16"/>
      </fieldsUsage>
    </cacheHierarchy>
    <cacheHierarchy uniqueName="[Measures].[mOldDenOS]" caption="mOldDenOS" measure="1" displayFolder="" measureGroup="Range 1" count="0" oneField="1">
      <fieldsUsage count="1">
        <fieldUsage x="18"/>
      </fieldsUsage>
    </cacheHierarchy>
    <cacheHierarchy uniqueName="[Measures].[mOldPhrIS]" caption="mOldPhrIS" measure="1" displayFolder="" measureGroup="Range 1" count="0" oneField="1">
      <fieldsUsage count="1">
        <fieldUsage x="20"/>
      </fieldsUsage>
    </cacheHierarchy>
    <cacheHierarchy uniqueName="[Measures].[mNewPhIS]" caption="mNewPhIS" measure="1" displayFolder="" measureGroup="Range 1" count="0" oneField="1">
      <fieldsUsage count="1">
        <fieldUsage x="21"/>
      </fieldsUsage>
    </cacheHierarchy>
    <cacheHierarchy uniqueName="[Measures].[mOldPhrOS]" caption="mOldPhrOS" measure="1" displayFolder="" measureGroup="Range 1" count="0" oneField="1">
      <fieldsUsage count="1">
        <fieldUsage x="22"/>
      </fieldsUsage>
    </cacheHierarchy>
    <cacheHierarchy uniqueName="[Measures].[mNewPhrOS]" caption="mNewPhrOS" measure="1" displayFolder="" measureGroup="Range 1" count="0" oneField="1">
      <fieldsUsage count="1">
        <fieldUsage x="23"/>
      </fieldsUsage>
    </cacheHierarchy>
    <cacheHierarchy uniqueName="[Measures].[mOldOptIS]" caption="mOldOptIS" measure="1" displayFolder="" measureGroup="Range 1" count="0" oneField="1">
      <fieldsUsage count="1">
        <fieldUsage x="24"/>
      </fieldsUsage>
    </cacheHierarchy>
    <cacheHierarchy uniqueName="[Measures].[mOldOptOS]" caption="mOldOptOS" measure="1" displayFolder="" measureGroup="Range 1" count="0" oneField="1">
      <fieldsUsage count="1">
        <fieldUsage x="25"/>
      </fieldsUsage>
    </cacheHierarchy>
    <cacheHierarchy uniqueName="[Measures].[mNewOptOS]" caption="mNewOptOS" measure="1" displayFolder="" measureGroup="Range 1" count="0" oneField="1">
      <fieldsUsage count="1">
        <fieldUsage x="26"/>
      </fieldsUsage>
    </cacheHierarchy>
    <cacheHierarchy uniqueName="[Measures].[mNewOptIS]" caption="mNewOptIS" measure="1" displayFolder="" measureGroup="Range 1" count="0" oneField="1">
      <fieldsUsage count="1">
        <fieldUsage x="27"/>
      </fieldsUsage>
    </cacheHierarchy>
    <cacheHierarchy uniqueName="[Measures].[mOldOstIS]" caption="mOldOstIS" measure="1" displayFolder="" measureGroup="Range 1" count="0" oneField="1">
      <fieldsUsage count="1">
        <fieldUsage x="28"/>
      </fieldsUsage>
    </cacheHierarchy>
    <cacheHierarchy uniqueName="[Measures].[mNewOstIS]" caption="mNewOstIS" measure="1" displayFolder="" measureGroup="Range 1" count="0" oneField="1">
      <fieldsUsage count="1">
        <fieldUsage x="29"/>
      </fieldsUsage>
    </cacheHierarchy>
    <cacheHierarchy uniqueName="[Measures].[mOldOstOS]" caption="mOldOstOS" measure="1" displayFolder="" measureGroup="Range 1" count="0" oneField="1">
      <fieldsUsage count="1">
        <fieldUsage x="30"/>
      </fieldsUsage>
    </cacheHierarchy>
    <cacheHierarchy uniqueName="[Measures].[mNewOstOS]" caption="mNewOstOS" measure="1" displayFolder="" measureGroup="Range 1" count="0" oneField="1">
      <fieldsUsage count="1">
        <fieldUsage x="31"/>
      </fieldsUsage>
    </cacheHierarchy>
    <cacheHierarchy uniqueName="[Measures].[mOldMedOS]" caption="mOldMedOS" measure="1" displayFolder="" measureGroup="Range 1" count="0" oneField="1">
      <fieldsUsage count="1">
        <fieldUsage x="32"/>
      </fieldsUsage>
    </cacheHierarchy>
    <cacheHierarchy uniqueName="[Measures].[mNewMedOS]" caption="mNewMedOS" measure="1" displayFolder="" measureGroup="Range 1" count="0" oneField="1">
      <fieldsUsage count="1">
        <fieldUsage x="33"/>
      </fieldsUsage>
    </cacheHierarchy>
    <cacheHierarchy uniqueName="[Measures].[m[OldVetIS]" caption="m[OldVetIS" measure="1" displayFolder="" measureGroup="Range 1" count="0" oneField="1">
      <fieldsUsage count="1">
        <fieldUsage x="34"/>
      </fieldsUsage>
    </cacheHierarchy>
    <cacheHierarchy uniqueName="[Measures].[mNewVetIS]" caption="mNewVetIS" measure="1" displayFolder="" measureGroup="Range 1" count="0" oneField="1">
      <fieldsUsage count="1">
        <fieldUsage x="35"/>
      </fieldsUsage>
    </cacheHierarchy>
    <cacheHierarchy uniqueName="[Measures].[mOldVetOS]" caption="mOldVetOS" measure="1" displayFolder="" measureGroup="Range 1" count="0" oneField="1">
      <fieldsUsage count="1">
        <fieldUsage x="36"/>
      </fieldsUsage>
    </cacheHierarchy>
    <cacheHierarchy uniqueName="[Measures].[mNewVetOS]" caption="mNewVetOS" measure="1" displayFolder="" measureGroup="Range 1" count="0" oneField="1">
      <fieldsUsage count="1">
        <fieldUsage x="37"/>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99305554" backgroundQuery="1" createdVersion="8" refreshedVersion="8" minRefreshableVersion="3" recordCount="0" supportSubquery="1" supportAdvancedDrill="1" xr:uid="{135FFAA4-85F9-4F05-92BB-FF5820AC5716}">
  <cacheSource type="external" connectionId="2"/>
  <cacheFields count="37">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0" memberValueDatatype="20" unbalanced="0"/>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205208335" backgroundQuery="1" createdVersion="8" refreshedVersion="8" minRefreshableVersion="3" recordCount="0" supportSubquery="1" supportAdvancedDrill="1" xr:uid="{E09F0B87-9D11-4EE7-9611-967E5654D7B0}">
  <cacheSource type="external" connectionId="2"/>
  <cacheFields count="37">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0" memberValueDatatype="20" unbalanced="0"/>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32175925" backgroundQuery="1" createdVersion="8" refreshedVersion="8" minRefreshableVersion="3" recordCount="0" supportSubquery="1" supportAdvancedDrill="1" xr:uid="{AF65238A-01E3-44C0-8BF1-0BBC1E2FF4EC}">
  <cacheSource type="external" connectionId="2"/>
  <cacheFields count="38">
    <cacheField name="[Range 1].[State].[State]" caption="State" numFmtId="0" level="1">
      <sharedItems count="16">
        <s v="AL"/>
        <s v="GA"/>
        <s v="KY"/>
        <s v="LA"/>
        <s v="OK"/>
        <s v="TN"/>
        <s v="WV"/>
        <s v="AR" u="1"/>
        <s v="MD" u="1"/>
        <s v="NC" u="1"/>
        <s v="SC" u="1"/>
        <s v="TX" u="1"/>
        <s v="VA" u="1"/>
        <s v="DE" u="1"/>
        <s v="FL" u="1"/>
        <s v="MS" u="1"/>
      </sharedItems>
      <extLst>
        <ext xmlns:x15="http://schemas.microsoft.com/office/spreadsheetml/2010/11/main" uri="{4F2E5C28-24EA-4eb8-9CBF-B6C8F9C3D259}">
          <x15:cachedUniqueNames>
            <x15:cachedUniqueName index="0" name="[Range 1].[State].&amp;[AL]"/>
            <x15:cachedUniqueName index="1" name="[Range 1].[State].&amp;[GA]"/>
            <x15:cachedUniqueName index="2" name="[Range 1].[State].&amp;[KY]"/>
            <x15:cachedUniqueName index="3" name="[Range 1].[State].&amp;[LA]"/>
            <x15:cachedUniqueName index="4" name="[Range 1].[State].&amp;[OK]"/>
            <x15:cachedUniqueName index="5" name="[Range 1].[State].&amp;[TN]"/>
            <x15:cachedUniqueName index="6" name="[Range 1].[State].&amp;[WV]"/>
            <x15:cachedUniqueName index="7" name="[Range 1].[State].&amp;[AR]"/>
            <x15:cachedUniqueName index="8" name="[Range 1].[State].&amp;[MD]"/>
            <x15:cachedUniqueName index="9" name="[Range 1].[State].&amp;[NC]"/>
            <x15:cachedUniqueName index="10" name="[Range 1].[State].&amp;[SC]"/>
            <x15:cachedUniqueName index="11" name="[Range 1].[State].&amp;[TX]"/>
            <x15:cachedUniqueName index="12" name="[Range 1].[State].&amp;[VA]"/>
            <x15:cachedUniqueName index="13" name="[Range 1].[State].&amp;[DE]"/>
            <x15:cachedUniqueName index="14" name="[Range 1].[State].&amp;[FL]"/>
            <x15:cachedUniqueName index="15" name="[Range 1].[State].&amp;[MS]"/>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38194444" backgroundQuery="1" createdVersion="8" refreshedVersion="8" minRefreshableVersion="3" recordCount="0" supportSubquery="1" supportAdvancedDrill="1" xr:uid="{DF1C777E-328C-4698-9337-3093F595EBB8}">
  <cacheSource type="external" connectionId="2"/>
  <cacheFields count="38">
    <cacheField name="[Range 1].[State].[State]" caption="State" numFmtId="0" level="1">
      <sharedItems count="16">
        <s v="AL"/>
        <s v="AR"/>
        <s v="DE"/>
        <s v="GA"/>
        <s v="KY"/>
        <s v="LA"/>
        <s v="MD"/>
        <s v="MS"/>
        <s v="NC"/>
        <s v="SC"/>
        <s v="TN"/>
        <s v="TX"/>
        <s v="VA"/>
        <s v="WV"/>
        <s v="FL" u="1"/>
        <s v="OK"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GA]"/>
            <x15:cachedUniqueName index="4" name="[Range 1].[State].&amp;[KY]"/>
            <x15:cachedUniqueName index="5" name="[Range 1].[State].&amp;[LA]"/>
            <x15:cachedUniqueName index="6" name="[Range 1].[State].&amp;[MD]"/>
            <x15:cachedUniqueName index="7" name="[Range 1].[State].&amp;[MS]"/>
            <x15:cachedUniqueName index="8" name="[Range 1].[State].&amp;[NC]"/>
            <x15:cachedUniqueName index="9" name="[Range 1].[State].&amp;[SC]"/>
            <x15:cachedUniqueName index="10" name="[Range 1].[State].&amp;[TN]"/>
            <x15:cachedUniqueName index="11" name="[Range 1].[State].&amp;[TX]"/>
            <x15:cachedUniqueName index="12" name="[Range 1].[State].&amp;[VA]"/>
            <x15:cachedUniqueName index="13" name="[Range 1].[State].&amp;[WV]"/>
            <x15:cachedUniqueName index="14" name="[Range 1].[State].&amp;[FL]"/>
            <x15:cachedUniqueName index="15" name="[Range 1].[State].&amp;[OK]"/>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44212963" backgroundQuery="1" createdVersion="8" refreshedVersion="8" minRefreshableVersion="3" recordCount="0" supportSubquery="1" supportAdvancedDrill="1" xr:uid="{F1D8A386-6C2D-43D9-8777-5586E1DD7184}">
  <cacheSource type="external" connectionId="2"/>
  <cacheFields count="38">
    <cacheField name="[Range 1].[State].[State]" caption="State" numFmtId="0" level="1">
      <sharedItems count="16">
        <s v="AL"/>
        <s v="AR"/>
        <s v="DE"/>
        <s v="FL"/>
        <s v="GA"/>
        <s v="KY"/>
        <s v="LA"/>
        <s v="MD"/>
        <s v="MS"/>
        <s v="NC"/>
        <s v="SC"/>
        <s v="TN"/>
        <s v="TX"/>
        <s v="VA"/>
        <s v="WV"/>
        <s v="OK"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SC]"/>
            <x15:cachedUniqueName index="11" name="[Range 1].[State].&amp;[TN]"/>
            <x15:cachedUniqueName index="12" name="[Range 1].[State].&amp;[TX]"/>
            <x15:cachedUniqueName index="13" name="[Range 1].[State].&amp;[VA]"/>
            <x15:cachedUniqueName index="14" name="[Range 1].[State].&amp;[WV]"/>
            <x15:cachedUniqueName index="15" name="[Range 1].[State].&amp;[OK]"/>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49421297" backgroundQuery="1" createdVersion="8" refreshedVersion="8" minRefreshableVersion="3" recordCount="0" supportSubquery="1" supportAdvancedDrill="1" xr:uid="{30D7C2E9-8A30-467A-9B4F-9B4FD2C97E63}">
  <cacheSource type="external" connectionId="2"/>
  <cacheFields count="38">
    <cacheField name="[Range 1].[State].[State]" caption="State" numFmtId="0" level="1">
      <sharedItems count="16">
        <s v="AL"/>
        <s v="AR"/>
        <s v="DE"/>
        <s v="GA"/>
        <s v="KY"/>
        <s v="LA"/>
        <s v="MD"/>
        <s v="MS"/>
        <s v="NC"/>
        <s v="SC"/>
        <s v="TN"/>
        <s v="TX"/>
        <s v="VA"/>
        <s v="WV"/>
        <s v="FL" u="1"/>
        <s v="OK"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GA]"/>
            <x15:cachedUniqueName index="4" name="[Range 1].[State].&amp;[KY]"/>
            <x15:cachedUniqueName index="5" name="[Range 1].[State].&amp;[LA]"/>
            <x15:cachedUniqueName index="6" name="[Range 1].[State].&amp;[MD]"/>
            <x15:cachedUniqueName index="7" name="[Range 1].[State].&amp;[MS]"/>
            <x15:cachedUniqueName index="8" name="[Range 1].[State].&amp;[NC]"/>
            <x15:cachedUniqueName index="9" name="[Range 1].[State].&amp;[SC]"/>
            <x15:cachedUniqueName index="10" name="[Range 1].[State].&amp;[TN]"/>
            <x15:cachedUniqueName index="11" name="[Range 1].[State].&amp;[TX]"/>
            <x15:cachedUniqueName index="12" name="[Range 1].[State].&amp;[VA]"/>
            <x15:cachedUniqueName index="13" name="[Range 1].[State].&amp;[WV]"/>
            <x15:cachedUniqueName index="14" name="[Range 1].[State].&amp;[FL]"/>
            <x15:cachedUniqueName index="15" name="[Range 1].[State].&amp;[OK]"/>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54976855" backgroundQuery="1" createdVersion="8" refreshedVersion="8" minRefreshableVersion="3" recordCount="0" supportSubquery="1" supportAdvancedDrill="1" xr:uid="{0BF90BE5-2908-4D52-92B4-65F2094C18C3}">
  <cacheSource type="external" connectionId="2"/>
  <cacheFields count="38">
    <cacheField name="[Range 1].[State].[State]" caption="State" numFmtId="0" level="1">
      <sharedItems count="16">
        <s v="AL"/>
        <s v="AR"/>
        <s v="DE"/>
        <s v="FL"/>
        <s v="GA"/>
        <s v="KY"/>
        <s v="LA"/>
        <s v="MD"/>
        <s v="NC"/>
        <s v="SC"/>
        <s v="TN"/>
        <s v="TX"/>
        <s v="VA"/>
        <s v="WV"/>
        <s v="MS" u="1"/>
        <s v="OK"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NC]"/>
            <x15:cachedUniqueName index="9" name="[Range 1].[State].&amp;[SC]"/>
            <x15:cachedUniqueName index="10" name="[Range 1].[State].&amp;[TN]"/>
            <x15:cachedUniqueName index="11" name="[Range 1].[State].&amp;[TX]"/>
            <x15:cachedUniqueName index="12" name="[Range 1].[State].&amp;[VA]"/>
            <x15:cachedUniqueName index="13" name="[Range 1].[State].&amp;[WV]"/>
            <x15:cachedUniqueName index="14" name="[Range 1].[State].&amp;[MS]"/>
            <x15:cachedUniqueName index="15" name="[Range 1].[State].&amp;[OK]"/>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63657407" backgroundQuery="1" createdVersion="8" refreshedVersion="8" minRefreshableVersion="3" recordCount="0" supportSubquery="1" supportAdvancedDrill="1" xr:uid="{C4BEDA9D-9D63-4875-865E-0E3F611F0268}">
  <cacheSource type="external" connectionId="2"/>
  <cacheFields count="38">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Range 1].[Type].[Type]" caption="Type" numFmtId="0" hierarchy="4" level="1">
      <sharedItems containsSemiMixedTypes="0" containsString="0" containsNumber="1" containsInteger="1" minValue="1" maxValue="15" count="14">
        <n v="1"/>
        <n v="2"/>
        <n v="3"/>
        <n v="4"/>
        <n v="5"/>
        <n v="8"/>
        <n v="9"/>
        <n v="10"/>
        <n v="12"/>
        <n v="13"/>
        <n v="15"/>
        <n v="6"/>
        <n v="7"/>
        <n v="14"/>
      </sharedItems>
      <extLst>
        <ext xmlns:x15="http://schemas.microsoft.com/office/spreadsheetml/2010/11/main" uri="{4F2E5C28-24EA-4eb8-9CBF-B6C8F9C3D259}">
          <x15:cachedUniqueNames>
            <x15:cachedUniqueName index="0" name="[Range 1].[Type].&amp;[1]"/>
            <x15:cachedUniqueName index="1" name="[Range 1].[Type].&amp;[2]"/>
            <x15:cachedUniqueName index="2" name="[Range 1].[Type].&amp;[3]"/>
            <x15:cachedUniqueName index="3" name="[Range 1].[Type].&amp;[4]"/>
            <x15:cachedUniqueName index="4" name="[Range 1].[Type].&amp;[5]"/>
            <x15:cachedUniqueName index="5" name="[Range 1].[Type].&amp;[8]"/>
            <x15:cachedUniqueName index="6" name="[Range 1].[Type].&amp;[9]"/>
            <x15:cachedUniqueName index="7" name="[Range 1].[Type].&amp;[10]"/>
            <x15:cachedUniqueName index="8" name="[Range 1].[Type].&amp;[12]"/>
            <x15:cachedUniqueName index="9" name="[Range 1].[Type].&amp;[13]"/>
            <x15:cachedUniqueName index="10" name="[Range 1].[Type].&amp;[15]"/>
            <x15:cachedUniqueName index="11" name="[Range 1].[Type].&amp;[6]"/>
            <x15:cachedUniqueName index="12" name="[Range 1].[Type].&amp;[7]"/>
            <x15:cachedUniqueName index="13" name="[Range 1].[Type].&amp;[14]"/>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1"/>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4"/>
      </fieldsUsage>
    </cacheHierarchy>
    <cacheHierarchy uniqueName="[Measures].[mOldUGIS]" caption="mOldUGIS" measure="1" displayFolder="" measureGroup="Range 1" count="0" oneField="1">
      <fieldsUsage count="1">
        <fieldUsage x="3"/>
      </fieldsUsage>
    </cacheHierarchy>
    <cacheHierarchy uniqueName="[Measures].[mNewUGIS]" caption="mNewUGIS" measure="1" displayFolder="" measureGroup="Range 1" count="0" oneField="1">
      <fieldsUsage count="1">
        <fieldUsage x="2"/>
      </fieldsUsage>
    </cacheHierarchy>
    <cacheHierarchy uniqueName="[Measures].[mNewDenIS]" caption="mNewDenIS" measure="1" displayFolder="" measureGroup="Range 1" count="0" oneField="1">
      <fieldsUsage count="1">
        <fieldUsage x="17"/>
      </fieldsUsage>
    </cacheHierarchy>
    <cacheHierarchy uniqueName="[Measures].[mNewDenOS]" caption="mNewDenOS" measure="1" displayFolder="" measureGroup="Range 1" count="0" oneField="1">
      <fieldsUsage count="1">
        <fieldUsage x="19"/>
      </fieldsUsage>
    </cacheHierarchy>
    <cacheHierarchy uniqueName="[Measures].[mNewGIS]" caption="mNewGIS" measure="1" displayFolder="" measureGroup="Range 1" count="0" oneField="1">
      <fieldsUsage count="1">
        <fieldUsage x="5"/>
      </fieldsUsage>
    </cacheHierarchy>
    <cacheHierarchy uniqueName="[Measures].[mNewGOS]" caption="mNewGOS" measure="1" displayFolder="" measureGroup="Range 1" count="0" oneField="1">
      <fieldsUsage count="1">
        <fieldUsage x="11"/>
      </fieldsUsage>
    </cacheHierarchy>
    <cacheHierarchy uniqueName="[Measures].[mNewLawIS]" caption="mNewLawIS" measure="1" displayFolder="" measureGroup="Range 1" count="0" oneField="1">
      <fieldsUsage count="1">
        <fieldUsage x="7"/>
      </fieldsUsage>
    </cacheHierarchy>
    <cacheHierarchy uniqueName="[Measures].[mNewMedIS]" caption="mNewMedIS" measure="1" displayFolder="" measureGroup="Range 1" count="0" oneField="1">
      <fieldsUsage count="1">
        <fieldUsage x="15"/>
      </fieldsUsage>
    </cacheHierarchy>
    <cacheHierarchy uniqueName="[Measures].[mOldLawIS]" caption="mOldLawIS" measure="1" displayFolder="" measureGroup="Range 1" count="0" oneField="1">
      <fieldsUsage count="1">
        <fieldUsage x="6"/>
      </fieldsUsage>
    </cacheHierarchy>
    <cacheHierarchy uniqueName="[Measures].[mOldLawOS]" caption="mOldLawOS" measure="1" displayFolder="" measureGroup="Range 1" count="0" oneField="1">
      <fieldsUsage count="1">
        <fieldUsage x="8"/>
      </fieldsUsage>
    </cacheHierarchy>
    <cacheHierarchy uniqueName="[Measures].[mNewLawOS]" caption="mNewLawOS" measure="1" displayFolder="" measureGroup="Range 1" count="0" oneField="1">
      <fieldsUsage count="1">
        <fieldUsage x="9"/>
      </fieldsUsage>
    </cacheHierarchy>
    <cacheHierarchy uniqueName="[Measures].[mOldUGOS]" caption="mOldUGOS" measure="1" displayFolder="" measureGroup="Range 1" count="0" oneField="1">
      <fieldsUsage count="1">
        <fieldUsage x="10"/>
      </fieldsUsage>
    </cacheHierarchy>
    <cacheHierarchy uniqueName="[Measures].[mNewUGOS]" caption="mNewUGOS" measure="1" displayFolder="" measureGroup="Range 1" count="0" oneField="1">
      <fieldsUsage count="1">
        <fieldUsage x="12"/>
      </fieldsUsage>
    </cacheHierarchy>
    <cacheHierarchy uniqueName="[Measures].[mOldGOS]" caption="mOldGOS" measure="1" displayFolder="" measureGroup="Range 1" count="0" oneField="1">
      <fieldsUsage count="1">
        <fieldUsage x="13"/>
      </fieldsUsage>
    </cacheHierarchy>
    <cacheHierarchy uniqueName="[Measures].[mOldMedIS]" caption="mOldMedIS" measure="1" displayFolder="" measureGroup="Range 1" count="0" oneField="1">
      <fieldsUsage count="1">
        <fieldUsage x="14"/>
      </fieldsUsage>
    </cacheHierarchy>
    <cacheHierarchy uniqueName="[Measures].[mOldDenIS]" caption="mOldDenIS" measure="1" displayFolder="" measureGroup="Range 1" count="0" oneField="1">
      <fieldsUsage count="1">
        <fieldUsage x="16"/>
      </fieldsUsage>
    </cacheHierarchy>
    <cacheHierarchy uniqueName="[Measures].[mOldDenOS]" caption="mOldDenOS" measure="1" displayFolder="" measureGroup="Range 1" count="0" oneField="1">
      <fieldsUsage count="1">
        <fieldUsage x="18"/>
      </fieldsUsage>
    </cacheHierarchy>
    <cacheHierarchy uniqueName="[Measures].[mOldPhrIS]" caption="mOldPhrIS" measure="1" displayFolder="" measureGroup="Range 1" count="0" oneField="1">
      <fieldsUsage count="1">
        <fieldUsage x="20"/>
      </fieldsUsage>
    </cacheHierarchy>
    <cacheHierarchy uniqueName="[Measures].[mNewPhIS]" caption="mNewPhIS" measure="1" displayFolder="" measureGroup="Range 1" count="0" oneField="1">
      <fieldsUsage count="1">
        <fieldUsage x="21"/>
      </fieldsUsage>
    </cacheHierarchy>
    <cacheHierarchy uniqueName="[Measures].[mOldPhrOS]" caption="mOldPhrOS" measure="1" displayFolder="" measureGroup="Range 1" count="0" oneField="1">
      <fieldsUsage count="1">
        <fieldUsage x="22"/>
      </fieldsUsage>
    </cacheHierarchy>
    <cacheHierarchy uniqueName="[Measures].[mNewPhrOS]" caption="mNewPhrOS" measure="1" displayFolder="" measureGroup="Range 1" count="0" oneField="1">
      <fieldsUsage count="1">
        <fieldUsage x="23"/>
      </fieldsUsage>
    </cacheHierarchy>
    <cacheHierarchy uniqueName="[Measures].[mOldOptIS]" caption="mOldOptIS" measure="1" displayFolder="" measureGroup="Range 1" count="0" oneField="1">
      <fieldsUsage count="1">
        <fieldUsage x="24"/>
      </fieldsUsage>
    </cacheHierarchy>
    <cacheHierarchy uniqueName="[Measures].[mOldOptOS]" caption="mOldOptOS" measure="1" displayFolder="" measureGroup="Range 1" count="0" oneField="1">
      <fieldsUsage count="1">
        <fieldUsage x="25"/>
      </fieldsUsage>
    </cacheHierarchy>
    <cacheHierarchy uniqueName="[Measures].[mNewOptOS]" caption="mNewOptOS" measure="1" displayFolder="" measureGroup="Range 1" count="0" oneField="1">
      <fieldsUsage count="1">
        <fieldUsage x="26"/>
      </fieldsUsage>
    </cacheHierarchy>
    <cacheHierarchy uniqueName="[Measures].[mNewOptIS]" caption="mNewOptIS" measure="1" displayFolder="" measureGroup="Range 1" count="0" oneField="1">
      <fieldsUsage count="1">
        <fieldUsage x="27"/>
      </fieldsUsage>
    </cacheHierarchy>
    <cacheHierarchy uniqueName="[Measures].[mOldOstIS]" caption="mOldOstIS" measure="1" displayFolder="" measureGroup="Range 1" count="0" oneField="1">
      <fieldsUsage count="1">
        <fieldUsage x="28"/>
      </fieldsUsage>
    </cacheHierarchy>
    <cacheHierarchy uniqueName="[Measures].[mNewOstIS]" caption="mNewOstIS" measure="1" displayFolder="" measureGroup="Range 1" count="0" oneField="1">
      <fieldsUsage count="1">
        <fieldUsage x="29"/>
      </fieldsUsage>
    </cacheHierarchy>
    <cacheHierarchy uniqueName="[Measures].[mOldOstOS]" caption="mOldOstOS" measure="1" displayFolder="" measureGroup="Range 1" count="0" oneField="1">
      <fieldsUsage count="1">
        <fieldUsage x="30"/>
      </fieldsUsage>
    </cacheHierarchy>
    <cacheHierarchy uniqueName="[Measures].[mNewOstOS]" caption="mNewOstOS" measure="1" displayFolder="" measureGroup="Range 1" count="0" oneField="1">
      <fieldsUsage count="1">
        <fieldUsage x="31"/>
      </fieldsUsage>
    </cacheHierarchy>
    <cacheHierarchy uniqueName="[Measures].[mOldMedOS]" caption="mOldMedOS" measure="1" displayFolder="" measureGroup="Range 1" count="0" oneField="1">
      <fieldsUsage count="1">
        <fieldUsage x="32"/>
      </fieldsUsage>
    </cacheHierarchy>
    <cacheHierarchy uniqueName="[Measures].[mNewMedOS]" caption="mNewMedOS" measure="1" displayFolder="" measureGroup="Range 1" count="0" oneField="1">
      <fieldsUsage count="1">
        <fieldUsage x="33"/>
      </fieldsUsage>
    </cacheHierarchy>
    <cacheHierarchy uniqueName="[Measures].[m[OldVetIS]" caption="m[OldVetIS" measure="1" displayFolder="" measureGroup="Range 1" count="0" oneField="1">
      <fieldsUsage count="1">
        <fieldUsage x="34"/>
      </fieldsUsage>
    </cacheHierarchy>
    <cacheHierarchy uniqueName="[Measures].[mNewVetIS]" caption="mNewVetIS" measure="1" displayFolder="" measureGroup="Range 1" count="0" oneField="1">
      <fieldsUsage count="1">
        <fieldUsage x="35"/>
      </fieldsUsage>
    </cacheHierarchy>
    <cacheHierarchy uniqueName="[Measures].[mOldVetOS]" caption="mOldVetOS" measure="1" displayFolder="" measureGroup="Range 1" count="0" oneField="1">
      <fieldsUsage count="1">
        <fieldUsage x="36"/>
      </fieldsUsage>
    </cacheHierarchy>
    <cacheHierarchy uniqueName="[Measures].[mNewVetOS]" caption="mNewVetOS" measure="1" displayFolder="" measureGroup="Range 1" count="0" oneField="1">
      <fieldsUsage count="1">
        <fieldUsage x="37"/>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69444442" backgroundQuery="1" createdVersion="8" refreshedVersion="8" minRefreshableVersion="3" recordCount="0" supportSubquery="1" supportAdvancedDrill="1" xr:uid="{CB03EA06-3414-44FF-B75B-3D8A2F424D82}">
  <cacheSource type="external" connectionId="2"/>
  <cacheFields count="37">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0" memberValueDatatype="20" unbalanced="0"/>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5217.884175462961" backgroundQuery="1" createdVersion="8" refreshedVersion="8" minRefreshableVersion="3" recordCount="0" supportSubquery="1" supportAdvancedDrill="1" xr:uid="{B91E7972-F15A-4B74-A1F8-31CC84883C2C}">
  <cacheSource type="external" connectionId="2"/>
  <cacheFields count="38">
    <cacheField name="[Range 1].[State].[State]" caption="State" numFmtId="0" level="1">
      <sharedItems count="16">
        <s v="AL"/>
        <s v="AR"/>
        <s v="GA"/>
        <s v="KY"/>
        <s v="LA"/>
        <s v="MD"/>
        <s v="NC"/>
        <s v="OK"/>
        <s v="SC"/>
        <s v="TN"/>
        <s v="TX"/>
        <s v="VA"/>
        <s v="WV"/>
        <s v="DE" u="1"/>
        <s v="FL" u="1"/>
        <s v="MS"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GA]"/>
            <x15:cachedUniqueName index="3" name="[Range 1].[State].&amp;[KY]"/>
            <x15:cachedUniqueName index="4" name="[Range 1].[State].&amp;[LA]"/>
            <x15:cachedUniqueName index="5" name="[Range 1].[State].&amp;[MD]"/>
            <x15:cachedUniqueName index="6" name="[Range 1].[State].&amp;[NC]"/>
            <x15:cachedUniqueName index="7" name="[Range 1].[State].&amp;[OK]"/>
            <x15:cachedUniqueName index="8" name="[Range 1].[State].&amp;[SC]"/>
            <x15:cachedUniqueName index="9" name="[Range 1].[State].&amp;[TN]"/>
            <x15:cachedUniqueName index="10" name="[Range 1].[State].&amp;[TX]"/>
            <x15:cachedUniqueName index="11" name="[Range 1].[State].&amp;[VA]"/>
            <x15:cachedUniqueName index="12" name="[Range 1].[State].&amp;[WV]"/>
            <x15:cachedUniqueName index="13" name="[Range 1].[State].&amp;[DE]"/>
            <x15:cachedUniqueName index="14" name="[Range 1].[State].&amp;[FL]"/>
            <x15:cachedUniqueName index="15" name="[Range 1].[State].&amp;[MS]"/>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String="0" containsNumber="1" containsInteger="1" minValue="1" maxValue="15" count="14">
        <n v="1"/>
        <n v="2"/>
        <n v="3"/>
        <n v="4"/>
        <n v="5"/>
        <n v="6"/>
        <n v="7"/>
        <n v="8"/>
        <n v="9"/>
        <n v="10"/>
        <n v="12"/>
        <n v="13"/>
        <n v="14"/>
        <n v="15"/>
      </sharedItems>
      <extLst>
        <ext xmlns:x15="http://schemas.microsoft.com/office/spreadsheetml/2010/11/main" uri="{4F2E5C28-24EA-4eb8-9CBF-B6C8F9C3D259}">
          <x15:cachedUniqueNames>
            <x15:cachedUniqueName index="0" name="[Range 1].[Type].&amp;[1]"/>
            <x15:cachedUniqueName index="1" name="[Range 1].[Type].&amp;[2]"/>
            <x15:cachedUniqueName index="2" name="[Range 1].[Type].&amp;[3]"/>
            <x15:cachedUniqueName index="3" name="[Range 1].[Type].&amp;[4]"/>
            <x15:cachedUniqueName index="4" name="[Range 1].[Type].&amp;[5]"/>
            <x15:cachedUniqueName index="5" name="[Range 1].[Type].&amp;[6]"/>
            <x15:cachedUniqueName index="6" name="[Range 1].[Type].&amp;[7]"/>
            <x15:cachedUniqueName index="7" name="[Range 1].[Type].&amp;[8]"/>
            <x15:cachedUniqueName index="8" name="[Range 1].[Type].&amp;[9]"/>
            <x15:cachedUniqueName index="9" name="[Range 1].[Type].&amp;[10]"/>
            <x15:cachedUniqueName index="10" name="[Range 1].[Type].&amp;[12]"/>
            <x15:cachedUniqueName index="11" name="[Range 1].[Type].&amp;[13]"/>
            <x15:cachedUniqueName index="12" name="[Range 1].[Type].&amp;[14]"/>
            <x15:cachedUniqueName index="13" name="[Range 1].[Type].&amp;[15]"/>
          </x15:cachedUniqueNames>
        </ext>
      </extLst>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20"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20" unbalanced="0"/>
    <cacheHierarchy uniqueName="[Range 1].[NewDenOS]" caption="NewDenOS" attribute="1" defaultMemberUniqueName="[Range 1].[NewDenOS].[All]" allUniqueName="[Range 1].[NewDenOS].[All]" dimensionUniqueName="[Range 1]" displayFolder="" count="0" memberValueDatatype="5"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5"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5" unbalanced="0"/>
    <cacheHierarchy uniqueName="[Range 1].[OldOstIS]" caption="OldOstIS" attribute="1" defaultMemberUniqueName="[Range 1].[OldOstIS].[All]" allUniqueName="[Range 1].[OldOstIS].[All]" dimensionUniqueName="[Range 1]" displayFolder="" count="0" memberValueDatatype="20" unbalanced="0"/>
    <cacheHierarchy uniqueName="[Range 1].[NewOstIS]" caption="NewOstIS" attribute="1" defaultMemberUniqueName="[Range 1].[NewOstIS].[All]" allUniqueName="[Range 1].[NewOstIS].[All]" dimensionUniqueName="[Range 1]" displayFolder="" count="0" memberValueDatatype="5"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20"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7F68A6-C473-48DF-BC91-A1501E092077}" name="PivotTable14" cacheId="96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4:AJ5" firstHeaderRow="0" firstDataRow="1" firstDataCol="0" rowPageCount="1" colPageCount="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1]" cap="1"/>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509">
      <pivotArea outline="0" collapsedLevelsAreSubtotals="1" fieldPosition="0">
        <references count="1">
          <reference field="4294967294" count="1" selected="0">
            <x v="0"/>
          </reference>
        </references>
      </pivotArea>
    </format>
    <format dxfId="1508">
      <pivotArea dataOnly="0" labelOnly="1" outline="0" fieldPosition="0">
        <references count="1">
          <reference field="4294967294" count="1">
            <x v="0"/>
          </reference>
        </references>
      </pivotArea>
    </format>
    <format dxfId="1507">
      <pivotArea outline="0" collapsedLevelsAreSubtotals="1" fieldPosition="0">
        <references count="1">
          <reference field="4294967294" count="1" selected="0">
            <x v="2"/>
          </reference>
        </references>
      </pivotArea>
    </format>
    <format dxfId="1506">
      <pivotArea dataOnly="0" labelOnly="1" outline="0" fieldPosition="0">
        <references count="1">
          <reference field="4294967294" count="1">
            <x v="2"/>
          </reference>
        </references>
      </pivotArea>
    </format>
    <format dxfId="1505">
      <pivotArea outline="0" collapsedLevelsAreSubtotals="1" fieldPosition="0">
        <references count="1">
          <reference field="4294967294" count="1" selected="0">
            <x v="4"/>
          </reference>
        </references>
      </pivotArea>
    </format>
    <format dxfId="1504">
      <pivotArea dataOnly="0" labelOnly="1" outline="0" fieldPosition="0">
        <references count="1">
          <reference field="4294967294" count="1">
            <x v="4"/>
          </reference>
        </references>
      </pivotArea>
    </format>
    <format dxfId="1503">
      <pivotArea outline="0" collapsedLevelsAreSubtotals="1" fieldPosition="0">
        <references count="1">
          <reference field="4294967294" count="1" selected="0">
            <x v="2"/>
          </reference>
        </references>
      </pivotArea>
    </format>
    <format dxfId="1502">
      <pivotArea outline="0" collapsedLevelsAreSubtotals="1" fieldPosition="0">
        <references count="1">
          <reference field="4294967294" count="1" selected="0">
            <x v="6"/>
          </reference>
        </references>
      </pivotArea>
    </format>
    <format dxfId="1501">
      <pivotArea dataOnly="0" labelOnly="1" outline="0" fieldPosition="0">
        <references count="1">
          <reference field="4294967294" count="1">
            <x v="6"/>
          </reference>
        </references>
      </pivotArea>
    </format>
    <format dxfId="1500">
      <pivotArea outline="0" collapsedLevelsAreSubtotals="1" fieldPosition="0">
        <references count="1">
          <reference field="4294967294" count="1" selected="0">
            <x v="8"/>
          </reference>
        </references>
      </pivotArea>
    </format>
    <format dxfId="1499">
      <pivotArea dataOnly="0" labelOnly="1" outline="0" fieldPosition="0">
        <references count="1">
          <reference field="4294967294" count="1">
            <x v="8"/>
          </reference>
        </references>
      </pivotArea>
    </format>
    <format dxfId="1498">
      <pivotArea outline="0" collapsedLevelsAreSubtotals="1" fieldPosition="0">
        <references count="1">
          <reference field="4294967294" count="1" selected="0">
            <x v="10"/>
          </reference>
        </references>
      </pivotArea>
    </format>
    <format dxfId="1497">
      <pivotArea dataOnly="0" labelOnly="1" outline="0" fieldPosition="0">
        <references count="1">
          <reference field="4294967294" count="1">
            <x v="10"/>
          </reference>
        </references>
      </pivotArea>
    </format>
    <format dxfId="1496">
      <pivotArea outline="0" collapsedLevelsAreSubtotals="1" fieldPosition="0">
        <references count="1">
          <reference field="4294967294" count="2" selected="0">
            <x v="0"/>
            <x v="1"/>
          </reference>
        </references>
      </pivotArea>
    </format>
    <format dxfId="1495">
      <pivotArea dataOnly="0" labelOnly="1" outline="0" fieldPosition="0">
        <references count="1">
          <reference field="4294967294" count="2">
            <x v="0"/>
            <x v="1"/>
          </reference>
        </references>
      </pivotArea>
    </format>
    <format dxfId="1494">
      <pivotArea outline="0" collapsedLevelsAreSubtotals="1" fieldPosition="0">
        <references count="1">
          <reference field="4294967294" count="2" selected="0">
            <x v="2"/>
            <x v="3"/>
          </reference>
        </references>
      </pivotArea>
    </format>
    <format dxfId="1493">
      <pivotArea dataOnly="0" labelOnly="1" outline="0" fieldPosition="0">
        <references count="1">
          <reference field="4294967294" count="2">
            <x v="2"/>
            <x v="3"/>
          </reference>
        </references>
      </pivotArea>
    </format>
    <format dxfId="1492">
      <pivotArea outline="0" collapsedLevelsAreSubtotals="1" fieldPosition="0">
        <references count="1">
          <reference field="4294967294" count="2" selected="0">
            <x v="4"/>
            <x v="5"/>
          </reference>
        </references>
      </pivotArea>
    </format>
    <format dxfId="1491">
      <pivotArea dataOnly="0" labelOnly="1" outline="0" fieldPosition="0">
        <references count="1">
          <reference field="4294967294" count="2">
            <x v="4"/>
            <x v="5"/>
          </reference>
        </references>
      </pivotArea>
    </format>
    <format dxfId="1490">
      <pivotArea outline="0" collapsedLevelsAreSubtotals="1" fieldPosition="0">
        <references count="1">
          <reference field="4294967294" count="2" selected="0">
            <x v="6"/>
            <x v="7"/>
          </reference>
        </references>
      </pivotArea>
    </format>
    <format dxfId="1489">
      <pivotArea dataOnly="0" labelOnly="1" outline="0" fieldPosition="0">
        <references count="1">
          <reference field="4294967294" count="2">
            <x v="6"/>
            <x v="7"/>
          </reference>
        </references>
      </pivotArea>
    </format>
    <format dxfId="1488">
      <pivotArea outline="0" collapsedLevelsAreSubtotals="1" fieldPosition="0">
        <references count="1">
          <reference field="4294967294" count="2" selected="0">
            <x v="8"/>
            <x v="9"/>
          </reference>
        </references>
      </pivotArea>
    </format>
    <format dxfId="1487">
      <pivotArea dataOnly="0" labelOnly="1" outline="0" fieldPosition="0">
        <references count="1">
          <reference field="4294967294" count="2">
            <x v="8"/>
            <x v="9"/>
          </reference>
        </references>
      </pivotArea>
    </format>
    <format dxfId="1486">
      <pivotArea outline="0" collapsedLevelsAreSubtotals="1" fieldPosition="0">
        <references count="1">
          <reference field="4294967294" count="2" selected="0">
            <x v="10"/>
            <x v="11"/>
          </reference>
        </references>
      </pivotArea>
    </format>
    <format dxfId="1485">
      <pivotArea dataOnly="0" labelOnly="1" outline="0" fieldPosition="0">
        <references count="1">
          <reference field="4294967294" count="2">
            <x v="10"/>
            <x v="11"/>
          </reference>
        </references>
      </pivotArea>
    </format>
    <format dxfId="1484">
      <pivotArea outline="0" collapsedLevelsAreSubtotals="1" fieldPosition="0">
        <references count="1">
          <reference field="4294967294" count="1" selected="0">
            <x v="12"/>
          </reference>
        </references>
      </pivotArea>
    </format>
    <format dxfId="1483">
      <pivotArea dataOnly="0" labelOnly="1" outline="0" fieldPosition="0">
        <references count="1">
          <reference field="4294967294" count="1">
            <x v="12"/>
          </reference>
        </references>
      </pivotArea>
    </format>
    <format dxfId="1482">
      <pivotArea outline="0" collapsedLevelsAreSubtotals="1" fieldPosition="0">
        <references count="1">
          <reference field="4294967294" count="2" selected="0">
            <x v="12"/>
            <x v="13"/>
          </reference>
        </references>
      </pivotArea>
    </format>
    <format dxfId="1481">
      <pivotArea dataOnly="0" labelOnly="1" outline="0" fieldPosition="0">
        <references count="1">
          <reference field="4294967294" count="2">
            <x v="12"/>
            <x v="13"/>
          </reference>
        </references>
      </pivotArea>
    </format>
    <format dxfId="1480">
      <pivotArea outline="0" collapsedLevelsAreSubtotals="1" fieldPosition="0"/>
    </format>
    <format dxfId="1479">
      <pivotArea outline="0" collapsedLevelsAreSubtotals="1" fieldPosition="0">
        <references count="1">
          <reference field="4294967294" count="1" selected="0">
            <x v="16"/>
          </reference>
        </references>
      </pivotArea>
    </format>
    <format dxfId="1478">
      <pivotArea dataOnly="0" labelOnly="1" outline="0" fieldPosition="0">
        <references count="1">
          <reference field="4294967294" count="1">
            <x v="16"/>
          </reference>
        </references>
      </pivotArea>
    </format>
    <format dxfId="1477">
      <pivotArea outline="0" collapsedLevelsAreSubtotals="1" fieldPosition="0">
        <references count="1">
          <reference field="4294967294" count="1" selected="0">
            <x v="18"/>
          </reference>
        </references>
      </pivotArea>
    </format>
    <format dxfId="1476">
      <pivotArea dataOnly="0" labelOnly="1" outline="0" fieldPosition="0">
        <references count="1">
          <reference field="4294967294" count="1">
            <x v="18"/>
          </reference>
        </references>
      </pivotArea>
    </format>
    <format dxfId="1475">
      <pivotArea outline="0" collapsedLevelsAreSubtotals="1" fieldPosition="0">
        <references count="1">
          <reference field="4294967294" count="2" selected="0">
            <x v="16"/>
            <x v="17"/>
          </reference>
        </references>
      </pivotArea>
    </format>
    <format dxfId="1474">
      <pivotArea dataOnly="0" labelOnly="1" outline="0" fieldPosition="0">
        <references count="1">
          <reference field="4294967294" count="2">
            <x v="16"/>
            <x v="17"/>
          </reference>
        </references>
      </pivotArea>
    </format>
    <format dxfId="1473">
      <pivotArea outline="0" collapsedLevelsAreSubtotals="1" fieldPosition="0">
        <references count="1">
          <reference field="4294967294" count="2" selected="0">
            <x v="18"/>
            <x v="19"/>
          </reference>
        </references>
      </pivotArea>
    </format>
    <format dxfId="1472">
      <pivotArea dataOnly="0" labelOnly="1" outline="0" fieldPosition="0">
        <references count="1">
          <reference field="4294967294" count="2">
            <x v="18"/>
            <x v="19"/>
          </reference>
        </references>
      </pivotArea>
    </format>
    <format dxfId="1471">
      <pivotArea outline="0" collapsedLevelsAreSubtotals="1" fieldPosition="0">
        <references count="1">
          <reference field="4294967294" count="1" selected="0">
            <x v="20"/>
          </reference>
        </references>
      </pivotArea>
    </format>
    <format dxfId="1470">
      <pivotArea dataOnly="0" labelOnly="1" outline="0" fieldPosition="0">
        <references count="1">
          <reference field="4294967294" count="1">
            <x v="20"/>
          </reference>
        </references>
      </pivotArea>
    </format>
    <format dxfId="1469">
      <pivotArea dataOnly="0" outline="0" fieldPosition="0">
        <references count="1">
          <reference field="4294967294" count="1">
            <x v="22"/>
          </reference>
        </references>
      </pivotArea>
    </format>
    <format dxfId="1468">
      <pivotArea outline="0" collapsedLevelsAreSubtotals="1" fieldPosition="0">
        <references count="1">
          <reference field="4294967294" count="2" selected="0">
            <x v="20"/>
            <x v="21"/>
          </reference>
        </references>
      </pivotArea>
    </format>
    <format dxfId="1467">
      <pivotArea dataOnly="0" labelOnly="1" outline="0" fieldPosition="0">
        <references count="1">
          <reference field="4294967294" count="2">
            <x v="20"/>
            <x v="21"/>
          </reference>
        </references>
      </pivotArea>
    </format>
    <format dxfId="1466">
      <pivotArea dataOnly="0" outline="0" fieldPosition="0">
        <references count="1">
          <reference field="4294967294" count="2">
            <x v="22"/>
            <x v="23"/>
          </reference>
        </references>
      </pivotArea>
    </format>
    <format dxfId="1465">
      <pivotArea outline="0" collapsedLevelsAreSubtotals="1" fieldPosition="0">
        <references count="1">
          <reference field="4294967294" count="1" selected="0">
            <x v="24"/>
          </reference>
        </references>
      </pivotArea>
    </format>
    <format dxfId="1464">
      <pivotArea dataOnly="0" labelOnly="1" outline="0" fieldPosition="0">
        <references count="1">
          <reference field="4294967294" count="1">
            <x v="24"/>
          </reference>
        </references>
      </pivotArea>
    </format>
    <format dxfId="1463">
      <pivotArea outline="0" collapsedLevelsAreSubtotals="1" fieldPosition="0">
        <references count="1">
          <reference field="4294967294" count="1" selected="0">
            <x v="24"/>
          </reference>
        </references>
      </pivotArea>
    </format>
    <format dxfId="1462">
      <pivotArea dataOnly="0" labelOnly="1" outline="0" fieldPosition="0">
        <references count="1">
          <reference field="4294967294" count="1">
            <x v="24"/>
          </reference>
        </references>
      </pivotArea>
    </format>
    <format dxfId="1461">
      <pivotArea outline="0" collapsedLevelsAreSubtotals="1" fieldPosition="0">
        <references count="1">
          <reference field="4294967294" count="1" selected="0">
            <x v="26"/>
          </reference>
        </references>
      </pivotArea>
    </format>
    <format dxfId="1460">
      <pivotArea dataOnly="0" labelOnly="1" outline="0" fieldPosition="0">
        <references count="1">
          <reference field="4294967294" count="1">
            <x v="26"/>
          </reference>
        </references>
      </pivotArea>
    </format>
    <format dxfId="1459">
      <pivotArea outline="0" collapsedLevelsAreSubtotals="1" fieldPosition="0">
        <references count="1">
          <reference field="4294967294" count="2" selected="0">
            <x v="26"/>
            <x v="27"/>
          </reference>
        </references>
      </pivotArea>
    </format>
    <format dxfId="1458">
      <pivotArea dataOnly="0" labelOnly="1" outline="0" fieldPosition="0">
        <references count="1">
          <reference field="4294967294" count="2">
            <x v="26"/>
            <x v="27"/>
          </reference>
        </references>
      </pivotArea>
    </format>
    <format dxfId="1457">
      <pivotArea dataOnly="0" outline="0" fieldPosition="0">
        <references count="1">
          <reference field="4294967294" count="1">
            <x v="28"/>
          </reference>
        </references>
      </pivotArea>
    </format>
    <format dxfId="1456">
      <pivotArea outline="0" collapsedLevelsAreSubtotals="1" fieldPosition="0">
        <references count="1">
          <reference field="4294967294" count="2" selected="0">
            <x v="28"/>
            <x v="29"/>
          </reference>
        </references>
      </pivotArea>
    </format>
    <format dxfId="1455">
      <pivotArea dataOnly="0" labelOnly="1" outline="0" fieldPosition="0">
        <references count="1">
          <reference field="4294967294" count="2">
            <x v="28"/>
            <x v="29"/>
          </reference>
        </references>
      </pivotArea>
    </format>
    <format dxfId="1454">
      <pivotArea outline="0" collapsedLevelsAreSubtotals="1" fieldPosition="0">
        <references count="1">
          <reference field="4294967294" count="1" selected="0">
            <x v="30"/>
          </reference>
        </references>
      </pivotArea>
    </format>
    <format dxfId="1453">
      <pivotArea dataOnly="0" labelOnly="1" outline="0" fieldPosition="0">
        <references count="1">
          <reference field="4294967294" count="1">
            <x v="30"/>
          </reference>
        </references>
      </pivotArea>
    </format>
    <format dxfId="1452">
      <pivotArea outline="0" collapsedLevelsAreSubtotals="1" fieldPosition="0">
        <references count="1">
          <reference field="4294967294" count="2" selected="0">
            <x v="30"/>
            <x v="31"/>
          </reference>
        </references>
      </pivotArea>
    </format>
    <format dxfId="1451">
      <pivotArea dataOnly="0" labelOnly="1" outline="0" fieldPosition="0">
        <references count="1">
          <reference field="4294967294" count="2">
            <x v="30"/>
            <x v="31"/>
          </reference>
        </references>
      </pivotArea>
    </format>
    <format dxfId="1450">
      <pivotArea outline="0" collapsedLevelsAreSubtotals="1" fieldPosition="0">
        <references count="1">
          <reference field="4294967294" count="2" selected="0">
            <x v="26"/>
            <x v="27"/>
          </reference>
        </references>
      </pivotArea>
    </format>
    <format dxfId="1449">
      <pivotArea dataOnly="0" labelOnly="1" outline="0" fieldPosition="0">
        <references count="1">
          <reference field="4294967294" count="2">
            <x v="26"/>
            <x v="27"/>
          </reference>
        </references>
      </pivotArea>
    </format>
    <format dxfId="1448">
      <pivotArea outline="0" collapsedLevelsAreSubtotals="1" fieldPosition="0">
        <references count="1">
          <reference field="4294967294" count="1" selected="0">
            <x v="14"/>
          </reference>
        </references>
      </pivotArea>
    </format>
    <format dxfId="1447">
      <pivotArea dataOnly="0" labelOnly="1" outline="0" fieldPosition="0">
        <references count="1">
          <reference field="4294967294" count="1">
            <x v="14"/>
          </reference>
        </references>
      </pivotArea>
    </format>
    <format dxfId="1446">
      <pivotArea outline="0" collapsedLevelsAreSubtotals="1" fieldPosition="0">
        <references count="1">
          <reference field="4294967294" count="1" selected="0">
            <x v="32"/>
          </reference>
        </references>
      </pivotArea>
    </format>
    <format dxfId="1445">
      <pivotArea dataOnly="0" labelOnly="1" outline="0" fieldPosition="0">
        <references count="1">
          <reference field="4294967294" count="1">
            <x v="32"/>
          </reference>
        </references>
      </pivotArea>
    </format>
    <format dxfId="1444">
      <pivotArea outline="0" collapsedLevelsAreSubtotals="1" fieldPosition="0">
        <references count="1">
          <reference field="4294967294" count="2" selected="0">
            <x v="32"/>
            <x v="33"/>
          </reference>
        </references>
      </pivotArea>
    </format>
    <format dxfId="1443">
      <pivotArea dataOnly="0" labelOnly="1" outline="0" fieldPosition="0">
        <references count="1">
          <reference field="4294967294" count="2">
            <x v="32"/>
            <x v="33"/>
          </reference>
        </references>
      </pivotArea>
    </format>
    <format dxfId="1442">
      <pivotArea outline="0" collapsedLevelsAreSubtotals="1" fieldPosition="0">
        <references count="1">
          <reference field="4294967294" count="2" selected="0">
            <x v="34"/>
            <x v="35"/>
          </reference>
        </references>
      </pivotArea>
    </format>
    <format dxfId="1441">
      <pivotArea dataOnly="0" labelOnly="1" outline="0" fieldPosition="0">
        <references count="1">
          <reference field="4294967294" count="2">
            <x v="34"/>
            <x v="35"/>
          </reference>
        </references>
      </pivotArea>
    </format>
    <format dxfId="1440">
      <pivotArea outline="0" collapsedLevelsAreSubtotals="1" fieldPosition="0">
        <references count="1">
          <reference field="4294967294" count="1" selected="0">
            <x v="34"/>
          </reference>
        </references>
      </pivotArea>
    </format>
    <format dxfId="1439">
      <pivotArea dataOnly="0" labelOnly="1" outline="0" fieldPosition="0">
        <references count="1">
          <reference field="4294967294" count="1">
            <x v="34"/>
          </reference>
        </references>
      </pivotArea>
    </format>
    <format dxfId="1438">
      <pivotArea outline="0" collapsedLevelsAreSubtotals="1" fieldPosition="0">
        <references count="1">
          <reference field="4294967294" count="2" selected="0">
            <x v="34"/>
            <x v="35"/>
          </reference>
        </references>
      </pivotArea>
    </format>
    <format dxfId="1437">
      <pivotArea dataOnly="0" labelOnly="1" outline="0" fieldPosition="0">
        <references count="1">
          <reference field="4294967294" count="2">
            <x v="34"/>
            <x v="35"/>
          </reference>
        </references>
      </pivotArea>
    </format>
    <format dxfId="1436">
      <pivotArea outline="0" collapsedLevelsAreSubtotals="1" fieldPosition="0">
        <references count="1">
          <reference field="4294967294" count="1" selected="0">
            <x v="34"/>
          </reference>
        </references>
      </pivotArea>
    </format>
    <format dxfId="1435">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6" level="1">
        <member name="[Range 1].[Type].&amp;[1]"/>
        <member name="[Range 1].[Type].&amp;[2]"/>
        <member name="[Range 1].[Type].&amp;[3]"/>
        <member name="[Range 1].[Type].&amp;[4]"/>
        <member name="[Range 1].[Type].&amp;[5]"/>
        <member name="[Range 1].[Type].&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CABBDC2-BCFC-4ADF-ABF7-9FB381D7AAC1}" name="PivotTable16" cacheId="97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79:AK96" firstHeaderRow="0" firstDataRow="1" firstDataCol="1"/>
  <pivotFields count="37">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17">
    <i>
      <x/>
    </i>
    <i>
      <x v="1"/>
    </i>
    <i>
      <x v="2"/>
    </i>
    <i>
      <x v="3"/>
    </i>
    <i>
      <x v="4"/>
    </i>
    <i>
      <x v="5"/>
    </i>
    <i>
      <x v="6"/>
    </i>
    <i>
      <x v="7"/>
    </i>
    <i>
      <x v="8"/>
    </i>
    <i>
      <x v="9"/>
    </i>
    <i>
      <x v="10"/>
    </i>
    <i>
      <x v="11"/>
    </i>
    <i>
      <x v="12"/>
    </i>
    <i>
      <x v="13"/>
    </i>
    <i>
      <x v="14"/>
    </i>
    <i>
      <x v="15"/>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130">
      <pivotArea outline="0" collapsedLevelsAreSubtotals="1" fieldPosition="0">
        <references count="1">
          <reference field="4294967294" count="1" selected="0">
            <x v="0"/>
          </reference>
        </references>
      </pivotArea>
    </format>
    <format dxfId="1129">
      <pivotArea dataOnly="0" labelOnly="1" outline="0" fieldPosition="0">
        <references count="1">
          <reference field="4294967294" count="1">
            <x v="0"/>
          </reference>
        </references>
      </pivotArea>
    </format>
    <format dxfId="1128">
      <pivotArea outline="0" collapsedLevelsAreSubtotals="1" fieldPosition="0">
        <references count="1">
          <reference field="4294967294" count="1" selected="0">
            <x v="2"/>
          </reference>
        </references>
      </pivotArea>
    </format>
    <format dxfId="1127">
      <pivotArea dataOnly="0" labelOnly="1" outline="0" fieldPosition="0">
        <references count="1">
          <reference field="4294967294" count="1">
            <x v="2"/>
          </reference>
        </references>
      </pivotArea>
    </format>
    <format dxfId="1126">
      <pivotArea outline="0" collapsedLevelsAreSubtotals="1" fieldPosition="0">
        <references count="1">
          <reference field="4294967294" count="1" selected="0">
            <x v="4"/>
          </reference>
        </references>
      </pivotArea>
    </format>
    <format dxfId="1125">
      <pivotArea dataOnly="0" labelOnly="1" outline="0" fieldPosition="0">
        <references count="1">
          <reference field="4294967294" count="1">
            <x v="4"/>
          </reference>
        </references>
      </pivotArea>
    </format>
    <format dxfId="1124">
      <pivotArea outline="0" collapsedLevelsAreSubtotals="1" fieldPosition="0">
        <references count="1">
          <reference field="4294967294" count="1" selected="0">
            <x v="2"/>
          </reference>
        </references>
      </pivotArea>
    </format>
    <format dxfId="1123">
      <pivotArea outline="0" collapsedLevelsAreSubtotals="1" fieldPosition="0">
        <references count="1">
          <reference field="4294967294" count="1" selected="0">
            <x v="6"/>
          </reference>
        </references>
      </pivotArea>
    </format>
    <format dxfId="1122">
      <pivotArea dataOnly="0" labelOnly="1" outline="0" fieldPosition="0">
        <references count="1">
          <reference field="4294967294" count="1">
            <x v="6"/>
          </reference>
        </references>
      </pivotArea>
    </format>
    <format dxfId="1121">
      <pivotArea outline="0" collapsedLevelsAreSubtotals="1" fieldPosition="0">
        <references count="1">
          <reference field="4294967294" count="1" selected="0">
            <x v="8"/>
          </reference>
        </references>
      </pivotArea>
    </format>
    <format dxfId="1120">
      <pivotArea dataOnly="0" labelOnly="1" outline="0" fieldPosition="0">
        <references count="1">
          <reference field="4294967294" count="1">
            <x v="8"/>
          </reference>
        </references>
      </pivotArea>
    </format>
    <format dxfId="1119">
      <pivotArea outline="0" collapsedLevelsAreSubtotals="1" fieldPosition="0">
        <references count="1">
          <reference field="4294967294" count="1" selected="0">
            <x v="10"/>
          </reference>
        </references>
      </pivotArea>
    </format>
    <format dxfId="1118">
      <pivotArea dataOnly="0" labelOnly="1" outline="0" fieldPosition="0">
        <references count="1">
          <reference field="4294967294" count="1">
            <x v="10"/>
          </reference>
        </references>
      </pivotArea>
    </format>
    <format dxfId="1117">
      <pivotArea outline="0" collapsedLevelsAreSubtotals="1" fieldPosition="0">
        <references count="1">
          <reference field="4294967294" count="2" selected="0">
            <x v="0"/>
            <x v="1"/>
          </reference>
        </references>
      </pivotArea>
    </format>
    <format dxfId="1116">
      <pivotArea dataOnly="0" labelOnly="1" outline="0" fieldPosition="0">
        <references count="1">
          <reference field="4294967294" count="2">
            <x v="0"/>
            <x v="1"/>
          </reference>
        </references>
      </pivotArea>
    </format>
    <format dxfId="1115">
      <pivotArea outline="0" collapsedLevelsAreSubtotals="1" fieldPosition="0">
        <references count="1">
          <reference field="4294967294" count="2" selected="0">
            <x v="2"/>
            <x v="3"/>
          </reference>
        </references>
      </pivotArea>
    </format>
    <format dxfId="1114">
      <pivotArea dataOnly="0" labelOnly="1" outline="0" fieldPosition="0">
        <references count="1">
          <reference field="4294967294" count="2">
            <x v="2"/>
            <x v="3"/>
          </reference>
        </references>
      </pivotArea>
    </format>
    <format dxfId="1113">
      <pivotArea outline="0" collapsedLevelsAreSubtotals="1" fieldPosition="0">
        <references count="1">
          <reference field="4294967294" count="2" selected="0">
            <x v="4"/>
            <x v="5"/>
          </reference>
        </references>
      </pivotArea>
    </format>
    <format dxfId="1112">
      <pivotArea dataOnly="0" labelOnly="1" outline="0" fieldPosition="0">
        <references count="1">
          <reference field="4294967294" count="2">
            <x v="4"/>
            <x v="5"/>
          </reference>
        </references>
      </pivotArea>
    </format>
    <format dxfId="1111">
      <pivotArea outline="0" collapsedLevelsAreSubtotals="1" fieldPosition="0">
        <references count="1">
          <reference field="4294967294" count="2" selected="0">
            <x v="6"/>
            <x v="7"/>
          </reference>
        </references>
      </pivotArea>
    </format>
    <format dxfId="1110">
      <pivotArea dataOnly="0" labelOnly="1" outline="0" fieldPosition="0">
        <references count="1">
          <reference field="4294967294" count="2">
            <x v="6"/>
            <x v="7"/>
          </reference>
        </references>
      </pivotArea>
    </format>
    <format dxfId="1109">
      <pivotArea outline="0" collapsedLevelsAreSubtotals="1" fieldPosition="0">
        <references count="1">
          <reference field="4294967294" count="2" selected="0">
            <x v="8"/>
            <x v="9"/>
          </reference>
        </references>
      </pivotArea>
    </format>
    <format dxfId="1108">
      <pivotArea dataOnly="0" labelOnly="1" outline="0" fieldPosition="0">
        <references count="1">
          <reference field="4294967294" count="2">
            <x v="8"/>
            <x v="9"/>
          </reference>
        </references>
      </pivotArea>
    </format>
    <format dxfId="1107">
      <pivotArea outline="0" collapsedLevelsAreSubtotals="1" fieldPosition="0">
        <references count="1">
          <reference field="4294967294" count="2" selected="0">
            <x v="10"/>
            <x v="11"/>
          </reference>
        </references>
      </pivotArea>
    </format>
    <format dxfId="1106">
      <pivotArea dataOnly="0" labelOnly="1" outline="0" fieldPosition="0">
        <references count="1">
          <reference field="4294967294" count="2">
            <x v="10"/>
            <x v="11"/>
          </reference>
        </references>
      </pivotArea>
    </format>
    <format dxfId="1105">
      <pivotArea outline="0" collapsedLevelsAreSubtotals="1" fieldPosition="0">
        <references count="1">
          <reference field="4294967294" count="1" selected="0">
            <x v="12"/>
          </reference>
        </references>
      </pivotArea>
    </format>
    <format dxfId="1104">
      <pivotArea dataOnly="0" labelOnly="1" outline="0" fieldPosition="0">
        <references count="1">
          <reference field="4294967294" count="1">
            <x v="12"/>
          </reference>
        </references>
      </pivotArea>
    </format>
    <format dxfId="1103">
      <pivotArea outline="0" collapsedLevelsAreSubtotals="1" fieldPosition="0">
        <references count="1">
          <reference field="4294967294" count="2" selected="0">
            <x v="12"/>
            <x v="13"/>
          </reference>
        </references>
      </pivotArea>
    </format>
    <format dxfId="1102">
      <pivotArea dataOnly="0" labelOnly="1" outline="0" fieldPosition="0">
        <references count="1">
          <reference field="4294967294" count="2">
            <x v="12"/>
            <x v="13"/>
          </reference>
        </references>
      </pivotArea>
    </format>
    <format dxfId="1101">
      <pivotArea outline="0" collapsedLevelsAreSubtotals="1" fieldPosition="0"/>
    </format>
    <format dxfId="1100">
      <pivotArea outline="0" collapsedLevelsAreSubtotals="1" fieldPosition="0">
        <references count="1">
          <reference field="4294967294" count="1" selected="0">
            <x v="16"/>
          </reference>
        </references>
      </pivotArea>
    </format>
    <format dxfId="1099">
      <pivotArea dataOnly="0" labelOnly="1" outline="0" fieldPosition="0">
        <references count="1">
          <reference field="4294967294" count="1">
            <x v="16"/>
          </reference>
        </references>
      </pivotArea>
    </format>
    <format dxfId="1098">
      <pivotArea outline="0" collapsedLevelsAreSubtotals="1" fieldPosition="0">
        <references count="1">
          <reference field="4294967294" count="1" selected="0">
            <x v="18"/>
          </reference>
        </references>
      </pivotArea>
    </format>
    <format dxfId="1097">
      <pivotArea dataOnly="0" labelOnly="1" outline="0" fieldPosition="0">
        <references count="1">
          <reference field="4294967294" count="1">
            <x v="18"/>
          </reference>
        </references>
      </pivotArea>
    </format>
    <format dxfId="1096">
      <pivotArea outline="0" collapsedLevelsAreSubtotals="1" fieldPosition="0">
        <references count="1">
          <reference field="4294967294" count="2" selected="0">
            <x v="16"/>
            <x v="17"/>
          </reference>
        </references>
      </pivotArea>
    </format>
    <format dxfId="1095">
      <pivotArea dataOnly="0" labelOnly="1" outline="0" fieldPosition="0">
        <references count="1">
          <reference field="4294967294" count="2">
            <x v="16"/>
            <x v="17"/>
          </reference>
        </references>
      </pivotArea>
    </format>
    <format dxfId="1094">
      <pivotArea outline="0" collapsedLevelsAreSubtotals="1" fieldPosition="0">
        <references count="1">
          <reference field="4294967294" count="2" selected="0">
            <x v="18"/>
            <x v="19"/>
          </reference>
        </references>
      </pivotArea>
    </format>
    <format dxfId="1093">
      <pivotArea dataOnly="0" labelOnly="1" outline="0" fieldPosition="0">
        <references count="1">
          <reference field="4294967294" count="2">
            <x v="18"/>
            <x v="19"/>
          </reference>
        </references>
      </pivotArea>
    </format>
    <format dxfId="1092">
      <pivotArea outline="0" collapsedLevelsAreSubtotals="1" fieldPosition="0">
        <references count="1">
          <reference field="4294967294" count="1" selected="0">
            <x v="20"/>
          </reference>
        </references>
      </pivotArea>
    </format>
    <format dxfId="1091">
      <pivotArea dataOnly="0" labelOnly="1" outline="0" fieldPosition="0">
        <references count="1">
          <reference field="4294967294" count="1">
            <x v="20"/>
          </reference>
        </references>
      </pivotArea>
    </format>
    <format dxfId="1090">
      <pivotArea dataOnly="0" outline="0" fieldPosition="0">
        <references count="1">
          <reference field="4294967294" count="1">
            <x v="22"/>
          </reference>
        </references>
      </pivotArea>
    </format>
    <format dxfId="1089">
      <pivotArea outline="0" collapsedLevelsAreSubtotals="1" fieldPosition="0">
        <references count="1">
          <reference field="4294967294" count="2" selected="0">
            <x v="20"/>
            <x v="21"/>
          </reference>
        </references>
      </pivotArea>
    </format>
    <format dxfId="1088">
      <pivotArea dataOnly="0" labelOnly="1" outline="0" fieldPosition="0">
        <references count="1">
          <reference field="4294967294" count="2">
            <x v="20"/>
            <x v="21"/>
          </reference>
        </references>
      </pivotArea>
    </format>
    <format dxfId="1087">
      <pivotArea dataOnly="0" outline="0" fieldPosition="0">
        <references count="1">
          <reference field="4294967294" count="2">
            <x v="22"/>
            <x v="23"/>
          </reference>
        </references>
      </pivotArea>
    </format>
    <format dxfId="1086">
      <pivotArea outline="0" collapsedLevelsAreSubtotals="1" fieldPosition="0">
        <references count="1">
          <reference field="4294967294" count="1" selected="0">
            <x v="24"/>
          </reference>
        </references>
      </pivotArea>
    </format>
    <format dxfId="1085">
      <pivotArea dataOnly="0" labelOnly="1" outline="0" fieldPosition="0">
        <references count="1">
          <reference field="4294967294" count="1">
            <x v="24"/>
          </reference>
        </references>
      </pivotArea>
    </format>
    <format dxfId="1084">
      <pivotArea outline="0" collapsedLevelsAreSubtotals="1" fieldPosition="0">
        <references count="1">
          <reference field="4294967294" count="1" selected="0">
            <x v="24"/>
          </reference>
        </references>
      </pivotArea>
    </format>
    <format dxfId="1083">
      <pivotArea dataOnly="0" labelOnly="1" outline="0" fieldPosition="0">
        <references count="1">
          <reference field="4294967294" count="1">
            <x v="24"/>
          </reference>
        </references>
      </pivotArea>
    </format>
    <format dxfId="1082">
      <pivotArea outline="0" collapsedLevelsAreSubtotals="1" fieldPosition="0">
        <references count="1">
          <reference field="4294967294" count="1" selected="0">
            <x v="26"/>
          </reference>
        </references>
      </pivotArea>
    </format>
    <format dxfId="1081">
      <pivotArea dataOnly="0" labelOnly="1" outline="0" fieldPosition="0">
        <references count="1">
          <reference field="4294967294" count="1">
            <x v="26"/>
          </reference>
        </references>
      </pivotArea>
    </format>
    <format dxfId="1080">
      <pivotArea outline="0" collapsedLevelsAreSubtotals="1" fieldPosition="0">
        <references count="1">
          <reference field="4294967294" count="2" selected="0">
            <x v="26"/>
            <x v="27"/>
          </reference>
        </references>
      </pivotArea>
    </format>
    <format dxfId="1079">
      <pivotArea dataOnly="0" labelOnly="1" outline="0" fieldPosition="0">
        <references count="1">
          <reference field="4294967294" count="2">
            <x v="26"/>
            <x v="27"/>
          </reference>
        </references>
      </pivotArea>
    </format>
    <format dxfId="1078">
      <pivotArea dataOnly="0" outline="0" fieldPosition="0">
        <references count="1">
          <reference field="4294967294" count="1">
            <x v="28"/>
          </reference>
        </references>
      </pivotArea>
    </format>
    <format dxfId="1077">
      <pivotArea outline="0" collapsedLevelsAreSubtotals="1" fieldPosition="0">
        <references count="1">
          <reference field="4294967294" count="2" selected="0">
            <x v="28"/>
            <x v="29"/>
          </reference>
        </references>
      </pivotArea>
    </format>
    <format dxfId="1076">
      <pivotArea dataOnly="0" labelOnly="1" outline="0" fieldPosition="0">
        <references count="1">
          <reference field="4294967294" count="2">
            <x v="28"/>
            <x v="29"/>
          </reference>
        </references>
      </pivotArea>
    </format>
    <format dxfId="1075">
      <pivotArea outline="0" collapsedLevelsAreSubtotals="1" fieldPosition="0">
        <references count="1">
          <reference field="4294967294" count="1" selected="0">
            <x v="30"/>
          </reference>
        </references>
      </pivotArea>
    </format>
    <format dxfId="1074">
      <pivotArea dataOnly="0" labelOnly="1" outline="0" fieldPosition="0">
        <references count="1">
          <reference field="4294967294" count="1">
            <x v="30"/>
          </reference>
        </references>
      </pivotArea>
    </format>
    <format dxfId="1073">
      <pivotArea outline="0" collapsedLevelsAreSubtotals="1" fieldPosition="0">
        <references count="1">
          <reference field="4294967294" count="2" selected="0">
            <x v="30"/>
            <x v="31"/>
          </reference>
        </references>
      </pivotArea>
    </format>
    <format dxfId="1072">
      <pivotArea dataOnly="0" labelOnly="1" outline="0" fieldPosition="0">
        <references count="1">
          <reference field="4294967294" count="2">
            <x v="30"/>
            <x v="31"/>
          </reference>
        </references>
      </pivotArea>
    </format>
    <format dxfId="1071">
      <pivotArea outline="0" collapsedLevelsAreSubtotals="1" fieldPosition="0">
        <references count="1">
          <reference field="4294967294" count="2" selected="0">
            <x v="26"/>
            <x v="27"/>
          </reference>
        </references>
      </pivotArea>
    </format>
    <format dxfId="1070">
      <pivotArea dataOnly="0" labelOnly="1" outline="0" fieldPosition="0">
        <references count="1">
          <reference field="4294967294" count="2">
            <x v="26"/>
            <x v="27"/>
          </reference>
        </references>
      </pivotArea>
    </format>
    <format dxfId="1069">
      <pivotArea outline="0" collapsedLevelsAreSubtotals="1" fieldPosition="0">
        <references count="1">
          <reference field="4294967294" count="1" selected="0">
            <x v="14"/>
          </reference>
        </references>
      </pivotArea>
    </format>
    <format dxfId="1068">
      <pivotArea dataOnly="0" labelOnly="1" outline="0" fieldPosition="0">
        <references count="1">
          <reference field="4294967294" count="1">
            <x v="14"/>
          </reference>
        </references>
      </pivotArea>
    </format>
    <format dxfId="1067">
      <pivotArea outline="0" collapsedLevelsAreSubtotals="1" fieldPosition="0">
        <references count="1">
          <reference field="4294967294" count="1" selected="0">
            <x v="32"/>
          </reference>
        </references>
      </pivotArea>
    </format>
    <format dxfId="1066">
      <pivotArea dataOnly="0" labelOnly="1" outline="0" fieldPosition="0">
        <references count="1">
          <reference field="4294967294" count="1">
            <x v="32"/>
          </reference>
        </references>
      </pivotArea>
    </format>
    <format dxfId="1065">
      <pivotArea outline="0" collapsedLevelsAreSubtotals="1" fieldPosition="0">
        <references count="1">
          <reference field="4294967294" count="2" selected="0">
            <x v="32"/>
            <x v="33"/>
          </reference>
        </references>
      </pivotArea>
    </format>
    <format dxfId="1064">
      <pivotArea dataOnly="0" labelOnly="1" outline="0" fieldPosition="0">
        <references count="1">
          <reference field="4294967294" count="2">
            <x v="32"/>
            <x v="33"/>
          </reference>
        </references>
      </pivotArea>
    </format>
    <format dxfId="1063">
      <pivotArea outline="0" collapsedLevelsAreSubtotals="1" fieldPosition="0">
        <references count="1">
          <reference field="4294967294" count="2" selected="0">
            <x v="34"/>
            <x v="35"/>
          </reference>
        </references>
      </pivotArea>
    </format>
    <format dxfId="1062">
      <pivotArea dataOnly="0" labelOnly="1" outline="0" fieldPosition="0">
        <references count="1">
          <reference field="4294967294" count="2">
            <x v="34"/>
            <x v="35"/>
          </reference>
        </references>
      </pivotArea>
    </format>
    <format dxfId="1061">
      <pivotArea outline="0" collapsedLevelsAreSubtotals="1" fieldPosition="0">
        <references count="1">
          <reference field="4294967294" count="1" selected="0">
            <x v="34"/>
          </reference>
        </references>
      </pivotArea>
    </format>
    <format dxfId="1060">
      <pivotArea dataOnly="0" labelOnly="1" outline="0" fieldPosition="0">
        <references count="1">
          <reference field="4294967294" count="1">
            <x v="34"/>
          </reference>
        </references>
      </pivotArea>
    </format>
    <format dxfId="1059">
      <pivotArea outline="0" collapsedLevelsAreSubtotals="1" fieldPosition="0">
        <references count="1">
          <reference field="4294967294" count="2" selected="0">
            <x v="34"/>
            <x v="35"/>
          </reference>
        </references>
      </pivotArea>
    </format>
    <format dxfId="1058">
      <pivotArea dataOnly="0" labelOnly="1" outline="0" fieldPosition="0">
        <references count="1">
          <reference field="4294967294" count="2">
            <x v="34"/>
            <x v="35"/>
          </reference>
        </references>
      </pivotArea>
    </format>
    <format dxfId="1057">
      <pivotArea outline="0" collapsedLevelsAreSubtotals="1" fieldPosition="0">
        <references count="1">
          <reference field="4294967294" count="1" selected="0">
            <x v="34"/>
          </reference>
        </references>
      </pivotArea>
    </format>
    <format dxfId="1056">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E4EEEA4-E2E2-4403-A8BA-F6185ACC5E02}" name="PivotTable2" cacheId="98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105:AJ106" firstHeaderRow="0" firstDataRow="1" firstDataCol="0"/>
  <pivotFields count="37">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205">
      <pivotArea outline="0" collapsedLevelsAreSubtotals="1" fieldPosition="0">
        <references count="1">
          <reference field="4294967294" count="1" selected="0">
            <x v="0"/>
          </reference>
        </references>
      </pivotArea>
    </format>
    <format dxfId="1204">
      <pivotArea dataOnly="0" labelOnly="1" outline="0" fieldPosition="0">
        <references count="1">
          <reference field="4294967294" count="1">
            <x v="0"/>
          </reference>
        </references>
      </pivotArea>
    </format>
    <format dxfId="1203">
      <pivotArea outline="0" collapsedLevelsAreSubtotals="1" fieldPosition="0">
        <references count="1">
          <reference field="4294967294" count="1" selected="0">
            <x v="2"/>
          </reference>
        </references>
      </pivotArea>
    </format>
    <format dxfId="1202">
      <pivotArea dataOnly="0" labelOnly="1" outline="0" fieldPosition="0">
        <references count="1">
          <reference field="4294967294" count="1">
            <x v="2"/>
          </reference>
        </references>
      </pivotArea>
    </format>
    <format dxfId="1201">
      <pivotArea outline="0" collapsedLevelsAreSubtotals="1" fieldPosition="0">
        <references count="1">
          <reference field="4294967294" count="1" selected="0">
            <x v="4"/>
          </reference>
        </references>
      </pivotArea>
    </format>
    <format dxfId="1200">
      <pivotArea dataOnly="0" labelOnly="1" outline="0" fieldPosition="0">
        <references count="1">
          <reference field="4294967294" count="1">
            <x v="4"/>
          </reference>
        </references>
      </pivotArea>
    </format>
    <format dxfId="1199">
      <pivotArea outline="0" collapsedLevelsAreSubtotals="1" fieldPosition="0">
        <references count="1">
          <reference field="4294967294" count="1" selected="0">
            <x v="2"/>
          </reference>
        </references>
      </pivotArea>
    </format>
    <format dxfId="1198">
      <pivotArea outline="0" collapsedLevelsAreSubtotals="1" fieldPosition="0">
        <references count="1">
          <reference field="4294967294" count="1" selected="0">
            <x v="6"/>
          </reference>
        </references>
      </pivotArea>
    </format>
    <format dxfId="1197">
      <pivotArea dataOnly="0" labelOnly="1" outline="0" fieldPosition="0">
        <references count="1">
          <reference field="4294967294" count="1">
            <x v="6"/>
          </reference>
        </references>
      </pivotArea>
    </format>
    <format dxfId="1196">
      <pivotArea outline="0" collapsedLevelsAreSubtotals="1" fieldPosition="0">
        <references count="1">
          <reference field="4294967294" count="1" selected="0">
            <x v="8"/>
          </reference>
        </references>
      </pivotArea>
    </format>
    <format dxfId="1195">
      <pivotArea dataOnly="0" labelOnly="1" outline="0" fieldPosition="0">
        <references count="1">
          <reference field="4294967294" count="1">
            <x v="8"/>
          </reference>
        </references>
      </pivotArea>
    </format>
    <format dxfId="1194">
      <pivotArea outline="0" collapsedLevelsAreSubtotals="1" fieldPosition="0">
        <references count="1">
          <reference field="4294967294" count="1" selected="0">
            <x v="10"/>
          </reference>
        </references>
      </pivotArea>
    </format>
    <format dxfId="1193">
      <pivotArea dataOnly="0" labelOnly="1" outline="0" fieldPosition="0">
        <references count="1">
          <reference field="4294967294" count="1">
            <x v="10"/>
          </reference>
        </references>
      </pivotArea>
    </format>
    <format dxfId="1192">
      <pivotArea outline="0" collapsedLevelsAreSubtotals="1" fieldPosition="0">
        <references count="1">
          <reference field="4294967294" count="2" selected="0">
            <x v="0"/>
            <x v="1"/>
          </reference>
        </references>
      </pivotArea>
    </format>
    <format dxfId="1191">
      <pivotArea dataOnly="0" labelOnly="1" outline="0" fieldPosition="0">
        <references count="1">
          <reference field="4294967294" count="2">
            <x v="0"/>
            <x v="1"/>
          </reference>
        </references>
      </pivotArea>
    </format>
    <format dxfId="1190">
      <pivotArea outline="0" collapsedLevelsAreSubtotals="1" fieldPosition="0">
        <references count="1">
          <reference field="4294967294" count="2" selected="0">
            <x v="2"/>
            <x v="3"/>
          </reference>
        </references>
      </pivotArea>
    </format>
    <format dxfId="1189">
      <pivotArea dataOnly="0" labelOnly="1" outline="0" fieldPosition="0">
        <references count="1">
          <reference field="4294967294" count="2">
            <x v="2"/>
            <x v="3"/>
          </reference>
        </references>
      </pivotArea>
    </format>
    <format dxfId="1188">
      <pivotArea outline="0" collapsedLevelsAreSubtotals="1" fieldPosition="0">
        <references count="1">
          <reference field="4294967294" count="2" selected="0">
            <x v="4"/>
            <x v="5"/>
          </reference>
        </references>
      </pivotArea>
    </format>
    <format dxfId="1187">
      <pivotArea dataOnly="0" labelOnly="1" outline="0" fieldPosition="0">
        <references count="1">
          <reference field="4294967294" count="2">
            <x v="4"/>
            <x v="5"/>
          </reference>
        </references>
      </pivotArea>
    </format>
    <format dxfId="1186">
      <pivotArea outline="0" collapsedLevelsAreSubtotals="1" fieldPosition="0">
        <references count="1">
          <reference field="4294967294" count="2" selected="0">
            <x v="6"/>
            <x v="7"/>
          </reference>
        </references>
      </pivotArea>
    </format>
    <format dxfId="1185">
      <pivotArea dataOnly="0" labelOnly="1" outline="0" fieldPosition="0">
        <references count="1">
          <reference field="4294967294" count="2">
            <x v="6"/>
            <x v="7"/>
          </reference>
        </references>
      </pivotArea>
    </format>
    <format dxfId="1184">
      <pivotArea outline="0" collapsedLevelsAreSubtotals="1" fieldPosition="0">
        <references count="1">
          <reference field="4294967294" count="2" selected="0">
            <x v="8"/>
            <x v="9"/>
          </reference>
        </references>
      </pivotArea>
    </format>
    <format dxfId="1183">
      <pivotArea dataOnly="0" labelOnly="1" outline="0" fieldPosition="0">
        <references count="1">
          <reference field="4294967294" count="2">
            <x v="8"/>
            <x v="9"/>
          </reference>
        </references>
      </pivotArea>
    </format>
    <format dxfId="1182">
      <pivotArea outline="0" collapsedLevelsAreSubtotals="1" fieldPosition="0">
        <references count="1">
          <reference field="4294967294" count="2" selected="0">
            <x v="10"/>
            <x v="11"/>
          </reference>
        </references>
      </pivotArea>
    </format>
    <format dxfId="1181">
      <pivotArea dataOnly="0" labelOnly="1" outline="0" fieldPosition="0">
        <references count="1">
          <reference field="4294967294" count="2">
            <x v="10"/>
            <x v="11"/>
          </reference>
        </references>
      </pivotArea>
    </format>
    <format dxfId="1180">
      <pivotArea outline="0" collapsedLevelsAreSubtotals="1" fieldPosition="0">
        <references count="1">
          <reference field="4294967294" count="1" selected="0">
            <x v="12"/>
          </reference>
        </references>
      </pivotArea>
    </format>
    <format dxfId="1179">
      <pivotArea dataOnly="0" labelOnly="1" outline="0" fieldPosition="0">
        <references count="1">
          <reference field="4294967294" count="1">
            <x v="12"/>
          </reference>
        </references>
      </pivotArea>
    </format>
    <format dxfId="1178">
      <pivotArea outline="0" collapsedLevelsAreSubtotals="1" fieldPosition="0">
        <references count="1">
          <reference field="4294967294" count="2" selected="0">
            <x v="12"/>
            <x v="13"/>
          </reference>
        </references>
      </pivotArea>
    </format>
    <format dxfId="1177">
      <pivotArea dataOnly="0" labelOnly="1" outline="0" fieldPosition="0">
        <references count="1">
          <reference field="4294967294" count="2">
            <x v="12"/>
            <x v="13"/>
          </reference>
        </references>
      </pivotArea>
    </format>
    <format dxfId="1176">
      <pivotArea outline="0" collapsedLevelsAreSubtotals="1" fieldPosition="0"/>
    </format>
    <format dxfId="1175">
      <pivotArea outline="0" collapsedLevelsAreSubtotals="1" fieldPosition="0">
        <references count="1">
          <reference field="4294967294" count="1" selected="0">
            <x v="16"/>
          </reference>
        </references>
      </pivotArea>
    </format>
    <format dxfId="1174">
      <pivotArea dataOnly="0" labelOnly="1" outline="0" fieldPosition="0">
        <references count="1">
          <reference field="4294967294" count="1">
            <x v="16"/>
          </reference>
        </references>
      </pivotArea>
    </format>
    <format dxfId="1173">
      <pivotArea outline="0" collapsedLevelsAreSubtotals="1" fieldPosition="0">
        <references count="1">
          <reference field="4294967294" count="1" selected="0">
            <x v="18"/>
          </reference>
        </references>
      </pivotArea>
    </format>
    <format dxfId="1172">
      <pivotArea dataOnly="0" labelOnly="1" outline="0" fieldPosition="0">
        <references count="1">
          <reference field="4294967294" count="1">
            <x v="18"/>
          </reference>
        </references>
      </pivotArea>
    </format>
    <format dxfId="1171">
      <pivotArea outline="0" collapsedLevelsAreSubtotals="1" fieldPosition="0">
        <references count="1">
          <reference field="4294967294" count="2" selected="0">
            <x v="16"/>
            <x v="17"/>
          </reference>
        </references>
      </pivotArea>
    </format>
    <format dxfId="1170">
      <pivotArea dataOnly="0" labelOnly="1" outline="0" fieldPosition="0">
        <references count="1">
          <reference field="4294967294" count="2">
            <x v="16"/>
            <x v="17"/>
          </reference>
        </references>
      </pivotArea>
    </format>
    <format dxfId="1169">
      <pivotArea outline="0" collapsedLevelsAreSubtotals="1" fieldPosition="0">
        <references count="1">
          <reference field="4294967294" count="2" selected="0">
            <x v="18"/>
            <x v="19"/>
          </reference>
        </references>
      </pivotArea>
    </format>
    <format dxfId="1168">
      <pivotArea dataOnly="0" labelOnly="1" outline="0" fieldPosition="0">
        <references count="1">
          <reference field="4294967294" count="2">
            <x v="18"/>
            <x v="19"/>
          </reference>
        </references>
      </pivotArea>
    </format>
    <format dxfId="1167">
      <pivotArea outline="0" collapsedLevelsAreSubtotals="1" fieldPosition="0">
        <references count="1">
          <reference field="4294967294" count="1" selected="0">
            <x v="20"/>
          </reference>
        </references>
      </pivotArea>
    </format>
    <format dxfId="1166">
      <pivotArea dataOnly="0" labelOnly="1" outline="0" fieldPosition="0">
        <references count="1">
          <reference field="4294967294" count="1">
            <x v="20"/>
          </reference>
        </references>
      </pivotArea>
    </format>
    <format dxfId="1165">
      <pivotArea dataOnly="0" outline="0" fieldPosition="0">
        <references count="1">
          <reference field="4294967294" count="1">
            <x v="22"/>
          </reference>
        </references>
      </pivotArea>
    </format>
    <format dxfId="1164">
      <pivotArea outline="0" collapsedLevelsAreSubtotals="1" fieldPosition="0">
        <references count="1">
          <reference field="4294967294" count="2" selected="0">
            <x v="20"/>
            <x v="21"/>
          </reference>
        </references>
      </pivotArea>
    </format>
    <format dxfId="1163">
      <pivotArea dataOnly="0" labelOnly="1" outline="0" fieldPosition="0">
        <references count="1">
          <reference field="4294967294" count="2">
            <x v="20"/>
            <x v="21"/>
          </reference>
        </references>
      </pivotArea>
    </format>
    <format dxfId="1162">
      <pivotArea dataOnly="0" outline="0" fieldPosition="0">
        <references count="1">
          <reference field="4294967294" count="2">
            <x v="22"/>
            <x v="23"/>
          </reference>
        </references>
      </pivotArea>
    </format>
    <format dxfId="1161">
      <pivotArea outline="0" collapsedLevelsAreSubtotals="1" fieldPosition="0">
        <references count="1">
          <reference field="4294967294" count="1" selected="0">
            <x v="24"/>
          </reference>
        </references>
      </pivotArea>
    </format>
    <format dxfId="1160">
      <pivotArea dataOnly="0" labelOnly="1" outline="0" fieldPosition="0">
        <references count="1">
          <reference field="4294967294" count="1">
            <x v="24"/>
          </reference>
        </references>
      </pivotArea>
    </format>
    <format dxfId="1159">
      <pivotArea outline="0" collapsedLevelsAreSubtotals="1" fieldPosition="0">
        <references count="1">
          <reference field="4294967294" count="1" selected="0">
            <x v="24"/>
          </reference>
        </references>
      </pivotArea>
    </format>
    <format dxfId="1158">
      <pivotArea dataOnly="0" labelOnly="1" outline="0" fieldPosition="0">
        <references count="1">
          <reference field="4294967294" count="1">
            <x v="24"/>
          </reference>
        </references>
      </pivotArea>
    </format>
    <format dxfId="1157">
      <pivotArea outline="0" collapsedLevelsAreSubtotals="1" fieldPosition="0">
        <references count="1">
          <reference field="4294967294" count="1" selected="0">
            <x v="26"/>
          </reference>
        </references>
      </pivotArea>
    </format>
    <format dxfId="1156">
      <pivotArea dataOnly="0" labelOnly="1" outline="0" fieldPosition="0">
        <references count="1">
          <reference field="4294967294" count="1">
            <x v="26"/>
          </reference>
        </references>
      </pivotArea>
    </format>
    <format dxfId="1155">
      <pivotArea outline="0" collapsedLevelsAreSubtotals="1" fieldPosition="0">
        <references count="1">
          <reference field="4294967294" count="2" selected="0">
            <x v="26"/>
            <x v="27"/>
          </reference>
        </references>
      </pivotArea>
    </format>
    <format dxfId="1154">
      <pivotArea dataOnly="0" labelOnly="1" outline="0" fieldPosition="0">
        <references count="1">
          <reference field="4294967294" count="2">
            <x v="26"/>
            <x v="27"/>
          </reference>
        </references>
      </pivotArea>
    </format>
    <format dxfId="1153">
      <pivotArea dataOnly="0" outline="0" fieldPosition="0">
        <references count="1">
          <reference field="4294967294" count="1">
            <x v="28"/>
          </reference>
        </references>
      </pivotArea>
    </format>
    <format dxfId="1152">
      <pivotArea outline="0" collapsedLevelsAreSubtotals="1" fieldPosition="0">
        <references count="1">
          <reference field="4294967294" count="2" selected="0">
            <x v="28"/>
            <x v="29"/>
          </reference>
        </references>
      </pivotArea>
    </format>
    <format dxfId="1151">
      <pivotArea dataOnly="0" labelOnly="1" outline="0" fieldPosition="0">
        <references count="1">
          <reference field="4294967294" count="2">
            <x v="28"/>
            <x v="29"/>
          </reference>
        </references>
      </pivotArea>
    </format>
    <format dxfId="1150">
      <pivotArea outline="0" collapsedLevelsAreSubtotals="1" fieldPosition="0">
        <references count="1">
          <reference field="4294967294" count="1" selected="0">
            <x v="30"/>
          </reference>
        </references>
      </pivotArea>
    </format>
    <format dxfId="1149">
      <pivotArea dataOnly="0" labelOnly="1" outline="0" fieldPosition="0">
        <references count="1">
          <reference field="4294967294" count="1">
            <x v="30"/>
          </reference>
        </references>
      </pivotArea>
    </format>
    <format dxfId="1148">
      <pivotArea outline="0" collapsedLevelsAreSubtotals="1" fieldPosition="0">
        <references count="1">
          <reference field="4294967294" count="2" selected="0">
            <x v="30"/>
            <x v="31"/>
          </reference>
        </references>
      </pivotArea>
    </format>
    <format dxfId="1147">
      <pivotArea dataOnly="0" labelOnly="1" outline="0" fieldPosition="0">
        <references count="1">
          <reference field="4294967294" count="2">
            <x v="30"/>
            <x v="31"/>
          </reference>
        </references>
      </pivotArea>
    </format>
    <format dxfId="1146">
      <pivotArea outline="0" collapsedLevelsAreSubtotals="1" fieldPosition="0">
        <references count="1">
          <reference field="4294967294" count="2" selected="0">
            <x v="26"/>
            <x v="27"/>
          </reference>
        </references>
      </pivotArea>
    </format>
    <format dxfId="1145">
      <pivotArea dataOnly="0" labelOnly="1" outline="0" fieldPosition="0">
        <references count="1">
          <reference field="4294967294" count="2">
            <x v="26"/>
            <x v="27"/>
          </reference>
        </references>
      </pivotArea>
    </format>
    <format dxfId="1144">
      <pivotArea outline="0" collapsedLevelsAreSubtotals="1" fieldPosition="0">
        <references count="1">
          <reference field="4294967294" count="1" selected="0">
            <x v="14"/>
          </reference>
        </references>
      </pivotArea>
    </format>
    <format dxfId="1143">
      <pivotArea dataOnly="0" labelOnly="1" outline="0" fieldPosition="0">
        <references count="1">
          <reference field="4294967294" count="1">
            <x v="14"/>
          </reference>
        </references>
      </pivotArea>
    </format>
    <format dxfId="1142">
      <pivotArea outline="0" collapsedLevelsAreSubtotals="1" fieldPosition="0">
        <references count="1">
          <reference field="4294967294" count="1" selected="0">
            <x v="32"/>
          </reference>
        </references>
      </pivotArea>
    </format>
    <format dxfId="1141">
      <pivotArea dataOnly="0" labelOnly="1" outline="0" fieldPosition="0">
        <references count="1">
          <reference field="4294967294" count="1">
            <x v="32"/>
          </reference>
        </references>
      </pivotArea>
    </format>
    <format dxfId="1140">
      <pivotArea outline="0" collapsedLevelsAreSubtotals="1" fieldPosition="0">
        <references count="1">
          <reference field="4294967294" count="2" selected="0">
            <x v="32"/>
            <x v="33"/>
          </reference>
        </references>
      </pivotArea>
    </format>
    <format dxfId="1139">
      <pivotArea dataOnly="0" labelOnly="1" outline="0" fieldPosition="0">
        <references count="1">
          <reference field="4294967294" count="2">
            <x v="32"/>
            <x v="33"/>
          </reference>
        </references>
      </pivotArea>
    </format>
    <format dxfId="1138">
      <pivotArea outline="0" collapsedLevelsAreSubtotals="1" fieldPosition="0">
        <references count="1">
          <reference field="4294967294" count="2" selected="0">
            <x v="34"/>
            <x v="35"/>
          </reference>
        </references>
      </pivotArea>
    </format>
    <format dxfId="1137">
      <pivotArea dataOnly="0" labelOnly="1" outline="0" fieldPosition="0">
        <references count="1">
          <reference field="4294967294" count="2">
            <x v="34"/>
            <x v="35"/>
          </reference>
        </references>
      </pivotArea>
    </format>
    <format dxfId="1136">
      <pivotArea outline="0" collapsedLevelsAreSubtotals="1" fieldPosition="0">
        <references count="1">
          <reference field="4294967294" count="1" selected="0">
            <x v="34"/>
          </reference>
        </references>
      </pivotArea>
    </format>
    <format dxfId="1135">
      <pivotArea dataOnly="0" labelOnly="1" outline="0" fieldPosition="0">
        <references count="1">
          <reference field="4294967294" count="1">
            <x v="34"/>
          </reference>
        </references>
      </pivotArea>
    </format>
    <format dxfId="1134">
      <pivotArea outline="0" collapsedLevelsAreSubtotals="1" fieldPosition="0">
        <references count="1">
          <reference field="4294967294" count="2" selected="0">
            <x v="34"/>
            <x v="35"/>
          </reference>
        </references>
      </pivotArea>
    </format>
    <format dxfId="1133">
      <pivotArea dataOnly="0" labelOnly="1" outline="0" fieldPosition="0">
        <references count="1">
          <reference field="4294967294" count="2">
            <x v="34"/>
            <x v="35"/>
          </reference>
        </references>
      </pivotArea>
    </format>
    <format dxfId="1132">
      <pivotArea outline="0" collapsedLevelsAreSubtotals="1" fieldPosition="0">
        <references count="1">
          <reference field="4294967294" count="1" selected="0">
            <x v="34"/>
          </reference>
        </references>
      </pivotArea>
    </format>
    <format dxfId="1131">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F798F75-DB56-4CAA-8321-F57C2FFC43FA}" name="PivotTable11" cacheId="956" applyNumberFormats="0" applyBorderFormats="0" applyFontFormats="0" applyPatternFormats="0" applyAlignmentFormats="0" applyWidthHeightFormats="1" dataCaption="Values" updatedVersion="8" minRefreshableVersion="3" showDrill="0" useAutoFormatting="1" itemPrintTitles="1" createdVersion="8" indent="0" showHeaders="0" outline="1" outlineData="1" multipleFieldFilters="0" rowHeaderCaption="State &amp; Cat">
  <location ref="A59:AK67" firstHeaderRow="0" firstDataRow="1" firstDataCol="1" rowPageCount="1" colPageCount="1"/>
  <pivotFields count="38">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Fields count="1">
    <field x="0"/>
  </rowFields>
  <rowItems count="8">
    <i>
      <x/>
    </i>
    <i>
      <x v="1"/>
    </i>
    <i>
      <x v="2"/>
    </i>
    <i>
      <x v="3"/>
    </i>
    <i>
      <x v="4"/>
    </i>
    <i>
      <x v="5"/>
    </i>
    <i>
      <x v="6"/>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12]" cap="12"/>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280">
      <pivotArea outline="0" collapsedLevelsAreSubtotals="1" fieldPosition="0">
        <references count="1">
          <reference field="4294967294" count="1" selected="0">
            <x v="0"/>
          </reference>
        </references>
      </pivotArea>
    </format>
    <format dxfId="1279">
      <pivotArea dataOnly="0" labelOnly="1" outline="0" fieldPosition="0">
        <references count="1">
          <reference field="4294967294" count="1">
            <x v="0"/>
          </reference>
        </references>
      </pivotArea>
    </format>
    <format dxfId="1278">
      <pivotArea outline="0" collapsedLevelsAreSubtotals="1" fieldPosition="0">
        <references count="1">
          <reference field="4294967294" count="1" selected="0">
            <x v="2"/>
          </reference>
        </references>
      </pivotArea>
    </format>
    <format dxfId="1277">
      <pivotArea dataOnly="0" labelOnly="1" outline="0" fieldPosition="0">
        <references count="1">
          <reference field="4294967294" count="1">
            <x v="2"/>
          </reference>
        </references>
      </pivotArea>
    </format>
    <format dxfId="1276">
      <pivotArea outline="0" collapsedLevelsAreSubtotals="1" fieldPosition="0">
        <references count="1">
          <reference field="4294967294" count="1" selected="0">
            <x v="4"/>
          </reference>
        </references>
      </pivotArea>
    </format>
    <format dxfId="1275">
      <pivotArea dataOnly="0" labelOnly="1" outline="0" fieldPosition="0">
        <references count="1">
          <reference field="4294967294" count="1">
            <x v="4"/>
          </reference>
        </references>
      </pivotArea>
    </format>
    <format dxfId="1274">
      <pivotArea outline="0" collapsedLevelsAreSubtotals="1" fieldPosition="0">
        <references count="1">
          <reference field="4294967294" count="1" selected="0">
            <x v="2"/>
          </reference>
        </references>
      </pivotArea>
    </format>
    <format dxfId="1273">
      <pivotArea outline="0" collapsedLevelsAreSubtotals="1" fieldPosition="0">
        <references count="1">
          <reference field="4294967294" count="1" selected="0">
            <x v="6"/>
          </reference>
        </references>
      </pivotArea>
    </format>
    <format dxfId="1272">
      <pivotArea dataOnly="0" labelOnly="1" outline="0" fieldPosition="0">
        <references count="1">
          <reference field="4294967294" count="1">
            <x v="6"/>
          </reference>
        </references>
      </pivotArea>
    </format>
    <format dxfId="1271">
      <pivotArea outline="0" collapsedLevelsAreSubtotals="1" fieldPosition="0">
        <references count="1">
          <reference field="4294967294" count="1" selected="0">
            <x v="8"/>
          </reference>
        </references>
      </pivotArea>
    </format>
    <format dxfId="1270">
      <pivotArea dataOnly="0" labelOnly="1" outline="0" fieldPosition="0">
        <references count="1">
          <reference field="4294967294" count="1">
            <x v="8"/>
          </reference>
        </references>
      </pivotArea>
    </format>
    <format dxfId="1269">
      <pivotArea outline="0" collapsedLevelsAreSubtotals="1" fieldPosition="0">
        <references count="1">
          <reference field="4294967294" count="1" selected="0">
            <x v="10"/>
          </reference>
        </references>
      </pivotArea>
    </format>
    <format dxfId="1268">
      <pivotArea dataOnly="0" labelOnly="1" outline="0" fieldPosition="0">
        <references count="1">
          <reference field="4294967294" count="1">
            <x v="10"/>
          </reference>
        </references>
      </pivotArea>
    </format>
    <format dxfId="1267">
      <pivotArea outline="0" collapsedLevelsAreSubtotals="1" fieldPosition="0">
        <references count="1">
          <reference field="4294967294" count="2" selected="0">
            <x v="0"/>
            <x v="1"/>
          </reference>
        </references>
      </pivotArea>
    </format>
    <format dxfId="1266">
      <pivotArea dataOnly="0" labelOnly="1" outline="0" fieldPosition="0">
        <references count="1">
          <reference field="4294967294" count="2">
            <x v="0"/>
            <x v="1"/>
          </reference>
        </references>
      </pivotArea>
    </format>
    <format dxfId="1265">
      <pivotArea outline="0" collapsedLevelsAreSubtotals="1" fieldPosition="0">
        <references count="1">
          <reference field="4294967294" count="2" selected="0">
            <x v="2"/>
            <x v="3"/>
          </reference>
        </references>
      </pivotArea>
    </format>
    <format dxfId="1264">
      <pivotArea dataOnly="0" labelOnly="1" outline="0" fieldPosition="0">
        <references count="1">
          <reference field="4294967294" count="2">
            <x v="2"/>
            <x v="3"/>
          </reference>
        </references>
      </pivotArea>
    </format>
    <format dxfId="1263">
      <pivotArea outline="0" collapsedLevelsAreSubtotals="1" fieldPosition="0">
        <references count="1">
          <reference field="4294967294" count="2" selected="0">
            <x v="4"/>
            <x v="5"/>
          </reference>
        </references>
      </pivotArea>
    </format>
    <format dxfId="1262">
      <pivotArea dataOnly="0" labelOnly="1" outline="0" fieldPosition="0">
        <references count="1">
          <reference field="4294967294" count="2">
            <x v="4"/>
            <x v="5"/>
          </reference>
        </references>
      </pivotArea>
    </format>
    <format dxfId="1261">
      <pivotArea outline="0" collapsedLevelsAreSubtotals="1" fieldPosition="0">
        <references count="1">
          <reference field="4294967294" count="2" selected="0">
            <x v="6"/>
            <x v="7"/>
          </reference>
        </references>
      </pivotArea>
    </format>
    <format dxfId="1260">
      <pivotArea dataOnly="0" labelOnly="1" outline="0" fieldPosition="0">
        <references count="1">
          <reference field="4294967294" count="2">
            <x v="6"/>
            <x v="7"/>
          </reference>
        </references>
      </pivotArea>
    </format>
    <format dxfId="1259">
      <pivotArea outline="0" collapsedLevelsAreSubtotals="1" fieldPosition="0">
        <references count="1">
          <reference field="4294967294" count="2" selected="0">
            <x v="8"/>
            <x v="9"/>
          </reference>
        </references>
      </pivotArea>
    </format>
    <format dxfId="1258">
      <pivotArea dataOnly="0" labelOnly="1" outline="0" fieldPosition="0">
        <references count="1">
          <reference field="4294967294" count="2">
            <x v="8"/>
            <x v="9"/>
          </reference>
        </references>
      </pivotArea>
    </format>
    <format dxfId="1257">
      <pivotArea outline="0" collapsedLevelsAreSubtotals="1" fieldPosition="0">
        <references count="1">
          <reference field="4294967294" count="2" selected="0">
            <x v="10"/>
            <x v="11"/>
          </reference>
        </references>
      </pivotArea>
    </format>
    <format dxfId="1256">
      <pivotArea dataOnly="0" labelOnly="1" outline="0" fieldPosition="0">
        <references count="1">
          <reference field="4294967294" count="2">
            <x v="10"/>
            <x v="11"/>
          </reference>
        </references>
      </pivotArea>
    </format>
    <format dxfId="1255">
      <pivotArea outline="0" collapsedLevelsAreSubtotals="1" fieldPosition="0">
        <references count="1">
          <reference field="4294967294" count="1" selected="0">
            <x v="12"/>
          </reference>
        </references>
      </pivotArea>
    </format>
    <format dxfId="1254">
      <pivotArea dataOnly="0" labelOnly="1" outline="0" fieldPosition="0">
        <references count="1">
          <reference field="4294967294" count="1">
            <x v="12"/>
          </reference>
        </references>
      </pivotArea>
    </format>
    <format dxfId="1253">
      <pivotArea outline="0" collapsedLevelsAreSubtotals="1" fieldPosition="0">
        <references count="1">
          <reference field="4294967294" count="2" selected="0">
            <x v="12"/>
            <x v="13"/>
          </reference>
        </references>
      </pivotArea>
    </format>
    <format dxfId="1252">
      <pivotArea dataOnly="0" labelOnly="1" outline="0" fieldPosition="0">
        <references count="1">
          <reference field="4294967294" count="2">
            <x v="12"/>
            <x v="13"/>
          </reference>
        </references>
      </pivotArea>
    </format>
    <format dxfId="1251">
      <pivotArea outline="0" collapsedLevelsAreSubtotals="1" fieldPosition="0"/>
    </format>
    <format dxfId="1250">
      <pivotArea outline="0" collapsedLevelsAreSubtotals="1" fieldPosition="0">
        <references count="1">
          <reference field="4294967294" count="1" selected="0">
            <x v="16"/>
          </reference>
        </references>
      </pivotArea>
    </format>
    <format dxfId="1249">
      <pivotArea dataOnly="0" labelOnly="1" outline="0" fieldPosition="0">
        <references count="1">
          <reference field="4294967294" count="1">
            <x v="16"/>
          </reference>
        </references>
      </pivotArea>
    </format>
    <format dxfId="1248">
      <pivotArea outline="0" collapsedLevelsAreSubtotals="1" fieldPosition="0">
        <references count="1">
          <reference field="4294967294" count="1" selected="0">
            <x v="18"/>
          </reference>
        </references>
      </pivotArea>
    </format>
    <format dxfId="1247">
      <pivotArea dataOnly="0" labelOnly="1" outline="0" fieldPosition="0">
        <references count="1">
          <reference field="4294967294" count="1">
            <x v="18"/>
          </reference>
        </references>
      </pivotArea>
    </format>
    <format dxfId="1246">
      <pivotArea outline="0" collapsedLevelsAreSubtotals="1" fieldPosition="0">
        <references count="1">
          <reference field="4294967294" count="2" selected="0">
            <x v="16"/>
            <x v="17"/>
          </reference>
        </references>
      </pivotArea>
    </format>
    <format dxfId="1245">
      <pivotArea dataOnly="0" labelOnly="1" outline="0" fieldPosition="0">
        <references count="1">
          <reference field="4294967294" count="2">
            <x v="16"/>
            <x v="17"/>
          </reference>
        </references>
      </pivotArea>
    </format>
    <format dxfId="1244">
      <pivotArea outline="0" collapsedLevelsAreSubtotals="1" fieldPosition="0">
        <references count="1">
          <reference field="4294967294" count="2" selected="0">
            <x v="18"/>
            <x v="19"/>
          </reference>
        </references>
      </pivotArea>
    </format>
    <format dxfId="1243">
      <pivotArea dataOnly="0" labelOnly="1" outline="0" fieldPosition="0">
        <references count="1">
          <reference field="4294967294" count="2">
            <x v="18"/>
            <x v="19"/>
          </reference>
        </references>
      </pivotArea>
    </format>
    <format dxfId="1242">
      <pivotArea outline="0" collapsedLevelsAreSubtotals="1" fieldPosition="0">
        <references count="1">
          <reference field="4294967294" count="1" selected="0">
            <x v="20"/>
          </reference>
        </references>
      </pivotArea>
    </format>
    <format dxfId="1241">
      <pivotArea dataOnly="0" labelOnly="1" outline="0" fieldPosition="0">
        <references count="1">
          <reference field="4294967294" count="1">
            <x v="20"/>
          </reference>
        </references>
      </pivotArea>
    </format>
    <format dxfId="1240">
      <pivotArea dataOnly="0" outline="0" fieldPosition="0">
        <references count="1">
          <reference field="4294967294" count="1">
            <x v="22"/>
          </reference>
        </references>
      </pivotArea>
    </format>
    <format dxfId="1239">
      <pivotArea outline="0" collapsedLevelsAreSubtotals="1" fieldPosition="0">
        <references count="1">
          <reference field="4294967294" count="2" selected="0">
            <x v="20"/>
            <x v="21"/>
          </reference>
        </references>
      </pivotArea>
    </format>
    <format dxfId="1238">
      <pivotArea dataOnly="0" labelOnly="1" outline="0" fieldPosition="0">
        <references count="1">
          <reference field="4294967294" count="2">
            <x v="20"/>
            <x v="21"/>
          </reference>
        </references>
      </pivotArea>
    </format>
    <format dxfId="1237">
      <pivotArea dataOnly="0" outline="0" fieldPosition="0">
        <references count="1">
          <reference field="4294967294" count="2">
            <x v="22"/>
            <x v="23"/>
          </reference>
        </references>
      </pivotArea>
    </format>
    <format dxfId="1236">
      <pivotArea outline="0" collapsedLevelsAreSubtotals="1" fieldPosition="0">
        <references count="1">
          <reference field="4294967294" count="1" selected="0">
            <x v="24"/>
          </reference>
        </references>
      </pivotArea>
    </format>
    <format dxfId="1235">
      <pivotArea dataOnly="0" labelOnly="1" outline="0" fieldPosition="0">
        <references count="1">
          <reference field="4294967294" count="1">
            <x v="24"/>
          </reference>
        </references>
      </pivotArea>
    </format>
    <format dxfId="1234">
      <pivotArea outline="0" collapsedLevelsAreSubtotals="1" fieldPosition="0">
        <references count="1">
          <reference field="4294967294" count="1" selected="0">
            <x v="24"/>
          </reference>
        </references>
      </pivotArea>
    </format>
    <format dxfId="1233">
      <pivotArea dataOnly="0" labelOnly="1" outline="0" fieldPosition="0">
        <references count="1">
          <reference field="4294967294" count="1">
            <x v="24"/>
          </reference>
        </references>
      </pivotArea>
    </format>
    <format dxfId="1232">
      <pivotArea outline="0" collapsedLevelsAreSubtotals="1" fieldPosition="0">
        <references count="1">
          <reference field="4294967294" count="1" selected="0">
            <x v="26"/>
          </reference>
        </references>
      </pivotArea>
    </format>
    <format dxfId="1231">
      <pivotArea dataOnly="0" labelOnly="1" outline="0" fieldPosition="0">
        <references count="1">
          <reference field="4294967294" count="1">
            <x v="26"/>
          </reference>
        </references>
      </pivotArea>
    </format>
    <format dxfId="1230">
      <pivotArea outline="0" collapsedLevelsAreSubtotals="1" fieldPosition="0">
        <references count="1">
          <reference field="4294967294" count="2" selected="0">
            <x v="26"/>
            <x v="27"/>
          </reference>
        </references>
      </pivotArea>
    </format>
    <format dxfId="1229">
      <pivotArea dataOnly="0" labelOnly="1" outline="0" fieldPosition="0">
        <references count="1">
          <reference field="4294967294" count="2">
            <x v="26"/>
            <x v="27"/>
          </reference>
        </references>
      </pivotArea>
    </format>
    <format dxfId="1228">
      <pivotArea dataOnly="0" outline="0" fieldPosition="0">
        <references count="1">
          <reference field="4294967294" count="1">
            <x v="28"/>
          </reference>
        </references>
      </pivotArea>
    </format>
    <format dxfId="1227">
      <pivotArea outline="0" collapsedLevelsAreSubtotals="1" fieldPosition="0">
        <references count="1">
          <reference field="4294967294" count="2" selected="0">
            <x v="28"/>
            <x v="29"/>
          </reference>
        </references>
      </pivotArea>
    </format>
    <format dxfId="1226">
      <pivotArea dataOnly="0" labelOnly="1" outline="0" fieldPosition="0">
        <references count="1">
          <reference field="4294967294" count="2">
            <x v="28"/>
            <x v="29"/>
          </reference>
        </references>
      </pivotArea>
    </format>
    <format dxfId="1225">
      <pivotArea outline="0" collapsedLevelsAreSubtotals="1" fieldPosition="0">
        <references count="1">
          <reference field="4294967294" count="1" selected="0">
            <x v="30"/>
          </reference>
        </references>
      </pivotArea>
    </format>
    <format dxfId="1224">
      <pivotArea dataOnly="0" labelOnly="1" outline="0" fieldPosition="0">
        <references count="1">
          <reference field="4294967294" count="1">
            <x v="30"/>
          </reference>
        </references>
      </pivotArea>
    </format>
    <format dxfId="1223">
      <pivotArea outline="0" collapsedLevelsAreSubtotals="1" fieldPosition="0">
        <references count="1">
          <reference field="4294967294" count="2" selected="0">
            <x v="30"/>
            <x v="31"/>
          </reference>
        </references>
      </pivotArea>
    </format>
    <format dxfId="1222">
      <pivotArea dataOnly="0" labelOnly="1" outline="0" fieldPosition="0">
        <references count="1">
          <reference field="4294967294" count="2">
            <x v="30"/>
            <x v="31"/>
          </reference>
        </references>
      </pivotArea>
    </format>
    <format dxfId="1221">
      <pivotArea outline="0" collapsedLevelsAreSubtotals="1" fieldPosition="0">
        <references count="1">
          <reference field="4294967294" count="2" selected="0">
            <x v="26"/>
            <x v="27"/>
          </reference>
        </references>
      </pivotArea>
    </format>
    <format dxfId="1220">
      <pivotArea dataOnly="0" labelOnly="1" outline="0" fieldPosition="0">
        <references count="1">
          <reference field="4294967294" count="2">
            <x v="26"/>
            <x v="27"/>
          </reference>
        </references>
      </pivotArea>
    </format>
    <format dxfId="1219">
      <pivotArea outline="0" collapsedLevelsAreSubtotals="1" fieldPosition="0">
        <references count="1">
          <reference field="4294967294" count="1" selected="0">
            <x v="14"/>
          </reference>
        </references>
      </pivotArea>
    </format>
    <format dxfId="1218">
      <pivotArea dataOnly="0" labelOnly="1" outline="0" fieldPosition="0">
        <references count="1">
          <reference field="4294967294" count="1">
            <x v="14"/>
          </reference>
        </references>
      </pivotArea>
    </format>
    <format dxfId="1217">
      <pivotArea outline="0" collapsedLevelsAreSubtotals="1" fieldPosition="0">
        <references count="1">
          <reference field="4294967294" count="1" selected="0">
            <x v="32"/>
          </reference>
        </references>
      </pivotArea>
    </format>
    <format dxfId="1216">
      <pivotArea dataOnly="0" labelOnly="1" outline="0" fieldPosition="0">
        <references count="1">
          <reference field="4294967294" count="1">
            <x v="32"/>
          </reference>
        </references>
      </pivotArea>
    </format>
    <format dxfId="1215">
      <pivotArea outline="0" collapsedLevelsAreSubtotals="1" fieldPosition="0">
        <references count="1">
          <reference field="4294967294" count="2" selected="0">
            <x v="32"/>
            <x v="33"/>
          </reference>
        </references>
      </pivotArea>
    </format>
    <format dxfId="1214">
      <pivotArea dataOnly="0" labelOnly="1" outline="0" fieldPosition="0">
        <references count="1">
          <reference field="4294967294" count="2">
            <x v="32"/>
            <x v="33"/>
          </reference>
        </references>
      </pivotArea>
    </format>
    <format dxfId="1213">
      <pivotArea outline="0" collapsedLevelsAreSubtotals="1" fieldPosition="0">
        <references count="1">
          <reference field="4294967294" count="2" selected="0">
            <x v="34"/>
            <x v="35"/>
          </reference>
        </references>
      </pivotArea>
    </format>
    <format dxfId="1212">
      <pivotArea dataOnly="0" labelOnly="1" outline="0" fieldPosition="0">
        <references count="1">
          <reference field="4294967294" count="2">
            <x v="34"/>
            <x v="35"/>
          </reference>
        </references>
      </pivotArea>
    </format>
    <format dxfId="1211">
      <pivotArea outline="0" collapsedLevelsAreSubtotals="1" fieldPosition="0">
        <references count="1">
          <reference field="4294967294" count="1" selected="0">
            <x v="34"/>
          </reference>
        </references>
      </pivotArea>
    </format>
    <format dxfId="1210">
      <pivotArea dataOnly="0" labelOnly="1" outline="0" fieldPosition="0">
        <references count="1">
          <reference field="4294967294" count="1">
            <x v="34"/>
          </reference>
        </references>
      </pivotArea>
    </format>
    <format dxfId="1209">
      <pivotArea outline="0" collapsedLevelsAreSubtotals="1" fieldPosition="0">
        <references count="1">
          <reference field="4294967294" count="2" selected="0">
            <x v="34"/>
            <x v="35"/>
          </reference>
        </references>
      </pivotArea>
    </format>
    <format dxfId="1208">
      <pivotArea dataOnly="0" labelOnly="1" outline="0" fieldPosition="0">
        <references count="1">
          <reference field="4294967294" count="2">
            <x v="34"/>
            <x v="35"/>
          </reference>
        </references>
      </pivotArea>
    </format>
    <format dxfId="1207">
      <pivotArea outline="0" collapsedLevelsAreSubtotals="1" fieldPosition="0">
        <references count="1">
          <reference field="4294967294" count="1" selected="0">
            <x v="34"/>
          </reference>
        </references>
      </pivotArea>
    </format>
    <format dxfId="1206">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3" level="1">
        <member name="[Range 1].[Type].&amp;[12]"/>
        <member name="[Range 1].[Type].&amp;[13]"/>
        <member name="[Range 1].[Type].&amp;[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56888F2-1635-4988-9104-64B9A5FF7C87}" name="PivotTable13" cacheId="96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31:AJ32" firstHeaderRow="0" firstDataRow="1" firstDataCol="0" rowPageCount="1" colPageCount="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7]" cap="7"/>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584">
      <pivotArea outline="0" collapsedLevelsAreSubtotals="1" fieldPosition="0">
        <references count="1">
          <reference field="4294967294" count="1" selected="0">
            <x v="0"/>
          </reference>
        </references>
      </pivotArea>
    </format>
    <format dxfId="1583">
      <pivotArea dataOnly="0" labelOnly="1" outline="0" fieldPosition="0">
        <references count="1">
          <reference field="4294967294" count="1">
            <x v="0"/>
          </reference>
        </references>
      </pivotArea>
    </format>
    <format dxfId="1582">
      <pivotArea outline="0" collapsedLevelsAreSubtotals="1" fieldPosition="0">
        <references count="1">
          <reference field="4294967294" count="1" selected="0">
            <x v="2"/>
          </reference>
        </references>
      </pivotArea>
    </format>
    <format dxfId="1581">
      <pivotArea dataOnly="0" labelOnly="1" outline="0" fieldPosition="0">
        <references count="1">
          <reference field="4294967294" count="1">
            <x v="2"/>
          </reference>
        </references>
      </pivotArea>
    </format>
    <format dxfId="1580">
      <pivotArea outline="0" collapsedLevelsAreSubtotals="1" fieldPosition="0">
        <references count="1">
          <reference field="4294967294" count="1" selected="0">
            <x v="4"/>
          </reference>
        </references>
      </pivotArea>
    </format>
    <format dxfId="1579">
      <pivotArea dataOnly="0" labelOnly="1" outline="0" fieldPosition="0">
        <references count="1">
          <reference field="4294967294" count="1">
            <x v="4"/>
          </reference>
        </references>
      </pivotArea>
    </format>
    <format dxfId="1578">
      <pivotArea outline="0" collapsedLevelsAreSubtotals="1" fieldPosition="0">
        <references count="1">
          <reference field="4294967294" count="1" selected="0">
            <x v="2"/>
          </reference>
        </references>
      </pivotArea>
    </format>
    <format dxfId="1577">
      <pivotArea outline="0" collapsedLevelsAreSubtotals="1" fieldPosition="0">
        <references count="1">
          <reference field="4294967294" count="1" selected="0">
            <x v="6"/>
          </reference>
        </references>
      </pivotArea>
    </format>
    <format dxfId="1576">
      <pivotArea dataOnly="0" labelOnly="1" outline="0" fieldPosition="0">
        <references count="1">
          <reference field="4294967294" count="1">
            <x v="6"/>
          </reference>
        </references>
      </pivotArea>
    </format>
    <format dxfId="1575">
      <pivotArea outline="0" collapsedLevelsAreSubtotals="1" fieldPosition="0">
        <references count="1">
          <reference field="4294967294" count="1" selected="0">
            <x v="8"/>
          </reference>
        </references>
      </pivotArea>
    </format>
    <format dxfId="1574">
      <pivotArea dataOnly="0" labelOnly="1" outline="0" fieldPosition="0">
        <references count="1">
          <reference field="4294967294" count="1">
            <x v="8"/>
          </reference>
        </references>
      </pivotArea>
    </format>
    <format dxfId="1573">
      <pivotArea outline="0" collapsedLevelsAreSubtotals="1" fieldPosition="0">
        <references count="1">
          <reference field="4294967294" count="1" selected="0">
            <x v="10"/>
          </reference>
        </references>
      </pivotArea>
    </format>
    <format dxfId="1572">
      <pivotArea dataOnly="0" labelOnly="1" outline="0" fieldPosition="0">
        <references count="1">
          <reference field="4294967294" count="1">
            <x v="10"/>
          </reference>
        </references>
      </pivotArea>
    </format>
    <format dxfId="1571">
      <pivotArea outline="0" collapsedLevelsAreSubtotals="1" fieldPosition="0">
        <references count="1">
          <reference field="4294967294" count="2" selected="0">
            <x v="0"/>
            <x v="1"/>
          </reference>
        </references>
      </pivotArea>
    </format>
    <format dxfId="1570">
      <pivotArea dataOnly="0" labelOnly="1" outline="0" fieldPosition="0">
        <references count="1">
          <reference field="4294967294" count="2">
            <x v="0"/>
            <x v="1"/>
          </reference>
        </references>
      </pivotArea>
    </format>
    <format dxfId="1569">
      <pivotArea outline="0" collapsedLevelsAreSubtotals="1" fieldPosition="0">
        <references count="1">
          <reference field="4294967294" count="2" selected="0">
            <x v="2"/>
            <x v="3"/>
          </reference>
        </references>
      </pivotArea>
    </format>
    <format dxfId="1568">
      <pivotArea dataOnly="0" labelOnly="1" outline="0" fieldPosition="0">
        <references count="1">
          <reference field="4294967294" count="2">
            <x v="2"/>
            <x v="3"/>
          </reference>
        </references>
      </pivotArea>
    </format>
    <format dxfId="1567">
      <pivotArea outline="0" collapsedLevelsAreSubtotals="1" fieldPosition="0">
        <references count="1">
          <reference field="4294967294" count="2" selected="0">
            <x v="4"/>
            <x v="5"/>
          </reference>
        </references>
      </pivotArea>
    </format>
    <format dxfId="1566">
      <pivotArea dataOnly="0" labelOnly="1" outline="0" fieldPosition="0">
        <references count="1">
          <reference field="4294967294" count="2">
            <x v="4"/>
            <x v="5"/>
          </reference>
        </references>
      </pivotArea>
    </format>
    <format dxfId="1565">
      <pivotArea outline="0" collapsedLevelsAreSubtotals="1" fieldPosition="0">
        <references count="1">
          <reference field="4294967294" count="2" selected="0">
            <x v="6"/>
            <x v="7"/>
          </reference>
        </references>
      </pivotArea>
    </format>
    <format dxfId="1564">
      <pivotArea dataOnly="0" labelOnly="1" outline="0" fieldPosition="0">
        <references count="1">
          <reference field="4294967294" count="2">
            <x v="6"/>
            <x v="7"/>
          </reference>
        </references>
      </pivotArea>
    </format>
    <format dxfId="1563">
      <pivotArea outline="0" collapsedLevelsAreSubtotals="1" fieldPosition="0">
        <references count="1">
          <reference field="4294967294" count="2" selected="0">
            <x v="8"/>
            <x v="9"/>
          </reference>
        </references>
      </pivotArea>
    </format>
    <format dxfId="1562">
      <pivotArea dataOnly="0" labelOnly="1" outline="0" fieldPosition="0">
        <references count="1">
          <reference field="4294967294" count="2">
            <x v="8"/>
            <x v="9"/>
          </reference>
        </references>
      </pivotArea>
    </format>
    <format dxfId="1561">
      <pivotArea outline="0" collapsedLevelsAreSubtotals="1" fieldPosition="0">
        <references count="1">
          <reference field="4294967294" count="2" selected="0">
            <x v="10"/>
            <x v="11"/>
          </reference>
        </references>
      </pivotArea>
    </format>
    <format dxfId="1560">
      <pivotArea dataOnly="0" labelOnly="1" outline="0" fieldPosition="0">
        <references count="1">
          <reference field="4294967294" count="2">
            <x v="10"/>
            <x v="11"/>
          </reference>
        </references>
      </pivotArea>
    </format>
    <format dxfId="1559">
      <pivotArea outline="0" collapsedLevelsAreSubtotals="1" fieldPosition="0">
        <references count="1">
          <reference field="4294967294" count="1" selected="0">
            <x v="12"/>
          </reference>
        </references>
      </pivotArea>
    </format>
    <format dxfId="1558">
      <pivotArea dataOnly="0" labelOnly="1" outline="0" fieldPosition="0">
        <references count="1">
          <reference field="4294967294" count="1">
            <x v="12"/>
          </reference>
        </references>
      </pivotArea>
    </format>
    <format dxfId="1557">
      <pivotArea outline="0" collapsedLevelsAreSubtotals="1" fieldPosition="0">
        <references count="1">
          <reference field="4294967294" count="2" selected="0">
            <x v="12"/>
            <x v="13"/>
          </reference>
        </references>
      </pivotArea>
    </format>
    <format dxfId="1556">
      <pivotArea dataOnly="0" labelOnly="1" outline="0" fieldPosition="0">
        <references count="1">
          <reference field="4294967294" count="2">
            <x v="12"/>
            <x v="13"/>
          </reference>
        </references>
      </pivotArea>
    </format>
    <format dxfId="1555">
      <pivotArea outline="0" collapsedLevelsAreSubtotals="1" fieldPosition="0"/>
    </format>
    <format dxfId="1554">
      <pivotArea outline="0" collapsedLevelsAreSubtotals="1" fieldPosition="0">
        <references count="1">
          <reference field="4294967294" count="1" selected="0">
            <x v="16"/>
          </reference>
        </references>
      </pivotArea>
    </format>
    <format dxfId="1553">
      <pivotArea dataOnly="0" labelOnly="1" outline="0" fieldPosition="0">
        <references count="1">
          <reference field="4294967294" count="1">
            <x v="16"/>
          </reference>
        </references>
      </pivotArea>
    </format>
    <format dxfId="1552">
      <pivotArea outline="0" collapsedLevelsAreSubtotals="1" fieldPosition="0">
        <references count="1">
          <reference field="4294967294" count="1" selected="0">
            <x v="18"/>
          </reference>
        </references>
      </pivotArea>
    </format>
    <format dxfId="1551">
      <pivotArea dataOnly="0" labelOnly="1" outline="0" fieldPosition="0">
        <references count="1">
          <reference field="4294967294" count="1">
            <x v="18"/>
          </reference>
        </references>
      </pivotArea>
    </format>
    <format dxfId="1550">
      <pivotArea outline="0" collapsedLevelsAreSubtotals="1" fieldPosition="0">
        <references count="1">
          <reference field="4294967294" count="2" selected="0">
            <x v="16"/>
            <x v="17"/>
          </reference>
        </references>
      </pivotArea>
    </format>
    <format dxfId="1549">
      <pivotArea dataOnly="0" labelOnly="1" outline="0" fieldPosition="0">
        <references count="1">
          <reference field="4294967294" count="2">
            <x v="16"/>
            <x v="17"/>
          </reference>
        </references>
      </pivotArea>
    </format>
    <format dxfId="1548">
      <pivotArea outline="0" collapsedLevelsAreSubtotals="1" fieldPosition="0">
        <references count="1">
          <reference field="4294967294" count="2" selected="0">
            <x v="18"/>
            <x v="19"/>
          </reference>
        </references>
      </pivotArea>
    </format>
    <format dxfId="1547">
      <pivotArea dataOnly="0" labelOnly="1" outline="0" fieldPosition="0">
        <references count="1">
          <reference field="4294967294" count="2">
            <x v="18"/>
            <x v="19"/>
          </reference>
        </references>
      </pivotArea>
    </format>
    <format dxfId="1546">
      <pivotArea outline="0" collapsedLevelsAreSubtotals="1" fieldPosition="0">
        <references count="1">
          <reference field="4294967294" count="1" selected="0">
            <x v="20"/>
          </reference>
        </references>
      </pivotArea>
    </format>
    <format dxfId="1545">
      <pivotArea dataOnly="0" labelOnly="1" outline="0" fieldPosition="0">
        <references count="1">
          <reference field="4294967294" count="1">
            <x v="20"/>
          </reference>
        </references>
      </pivotArea>
    </format>
    <format dxfId="1544">
      <pivotArea dataOnly="0" outline="0" fieldPosition="0">
        <references count="1">
          <reference field="4294967294" count="1">
            <x v="22"/>
          </reference>
        </references>
      </pivotArea>
    </format>
    <format dxfId="1543">
      <pivotArea outline="0" collapsedLevelsAreSubtotals="1" fieldPosition="0">
        <references count="1">
          <reference field="4294967294" count="2" selected="0">
            <x v="20"/>
            <x v="21"/>
          </reference>
        </references>
      </pivotArea>
    </format>
    <format dxfId="1542">
      <pivotArea dataOnly="0" labelOnly="1" outline="0" fieldPosition="0">
        <references count="1">
          <reference field="4294967294" count="2">
            <x v="20"/>
            <x v="21"/>
          </reference>
        </references>
      </pivotArea>
    </format>
    <format dxfId="1541">
      <pivotArea dataOnly="0" outline="0" fieldPosition="0">
        <references count="1">
          <reference field="4294967294" count="2">
            <x v="22"/>
            <x v="23"/>
          </reference>
        </references>
      </pivotArea>
    </format>
    <format dxfId="1540">
      <pivotArea outline="0" collapsedLevelsAreSubtotals="1" fieldPosition="0">
        <references count="1">
          <reference field="4294967294" count="1" selected="0">
            <x v="24"/>
          </reference>
        </references>
      </pivotArea>
    </format>
    <format dxfId="1539">
      <pivotArea dataOnly="0" labelOnly="1" outline="0" fieldPosition="0">
        <references count="1">
          <reference field="4294967294" count="1">
            <x v="24"/>
          </reference>
        </references>
      </pivotArea>
    </format>
    <format dxfId="1538">
      <pivotArea outline="0" collapsedLevelsAreSubtotals="1" fieldPosition="0">
        <references count="1">
          <reference field="4294967294" count="1" selected="0">
            <x v="24"/>
          </reference>
        </references>
      </pivotArea>
    </format>
    <format dxfId="1537">
      <pivotArea dataOnly="0" labelOnly="1" outline="0" fieldPosition="0">
        <references count="1">
          <reference field="4294967294" count="1">
            <x v="24"/>
          </reference>
        </references>
      </pivotArea>
    </format>
    <format dxfId="1536">
      <pivotArea outline="0" collapsedLevelsAreSubtotals="1" fieldPosition="0">
        <references count="1">
          <reference field="4294967294" count="1" selected="0">
            <x v="26"/>
          </reference>
        </references>
      </pivotArea>
    </format>
    <format dxfId="1535">
      <pivotArea dataOnly="0" labelOnly="1" outline="0" fieldPosition="0">
        <references count="1">
          <reference field="4294967294" count="1">
            <x v="26"/>
          </reference>
        </references>
      </pivotArea>
    </format>
    <format dxfId="1534">
      <pivotArea outline="0" collapsedLevelsAreSubtotals="1" fieldPosition="0">
        <references count="1">
          <reference field="4294967294" count="2" selected="0">
            <x v="26"/>
            <x v="27"/>
          </reference>
        </references>
      </pivotArea>
    </format>
    <format dxfId="1533">
      <pivotArea dataOnly="0" labelOnly="1" outline="0" fieldPosition="0">
        <references count="1">
          <reference field="4294967294" count="2">
            <x v="26"/>
            <x v="27"/>
          </reference>
        </references>
      </pivotArea>
    </format>
    <format dxfId="1532">
      <pivotArea dataOnly="0" outline="0" fieldPosition="0">
        <references count="1">
          <reference field="4294967294" count="1">
            <x v="28"/>
          </reference>
        </references>
      </pivotArea>
    </format>
    <format dxfId="1531">
      <pivotArea outline="0" collapsedLevelsAreSubtotals="1" fieldPosition="0">
        <references count="1">
          <reference field="4294967294" count="2" selected="0">
            <x v="28"/>
            <x v="29"/>
          </reference>
        </references>
      </pivotArea>
    </format>
    <format dxfId="1530">
      <pivotArea dataOnly="0" labelOnly="1" outline="0" fieldPosition="0">
        <references count="1">
          <reference field="4294967294" count="2">
            <x v="28"/>
            <x v="29"/>
          </reference>
        </references>
      </pivotArea>
    </format>
    <format dxfId="1529">
      <pivotArea outline="0" collapsedLevelsAreSubtotals="1" fieldPosition="0">
        <references count="1">
          <reference field="4294967294" count="1" selected="0">
            <x v="30"/>
          </reference>
        </references>
      </pivotArea>
    </format>
    <format dxfId="1528">
      <pivotArea dataOnly="0" labelOnly="1" outline="0" fieldPosition="0">
        <references count="1">
          <reference field="4294967294" count="1">
            <x v="30"/>
          </reference>
        </references>
      </pivotArea>
    </format>
    <format dxfId="1527">
      <pivotArea outline="0" collapsedLevelsAreSubtotals="1" fieldPosition="0">
        <references count="1">
          <reference field="4294967294" count="2" selected="0">
            <x v="30"/>
            <x v="31"/>
          </reference>
        </references>
      </pivotArea>
    </format>
    <format dxfId="1526">
      <pivotArea dataOnly="0" labelOnly="1" outline="0" fieldPosition="0">
        <references count="1">
          <reference field="4294967294" count="2">
            <x v="30"/>
            <x v="31"/>
          </reference>
        </references>
      </pivotArea>
    </format>
    <format dxfId="1525">
      <pivotArea outline="0" collapsedLevelsAreSubtotals="1" fieldPosition="0">
        <references count="1">
          <reference field="4294967294" count="2" selected="0">
            <x v="26"/>
            <x v="27"/>
          </reference>
        </references>
      </pivotArea>
    </format>
    <format dxfId="1524">
      <pivotArea dataOnly="0" labelOnly="1" outline="0" fieldPosition="0">
        <references count="1">
          <reference field="4294967294" count="2">
            <x v="26"/>
            <x v="27"/>
          </reference>
        </references>
      </pivotArea>
    </format>
    <format dxfId="1523">
      <pivotArea outline="0" collapsedLevelsAreSubtotals="1" fieldPosition="0">
        <references count="1">
          <reference field="4294967294" count="1" selected="0">
            <x v="14"/>
          </reference>
        </references>
      </pivotArea>
    </format>
    <format dxfId="1522">
      <pivotArea dataOnly="0" labelOnly="1" outline="0" fieldPosition="0">
        <references count="1">
          <reference field="4294967294" count="1">
            <x v="14"/>
          </reference>
        </references>
      </pivotArea>
    </format>
    <format dxfId="1521">
      <pivotArea outline="0" collapsedLevelsAreSubtotals="1" fieldPosition="0">
        <references count="1">
          <reference field="4294967294" count="1" selected="0">
            <x v="32"/>
          </reference>
        </references>
      </pivotArea>
    </format>
    <format dxfId="1520">
      <pivotArea dataOnly="0" labelOnly="1" outline="0" fieldPosition="0">
        <references count="1">
          <reference field="4294967294" count="1">
            <x v="32"/>
          </reference>
        </references>
      </pivotArea>
    </format>
    <format dxfId="1519">
      <pivotArea outline="0" collapsedLevelsAreSubtotals="1" fieldPosition="0">
        <references count="1">
          <reference field="4294967294" count="2" selected="0">
            <x v="32"/>
            <x v="33"/>
          </reference>
        </references>
      </pivotArea>
    </format>
    <format dxfId="1518">
      <pivotArea dataOnly="0" labelOnly="1" outline="0" fieldPosition="0">
        <references count="1">
          <reference field="4294967294" count="2">
            <x v="32"/>
            <x v="33"/>
          </reference>
        </references>
      </pivotArea>
    </format>
    <format dxfId="1517">
      <pivotArea outline="0" collapsedLevelsAreSubtotals="1" fieldPosition="0">
        <references count="1">
          <reference field="4294967294" count="2" selected="0">
            <x v="34"/>
            <x v="35"/>
          </reference>
        </references>
      </pivotArea>
    </format>
    <format dxfId="1516">
      <pivotArea dataOnly="0" labelOnly="1" outline="0" fieldPosition="0">
        <references count="1">
          <reference field="4294967294" count="2">
            <x v="34"/>
            <x v="35"/>
          </reference>
        </references>
      </pivotArea>
    </format>
    <format dxfId="1515">
      <pivotArea outline="0" collapsedLevelsAreSubtotals="1" fieldPosition="0">
        <references count="1">
          <reference field="4294967294" count="1" selected="0">
            <x v="34"/>
          </reference>
        </references>
      </pivotArea>
    </format>
    <format dxfId="1514">
      <pivotArea dataOnly="0" labelOnly="1" outline="0" fieldPosition="0">
        <references count="1">
          <reference field="4294967294" count="1">
            <x v="34"/>
          </reference>
        </references>
      </pivotArea>
    </format>
    <format dxfId="1513">
      <pivotArea outline="0" collapsedLevelsAreSubtotals="1" fieldPosition="0">
        <references count="1">
          <reference field="4294967294" count="2" selected="0">
            <x v="34"/>
            <x v="35"/>
          </reference>
        </references>
      </pivotArea>
    </format>
    <format dxfId="1512">
      <pivotArea dataOnly="0" labelOnly="1" outline="0" fieldPosition="0">
        <references count="1">
          <reference field="4294967294" count="2">
            <x v="34"/>
            <x v="35"/>
          </reference>
        </references>
      </pivotArea>
    </format>
    <format dxfId="1511">
      <pivotArea outline="0" collapsedLevelsAreSubtotals="1" fieldPosition="0">
        <references count="1">
          <reference field="4294967294" count="1" selected="0">
            <x v="34"/>
          </reference>
        </references>
      </pivotArea>
    </format>
    <format dxfId="1510">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4" level="1">
        <member name="[Range 1].[Type].&amp;[7]"/>
        <member name="[Range 1].[Type].&amp;[8]"/>
        <member name="[Range 1].[Type].&amp;[9]"/>
        <member name="[Range 1].[Type].&amp;[1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88178AF-9F86-48B2-9C7A-9A12EF428DAB}" name="PivotTable12" cacheId="95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59:AJ60" firstHeaderRow="0" firstDataRow="1" firstDataCol="0" rowPageCount="1" colPageCount="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12]" cap="12"/>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659">
      <pivotArea outline="0" collapsedLevelsAreSubtotals="1" fieldPosition="0">
        <references count="1">
          <reference field="4294967294" count="1" selected="0">
            <x v="0"/>
          </reference>
        </references>
      </pivotArea>
    </format>
    <format dxfId="1658">
      <pivotArea dataOnly="0" labelOnly="1" outline="0" fieldPosition="0">
        <references count="1">
          <reference field="4294967294" count="1">
            <x v="0"/>
          </reference>
        </references>
      </pivotArea>
    </format>
    <format dxfId="1657">
      <pivotArea outline="0" collapsedLevelsAreSubtotals="1" fieldPosition="0">
        <references count="1">
          <reference field="4294967294" count="1" selected="0">
            <x v="2"/>
          </reference>
        </references>
      </pivotArea>
    </format>
    <format dxfId="1656">
      <pivotArea dataOnly="0" labelOnly="1" outline="0" fieldPosition="0">
        <references count="1">
          <reference field="4294967294" count="1">
            <x v="2"/>
          </reference>
        </references>
      </pivotArea>
    </format>
    <format dxfId="1655">
      <pivotArea outline="0" collapsedLevelsAreSubtotals="1" fieldPosition="0">
        <references count="1">
          <reference field="4294967294" count="1" selected="0">
            <x v="4"/>
          </reference>
        </references>
      </pivotArea>
    </format>
    <format dxfId="1654">
      <pivotArea dataOnly="0" labelOnly="1" outline="0" fieldPosition="0">
        <references count="1">
          <reference field="4294967294" count="1">
            <x v="4"/>
          </reference>
        </references>
      </pivotArea>
    </format>
    <format dxfId="1653">
      <pivotArea outline="0" collapsedLevelsAreSubtotals="1" fieldPosition="0">
        <references count="1">
          <reference field="4294967294" count="1" selected="0">
            <x v="2"/>
          </reference>
        </references>
      </pivotArea>
    </format>
    <format dxfId="1652">
      <pivotArea outline="0" collapsedLevelsAreSubtotals="1" fieldPosition="0">
        <references count="1">
          <reference field="4294967294" count="1" selected="0">
            <x v="6"/>
          </reference>
        </references>
      </pivotArea>
    </format>
    <format dxfId="1651">
      <pivotArea dataOnly="0" labelOnly="1" outline="0" fieldPosition="0">
        <references count="1">
          <reference field="4294967294" count="1">
            <x v="6"/>
          </reference>
        </references>
      </pivotArea>
    </format>
    <format dxfId="1650">
      <pivotArea outline="0" collapsedLevelsAreSubtotals="1" fieldPosition="0">
        <references count="1">
          <reference field="4294967294" count="1" selected="0">
            <x v="8"/>
          </reference>
        </references>
      </pivotArea>
    </format>
    <format dxfId="1649">
      <pivotArea dataOnly="0" labelOnly="1" outline="0" fieldPosition="0">
        <references count="1">
          <reference field="4294967294" count="1">
            <x v="8"/>
          </reference>
        </references>
      </pivotArea>
    </format>
    <format dxfId="1648">
      <pivotArea outline="0" collapsedLevelsAreSubtotals="1" fieldPosition="0">
        <references count="1">
          <reference field="4294967294" count="1" selected="0">
            <x v="10"/>
          </reference>
        </references>
      </pivotArea>
    </format>
    <format dxfId="1647">
      <pivotArea dataOnly="0" labelOnly="1" outline="0" fieldPosition="0">
        <references count="1">
          <reference field="4294967294" count="1">
            <x v="10"/>
          </reference>
        </references>
      </pivotArea>
    </format>
    <format dxfId="1646">
      <pivotArea outline="0" collapsedLevelsAreSubtotals="1" fieldPosition="0">
        <references count="1">
          <reference field="4294967294" count="2" selected="0">
            <x v="0"/>
            <x v="1"/>
          </reference>
        </references>
      </pivotArea>
    </format>
    <format dxfId="1645">
      <pivotArea dataOnly="0" labelOnly="1" outline="0" fieldPosition="0">
        <references count="1">
          <reference field="4294967294" count="2">
            <x v="0"/>
            <x v="1"/>
          </reference>
        </references>
      </pivotArea>
    </format>
    <format dxfId="1644">
      <pivotArea outline="0" collapsedLevelsAreSubtotals="1" fieldPosition="0">
        <references count="1">
          <reference field="4294967294" count="2" selected="0">
            <x v="2"/>
            <x v="3"/>
          </reference>
        </references>
      </pivotArea>
    </format>
    <format dxfId="1643">
      <pivotArea dataOnly="0" labelOnly="1" outline="0" fieldPosition="0">
        <references count="1">
          <reference field="4294967294" count="2">
            <x v="2"/>
            <x v="3"/>
          </reference>
        </references>
      </pivotArea>
    </format>
    <format dxfId="1642">
      <pivotArea outline="0" collapsedLevelsAreSubtotals="1" fieldPosition="0">
        <references count="1">
          <reference field="4294967294" count="2" selected="0">
            <x v="4"/>
            <x v="5"/>
          </reference>
        </references>
      </pivotArea>
    </format>
    <format dxfId="1641">
      <pivotArea dataOnly="0" labelOnly="1" outline="0" fieldPosition="0">
        <references count="1">
          <reference field="4294967294" count="2">
            <x v="4"/>
            <x v="5"/>
          </reference>
        </references>
      </pivotArea>
    </format>
    <format dxfId="1640">
      <pivotArea outline="0" collapsedLevelsAreSubtotals="1" fieldPosition="0">
        <references count="1">
          <reference field="4294967294" count="2" selected="0">
            <x v="6"/>
            <x v="7"/>
          </reference>
        </references>
      </pivotArea>
    </format>
    <format dxfId="1639">
      <pivotArea dataOnly="0" labelOnly="1" outline="0" fieldPosition="0">
        <references count="1">
          <reference field="4294967294" count="2">
            <x v="6"/>
            <x v="7"/>
          </reference>
        </references>
      </pivotArea>
    </format>
    <format dxfId="1638">
      <pivotArea outline="0" collapsedLevelsAreSubtotals="1" fieldPosition="0">
        <references count="1">
          <reference field="4294967294" count="2" selected="0">
            <x v="8"/>
            <x v="9"/>
          </reference>
        </references>
      </pivotArea>
    </format>
    <format dxfId="1637">
      <pivotArea dataOnly="0" labelOnly="1" outline="0" fieldPosition="0">
        <references count="1">
          <reference field="4294967294" count="2">
            <x v="8"/>
            <x v="9"/>
          </reference>
        </references>
      </pivotArea>
    </format>
    <format dxfId="1636">
      <pivotArea outline="0" collapsedLevelsAreSubtotals="1" fieldPosition="0">
        <references count="1">
          <reference field="4294967294" count="2" selected="0">
            <x v="10"/>
            <x v="11"/>
          </reference>
        </references>
      </pivotArea>
    </format>
    <format dxfId="1635">
      <pivotArea dataOnly="0" labelOnly="1" outline="0" fieldPosition="0">
        <references count="1">
          <reference field="4294967294" count="2">
            <x v="10"/>
            <x v="11"/>
          </reference>
        </references>
      </pivotArea>
    </format>
    <format dxfId="1634">
      <pivotArea outline="0" collapsedLevelsAreSubtotals="1" fieldPosition="0">
        <references count="1">
          <reference field="4294967294" count="1" selected="0">
            <x v="12"/>
          </reference>
        </references>
      </pivotArea>
    </format>
    <format dxfId="1633">
      <pivotArea dataOnly="0" labelOnly="1" outline="0" fieldPosition="0">
        <references count="1">
          <reference field="4294967294" count="1">
            <x v="12"/>
          </reference>
        </references>
      </pivotArea>
    </format>
    <format dxfId="1632">
      <pivotArea outline="0" collapsedLevelsAreSubtotals="1" fieldPosition="0">
        <references count="1">
          <reference field="4294967294" count="2" selected="0">
            <x v="12"/>
            <x v="13"/>
          </reference>
        </references>
      </pivotArea>
    </format>
    <format dxfId="1631">
      <pivotArea dataOnly="0" labelOnly="1" outline="0" fieldPosition="0">
        <references count="1">
          <reference field="4294967294" count="2">
            <x v="12"/>
            <x v="13"/>
          </reference>
        </references>
      </pivotArea>
    </format>
    <format dxfId="1630">
      <pivotArea outline="0" collapsedLevelsAreSubtotals="1" fieldPosition="0"/>
    </format>
    <format dxfId="1629">
      <pivotArea outline="0" collapsedLevelsAreSubtotals="1" fieldPosition="0">
        <references count="1">
          <reference field="4294967294" count="1" selected="0">
            <x v="16"/>
          </reference>
        </references>
      </pivotArea>
    </format>
    <format dxfId="1628">
      <pivotArea dataOnly="0" labelOnly="1" outline="0" fieldPosition="0">
        <references count="1">
          <reference field="4294967294" count="1">
            <x v="16"/>
          </reference>
        </references>
      </pivotArea>
    </format>
    <format dxfId="1627">
      <pivotArea outline="0" collapsedLevelsAreSubtotals="1" fieldPosition="0">
        <references count="1">
          <reference field="4294967294" count="1" selected="0">
            <x v="18"/>
          </reference>
        </references>
      </pivotArea>
    </format>
    <format dxfId="1626">
      <pivotArea dataOnly="0" labelOnly="1" outline="0" fieldPosition="0">
        <references count="1">
          <reference field="4294967294" count="1">
            <x v="18"/>
          </reference>
        </references>
      </pivotArea>
    </format>
    <format dxfId="1625">
      <pivotArea outline="0" collapsedLevelsAreSubtotals="1" fieldPosition="0">
        <references count="1">
          <reference field="4294967294" count="2" selected="0">
            <x v="16"/>
            <x v="17"/>
          </reference>
        </references>
      </pivotArea>
    </format>
    <format dxfId="1624">
      <pivotArea dataOnly="0" labelOnly="1" outline="0" fieldPosition="0">
        <references count="1">
          <reference field="4294967294" count="2">
            <x v="16"/>
            <x v="17"/>
          </reference>
        </references>
      </pivotArea>
    </format>
    <format dxfId="1623">
      <pivotArea outline="0" collapsedLevelsAreSubtotals="1" fieldPosition="0">
        <references count="1">
          <reference field="4294967294" count="2" selected="0">
            <x v="18"/>
            <x v="19"/>
          </reference>
        </references>
      </pivotArea>
    </format>
    <format dxfId="1622">
      <pivotArea dataOnly="0" labelOnly="1" outline="0" fieldPosition="0">
        <references count="1">
          <reference field="4294967294" count="2">
            <x v="18"/>
            <x v="19"/>
          </reference>
        </references>
      </pivotArea>
    </format>
    <format dxfId="1621">
      <pivotArea outline="0" collapsedLevelsAreSubtotals="1" fieldPosition="0">
        <references count="1">
          <reference field="4294967294" count="1" selected="0">
            <x v="20"/>
          </reference>
        </references>
      </pivotArea>
    </format>
    <format dxfId="1620">
      <pivotArea dataOnly="0" labelOnly="1" outline="0" fieldPosition="0">
        <references count="1">
          <reference field="4294967294" count="1">
            <x v="20"/>
          </reference>
        </references>
      </pivotArea>
    </format>
    <format dxfId="1619">
      <pivotArea dataOnly="0" outline="0" fieldPosition="0">
        <references count="1">
          <reference field="4294967294" count="1">
            <x v="22"/>
          </reference>
        </references>
      </pivotArea>
    </format>
    <format dxfId="1618">
      <pivotArea outline="0" collapsedLevelsAreSubtotals="1" fieldPosition="0">
        <references count="1">
          <reference field="4294967294" count="2" selected="0">
            <x v="20"/>
            <x v="21"/>
          </reference>
        </references>
      </pivotArea>
    </format>
    <format dxfId="1617">
      <pivotArea dataOnly="0" labelOnly="1" outline="0" fieldPosition="0">
        <references count="1">
          <reference field="4294967294" count="2">
            <x v="20"/>
            <x v="21"/>
          </reference>
        </references>
      </pivotArea>
    </format>
    <format dxfId="1616">
      <pivotArea dataOnly="0" outline="0" fieldPosition="0">
        <references count="1">
          <reference field="4294967294" count="2">
            <x v="22"/>
            <x v="23"/>
          </reference>
        </references>
      </pivotArea>
    </format>
    <format dxfId="1615">
      <pivotArea outline="0" collapsedLevelsAreSubtotals="1" fieldPosition="0">
        <references count="1">
          <reference field="4294967294" count="1" selected="0">
            <x v="24"/>
          </reference>
        </references>
      </pivotArea>
    </format>
    <format dxfId="1614">
      <pivotArea dataOnly="0" labelOnly="1" outline="0" fieldPosition="0">
        <references count="1">
          <reference field="4294967294" count="1">
            <x v="24"/>
          </reference>
        </references>
      </pivotArea>
    </format>
    <format dxfId="1613">
      <pivotArea outline="0" collapsedLevelsAreSubtotals="1" fieldPosition="0">
        <references count="1">
          <reference field="4294967294" count="1" selected="0">
            <x v="24"/>
          </reference>
        </references>
      </pivotArea>
    </format>
    <format dxfId="1612">
      <pivotArea dataOnly="0" labelOnly="1" outline="0" fieldPosition="0">
        <references count="1">
          <reference field="4294967294" count="1">
            <x v="24"/>
          </reference>
        </references>
      </pivotArea>
    </format>
    <format dxfId="1611">
      <pivotArea outline="0" collapsedLevelsAreSubtotals="1" fieldPosition="0">
        <references count="1">
          <reference field="4294967294" count="1" selected="0">
            <x v="26"/>
          </reference>
        </references>
      </pivotArea>
    </format>
    <format dxfId="1610">
      <pivotArea dataOnly="0" labelOnly="1" outline="0" fieldPosition="0">
        <references count="1">
          <reference field="4294967294" count="1">
            <x v="26"/>
          </reference>
        </references>
      </pivotArea>
    </format>
    <format dxfId="1609">
      <pivotArea outline="0" collapsedLevelsAreSubtotals="1" fieldPosition="0">
        <references count="1">
          <reference field="4294967294" count="2" selected="0">
            <x v="26"/>
            <x v="27"/>
          </reference>
        </references>
      </pivotArea>
    </format>
    <format dxfId="1608">
      <pivotArea dataOnly="0" labelOnly="1" outline="0" fieldPosition="0">
        <references count="1">
          <reference field="4294967294" count="2">
            <x v="26"/>
            <x v="27"/>
          </reference>
        </references>
      </pivotArea>
    </format>
    <format dxfId="1607">
      <pivotArea dataOnly="0" outline="0" fieldPosition="0">
        <references count="1">
          <reference field="4294967294" count="1">
            <x v="28"/>
          </reference>
        </references>
      </pivotArea>
    </format>
    <format dxfId="1606">
      <pivotArea outline="0" collapsedLevelsAreSubtotals="1" fieldPosition="0">
        <references count="1">
          <reference field="4294967294" count="2" selected="0">
            <x v="28"/>
            <x v="29"/>
          </reference>
        </references>
      </pivotArea>
    </format>
    <format dxfId="1605">
      <pivotArea dataOnly="0" labelOnly="1" outline="0" fieldPosition="0">
        <references count="1">
          <reference field="4294967294" count="2">
            <x v="28"/>
            <x v="29"/>
          </reference>
        </references>
      </pivotArea>
    </format>
    <format dxfId="1604">
      <pivotArea outline="0" collapsedLevelsAreSubtotals="1" fieldPosition="0">
        <references count="1">
          <reference field="4294967294" count="1" selected="0">
            <x v="30"/>
          </reference>
        </references>
      </pivotArea>
    </format>
    <format dxfId="1603">
      <pivotArea dataOnly="0" labelOnly="1" outline="0" fieldPosition="0">
        <references count="1">
          <reference field="4294967294" count="1">
            <x v="30"/>
          </reference>
        </references>
      </pivotArea>
    </format>
    <format dxfId="1602">
      <pivotArea outline="0" collapsedLevelsAreSubtotals="1" fieldPosition="0">
        <references count="1">
          <reference field="4294967294" count="2" selected="0">
            <x v="30"/>
            <x v="31"/>
          </reference>
        </references>
      </pivotArea>
    </format>
    <format dxfId="1601">
      <pivotArea dataOnly="0" labelOnly="1" outline="0" fieldPosition="0">
        <references count="1">
          <reference field="4294967294" count="2">
            <x v="30"/>
            <x v="31"/>
          </reference>
        </references>
      </pivotArea>
    </format>
    <format dxfId="1600">
      <pivotArea outline="0" collapsedLevelsAreSubtotals="1" fieldPosition="0">
        <references count="1">
          <reference field="4294967294" count="2" selected="0">
            <x v="26"/>
            <x v="27"/>
          </reference>
        </references>
      </pivotArea>
    </format>
    <format dxfId="1599">
      <pivotArea dataOnly="0" labelOnly="1" outline="0" fieldPosition="0">
        <references count="1">
          <reference field="4294967294" count="2">
            <x v="26"/>
            <x v="27"/>
          </reference>
        </references>
      </pivotArea>
    </format>
    <format dxfId="1598">
      <pivotArea outline="0" collapsedLevelsAreSubtotals="1" fieldPosition="0">
        <references count="1">
          <reference field="4294967294" count="1" selected="0">
            <x v="14"/>
          </reference>
        </references>
      </pivotArea>
    </format>
    <format dxfId="1597">
      <pivotArea dataOnly="0" labelOnly="1" outline="0" fieldPosition="0">
        <references count="1">
          <reference field="4294967294" count="1">
            <x v="14"/>
          </reference>
        </references>
      </pivotArea>
    </format>
    <format dxfId="1596">
      <pivotArea outline="0" collapsedLevelsAreSubtotals="1" fieldPosition="0">
        <references count="1">
          <reference field="4294967294" count="1" selected="0">
            <x v="32"/>
          </reference>
        </references>
      </pivotArea>
    </format>
    <format dxfId="1595">
      <pivotArea dataOnly="0" labelOnly="1" outline="0" fieldPosition="0">
        <references count="1">
          <reference field="4294967294" count="1">
            <x v="32"/>
          </reference>
        </references>
      </pivotArea>
    </format>
    <format dxfId="1594">
      <pivotArea outline="0" collapsedLevelsAreSubtotals="1" fieldPosition="0">
        <references count="1">
          <reference field="4294967294" count="2" selected="0">
            <x v="32"/>
            <x v="33"/>
          </reference>
        </references>
      </pivotArea>
    </format>
    <format dxfId="1593">
      <pivotArea dataOnly="0" labelOnly="1" outline="0" fieldPosition="0">
        <references count="1">
          <reference field="4294967294" count="2">
            <x v="32"/>
            <x v="33"/>
          </reference>
        </references>
      </pivotArea>
    </format>
    <format dxfId="1592">
      <pivotArea outline="0" collapsedLevelsAreSubtotals="1" fieldPosition="0">
        <references count="1">
          <reference field="4294967294" count="2" selected="0">
            <x v="34"/>
            <x v="35"/>
          </reference>
        </references>
      </pivotArea>
    </format>
    <format dxfId="1591">
      <pivotArea dataOnly="0" labelOnly="1" outline="0" fieldPosition="0">
        <references count="1">
          <reference field="4294967294" count="2">
            <x v="34"/>
            <x v="35"/>
          </reference>
        </references>
      </pivotArea>
    </format>
    <format dxfId="1590">
      <pivotArea outline="0" collapsedLevelsAreSubtotals="1" fieldPosition="0">
        <references count="1">
          <reference field="4294967294" count="1" selected="0">
            <x v="34"/>
          </reference>
        </references>
      </pivotArea>
    </format>
    <format dxfId="1589">
      <pivotArea dataOnly="0" labelOnly="1" outline="0" fieldPosition="0">
        <references count="1">
          <reference field="4294967294" count="1">
            <x v="34"/>
          </reference>
        </references>
      </pivotArea>
    </format>
    <format dxfId="1588">
      <pivotArea outline="0" collapsedLevelsAreSubtotals="1" fieldPosition="0">
        <references count="1">
          <reference field="4294967294" count="2" selected="0">
            <x v="34"/>
            <x v="35"/>
          </reference>
        </references>
      </pivotArea>
    </format>
    <format dxfId="1587">
      <pivotArea dataOnly="0" labelOnly="1" outline="0" fieldPosition="0">
        <references count="1">
          <reference field="4294967294" count="2">
            <x v="34"/>
            <x v="35"/>
          </reference>
        </references>
      </pivotArea>
    </format>
    <format dxfId="1586">
      <pivotArea outline="0" collapsedLevelsAreSubtotals="1" fieldPosition="0">
        <references count="1">
          <reference field="4294967294" count="1" selected="0">
            <x v="34"/>
          </reference>
        </references>
      </pivotArea>
    </format>
    <format dxfId="1585">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3" level="1">
        <member name="[Range 1].[Type].&amp;[12]"/>
        <member name="[Range 1].[Type].&amp;[13]"/>
        <member name="[Range 1].[Type].&amp;[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C4B654C-48BE-4968-9E76-48E0FB72E3E3}" name="PivotTable15" cacheId="977"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rowHeaderCaption="State &amp; Cat">
  <location ref="A78:AK93" firstHeaderRow="0" firstDataRow="1" firstDataCol="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includeNewItemsInFilter="1" dataSourceSort="1" defaultSubtotal="0" defaultAttributeDrillState="1">
      <items count="14">
        <item x="0"/>
        <item x="1"/>
        <item x="2"/>
        <item x="3"/>
        <item x="4"/>
        <item x="5"/>
        <item x="6"/>
        <item x="7"/>
        <item x="8"/>
        <item x="9"/>
        <item x="10"/>
        <item x="11"/>
        <item x="12"/>
        <item x="13"/>
      </items>
    </pivotField>
  </pivotFields>
  <rowFields count="1">
    <field x="37"/>
  </rowFields>
  <rowItems count="15">
    <i>
      <x/>
    </i>
    <i>
      <x v="1"/>
    </i>
    <i>
      <x v="2"/>
    </i>
    <i>
      <x v="3"/>
    </i>
    <i>
      <x v="4"/>
    </i>
    <i>
      <x v="5"/>
    </i>
    <i>
      <x v="6"/>
    </i>
    <i>
      <x v="7"/>
    </i>
    <i>
      <x v="8"/>
    </i>
    <i>
      <x v="9"/>
    </i>
    <i>
      <x v="10"/>
    </i>
    <i>
      <x v="11"/>
    </i>
    <i>
      <x v="12"/>
    </i>
    <i>
      <x v="13"/>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734">
      <pivotArea outline="0" collapsedLevelsAreSubtotals="1" fieldPosition="0">
        <references count="1">
          <reference field="4294967294" count="1" selected="0">
            <x v="0"/>
          </reference>
        </references>
      </pivotArea>
    </format>
    <format dxfId="1733">
      <pivotArea dataOnly="0" labelOnly="1" outline="0" fieldPosition="0">
        <references count="1">
          <reference field="4294967294" count="1">
            <x v="0"/>
          </reference>
        </references>
      </pivotArea>
    </format>
    <format dxfId="1732">
      <pivotArea outline="0" collapsedLevelsAreSubtotals="1" fieldPosition="0">
        <references count="1">
          <reference field="4294967294" count="1" selected="0">
            <x v="2"/>
          </reference>
        </references>
      </pivotArea>
    </format>
    <format dxfId="1731">
      <pivotArea dataOnly="0" labelOnly="1" outline="0" fieldPosition="0">
        <references count="1">
          <reference field="4294967294" count="1">
            <x v="2"/>
          </reference>
        </references>
      </pivotArea>
    </format>
    <format dxfId="1730">
      <pivotArea outline="0" collapsedLevelsAreSubtotals="1" fieldPosition="0">
        <references count="1">
          <reference field="4294967294" count="1" selected="0">
            <x v="4"/>
          </reference>
        </references>
      </pivotArea>
    </format>
    <format dxfId="1729">
      <pivotArea dataOnly="0" labelOnly="1" outline="0" fieldPosition="0">
        <references count="1">
          <reference field="4294967294" count="1">
            <x v="4"/>
          </reference>
        </references>
      </pivotArea>
    </format>
    <format dxfId="1728">
      <pivotArea outline="0" collapsedLevelsAreSubtotals="1" fieldPosition="0">
        <references count="1">
          <reference field="4294967294" count="1" selected="0">
            <x v="2"/>
          </reference>
        </references>
      </pivotArea>
    </format>
    <format dxfId="1727">
      <pivotArea outline="0" collapsedLevelsAreSubtotals="1" fieldPosition="0">
        <references count="1">
          <reference field="4294967294" count="1" selected="0">
            <x v="6"/>
          </reference>
        </references>
      </pivotArea>
    </format>
    <format dxfId="1726">
      <pivotArea dataOnly="0" labelOnly="1" outline="0" fieldPosition="0">
        <references count="1">
          <reference field="4294967294" count="1">
            <x v="6"/>
          </reference>
        </references>
      </pivotArea>
    </format>
    <format dxfId="1725">
      <pivotArea outline="0" collapsedLevelsAreSubtotals="1" fieldPosition="0">
        <references count="1">
          <reference field="4294967294" count="1" selected="0">
            <x v="8"/>
          </reference>
        </references>
      </pivotArea>
    </format>
    <format dxfId="1724">
      <pivotArea dataOnly="0" labelOnly="1" outline="0" fieldPosition="0">
        <references count="1">
          <reference field="4294967294" count="1">
            <x v="8"/>
          </reference>
        </references>
      </pivotArea>
    </format>
    <format dxfId="1723">
      <pivotArea outline="0" collapsedLevelsAreSubtotals="1" fieldPosition="0">
        <references count="1">
          <reference field="4294967294" count="1" selected="0">
            <x v="10"/>
          </reference>
        </references>
      </pivotArea>
    </format>
    <format dxfId="1722">
      <pivotArea dataOnly="0" labelOnly="1" outline="0" fieldPosition="0">
        <references count="1">
          <reference field="4294967294" count="1">
            <x v="10"/>
          </reference>
        </references>
      </pivotArea>
    </format>
    <format dxfId="1721">
      <pivotArea outline="0" collapsedLevelsAreSubtotals="1" fieldPosition="0">
        <references count="1">
          <reference field="4294967294" count="2" selected="0">
            <x v="0"/>
            <x v="1"/>
          </reference>
        </references>
      </pivotArea>
    </format>
    <format dxfId="1720">
      <pivotArea dataOnly="0" labelOnly="1" outline="0" fieldPosition="0">
        <references count="1">
          <reference field="4294967294" count="2">
            <x v="0"/>
            <x v="1"/>
          </reference>
        </references>
      </pivotArea>
    </format>
    <format dxfId="1719">
      <pivotArea outline="0" collapsedLevelsAreSubtotals="1" fieldPosition="0">
        <references count="1">
          <reference field="4294967294" count="2" selected="0">
            <x v="2"/>
            <x v="3"/>
          </reference>
        </references>
      </pivotArea>
    </format>
    <format dxfId="1718">
      <pivotArea dataOnly="0" labelOnly="1" outline="0" fieldPosition="0">
        <references count="1">
          <reference field="4294967294" count="2">
            <x v="2"/>
            <x v="3"/>
          </reference>
        </references>
      </pivotArea>
    </format>
    <format dxfId="1717">
      <pivotArea outline="0" collapsedLevelsAreSubtotals="1" fieldPosition="0">
        <references count="1">
          <reference field="4294967294" count="2" selected="0">
            <x v="4"/>
            <x v="5"/>
          </reference>
        </references>
      </pivotArea>
    </format>
    <format dxfId="1716">
      <pivotArea dataOnly="0" labelOnly="1" outline="0" fieldPosition="0">
        <references count="1">
          <reference field="4294967294" count="2">
            <x v="4"/>
            <x v="5"/>
          </reference>
        </references>
      </pivotArea>
    </format>
    <format dxfId="1715">
      <pivotArea outline="0" collapsedLevelsAreSubtotals="1" fieldPosition="0">
        <references count="1">
          <reference field="4294967294" count="2" selected="0">
            <x v="6"/>
            <x v="7"/>
          </reference>
        </references>
      </pivotArea>
    </format>
    <format dxfId="1714">
      <pivotArea dataOnly="0" labelOnly="1" outline="0" fieldPosition="0">
        <references count="1">
          <reference field="4294967294" count="2">
            <x v="6"/>
            <x v="7"/>
          </reference>
        </references>
      </pivotArea>
    </format>
    <format dxfId="1713">
      <pivotArea outline="0" collapsedLevelsAreSubtotals="1" fieldPosition="0">
        <references count="1">
          <reference field="4294967294" count="2" selected="0">
            <x v="8"/>
            <x v="9"/>
          </reference>
        </references>
      </pivotArea>
    </format>
    <format dxfId="1712">
      <pivotArea dataOnly="0" labelOnly="1" outline="0" fieldPosition="0">
        <references count="1">
          <reference field="4294967294" count="2">
            <x v="8"/>
            <x v="9"/>
          </reference>
        </references>
      </pivotArea>
    </format>
    <format dxfId="1711">
      <pivotArea outline="0" collapsedLevelsAreSubtotals="1" fieldPosition="0">
        <references count="1">
          <reference field="4294967294" count="2" selected="0">
            <x v="10"/>
            <x v="11"/>
          </reference>
        </references>
      </pivotArea>
    </format>
    <format dxfId="1710">
      <pivotArea dataOnly="0" labelOnly="1" outline="0" fieldPosition="0">
        <references count="1">
          <reference field="4294967294" count="2">
            <x v="10"/>
            <x v="11"/>
          </reference>
        </references>
      </pivotArea>
    </format>
    <format dxfId="1709">
      <pivotArea outline="0" collapsedLevelsAreSubtotals="1" fieldPosition="0">
        <references count="1">
          <reference field="4294967294" count="1" selected="0">
            <x v="12"/>
          </reference>
        </references>
      </pivotArea>
    </format>
    <format dxfId="1708">
      <pivotArea dataOnly="0" labelOnly="1" outline="0" fieldPosition="0">
        <references count="1">
          <reference field="4294967294" count="1">
            <x v="12"/>
          </reference>
        </references>
      </pivotArea>
    </format>
    <format dxfId="1707">
      <pivotArea outline="0" collapsedLevelsAreSubtotals="1" fieldPosition="0">
        <references count="1">
          <reference field="4294967294" count="2" selected="0">
            <x v="12"/>
            <x v="13"/>
          </reference>
        </references>
      </pivotArea>
    </format>
    <format dxfId="1706">
      <pivotArea dataOnly="0" labelOnly="1" outline="0" fieldPosition="0">
        <references count="1">
          <reference field="4294967294" count="2">
            <x v="12"/>
            <x v="13"/>
          </reference>
        </references>
      </pivotArea>
    </format>
    <format dxfId="1705">
      <pivotArea outline="0" collapsedLevelsAreSubtotals="1" fieldPosition="0"/>
    </format>
    <format dxfId="1704">
      <pivotArea outline="0" collapsedLevelsAreSubtotals="1" fieldPosition="0">
        <references count="1">
          <reference field="4294967294" count="1" selected="0">
            <x v="16"/>
          </reference>
        </references>
      </pivotArea>
    </format>
    <format dxfId="1703">
      <pivotArea dataOnly="0" labelOnly="1" outline="0" fieldPosition="0">
        <references count="1">
          <reference field="4294967294" count="1">
            <x v="16"/>
          </reference>
        </references>
      </pivotArea>
    </format>
    <format dxfId="1702">
      <pivotArea outline="0" collapsedLevelsAreSubtotals="1" fieldPosition="0">
        <references count="1">
          <reference field="4294967294" count="1" selected="0">
            <x v="18"/>
          </reference>
        </references>
      </pivotArea>
    </format>
    <format dxfId="1701">
      <pivotArea dataOnly="0" labelOnly="1" outline="0" fieldPosition="0">
        <references count="1">
          <reference field="4294967294" count="1">
            <x v="18"/>
          </reference>
        </references>
      </pivotArea>
    </format>
    <format dxfId="1700">
      <pivotArea outline="0" collapsedLevelsAreSubtotals="1" fieldPosition="0">
        <references count="1">
          <reference field="4294967294" count="2" selected="0">
            <x v="16"/>
            <x v="17"/>
          </reference>
        </references>
      </pivotArea>
    </format>
    <format dxfId="1699">
      <pivotArea dataOnly="0" labelOnly="1" outline="0" fieldPosition="0">
        <references count="1">
          <reference field="4294967294" count="2">
            <x v="16"/>
            <x v="17"/>
          </reference>
        </references>
      </pivotArea>
    </format>
    <format dxfId="1698">
      <pivotArea outline="0" collapsedLevelsAreSubtotals="1" fieldPosition="0">
        <references count="1">
          <reference field="4294967294" count="2" selected="0">
            <x v="18"/>
            <x v="19"/>
          </reference>
        </references>
      </pivotArea>
    </format>
    <format dxfId="1697">
      <pivotArea dataOnly="0" labelOnly="1" outline="0" fieldPosition="0">
        <references count="1">
          <reference field="4294967294" count="2">
            <x v="18"/>
            <x v="19"/>
          </reference>
        </references>
      </pivotArea>
    </format>
    <format dxfId="1696">
      <pivotArea outline="0" collapsedLevelsAreSubtotals="1" fieldPosition="0">
        <references count="1">
          <reference field="4294967294" count="1" selected="0">
            <x v="20"/>
          </reference>
        </references>
      </pivotArea>
    </format>
    <format dxfId="1695">
      <pivotArea dataOnly="0" labelOnly="1" outline="0" fieldPosition="0">
        <references count="1">
          <reference field="4294967294" count="1">
            <x v="20"/>
          </reference>
        </references>
      </pivotArea>
    </format>
    <format dxfId="1694">
      <pivotArea dataOnly="0" outline="0" fieldPosition="0">
        <references count="1">
          <reference field="4294967294" count="1">
            <x v="22"/>
          </reference>
        </references>
      </pivotArea>
    </format>
    <format dxfId="1693">
      <pivotArea outline="0" collapsedLevelsAreSubtotals="1" fieldPosition="0">
        <references count="1">
          <reference field="4294967294" count="2" selected="0">
            <x v="20"/>
            <x v="21"/>
          </reference>
        </references>
      </pivotArea>
    </format>
    <format dxfId="1692">
      <pivotArea dataOnly="0" labelOnly="1" outline="0" fieldPosition="0">
        <references count="1">
          <reference field="4294967294" count="2">
            <x v="20"/>
            <x v="21"/>
          </reference>
        </references>
      </pivotArea>
    </format>
    <format dxfId="1691">
      <pivotArea dataOnly="0" outline="0" fieldPosition="0">
        <references count="1">
          <reference field="4294967294" count="2">
            <x v="22"/>
            <x v="23"/>
          </reference>
        </references>
      </pivotArea>
    </format>
    <format dxfId="1690">
      <pivotArea outline="0" collapsedLevelsAreSubtotals="1" fieldPosition="0">
        <references count="1">
          <reference field="4294967294" count="1" selected="0">
            <x v="24"/>
          </reference>
        </references>
      </pivotArea>
    </format>
    <format dxfId="1689">
      <pivotArea dataOnly="0" labelOnly="1" outline="0" fieldPosition="0">
        <references count="1">
          <reference field="4294967294" count="1">
            <x v="24"/>
          </reference>
        </references>
      </pivotArea>
    </format>
    <format dxfId="1688">
      <pivotArea outline="0" collapsedLevelsAreSubtotals="1" fieldPosition="0">
        <references count="1">
          <reference field="4294967294" count="1" selected="0">
            <x v="24"/>
          </reference>
        </references>
      </pivotArea>
    </format>
    <format dxfId="1687">
      <pivotArea dataOnly="0" labelOnly="1" outline="0" fieldPosition="0">
        <references count="1">
          <reference field="4294967294" count="1">
            <x v="24"/>
          </reference>
        </references>
      </pivotArea>
    </format>
    <format dxfId="1686">
      <pivotArea outline="0" collapsedLevelsAreSubtotals="1" fieldPosition="0">
        <references count="1">
          <reference field="4294967294" count="1" selected="0">
            <x v="26"/>
          </reference>
        </references>
      </pivotArea>
    </format>
    <format dxfId="1685">
      <pivotArea dataOnly="0" labelOnly="1" outline="0" fieldPosition="0">
        <references count="1">
          <reference field="4294967294" count="1">
            <x v="26"/>
          </reference>
        </references>
      </pivotArea>
    </format>
    <format dxfId="1684">
      <pivotArea outline="0" collapsedLevelsAreSubtotals="1" fieldPosition="0">
        <references count="1">
          <reference field="4294967294" count="2" selected="0">
            <x v="26"/>
            <x v="27"/>
          </reference>
        </references>
      </pivotArea>
    </format>
    <format dxfId="1683">
      <pivotArea dataOnly="0" labelOnly="1" outline="0" fieldPosition="0">
        <references count="1">
          <reference field="4294967294" count="2">
            <x v="26"/>
            <x v="27"/>
          </reference>
        </references>
      </pivotArea>
    </format>
    <format dxfId="1682">
      <pivotArea dataOnly="0" outline="0" fieldPosition="0">
        <references count="1">
          <reference field="4294967294" count="1">
            <x v="28"/>
          </reference>
        </references>
      </pivotArea>
    </format>
    <format dxfId="1681">
      <pivotArea outline="0" collapsedLevelsAreSubtotals="1" fieldPosition="0">
        <references count="1">
          <reference field="4294967294" count="2" selected="0">
            <x v="28"/>
            <x v="29"/>
          </reference>
        </references>
      </pivotArea>
    </format>
    <format dxfId="1680">
      <pivotArea dataOnly="0" labelOnly="1" outline="0" fieldPosition="0">
        <references count="1">
          <reference field="4294967294" count="2">
            <x v="28"/>
            <x v="29"/>
          </reference>
        </references>
      </pivotArea>
    </format>
    <format dxfId="1679">
      <pivotArea outline="0" collapsedLevelsAreSubtotals="1" fieldPosition="0">
        <references count="1">
          <reference field="4294967294" count="1" selected="0">
            <x v="30"/>
          </reference>
        </references>
      </pivotArea>
    </format>
    <format dxfId="1678">
      <pivotArea dataOnly="0" labelOnly="1" outline="0" fieldPosition="0">
        <references count="1">
          <reference field="4294967294" count="1">
            <x v="30"/>
          </reference>
        </references>
      </pivotArea>
    </format>
    <format dxfId="1677">
      <pivotArea outline="0" collapsedLevelsAreSubtotals="1" fieldPosition="0">
        <references count="1">
          <reference field="4294967294" count="2" selected="0">
            <x v="30"/>
            <x v="31"/>
          </reference>
        </references>
      </pivotArea>
    </format>
    <format dxfId="1676">
      <pivotArea dataOnly="0" labelOnly="1" outline="0" fieldPosition="0">
        <references count="1">
          <reference field="4294967294" count="2">
            <x v="30"/>
            <x v="31"/>
          </reference>
        </references>
      </pivotArea>
    </format>
    <format dxfId="1675">
      <pivotArea outline="0" collapsedLevelsAreSubtotals="1" fieldPosition="0">
        <references count="1">
          <reference field="4294967294" count="2" selected="0">
            <x v="26"/>
            <x v="27"/>
          </reference>
        </references>
      </pivotArea>
    </format>
    <format dxfId="1674">
      <pivotArea dataOnly="0" labelOnly="1" outline="0" fieldPosition="0">
        <references count="1">
          <reference field="4294967294" count="2">
            <x v="26"/>
            <x v="27"/>
          </reference>
        </references>
      </pivotArea>
    </format>
    <format dxfId="1673">
      <pivotArea outline="0" collapsedLevelsAreSubtotals="1" fieldPosition="0">
        <references count="1">
          <reference field="4294967294" count="1" selected="0">
            <x v="14"/>
          </reference>
        </references>
      </pivotArea>
    </format>
    <format dxfId="1672">
      <pivotArea dataOnly="0" labelOnly="1" outline="0" fieldPosition="0">
        <references count="1">
          <reference field="4294967294" count="1">
            <x v="14"/>
          </reference>
        </references>
      </pivotArea>
    </format>
    <format dxfId="1671">
      <pivotArea outline="0" collapsedLevelsAreSubtotals="1" fieldPosition="0">
        <references count="1">
          <reference field="4294967294" count="1" selected="0">
            <x v="32"/>
          </reference>
        </references>
      </pivotArea>
    </format>
    <format dxfId="1670">
      <pivotArea dataOnly="0" labelOnly="1" outline="0" fieldPosition="0">
        <references count="1">
          <reference field="4294967294" count="1">
            <x v="32"/>
          </reference>
        </references>
      </pivotArea>
    </format>
    <format dxfId="1669">
      <pivotArea outline="0" collapsedLevelsAreSubtotals="1" fieldPosition="0">
        <references count="1">
          <reference field="4294967294" count="2" selected="0">
            <x v="32"/>
            <x v="33"/>
          </reference>
        </references>
      </pivotArea>
    </format>
    <format dxfId="1668">
      <pivotArea dataOnly="0" labelOnly="1" outline="0" fieldPosition="0">
        <references count="1">
          <reference field="4294967294" count="2">
            <x v="32"/>
            <x v="33"/>
          </reference>
        </references>
      </pivotArea>
    </format>
    <format dxfId="1667">
      <pivotArea outline="0" collapsedLevelsAreSubtotals="1" fieldPosition="0">
        <references count="1">
          <reference field="4294967294" count="2" selected="0">
            <x v="34"/>
            <x v="35"/>
          </reference>
        </references>
      </pivotArea>
    </format>
    <format dxfId="1666">
      <pivotArea dataOnly="0" labelOnly="1" outline="0" fieldPosition="0">
        <references count="1">
          <reference field="4294967294" count="2">
            <x v="34"/>
            <x v="35"/>
          </reference>
        </references>
      </pivotArea>
    </format>
    <format dxfId="1665">
      <pivotArea outline="0" collapsedLevelsAreSubtotals="1" fieldPosition="0">
        <references count="1">
          <reference field="4294967294" count="1" selected="0">
            <x v="34"/>
          </reference>
        </references>
      </pivotArea>
    </format>
    <format dxfId="1664">
      <pivotArea dataOnly="0" labelOnly="1" outline="0" fieldPosition="0">
        <references count="1">
          <reference field="4294967294" count="1">
            <x v="34"/>
          </reference>
        </references>
      </pivotArea>
    </format>
    <format dxfId="1663">
      <pivotArea outline="0" collapsedLevelsAreSubtotals="1" fieldPosition="0">
        <references count="1">
          <reference field="4294967294" count="2" selected="0">
            <x v="34"/>
            <x v="35"/>
          </reference>
        </references>
      </pivotArea>
    </format>
    <format dxfId="1662">
      <pivotArea dataOnly="0" labelOnly="1" outline="0" fieldPosition="0">
        <references count="1">
          <reference field="4294967294" count="2">
            <x v="34"/>
            <x v="35"/>
          </reference>
        </references>
      </pivotArea>
    </format>
    <format dxfId="1661">
      <pivotArea outline="0" collapsedLevelsAreSubtotals="1" fieldPosition="0">
        <references count="1">
          <reference field="4294967294" count="1" selected="0">
            <x v="34"/>
          </reference>
        </references>
      </pivotArea>
    </format>
    <format dxfId="1660">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includeNewItemsInFilter="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9EA5FD0-9683-4B40-AB11-81D12563EB1F}" name="PivotTable3" cacheId="98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110:AJ111" firstHeaderRow="0" firstDataRow="1" firstDataCol="0"/>
  <pivotFields count="37">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809">
      <pivotArea outline="0" collapsedLevelsAreSubtotals="1" fieldPosition="0">
        <references count="1">
          <reference field="4294967294" count="1" selected="0">
            <x v="0"/>
          </reference>
        </references>
      </pivotArea>
    </format>
    <format dxfId="1808">
      <pivotArea dataOnly="0" labelOnly="1" outline="0" fieldPosition="0">
        <references count="1">
          <reference field="4294967294" count="1">
            <x v="0"/>
          </reference>
        </references>
      </pivotArea>
    </format>
    <format dxfId="1807">
      <pivotArea outline="0" collapsedLevelsAreSubtotals="1" fieldPosition="0">
        <references count="1">
          <reference field="4294967294" count="1" selected="0">
            <x v="2"/>
          </reference>
        </references>
      </pivotArea>
    </format>
    <format dxfId="1806">
      <pivotArea dataOnly="0" labelOnly="1" outline="0" fieldPosition="0">
        <references count="1">
          <reference field="4294967294" count="1">
            <x v="2"/>
          </reference>
        </references>
      </pivotArea>
    </format>
    <format dxfId="1805">
      <pivotArea outline="0" collapsedLevelsAreSubtotals="1" fieldPosition="0">
        <references count="1">
          <reference field="4294967294" count="1" selected="0">
            <x v="4"/>
          </reference>
        </references>
      </pivotArea>
    </format>
    <format dxfId="1804">
      <pivotArea dataOnly="0" labelOnly="1" outline="0" fieldPosition="0">
        <references count="1">
          <reference field="4294967294" count="1">
            <x v="4"/>
          </reference>
        </references>
      </pivotArea>
    </format>
    <format dxfId="1803">
      <pivotArea outline="0" collapsedLevelsAreSubtotals="1" fieldPosition="0">
        <references count="1">
          <reference field="4294967294" count="1" selected="0">
            <x v="2"/>
          </reference>
        </references>
      </pivotArea>
    </format>
    <format dxfId="1802">
      <pivotArea outline="0" collapsedLevelsAreSubtotals="1" fieldPosition="0">
        <references count="1">
          <reference field="4294967294" count="1" selected="0">
            <x v="6"/>
          </reference>
        </references>
      </pivotArea>
    </format>
    <format dxfId="1801">
      <pivotArea dataOnly="0" labelOnly="1" outline="0" fieldPosition="0">
        <references count="1">
          <reference field="4294967294" count="1">
            <x v="6"/>
          </reference>
        </references>
      </pivotArea>
    </format>
    <format dxfId="1800">
      <pivotArea outline="0" collapsedLevelsAreSubtotals="1" fieldPosition="0">
        <references count="1">
          <reference field="4294967294" count="1" selected="0">
            <x v="8"/>
          </reference>
        </references>
      </pivotArea>
    </format>
    <format dxfId="1799">
      <pivotArea dataOnly="0" labelOnly="1" outline="0" fieldPosition="0">
        <references count="1">
          <reference field="4294967294" count="1">
            <x v="8"/>
          </reference>
        </references>
      </pivotArea>
    </format>
    <format dxfId="1798">
      <pivotArea outline="0" collapsedLevelsAreSubtotals="1" fieldPosition="0">
        <references count="1">
          <reference field="4294967294" count="1" selected="0">
            <x v="10"/>
          </reference>
        </references>
      </pivotArea>
    </format>
    <format dxfId="1797">
      <pivotArea dataOnly="0" labelOnly="1" outline="0" fieldPosition="0">
        <references count="1">
          <reference field="4294967294" count="1">
            <x v="10"/>
          </reference>
        </references>
      </pivotArea>
    </format>
    <format dxfId="1796">
      <pivotArea outline="0" collapsedLevelsAreSubtotals="1" fieldPosition="0">
        <references count="1">
          <reference field="4294967294" count="2" selected="0">
            <x v="0"/>
            <x v="1"/>
          </reference>
        </references>
      </pivotArea>
    </format>
    <format dxfId="1795">
      <pivotArea dataOnly="0" labelOnly="1" outline="0" fieldPosition="0">
        <references count="1">
          <reference field="4294967294" count="2">
            <x v="0"/>
            <x v="1"/>
          </reference>
        </references>
      </pivotArea>
    </format>
    <format dxfId="1794">
      <pivotArea outline="0" collapsedLevelsAreSubtotals="1" fieldPosition="0">
        <references count="1">
          <reference field="4294967294" count="2" selected="0">
            <x v="2"/>
            <x v="3"/>
          </reference>
        </references>
      </pivotArea>
    </format>
    <format dxfId="1793">
      <pivotArea dataOnly="0" labelOnly="1" outline="0" fieldPosition="0">
        <references count="1">
          <reference field="4294967294" count="2">
            <x v="2"/>
            <x v="3"/>
          </reference>
        </references>
      </pivotArea>
    </format>
    <format dxfId="1792">
      <pivotArea outline="0" collapsedLevelsAreSubtotals="1" fieldPosition="0">
        <references count="1">
          <reference field="4294967294" count="2" selected="0">
            <x v="4"/>
            <x v="5"/>
          </reference>
        </references>
      </pivotArea>
    </format>
    <format dxfId="1791">
      <pivotArea dataOnly="0" labelOnly="1" outline="0" fieldPosition="0">
        <references count="1">
          <reference field="4294967294" count="2">
            <x v="4"/>
            <x v="5"/>
          </reference>
        </references>
      </pivotArea>
    </format>
    <format dxfId="1790">
      <pivotArea outline="0" collapsedLevelsAreSubtotals="1" fieldPosition="0">
        <references count="1">
          <reference field="4294967294" count="2" selected="0">
            <x v="6"/>
            <x v="7"/>
          </reference>
        </references>
      </pivotArea>
    </format>
    <format dxfId="1789">
      <pivotArea dataOnly="0" labelOnly="1" outline="0" fieldPosition="0">
        <references count="1">
          <reference field="4294967294" count="2">
            <x v="6"/>
            <x v="7"/>
          </reference>
        </references>
      </pivotArea>
    </format>
    <format dxfId="1788">
      <pivotArea outline="0" collapsedLevelsAreSubtotals="1" fieldPosition="0">
        <references count="1">
          <reference field="4294967294" count="2" selected="0">
            <x v="8"/>
            <x v="9"/>
          </reference>
        </references>
      </pivotArea>
    </format>
    <format dxfId="1787">
      <pivotArea dataOnly="0" labelOnly="1" outline="0" fieldPosition="0">
        <references count="1">
          <reference field="4294967294" count="2">
            <x v="8"/>
            <x v="9"/>
          </reference>
        </references>
      </pivotArea>
    </format>
    <format dxfId="1786">
      <pivotArea outline="0" collapsedLevelsAreSubtotals="1" fieldPosition="0">
        <references count="1">
          <reference field="4294967294" count="2" selected="0">
            <x v="10"/>
            <x v="11"/>
          </reference>
        </references>
      </pivotArea>
    </format>
    <format dxfId="1785">
      <pivotArea dataOnly="0" labelOnly="1" outline="0" fieldPosition="0">
        <references count="1">
          <reference field="4294967294" count="2">
            <x v="10"/>
            <x v="11"/>
          </reference>
        </references>
      </pivotArea>
    </format>
    <format dxfId="1784">
      <pivotArea outline="0" collapsedLevelsAreSubtotals="1" fieldPosition="0">
        <references count="1">
          <reference field="4294967294" count="1" selected="0">
            <x v="12"/>
          </reference>
        </references>
      </pivotArea>
    </format>
    <format dxfId="1783">
      <pivotArea dataOnly="0" labelOnly="1" outline="0" fieldPosition="0">
        <references count="1">
          <reference field="4294967294" count="1">
            <x v="12"/>
          </reference>
        </references>
      </pivotArea>
    </format>
    <format dxfId="1782">
      <pivotArea outline="0" collapsedLevelsAreSubtotals="1" fieldPosition="0">
        <references count="1">
          <reference field="4294967294" count="2" selected="0">
            <x v="12"/>
            <x v="13"/>
          </reference>
        </references>
      </pivotArea>
    </format>
    <format dxfId="1781">
      <pivotArea dataOnly="0" labelOnly="1" outline="0" fieldPosition="0">
        <references count="1">
          <reference field="4294967294" count="2">
            <x v="12"/>
            <x v="13"/>
          </reference>
        </references>
      </pivotArea>
    </format>
    <format dxfId="1780">
      <pivotArea outline="0" collapsedLevelsAreSubtotals="1" fieldPosition="0"/>
    </format>
    <format dxfId="1779">
      <pivotArea outline="0" collapsedLevelsAreSubtotals="1" fieldPosition="0">
        <references count="1">
          <reference field="4294967294" count="1" selected="0">
            <x v="16"/>
          </reference>
        </references>
      </pivotArea>
    </format>
    <format dxfId="1778">
      <pivotArea dataOnly="0" labelOnly="1" outline="0" fieldPosition="0">
        <references count="1">
          <reference field="4294967294" count="1">
            <x v="16"/>
          </reference>
        </references>
      </pivotArea>
    </format>
    <format dxfId="1777">
      <pivotArea outline="0" collapsedLevelsAreSubtotals="1" fieldPosition="0">
        <references count="1">
          <reference field="4294967294" count="1" selected="0">
            <x v="18"/>
          </reference>
        </references>
      </pivotArea>
    </format>
    <format dxfId="1776">
      <pivotArea dataOnly="0" labelOnly="1" outline="0" fieldPosition="0">
        <references count="1">
          <reference field="4294967294" count="1">
            <x v="18"/>
          </reference>
        </references>
      </pivotArea>
    </format>
    <format dxfId="1775">
      <pivotArea outline="0" collapsedLevelsAreSubtotals="1" fieldPosition="0">
        <references count="1">
          <reference field="4294967294" count="2" selected="0">
            <x v="16"/>
            <x v="17"/>
          </reference>
        </references>
      </pivotArea>
    </format>
    <format dxfId="1774">
      <pivotArea dataOnly="0" labelOnly="1" outline="0" fieldPosition="0">
        <references count="1">
          <reference field="4294967294" count="2">
            <x v="16"/>
            <x v="17"/>
          </reference>
        </references>
      </pivotArea>
    </format>
    <format dxfId="1773">
      <pivotArea outline="0" collapsedLevelsAreSubtotals="1" fieldPosition="0">
        <references count="1">
          <reference field="4294967294" count="2" selected="0">
            <x v="18"/>
            <x v="19"/>
          </reference>
        </references>
      </pivotArea>
    </format>
    <format dxfId="1772">
      <pivotArea dataOnly="0" labelOnly="1" outline="0" fieldPosition="0">
        <references count="1">
          <reference field="4294967294" count="2">
            <x v="18"/>
            <x v="19"/>
          </reference>
        </references>
      </pivotArea>
    </format>
    <format dxfId="1771">
      <pivotArea outline="0" collapsedLevelsAreSubtotals="1" fieldPosition="0">
        <references count="1">
          <reference field="4294967294" count="1" selected="0">
            <x v="20"/>
          </reference>
        </references>
      </pivotArea>
    </format>
    <format dxfId="1770">
      <pivotArea dataOnly="0" labelOnly="1" outline="0" fieldPosition="0">
        <references count="1">
          <reference field="4294967294" count="1">
            <x v="20"/>
          </reference>
        </references>
      </pivotArea>
    </format>
    <format dxfId="1769">
      <pivotArea dataOnly="0" outline="0" fieldPosition="0">
        <references count="1">
          <reference field="4294967294" count="1">
            <x v="22"/>
          </reference>
        </references>
      </pivotArea>
    </format>
    <format dxfId="1768">
      <pivotArea outline="0" collapsedLevelsAreSubtotals="1" fieldPosition="0">
        <references count="1">
          <reference field="4294967294" count="2" selected="0">
            <x v="20"/>
            <x v="21"/>
          </reference>
        </references>
      </pivotArea>
    </format>
    <format dxfId="1767">
      <pivotArea dataOnly="0" labelOnly="1" outline="0" fieldPosition="0">
        <references count="1">
          <reference field="4294967294" count="2">
            <x v="20"/>
            <x v="21"/>
          </reference>
        </references>
      </pivotArea>
    </format>
    <format dxfId="1766">
      <pivotArea dataOnly="0" outline="0" fieldPosition="0">
        <references count="1">
          <reference field="4294967294" count="2">
            <x v="22"/>
            <x v="23"/>
          </reference>
        </references>
      </pivotArea>
    </format>
    <format dxfId="1765">
      <pivotArea outline="0" collapsedLevelsAreSubtotals="1" fieldPosition="0">
        <references count="1">
          <reference field="4294967294" count="1" selected="0">
            <x v="24"/>
          </reference>
        </references>
      </pivotArea>
    </format>
    <format dxfId="1764">
      <pivotArea dataOnly="0" labelOnly="1" outline="0" fieldPosition="0">
        <references count="1">
          <reference field="4294967294" count="1">
            <x v="24"/>
          </reference>
        </references>
      </pivotArea>
    </format>
    <format dxfId="1763">
      <pivotArea outline="0" collapsedLevelsAreSubtotals="1" fieldPosition="0">
        <references count="1">
          <reference field="4294967294" count="1" selected="0">
            <x v="24"/>
          </reference>
        </references>
      </pivotArea>
    </format>
    <format dxfId="1762">
      <pivotArea dataOnly="0" labelOnly="1" outline="0" fieldPosition="0">
        <references count="1">
          <reference field="4294967294" count="1">
            <x v="24"/>
          </reference>
        </references>
      </pivotArea>
    </format>
    <format dxfId="1761">
      <pivotArea outline="0" collapsedLevelsAreSubtotals="1" fieldPosition="0">
        <references count="1">
          <reference field="4294967294" count="1" selected="0">
            <x v="26"/>
          </reference>
        </references>
      </pivotArea>
    </format>
    <format dxfId="1760">
      <pivotArea dataOnly="0" labelOnly="1" outline="0" fieldPosition="0">
        <references count="1">
          <reference field="4294967294" count="1">
            <x v="26"/>
          </reference>
        </references>
      </pivotArea>
    </format>
    <format dxfId="1759">
      <pivotArea outline="0" collapsedLevelsAreSubtotals="1" fieldPosition="0">
        <references count="1">
          <reference field="4294967294" count="2" selected="0">
            <x v="26"/>
            <x v="27"/>
          </reference>
        </references>
      </pivotArea>
    </format>
    <format dxfId="1758">
      <pivotArea dataOnly="0" labelOnly="1" outline="0" fieldPosition="0">
        <references count="1">
          <reference field="4294967294" count="2">
            <x v="26"/>
            <x v="27"/>
          </reference>
        </references>
      </pivotArea>
    </format>
    <format dxfId="1757">
      <pivotArea dataOnly="0" outline="0" fieldPosition="0">
        <references count="1">
          <reference field="4294967294" count="1">
            <x v="28"/>
          </reference>
        </references>
      </pivotArea>
    </format>
    <format dxfId="1756">
      <pivotArea outline="0" collapsedLevelsAreSubtotals="1" fieldPosition="0">
        <references count="1">
          <reference field="4294967294" count="2" selected="0">
            <x v="28"/>
            <x v="29"/>
          </reference>
        </references>
      </pivotArea>
    </format>
    <format dxfId="1755">
      <pivotArea dataOnly="0" labelOnly="1" outline="0" fieldPosition="0">
        <references count="1">
          <reference field="4294967294" count="2">
            <x v="28"/>
            <x v="29"/>
          </reference>
        </references>
      </pivotArea>
    </format>
    <format dxfId="1754">
      <pivotArea outline="0" collapsedLevelsAreSubtotals="1" fieldPosition="0">
        <references count="1">
          <reference field="4294967294" count="1" selected="0">
            <x v="30"/>
          </reference>
        </references>
      </pivotArea>
    </format>
    <format dxfId="1753">
      <pivotArea dataOnly="0" labelOnly="1" outline="0" fieldPosition="0">
        <references count="1">
          <reference field="4294967294" count="1">
            <x v="30"/>
          </reference>
        </references>
      </pivotArea>
    </format>
    <format dxfId="1752">
      <pivotArea outline="0" collapsedLevelsAreSubtotals="1" fieldPosition="0">
        <references count="1">
          <reference field="4294967294" count="2" selected="0">
            <x v="30"/>
            <x v="31"/>
          </reference>
        </references>
      </pivotArea>
    </format>
    <format dxfId="1751">
      <pivotArea dataOnly="0" labelOnly="1" outline="0" fieldPosition="0">
        <references count="1">
          <reference field="4294967294" count="2">
            <x v="30"/>
            <x v="31"/>
          </reference>
        </references>
      </pivotArea>
    </format>
    <format dxfId="1750">
      <pivotArea outline="0" collapsedLevelsAreSubtotals="1" fieldPosition="0">
        <references count="1">
          <reference field="4294967294" count="2" selected="0">
            <x v="26"/>
            <x v="27"/>
          </reference>
        </references>
      </pivotArea>
    </format>
    <format dxfId="1749">
      <pivotArea dataOnly="0" labelOnly="1" outline="0" fieldPosition="0">
        <references count="1">
          <reference field="4294967294" count="2">
            <x v="26"/>
            <x v="27"/>
          </reference>
        </references>
      </pivotArea>
    </format>
    <format dxfId="1748">
      <pivotArea outline="0" collapsedLevelsAreSubtotals="1" fieldPosition="0">
        <references count="1">
          <reference field="4294967294" count="1" selected="0">
            <x v="14"/>
          </reference>
        </references>
      </pivotArea>
    </format>
    <format dxfId="1747">
      <pivotArea dataOnly="0" labelOnly="1" outline="0" fieldPosition="0">
        <references count="1">
          <reference field="4294967294" count="1">
            <x v="14"/>
          </reference>
        </references>
      </pivotArea>
    </format>
    <format dxfId="1746">
      <pivotArea outline="0" collapsedLevelsAreSubtotals="1" fieldPosition="0">
        <references count="1">
          <reference field="4294967294" count="1" selected="0">
            <x v="32"/>
          </reference>
        </references>
      </pivotArea>
    </format>
    <format dxfId="1745">
      <pivotArea dataOnly="0" labelOnly="1" outline="0" fieldPosition="0">
        <references count="1">
          <reference field="4294967294" count="1">
            <x v="32"/>
          </reference>
        </references>
      </pivotArea>
    </format>
    <format dxfId="1744">
      <pivotArea outline="0" collapsedLevelsAreSubtotals="1" fieldPosition="0">
        <references count="1">
          <reference field="4294967294" count="2" selected="0">
            <x v="32"/>
            <x v="33"/>
          </reference>
        </references>
      </pivotArea>
    </format>
    <format dxfId="1743">
      <pivotArea dataOnly="0" labelOnly="1" outline="0" fieldPosition="0">
        <references count="1">
          <reference field="4294967294" count="2">
            <x v="32"/>
            <x v="33"/>
          </reference>
        </references>
      </pivotArea>
    </format>
    <format dxfId="1742">
      <pivotArea outline="0" collapsedLevelsAreSubtotals="1" fieldPosition="0">
        <references count="1">
          <reference field="4294967294" count="2" selected="0">
            <x v="34"/>
            <x v="35"/>
          </reference>
        </references>
      </pivotArea>
    </format>
    <format dxfId="1741">
      <pivotArea dataOnly="0" labelOnly="1" outline="0" fieldPosition="0">
        <references count="1">
          <reference field="4294967294" count="2">
            <x v="34"/>
            <x v="35"/>
          </reference>
        </references>
      </pivotArea>
    </format>
    <format dxfId="1740">
      <pivotArea outline="0" collapsedLevelsAreSubtotals="1" fieldPosition="0">
        <references count="1">
          <reference field="4294967294" count="1" selected="0">
            <x v="34"/>
          </reference>
        </references>
      </pivotArea>
    </format>
    <format dxfId="1739">
      <pivotArea dataOnly="0" labelOnly="1" outline="0" fieldPosition="0">
        <references count="1">
          <reference field="4294967294" count="1">
            <x v="34"/>
          </reference>
        </references>
      </pivotArea>
    </format>
    <format dxfId="1738">
      <pivotArea outline="0" collapsedLevelsAreSubtotals="1" fieldPosition="0">
        <references count="1">
          <reference field="4294967294" count="2" selected="0">
            <x v="34"/>
            <x v="35"/>
          </reference>
        </references>
      </pivotArea>
    </format>
    <format dxfId="1737">
      <pivotArea dataOnly="0" labelOnly="1" outline="0" fieldPosition="0">
        <references count="1">
          <reference field="4294967294" count="2">
            <x v="34"/>
            <x v="35"/>
          </reference>
        </references>
      </pivotArea>
    </format>
    <format dxfId="1736">
      <pivotArea outline="0" collapsedLevelsAreSubtotals="1" fieldPosition="0">
        <references count="1">
          <reference field="4294967294" count="1" selected="0">
            <x v="34"/>
          </reference>
        </references>
      </pivotArea>
    </format>
    <format dxfId="1735">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8A14842-7EB3-4094-90D2-FDD1F4257C39}" name="PivotTable1" cacheId="9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163:AK178" firstHeaderRow="0" firstDataRow="1" firstDataCol="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1"/>
  </rowFields>
  <rowItems count="15">
    <i>
      <x/>
    </i>
    <i>
      <x v="1"/>
    </i>
    <i>
      <x v="2"/>
    </i>
    <i>
      <x v="3"/>
    </i>
    <i>
      <x v="4"/>
    </i>
    <i>
      <x v="5"/>
    </i>
    <i>
      <x v="6"/>
    </i>
    <i>
      <x v="7"/>
    </i>
    <i>
      <x v="8"/>
    </i>
    <i>
      <x v="9"/>
    </i>
    <i>
      <x v="10"/>
    </i>
    <i>
      <x v="11"/>
    </i>
    <i>
      <x v="12"/>
    </i>
    <i>
      <x v="13"/>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3" subtotal="count" baseField="0" baseItem="0" numFmtId="164"/>
    <dataField fld="2" subtotal="count" baseField="0" baseItem="0" numFmtId="164"/>
    <dataField fld="10" subtotal="count" baseField="0" baseItem="0" numFmtId="164"/>
    <dataField fld="12" subtotal="count" baseField="0" baseItem="0" numFmtId="164"/>
    <dataField fld="4" subtotal="count" baseField="0" baseItem="0" numFmtId="164"/>
    <dataField fld="5" subtotal="count" baseField="0" baseItem="0" numFmtId="164"/>
    <dataField fld="13" subtotal="count" baseField="0" baseItem="0" numFmtId="164"/>
    <dataField fld="11" subtotal="count" baseField="0" baseItem="0" numFmtId="164"/>
    <dataField fld="6" subtotal="count" baseField="0" baseItem="0" numFmtId="164"/>
    <dataField fld="7" subtotal="count" baseField="0" baseItem="0" numFmtId="164"/>
    <dataField fld="8" subtotal="count" baseField="0" baseItem="0" numFmtId="164"/>
    <dataField fld="9" subtotal="count" baseField="0" baseItem="0" numFmtId="164"/>
    <dataField fld="14" subtotal="count" baseField="0" baseItem="0" numFmtId="164"/>
    <dataField fld="15" subtotal="count" baseField="0" baseItem="0" numFmtId="164"/>
    <dataField fld="32" subtotal="count" baseField="0" baseItem="0" numFmtId="164"/>
    <dataField fld="33"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4" subtotal="count" baseField="0" baseItem="0" numFmtId="164"/>
    <dataField fld="27" subtotal="count" baseField="0" baseItem="0" numFmtId="164"/>
    <dataField fld="25" subtotal="count" baseField="0" baseItem="0" numFmtId="164"/>
    <dataField fld="26" subtotal="count" baseField="0" baseItem="0" numFmtId="164"/>
    <dataField fld="28" subtotal="count" baseField="0" baseItem="0" numFmtId="164"/>
    <dataField fld="29" subtotal="count" baseField="0" baseItem="0" numFmtId="164"/>
    <dataField fld="30" subtotal="count" baseField="0" baseItem="0" numFmtId="164"/>
    <dataField fld="31" subtotal="count" baseField="0" baseItem="0" numFmtId="164"/>
    <dataField fld="34" subtotal="count" baseField="0" baseItem="0" numFmtId="164"/>
    <dataField fld="35" subtotal="count" baseField="0" baseItem="0" numFmtId="164"/>
    <dataField fld="36" subtotal="count" baseField="0" baseItem="0" numFmtId="164"/>
    <dataField fld="37" subtotal="count" baseField="0" baseItem="0" numFmtId="164"/>
  </dataFields>
  <formats count="75">
    <format dxfId="1355">
      <pivotArea outline="0" collapsedLevelsAreSubtotals="1" fieldPosition="0">
        <references count="1">
          <reference field="4294967294" count="1" selected="0">
            <x v="0"/>
          </reference>
        </references>
      </pivotArea>
    </format>
    <format dxfId="1354">
      <pivotArea dataOnly="0" labelOnly="1" outline="0" fieldPosition="0">
        <references count="1">
          <reference field="4294967294" count="1">
            <x v="0"/>
          </reference>
        </references>
      </pivotArea>
    </format>
    <format dxfId="1353">
      <pivotArea outline="0" collapsedLevelsAreSubtotals="1" fieldPosition="0">
        <references count="1">
          <reference field="4294967294" count="1" selected="0">
            <x v="2"/>
          </reference>
        </references>
      </pivotArea>
    </format>
    <format dxfId="1352">
      <pivotArea dataOnly="0" labelOnly="1" outline="0" fieldPosition="0">
        <references count="1">
          <reference field="4294967294" count="1">
            <x v="2"/>
          </reference>
        </references>
      </pivotArea>
    </format>
    <format dxfId="1351">
      <pivotArea outline="0" collapsedLevelsAreSubtotals="1" fieldPosition="0">
        <references count="1">
          <reference field="4294967294" count="1" selected="0">
            <x v="4"/>
          </reference>
        </references>
      </pivotArea>
    </format>
    <format dxfId="1350">
      <pivotArea dataOnly="0" labelOnly="1" outline="0" fieldPosition="0">
        <references count="1">
          <reference field="4294967294" count="1">
            <x v="4"/>
          </reference>
        </references>
      </pivotArea>
    </format>
    <format dxfId="1349">
      <pivotArea outline="0" collapsedLevelsAreSubtotals="1" fieldPosition="0">
        <references count="1">
          <reference field="4294967294" count="1" selected="0">
            <x v="2"/>
          </reference>
        </references>
      </pivotArea>
    </format>
    <format dxfId="1348">
      <pivotArea outline="0" collapsedLevelsAreSubtotals="1" fieldPosition="0">
        <references count="1">
          <reference field="4294967294" count="1" selected="0">
            <x v="6"/>
          </reference>
        </references>
      </pivotArea>
    </format>
    <format dxfId="1347">
      <pivotArea dataOnly="0" labelOnly="1" outline="0" fieldPosition="0">
        <references count="1">
          <reference field="4294967294" count="1">
            <x v="6"/>
          </reference>
        </references>
      </pivotArea>
    </format>
    <format dxfId="1346">
      <pivotArea outline="0" collapsedLevelsAreSubtotals="1" fieldPosition="0">
        <references count="1">
          <reference field="4294967294" count="1" selected="0">
            <x v="8"/>
          </reference>
        </references>
      </pivotArea>
    </format>
    <format dxfId="1345">
      <pivotArea dataOnly="0" labelOnly="1" outline="0" fieldPosition="0">
        <references count="1">
          <reference field="4294967294" count="1">
            <x v="8"/>
          </reference>
        </references>
      </pivotArea>
    </format>
    <format dxfId="1344">
      <pivotArea outline="0" collapsedLevelsAreSubtotals="1" fieldPosition="0">
        <references count="1">
          <reference field="4294967294" count="1" selected="0">
            <x v="10"/>
          </reference>
        </references>
      </pivotArea>
    </format>
    <format dxfId="1343">
      <pivotArea dataOnly="0" labelOnly="1" outline="0" fieldPosition="0">
        <references count="1">
          <reference field="4294967294" count="1">
            <x v="10"/>
          </reference>
        </references>
      </pivotArea>
    </format>
    <format dxfId="1342">
      <pivotArea outline="0" collapsedLevelsAreSubtotals="1" fieldPosition="0">
        <references count="1">
          <reference field="4294967294" count="2" selected="0">
            <x v="0"/>
            <x v="1"/>
          </reference>
        </references>
      </pivotArea>
    </format>
    <format dxfId="1341">
      <pivotArea dataOnly="0" labelOnly="1" outline="0" fieldPosition="0">
        <references count="1">
          <reference field="4294967294" count="2">
            <x v="0"/>
            <x v="1"/>
          </reference>
        </references>
      </pivotArea>
    </format>
    <format dxfId="1340">
      <pivotArea outline="0" collapsedLevelsAreSubtotals="1" fieldPosition="0">
        <references count="1">
          <reference field="4294967294" count="2" selected="0">
            <x v="2"/>
            <x v="3"/>
          </reference>
        </references>
      </pivotArea>
    </format>
    <format dxfId="1339">
      <pivotArea dataOnly="0" labelOnly="1" outline="0" fieldPosition="0">
        <references count="1">
          <reference field="4294967294" count="2">
            <x v="2"/>
            <x v="3"/>
          </reference>
        </references>
      </pivotArea>
    </format>
    <format dxfId="1338">
      <pivotArea outline="0" collapsedLevelsAreSubtotals="1" fieldPosition="0">
        <references count="1">
          <reference field="4294967294" count="2" selected="0">
            <x v="4"/>
            <x v="5"/>
          </reference>
        </references>
      </pivotArea>
    </format>
    <format dxfId="1337">
      <pivotArea dataOnly="0" labelOnly="1" outline="0" fieldPosition="0">
        <references count="1">
          <reference field="4294967294" count="2">
            <x v="4"/>
            <x v="5"/>
          </reference>
        </references>
      </pivotArea>
    </format>
    <format dxfId="1336">
      <pivotArea outline="0" collapsedLevelsAreSubtotals="1" fieldPosition="0">
        <references count="1">
          <reference field="4294967294" count="2" selected="0">
            <x v="6"/>
            <x v="7"/>
          </reference>
        </references>
      </pivotArea>
    </format>
    <format dxfId="1335">
      <pivotArea dataOnly="0" labelOnly="1" outline="0" fieldPosition="0">
        <references count="1">
          <reference field="4294967294" count="2">
            <x v="6"/>
            <x v="7"/>
          </reference>
        </references>
      </pivotArea>
    </format>
    <format dxfId="1334">
      <pivotArea outline="0" collapsedLevelsAreSubtotals="1" fieldPosition="0">
        <references count="1">
          <reference field="4294967294" count="2" selected="0">
            <x v="8"/>
            <x v="9"/>
          </reference>
        </references>
      </pivotArea>
    </format>
    <format dxfId="1333">
      <pivotArea dataOnly="0" labelOnly="1" outline="0" fieldPosition="0">
        <references count="1">
          <reference field="4294967294" count="2">
            <x v="8"/>
            <x v="9"/>
          </reference>
        </references>
      </pivotArea>
    </format>
    <format dxfId="1332">
      <pivotArea outline="0" collapsedLevelsAreSubtotals="1" fieldPosition="0">
        <references count="1">
          <reference field="4294967294" count="2" selected="0">
            <x v="10"/>
            <x v="11"/>
          </reference>
        </references>
      </pivotArea>
    </format>
    <format dxfId="1331">
      <pivotArea dataOnly="0" labelOnly="1" outline="0" fieldPosition="0">
        <references count="1">
          <reference field="4294967294" count="2">
            <x v="10"/>
            <x v="11"/>
          </reference>
        </references>
      </pivotArea>
    </format>
    <format dxfId="1330">
      <pivotArea outline="0" collapsedLevelsAreSubtotals="1" fieldPosition="0">
        <references count="1">
          <reference field="4294967294" count="1" selected="0">
            <x v="12"/>
          </reference>
        </references>
      </pivotArea>
    </format>
    <format dxfId="1329">
      <pivotArea dataOnly="0" labelOnly="1" outline="0" fieldPosition="0">
        <references count="1">
          <reference field="4294967294" count="1">
            <x v="12"/>
          </reference>
        </references>
      </pivotArea>
    </format>
    <format dxfId="1328">
      <pivotArea outline="0" collapsedLevelsAreSubtotals="1" fieldPosition="0">
        <references count="1">
          <reference field="4294967294" count="2" selected="0">
            <x v="12"/>
            <x v="13"/>
          </reference>
        </references>
      </pivotArea>
    </format>
    <format dxfId="1327">
      <pivotArea dataOnly="0" labelOnly="1" outline="0" fieldPosition="0">
        <references count="1">
          <reference field="4294967294" count="2">
            <x v="12"/>
            <x v="13"/>
          </reference>
        </references>
      </pivotArea>
    </format>
    <format dxfId="1326">
      <pivotArea outline="0" collapsedLevelsAreSubtotals="1" fieldPosition="0"/>
    </format>
    <format dxfId="1325">
      <pivotArea outline="0" collapsedLevelsAreSubtotals="1" fieldPosition="0">
        <references count="1">
          <reference field="4294967294" count="1" selected="0">
            <x v="16"/>
          </reference>
        </references>
      </pivotArea>
    </format>
    <format dxfId="1324">
      <pivotArea dataOnly="0" labelOnly="1" outline="0" fieldPosition="0">
        <references count="1">
          <reference field="4294967294" count="1">
            <x v="16"/>
          </reference>
        </references>
      </pivotArea>
    </format>
    <format dxfId="1323">
      <pivotArea outline="0" collapsedLevelsAreSubtotals="1" fieldPosition="0">
        <references count="1">
          <reference field="4294967294" count="1" selected="0">
            <x v="18"/>
          </reference>
        </references>
      </pivotArea>
    </format>
    <format dxfId="1322">
      <pivotArea dataOnly="0" labelOnly="1" outline="0" fieldPosition="0">
        <references count="1">
          <reference field="4294967294" count="1">
            <x v="18"/>
          </reference>
        </references>
      </pivotArea>
    </format>
    <format dxfId="1321">
      <pivotArea outline="0" collapsedLevelsAreSubtotals="1" fieldPosition="0">
        <references count="1">
          <reference field="4294967294" count="2" selected="0">
            <x v="16"/>
            <x v="17"/>
          </reference>
        </references>
      </pivotArea>
    </format>
    <format dxfId="1320">
      <pivotArea dataOnly="0" labelOnly="1" outline="0" fieldPosition="0">
        <references count="1">
          <reference field="4294967294" count="2">
            <x v="16"/>
            <x v="17"/>
          </reference>
        </references>
      </pivotArea>
    </format>
    <format dxfId="1319">
      <pivotArea outline="0" collapsedLevelsAreSubtotals="1" fieldPosition="0">
        <references count="1">
          <reference field="4294967294" count="2" selected="0">
            <x v="18"/>
            <x v="19"/>
          </reference>
        </references>
      </pivotArea>
    </format>
    <format dxfId="1318">
      <pivotArea dataOnly="0" labelOnly="1" outline="0" fieldPosition="0">
        <references count="1">
          <reference field="4294967294" count="2">
            <x v="18"/>
            <x v="19"/>
          </reference>
        </references>
      </pivotArea>
    </format>
    <format dxfId="1317">
      <pivotArea outline="0" collapsedLevelsAreSubtotals="1" fieldPosition="0">
        <references count="1">
          <reference field="4294967294" count="1" selected="0">
            <x v="20"/>
          </reference>
        </references>
      </pivotArea>
    </format>
    <format dxfId="1316">
      <pivotArea dataOnly="0" labelOnly="1" outline="0" fieldPosition="0">
        <references count="1">
          <reference field="4294967294" count="1">
            <x v="20"/>
          </reference>
        </references>
      </pivotArea>
    </format>
    <format dxfId="1315">
      <pivotArea dataOnly="0" outline="0" fieldPosition="0">
        <references count="1">
          <reference field="4294967294" count="1">
            <x v="22"/>
          </reference>
        </references>
      </pivotArea>
    </format>
    <format dxfId="1314">
      <pivotArea outline="0" collapsedLevelsAreSubtotals="1" fieldPosition="0">
        <references count="1">
          <reference field="4294967294" count="2" selected="0">
            <x v="20"/>
            <x v="21"/>
          </reference>
        </references>
      </pivotArea>
    </format>
    <format dxfId="1313">
      <pivotArea dataOnly="0" labelOnly="1" outline="0" fieldPosition="0">
        <references count="1">
          <reference field="4294967294" count="2">
            <x v="20"/>
            <x v="21"/>
          </reference>
        </references>
      </pivotArea>
    </format>
    <format dxfId="1312">
      <pivotArea dataOnly="0" outline="0" fieldPosition="0">
        <references count="1">
          <reference field="4294967294" count="2">
            <x v="22"/>
            <x v="23"/>
          </reference>
        </references>
      </pivotArea>
    </format>
    <format dxfId="1311">
      <pivotArea outline="0" collapsedLevelsAreSubtotals="1" fieldPosition="0">
        <references count="1">
          <reference field="4294967294" count="1" selected="0">
            <x v="24"/>
          </reference>
        </references>
      </pivotArea>
    </format>
    <format dxfId="1310">
      <pivotArea dataOnly="0" labelOnly="1" outline="0" fieldPosition="0">
        <references count="1">
          <reference field="4294967294" count="1">
            <x v="24"/>
          </reference>
        </references>
      </pivotArea>
    </format>
    <format dxfId="1309">
      <pivotArea outline="0" collapsedLevelsAreSubtotals="1" fieldPosition="0">
        <references count="1">
          <reference field="4294967294" count="1" selected="0">
            <x v="24"/>
          </reference>
        </references>
      </pivotArea>
    </format>
    <format dxfId="1308">
      <pivotArea dataOnly="0" labelOnly="1" outline="0" fieldPosition="0">
        <references count="1">
          <reference field="4294967294" count="1">
            <x v="24"/>
          </reference>
        </references>
      </pivotArea>
    </format>
    <format dxfId="1307">
      <pivotArea outline="0" collapsedLevelsAreSubtotals="1" fieldPosition="0">
        <references count="1">
          <reference field="4294967294" count="1" selected="0">
            <x v="26"/>
          </reference>
        </references>
      </pivotArea>
    </format>
    <format dxfId="1306">
      <pivotArea dataOnly="0" labelOnly="1" outline="0" fieldPosition="0">
        <references count="1">
          <reference field="4294967294" count="1">
            <x v="26"/>
          </reference>
        </references>
      </pivotArea>
    </format>
    <format dxfId="1305">
      <pivotArea outline="0" collapsedLevelsAreSubtotals="1" fieldPosition="0">
        <references count="1">
          <reference field="4294967294" count="2" selected="0">
            <x v="26"/>
            <x v="27"/>
          </reference>
        </references>
      </pivotArea>
    </format>
    <format dxfId="1304">
      <pivotArea dataOnly="0" labelOnly="1" outline="0" fieldPosition="0">
        <references count="1">
          <reference field="4294967294" count="2">
            <x v="26"/>
            <x v="27"/>
          </reference>
        </references>
      </pivotArea>
    </format>
    <format dxfId="1303">
      <pivotArea dataOnly="0" outline="0" fieldPosition="0">
        <references count="1">
          <reference field="4294967294" count="1">
            <x v="28"/>
          </reference>
        </references>
      </pivotArea>
    </format>
    <format dxfId="1302">
      <pivotArea outline="0" collapsedLevelsAreSubtotals="1" fieldPosition="0">
        <references count="1">
          <reference field="4294967294" count="2" selected="0">
            <x v="28"/>
            <x v="29"/>
          </reference>
        </references>
      </pivotArea>
    </format>
    <format dxfId="1301">
      <pivotArea dataOnly="0" labelOnly="1" outline="0" fieldPosition="0">
        <references count="1">
          <reference field="4294967294" count="2">
            <x v="28"/>
            <x v="29"/>
          </reference>
        </references>
      </pivotArea>
    </format>
    <format dxfId="1300">
      <pivotArea outline="0" collapsedLevelsAreSubtotals="1" fieldPosition="0">
        <references count="1">
          <reference field="4294967294" count="1" selected="0">
            <x v="30"/>
          </reference>
        </references>
      </pivotArea>
    </format>
    <format dxfId="1299">
      <pivotArea dataOnly="0" labelOnly="1" outline="0" fieldPosition="0">
        <references count="1">
          <reference field="4294967294" count="1">
            <x v="30"/>
          </reference>
        </references>
      </pivotArea>
    </format>
    <format dxfId="1298">
      <pivotArea outline="0" collapsedLevelsAreSubtotals="1" fieldPosition="0">
        <references count="1">
          <reference field="4294967294" count="2" selected="0">
            <x v="30"/>
            <x v="31"/>
          </reference>
        </references>
      </pivotArea>
    </format>
    <format dxfId="1297">
      <pivotArea dataOnly="0" labelOnly="1" outline="0" fieldPosition="0">
        <references count="1">
          <reference field="4294967294" count="2">
            <x v="30"/>
            <x v="31"/>
          </reference>
        </references>
      </pivotArea>
    </format>
    <format dxfId="1296">
      <pivotArea outline="0" collapsedLevelsAreSubtotals="1" fieldPosition="0">
        <references count="1">
          <reference field="4294967294" count="2" selected="0">
            <x v="26"/>
            <x v="27"/>
          </reference>
        </references>
      </pivotArea>
    </format>
    <format dxfId="1295">
      <pivotArea dataOnly="0" labelOnly="1" outline="0" fieldPosition="0">
        <references count="1">
          <reference field="4294967294" count="2">
            <x v="26"/>
            <x v="27"/>
          </reference>
        </references>
      </pivotArea>
    </format>
    <format dxfId="1294">
      <pivotArea outline="0" collapsedLevelsAreSubtotals="1" fieldPosition="0">
        <references count="1">
          <reference field="4294967294" count="1" selected="0">
            <x v="14"/>
          </reference>
        </references>
      </pivotArea>
    </format>
    <format dxfId="1293">
      <pivotArea dataOnly="0" labelOnly="1" outline="0" fieldPosition="0">
        <references count="1">
          <reference field="4294967294" count="1">
            <x v="14"/>
          </reference>
        </references>
      </pivotArea>
    </format>
    <format dxfId="1292">
      <pivotArea outline="0" collapsedLevelsAreSubtotals="1" fieldPosition="0">
        <references count="1">
          <reference field="4294967294" count="1" selected="0">
            <x v="32"/>
          </reference>
        </references>
      </pivotArea>
    </format>
    <format dxfId="1291">
      <pivotArea dataOnly="0" labelOnly="1" outline="0" fieldPosition="0">
        <references count="1">
          <reference field="4294967294" count="1">
            <x v="32"/>
          </reference>
        </references>
      </pivotArea>
    </format>
    <format dxfId="1290">
      <pivotArea outline="0" collapsedLevelsAreSubtotals="1" fieldPosition="0">
        <references count="1">
          <reference field="4294967294" count="2" selected="0">
            <x v="32"/>
            <x v="33"/>
          </reference>
        </references>
      </pivotArea>
    </format>
    <format dxfId="1289">
      <pivotArea dataOnly="0" labelOnly="1" outline="0" fieldPosition="0">
        <references count="1">
          <reference field="4294967294" count="2">
            <x v="32"/>
            <x v="33"/>
          </reference>
        </references>
      </pivotArea>
    </format>
    <format dxfId="1288">
      <pivotArea outline="0" collapsedLevelsAreSubtotals="1" fieldPosition="0">
        <references count="1">
          <reference field="4294967294" count="2" selected="0">
            <x v="34"/>
            <x v="35"/>
          </reference>
        </references>
      </pivotArea>
    </format>
    <format dxfId="1287">
      <pivotArea dataOnly="0" labelOnly="1" outline="0" fieldPosition="0">
        <references count="1">
          <reference field="4294967294" count="2">
            <x v="34"/>
            <x v="35"/>
          </reference>
        </references>
      </pivotArea>
    </format>
    <format dxfId="1286">
      <pivotArea outline="0" collapsedLevelsAreSubtotals="1" fieldPosition="0">
        <references count="1">
          <reference field="4294967294" count="1" selected="0">
            <x v="34"/>
          </reference>
        </references>
      </pivotArea>
    </format>
    <format dxfId="1285">
      <pivotArea dataOnly="0" labelOnly="1" outline="0" fieldPosition="0">
        <references count="1">
          <reference field="4294967294" count="1">
            <x v="34"/>
          </reference>
        </references>
      </pivotArea>
    </format>
    <format dxfId="1284">
      <pivotArea outline="0" collapsedLevelsAreSubtotals="1" fieldPosition="0">
        <references count="1">
          <reference field="4294967294" count="2" selected="0">
            <x v="34"/>
            <x v="35"/>
          </reference>
        </references>
      </pivotArea>
    </format>
    <format dxfId="1283">
      <pivotArea dataOnly="0" labelOnly="1" outline="0" fieldPosition="0">
        <references count="1">
          <reference field="4294967294" count="2">
            <x v="34"/>
            <x v="35"/>
          </reference>
        </references>
      </pivotArea>
    </format>
    <format dxfId="1282">
      <pivotArea outline="0" collapsedLevelsAreSubtotals="1" fieldPosition="0">
        <references count="1">
          <reference field="4294967294" count="1" selected="0">
            <x v="34"/>
          </reference>
        </references>
      </pivotArea>
    </format>
    <format dxfId="1281">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2A8B666-E535-4581-A981-E37EB24E4C87}" name="PivotTable6" cacheId="97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3:AK149" firstHeaderRow="0" firstDataRow="1" firstDataCol="1"/>
  <pivotFields count="38">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146">
    <i>
      <x/>
    </i>
    <i r="1">
      <x/>
    </i>
    <i r="1">
      <x v="1"/>
    </i>
    <i r="1">
      <x v="2"/>
    </i>
    <i r="1">
      <x v="3"/>
    </i>
    <i r="1">
      <x v="4"/>
    </i>
    <i r="1">
      <x v="5"/>
    </i>
    <i r="1">
      <x v="6"/>
    </i>
    <i r="1">
      <x v="7"/>
    </i>
    <i r="1">
      <x v="8"/>
    </i>
    <i r="1">
      <x v="9"/>
    </i>
    <i r="1">
      <x v="10"/>
    </i>
    <i>
      <x v="1"/>
    </i>
    <i r="1">
      <x/>
    </i>
    <i r="1">
      <x v="1"/>
    </i>
    <i r="1">
      <x v="2"/>
    </i>
    <i r="1">
      <x v="3"/>
    </i>
    <i r="1">
      <x v="11"/>
    </i>
    <i r="1">
      <x v="5"/>
    </i>
    <i r="1">
      <x v="6"/>
    </i>
    <i r="1">
      <x v="7"/>
    </i>
    <i r="1">
      <x v="10"/>
    </i>
    <i>
      <x v="2"/>
    </i>
    <i r="1">
      <x/>
    </i>
    <i r="1">
      <x v="2"/>
    </i>
    <i r="1">
      <x v="12"/>
    </i>
    <i>
      <x v="3"/>
    </i>
    <i r="1">
      <x v="12"/>
    </i>
    <i r="1">
      <x v="5"/>
    </i>
    <i r="1">
      <x v="7"/>
    </i>
    <i>
      <x v="4"/>
    </i>
    <i r="1">
      <x/>
    </i>
    <i r="1">
      <x v="1"/>
    </i>
    <i r="1">
      <x v="2"/>
    </i>
    <i r="1">
      <x v="3"/>
    </i>
    <i r="1">
      <x v="4"/>
    </i>
    <i r="1">
      <x v="11"/>
    </i>
    <i r="1">
      <x v="12"/>
    </i>
    <i r="1">
      <x v="8"/>
    </i>
    <i>
      <x v="5"/>
    </i>
    <i r="1">
      <x/>
    </i>
    <i r="1">
      <x v="2"/>
    </i>
    <i r="1">
      <x v="3"/>
    </i>
    <i r="1">
      <x v="5"/>
    </i>
    <i r="1">
      <x v="6"/>
    </i>
    <i r="1">
      <x v="7"/>
    </i>
    <i r="1">
      <x v="8"/>
    </i>
    <i>
      <x v="6"/>
    </i>
    <i r="1">
      <x/>
    </i>
    <i r="1">
      <x v="1"/>
    </i>
    <i r="1">
      <x v="2"/>
    </i>
    <i r="1">
      <x v="3"/>
    </i>
    <i r="1">
      <x v="4"/>
    </i>
    <i r="1">
      <x v="11"/>
    </i>
    <i r="1">
      <x v="5"/>
    </i>
    <i r="1">
      <x v="6"/>
    </i>
    <i r="1">
      <x v="7"/>
    </i>
    <i r="1">
      <x v="8"/>
    </i>
    <i r="1">
      <x v="9"/>
    </i>
    <i r="1">
      <x v="10"/>
    </i>
    <i>
      <x v="7"/>
    </i>
    <i r="1">
      <x/>
    </i>
    <i r="1">
      <x v="1"/>
    </i>
    <i r="1">
      <x v="2"/>
    </i>
    <i r="1">
      <x v="3"/>
    </i>
    <i r="1">
      <x v="4"/>
    </i>
    <i r="1">
      <x v="11"/>
    </i>
    <i r="1">
      <x v="5"/>
    </i>
    <i r="1">
      <x v="6"/>
    </i>
    <i r="1">
      <x v="7"/>
    </i>
    <i r="1">
      <x v="10"/>
    </i>
    <i>
      <x v="8"/>
    </i>
    <i r="1">
      <x/>
    </i>
    <i r="1">
      <x v="1"/>
    </i>
    <i r="1">
      <x v="3"/>
    </i>
    <i r="1">
      <x v="5"/>
    </i>
    <i r="1">
      <x v="6"/>
    </i>
    <i r="1">
      <x v="7"/>
    </i>
    <i>
      <x v="9"/>
    </i>
    <i r="1">
      <x/>
    </i>
    <i r="1">
      <x v="1"/>
    </i>
    <i r="1">
      <x v="2"/>
    </i>
    <i r="1">
      <x v="3"/>
    </i>
    <i r="1">
      <x v="4"/>
    </i>
    <i r="1">
      <x v="11"/>
    </i>
    <i r="1">
      <x v="5"/>
    </i>
    <i r="1">
      <x v="6"/>
    </i>
    <i r="1">
      <x v="7"/>
    </i>
    <i r="1">
      <x v="10"/>
    </i>
    <i>
      <x v="10"/>
    </i>
    <i r="1">
      <x v="8"/>
    </i>
    <i r="1">
      <x v="9"/>
    </i>
    <i>
      <x v="11"/>
    </i>
    <i r="1">
      <x/>
    </i>
    <i r="1">
      <x v="2"/>
    </i>
    <i r="1">
      <x v="3"/>
    </i>
    <i r="1">
      <x v="4"/>
    </i>
    <i r="1">
      <x v="11"/>
    </i>
    <i r="1">
      <x v="5"/>
    </i>
    <i r="1">
      <x v="6"/>
    </i>
    <i r="1">
      <x v="7"/>
    </i>
    <i r="1">
      <x v="10"/>
    </i>
    <i>
      <x v="12"/>
    </i>
    <i r="1">
      <x/>
    </i>
    <i r="1">
      <x v="1"/>
    </i>
    <i r="1">
      <x v="2"/>
    </i>
    <i r="1">
      <x v="3"/>
    </i>
    <i r="1">
      <x v="5"/>
    </i>
    <i r="1">
      <x v="6"/>
    </i>
    <i r="1">
      <x v="7"/>
    </i>
    <i r="1">
      <x v="9"/>
    </i>
    <i r="1">
      <x v="10"/>
    </i>
    <i>
      <x v="13"/>
    </i>
    <i r="1">
      <x/>
    </i>
    <i r="1">
      <x v="1"/>
    </i>
    <i r="1">
      <x v="2"/>
    </i>
    <i r="1">
      <x v="3"/>
    </i>
    <i r="1">
      <x v="4"/>
    </i>
    <i r="1">
      <x v="12"/>
    </i>
    <i r="1">
      <x v="5"/>
    </i>
    <i r="1">
      <x v="6"/>
    </i>
    <i r="1">
      <x v="7"/>
    </i>
    <i r="1">
      <x v="10"/>
    </i>
    <i>
      <x v="14"/>
    </i>
    <i r="1">
      <x/>
    </i>
    <i r="1">
      <x v="1"/>
    </i>
    <i r="1">
      <x v="2"/>
    </i>
    <i r="1">
      <x v="3"/>
    </i>
    <i r="1">
      <x v="4"/>
    </i>
    <i r="1">
      <x v="11"/>
    </i>
    <i r="1">
      <x v="5"/>
    </i>
    <i r="1">
      <x v="6"/>
    </i>
    <i r="1">
      <x v="7"/>
    </i>
    <i r="1">
      <x v="10"/>
    </i>
    <i>
      <x v="15"/>
    </i>
    <i r="1">
      <x/>
    </i>
    <i r="1">
      <x v="2"/>
    </i>
    <i r="1">
      <x v="3"/>
    </i>
    <i r="1">
      <x v="4"/>
    </i>
    <i r="1">
      <x v="11"/>
    </i>
    <i r="1">
      <x v="12"/>
    </i>
    <i r="1">
      <x v="6"/>
    </i>
    <i r="1">
      <x v="7"/>
    </i>
    <i r="1">
      <x v="13"/>
    </i>
    <i r="1">
      <x v="10"/>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3" subtotal="count" baseField="0" baseItem="0" numFmtId="164"/>
    <dataField fld="2" subtotal="count" baseField="0" baseItem="0" numFmtId="164"/>
    <dataField fld="10" subtotal="count" baseField="0" baseItem="0" numFmtId="164"/>
    <dataField fld="12" subtotal="count" baseField="0" baseItem="0" numFmtId="164"/>
    <dataField fld="4" subtotal="count" baseField="0" baseItem="0" numFmtId="164"/>
    <dataField fld="5" subtotal="count" baseField="0" baseItem="0" numFmtId="164"/>
    <dataField fld="13" subtotal="count" baseField="0" baseItem="0" numFmtId="164"/>
    <dataField fld="11" subtotal="count" baseField="0" baseItem="0" numFmtId="164"/>
    <dataField fld="6" subtotal="count" baseField="0" baseItem="0" numFmtId="164"/>
    <dataField fld="7" subtotal="count" baseField="0" baseItem="0" numFmtId="164"/>
    <dataField fld="8" subtotal="count" baseField="0" baseItem="0" numFmtId="164"/>
    <dataField fld="9" subtotal="count" baseField="0" baseItem="0" numFmtId="164"/>
    <dataField fld="14" subtotal="count" baseField="0" baseItem="0" numFmtId="164"/>
    <dataField fld="15" subtotal="count" baseField="0" baseItem="0" numFmtId="164"/>
    <dataField fld="32" subtotal="count" baseField="0" baseItem="0" numFmtId="164"/>
    <dataField fld="33"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4" subtotal="count" baseField="0" baseItem="0" numFmtId="164"/>
    <dataField fld="27" subtotal="count" baseField="0" baseItem="0" numFmtId="164"/>
    <dataField fld="25" subtotal="count" baseField="0" baseItem="0" numFmtId="164"/>
    <dataField fld="26" subtotal="count" baseField="0" baseItem="0" numFmtId="164"/>
    <dataField fld="28" subtotal="count" baseField="0" baseItem="0" numFmtId="164"/>
    <dataField fld="29" subtotal="count" baseField="0" baseItem="0" numFmtId="164"/>
    <dataField fld="30" subtotal="count" baseField="0" baseItem="0" numFmtId="164"/>
    <dataField fld="31" subtotal="count" baseField="0" baseItem="0" numFmtId="164"/>
    <dataField fld="34" subtotal="count" baseField="0" baseItem="0" numFmtId="164"/>
    <dataField fld="35" subtotal="count" baseField="0" baseItem="0" numFmtId="164"/>
    <dataField fld="36" subtotal="count" baseField="0" baseItem="0" numFmtId="164"/>
    <dataField fld="37" subtotal="count" baseField="0" baseItem="0" numFmtId="164"/>
  </dataFields>
  <formats count="79">
    <format dxfId="1434">
      <pivotArea outline="0" collapsedLevelsAreSubtotals="1" fieldPosition="0">
        <references count="1">
          <reference field="4294967294" count="1" selected="0">
            <x v="0"/>
          </reference>
        </references>
      </pivotArea>
    </format>
    <format dxfId="1433">
      <pivotArea dataOnly="0" labelOnly="1" outline="0" fieldPosition="0">
        <references count="1">
          <reference field="4294967294" count="1">
            <x v="0"/>
          </reference>
        </references>
      </pivotArea>
    </format>
    <format dxfId="1432">
      <pivotArea outline="0" collapsedLevelsAreSubtotals="1" fieldPosition="0">
        <references count="1">
          <reference field="4294967294" count="1" selected="0">
            <x v="2"/>
          </reference>
        </references>
      </pivotArea>
    </format>
    <format dxfId="1431">
      <pivotArea dataOnly="0" labelOnly="1" outline="0" fieldPosition="0">
        <references count="1">
          <reference field="4294967294" count="1">
            <x v="2"/>
          </reference>
        </references>
      </pivotArea>
    </format>
    <format dxfId="1430">
      <pivotArea outline="0" collapsedLevelsAreSubtotals="1" fieldPosition="0">
        <references count="1">
          <reference field="4294967294" count="1" selected="0">
            <x v="4"/>
          </reference>
        </references>
      </pivotArea>
    </format>
    <format dxfId="1429">
      <pivotArea dataOnly="0" labelOnly="1" outline="0" fieldPosition="0">
        <references count="1">
          <reference field="4294967294" count="1">
            <x v="4"/>
          </reference>
        </references>
      </pivotArea>
    </format>
    <format dxfId="1428">
      <pivotArea outline="0" collapsedLevelsAreSubtotals="1" fieldPosition="0">
        <references count="1">
          <reference field="4294967294" count="1" selected="0">
            <x v="2"/>
          </reference>
        </references>
      </pivotArea>
    </format>
    <format dxfId="1427">
      <pivotArea collapsedLevelsAreSubtotals="1" fieldPosition="0">
        <references count="2">
          <reference field="4294967294" count="6" selected="0">
            <x v="0"/>
            <x v="1"/>
            <x v="2"/>
            <x v="3"/>
            <x v="4"/>
            <x v="5"/>
          </reference>
          <reference field="0" count="1">
            <x v="0"/>
          </reference>
        </references>
      </pivotArea>
    </format>
    <format dxfId="1426">
      <pivotArea collapsedLevelsAreSubtotals="1" fieldPosition="0">
        <references count="3">
          <reference field="4294967294" count="6" selected="0">
            <x v="0"/>
            <x v="1"/>
            <x v="2"/>
            <x v="3"/>
            <x v="4"/>
            <x v="5"/>
          </reference>
          <reference field="0" count="1" selected="0">
            <x v="0"/>
          </reference>
          <reference field="1" count="12">
            <x v="0"/>
            <x v="1"/>
            <x v="2"/>
            <x v="3"/>
            <x v="4"/>
            <x v="5"/>
            <x v="6"/>
            <x v="7"/>
            <x v="8"/>
            <x v="9"/>
            <x v="10"/>
            <x v="11"/>
          </reference>
        </references>
      </pivotArea>
    </format>
    <format dxfId="1425">
      <pivotArea collapsedLevelsAreSubtotals="1" fieldPosition="0">
        <references count="2">
          <reference field="4294967294" count="6" selected="0">
            <x v="0"/>
            <x v="1"/>
            <x v="2"/>
            <x v="3"/>
            <x v="4"/>
            <x v="5"/>
          </reference>
          <reference field="0" count="1">
            <x v="1"/>
          </reference>
        </references>
      </pivotArea>
    </format>
    <format dxfId="1424">
      <pivotArea collapsedLevelsAreSubtotals="1" fieldPosition="0">
        <references count="3">
          <reference field="4294967294" count="6" selected="0">
            <x v="0"/>
            <x v="1"/>
            <x v="2"/>
            <x v="3"/>
            <x v="4"/>
            <x v="5"/>
          </reference>
          <reference field="0" count="1" selected="0">
            <x v="1"/>
          </reference>
          <reference field="1" count="9">
            <x v="0"/>
            <x v="1"/>
            <x v="2"/>
            <x v="3"/>
            <x v="5"/>
            <x v="6"/>
            <x v="7"/>
            <x v="10"/>
            <x v="11"/>
          </reference>
        </references>
      </pivotArea>
    </format>
    <format dxfId="1423">
      <pivotArea outline="0" collapsedLevelsAreSubtotals="1" fieldPosition="0">
        <references count="1">
          <reference field="4294967294" count="1" selected="0">
            <x v="6"/>
          </reference>
        </references>
      </pivotArea>
    </format>
    <format dxfId="1422">
      <pivotArea dataOnly="0" labelOnly="1" outline="0" fieldPosition="0">
        <references count="1">
          <reference field="4294967294" count="1">
            <x v="6"/>
          </reference>
        </references>
      </pivotArea>
    </format>
    <format dxfId="1421">
      <pivotArea outline="0" collapsedLevelsAreSubtotals="1" fieldPosition="0">
        <references count="1">
          <reference field="4294967294" count="1" selected="0">
            <x v="8"/>
          </reference>
        </references>
      </pivotArea>
    </format>
    <format dxfId="1420">
      <pivotArea dataOnly="0" labelOnly="1" outline="0" fieldPosition="0">
        <references count="1">
          <reference field="4294967294" count="1">
            <x v="8"/>
          </reference>
        </references>
      </pivotArea>
    </format>
    <format dxfId="1419">
      <pivotArea outline="0" collapsedLevelsAreSubtotals="1" fieldPosition="0">
        <references count="1">
          <reference field="4294967294" count="1" selected="0">
            <x v="10"/>
          </reference>
        </references>
      </pivotArea>
    </format>
    <format dxfId="1418">
      <pivotArea dataOnly="0" labelOnly="1" outline="0" fieldPosition="0">
        <references count="1">
          <reference field="4294967294" count="1">
            <x v="10"/>
          </reference>
        </references>
      </pivotArea>
    </format>
    <format dxfId="1417">
      <pivotArea outline="0" collapsedLevelsAreSubtotals="1" fieldPosition="0">
        <references count="1">
          <reference field="4294967294" count="2" selected="0">
            <x v="0"/>
            <x v="1"/>
          </reference>
        </references>
      </pivotArea>
    </format>
    <format dxfId="1416">
      <pivotArea dataOnly="0" labelOnly="1" outline="0" fieldPosition="0">
        <references count="1">
          <reference field="4294967294" count="2">
            <x v="0"/>
            <x v="1"/>
          </reference>
        </references>
      </pivotArea>
    </format>
    <format dxfId="1415">
      <pivotArea outline="0" collapsedLevelsAreSubtotals="1" fieldPosition="0">
        <references count="1">
          <reference field="4294967294" count="2" selected="0">
            <x v="2"/>
            <x v="3"/>
          </reference>
        </references>
      </pivotArea>
    </format>
    <format dxfId="1414">
      <pivotArea dataOnly="0" labelOnly="1" outline="0" fieldPosition="0">
        <references count="1">
          <reference field="4294967294" count="2">
            <x v="2"/>
            <x v="3"/>
          </reference>
        </references>
      </pivotArea>
    </format>
    <format dxfId="1413">
      <pivotArea outline="0" collapsedLevelsAreSubtotals="1" fieldPosition="0">
        <references count="1">
          <reference field="4294967294" count="2" selected="0">
            <x v="4"/>
            <x v="5"/>
          </reference>
        </references>
      </pivotArea>
    </format>
    <format dxfId="1412">
      <pivotArea dataOnly="0" labelOnly="1" outline="0" fieldPosition="0">
        <references count="1">
          <reference field="4294967294" count="2">
            <x v="4"/>
            <x v="5"/>
          </reference>
        </references>
      </pivotArea>
    </format>
    <format dxfId="1411">
      <pivotArea outline="0" collapsedLevelsAreSubtotals="1" fieldPosition="0">
        <references count="1">
          <reference field="4294967294" count="2" selected="0">
            <x v="6"/>
            <x v="7"/>
          </reference>
        </references>
      </pivotArea>
    </format>
    <format dxfId="1410">
      <pivotArea dataOnly="0" labelOnly="1" outline="0" fieldPosition="0">
        <references count="1">
          <reference field="4294967294" count="2">
            <x v="6"/>
            <x v="7"/>
          </reference>
        </references>
      </pivotArea>
    </format>
    <format dxfId="1409">
      <pivotArea outline="0" collapsedLevelsAreSubtotals="1" fieldPosition="0">
        <references count="1">
          <reference field="4294967294" count="2" selected="0">
            <x v="8"/>
            <x v="9"/>
          </reference>
        </references>
      </pivotArea>
    </format>
    <format dxfId="1408">
      <pivotArea dataOnly="0" labelOnly="1" outline="0" fieldPosition="0">
        <references count="1">
          <reference field="4294967294" count="2">
            <x v="8"/>
            <x v="9"/>
          </reference>
        </references>
      </pivotArea>
    </format>
    <format dxfId="1407">
      <pivotArea outline="0" collapsedLevelsAreSubtotals="1" fieldPosition="0">
        <references count="1">
          <reference field="4294967294" count="2" selected="0">
            <x v="10"/>
            <x v="11"/>
          </reference>
        </references>
      </pivotArea>
    </format>
    <format dxfId="1406">
      <pivotArea dataOnly="0" labelOnly="1" outline="0" fieldPosition="0">
        <references count="1">
          <reference field="4294967294" count="2">
            <x v="10"/>
            <x v="11"/>
          </reference>
        </references>
      </pivotArea>
    </format>
    <format dxfId="1405">
      <pivotArea outline="0" collapsedLevelsAreSubtotals="1" fieldPosition="0">
        <references count="1">
          <reference field="4294967294" count="1" selected="0">
            <x v="12"/>
          </reference>
        </references>
      </pivotArea>
    </format>
    <format dxfId="1404">
      <pivotArea dataOnly="0" labelOnly="1" outline="0" fieldPosition="0">
        <references count="1">
          <reference field="4294967294" count="1">
            <x v="12"/>
          </reference>
        </references>
      </pivotArea>
    </format>
    <format dxfId="1403">
      <pivotArea outline="0" collapsedLevelsAreSubtotals="1" fieldPosition="0">
        <references count="1">
          <reference field="4294967294" count="2" selected="0">
            <x v="12"/>
            <x v="13"/>
          </reference>
        </references>
      </pivotArea>
    </format>
    <format dxfId="1402">
      <pivotArea dataOnly="0" labelOnly="1" outline="0" fieldPosition="0">
        <references count="1">
          <reference field="4294967294" count="2">
            <x v="12"/>
            <x v="13"/>
          </reference>
        </references>
      </pivotArea>
    </format>
    <format dxfId="1401">
      <pivotArea outline="0" collapsedLevelsAreSubtotals="1" fieldPosition="0"/>
    </format>
    <format dxfId="1400">
      <pivotArea outline="0" collapsedLevelsAreSubtotals="1" fieldPosition="0">
        <references count="1">
          <reference field="4294967294" count="1" selected="0">
            <x v="16"/>
          </reference>
        </references>
      </pivotArea>
    </format>
    <format dxfId="1399">
      <pivotArea dataOnly="0" labelOnly="1" outline="0" fieldPosition="0">
        <references count="1">
          <reference field="4294967294" count="1">
            <x v="16"/>
          </reference>
        </references>
      </pivotArea>
    </format>
    <format dxfId="1398">
      <pivotArea outline="0" collapsedLevelsAreSubtotals="1" fieldPosition="0">
        <references count="1">
          <reference field="4294967294" count="1" selected="0">
            <x v="18"/>
          </reference>
        </references>
      </pivotArea>
    </format>
    <format dxfId="1397">
      <pivotArea dataOnly="0" labelOnly="1" outline="0" fieldPosition="0">
        <references count="1">
          <reference field="4294967294" count="1">
            <x v="18"/>
          </reference>
        </references>
      </pivotArea>
    </format>
    <format dxfId="1396">
      <pivotArea outline="0" collapsedLevelsAreSubtotals="1" fieldPosition="0">
        <references count="1">
          <reference field="4294967294" count="2" selected="0">
            <x v="16"/>
            <x v="17"/>
          </reference>
        </references>
      </pivotArea>
    </format>
    <format dxfId="1395">
      <pivotArea dataOnly="0" labelOnly="1" outline="0" fieldPosition="0">
        <references count="1">
          <reference field="4294967294" count="2">
            <x v="16"/>
            <x v="17"/>
          </reference>
        </references>
      </pivotArea>
    </format>
    <format dxfId="1394">
      <pivotArea outline="0" collapsedLevelsAreSubtotals="1" fieldPosition="0">
        <references count="1">
          <reference field="4294967294" count="2" selected="0">
            <x v="18"/>
            <x v="19"/>
          </reference>
        </references>
      </pivotArea>
    </format>
    <format dxfId="1393">
      <pivotArea dataOnly="0" labelOnly="1" outline="0" fieldPosition="0">
        <references count="1">
          <reference field="4294967294" count="2">
            <x v="18"/>
            <x v="19"/>
          </reference>
        </references>
      </pivotArea>
    </format>
    <format dxfId="1392">
      <pivotArea outline="0" collapsedLevelsAreSubtotals="1" fieldPosition="0">
        <references count="1">
          <reference field="4294967294" count="1" selected="0">
            <x v="20"/>
          </reference>
        </references>
      </pivotArea>
    </format>
    <format dxfId="1391">
      <pivotArea dataOnly="0" labelOnly="1" outline="0" fieldPosition="0">
        <references count="1">
          <reference field="4294967294" count="1">
            <x v="20"/>
          </reference>
        </references>
      </pivotArea>
    </format>
    <format dxfId="1390">
      <pivotArea dataOnly="0" outline="0" fieldPosition="0">
        <references count="1">
          <reference field="4294967294" count="1">
            <x v="22"/>
          </reference>
        </references>
      </pivotArea>
    </format>
    <format dxfId="1389">
      <pivotArea outline="0" collapsedLevelsAreSubtotals="1" fieldPosition="0">
        <references count="1">
          <reference field="4294967294" count="2" selected="0">
            <x v="20"/>
            <x v="21"/>
          </reference>
        </references>
      </pivotArea>
    </format>
    <format dxfId="1388">
      <pivotArea dataOnly="0" labelOnly="1" outline="0" fieldPosition="0">
        <references count="1">
          <reference field="4294967294" count="2">
            <x v="20"/>
            <x v="21"/>
          </reference>
        </references>
      </pivotArea>
    </format>
    <format dxfId="1387">
      <pivotArea dataOnly="0" outline="0" fieldPosition="0">
        <references count="1">
          <reference field="4294967294" count="2">
            <x v="22"/>
            <x v="23"/>
          </reference>
        </references>
      </pivotArea>
    </format>
    <format dxfId="1386">
      <pivotArea outline="0" collapsedLevelsAreSubtotals="1" fieldPosition="0">
        <references count="1">
          <reference field="4294967294" count="1" selected="0">
            <x v="24"/>
          </reference>
        </references>
      </pivotArea>
    </format>
    <format dxfId="1385">
      <pivotArea dataOnly="0" labelOnly="1" outline="0" fieldPosition="0">
        <references count="1">
          <reference field="4294967294" count="1">
            <x v="24"/>
          </reference>
        </references>
      </pivotArea>
    </format>
    <format dxfId="1384">
      <pivotArea outline="0" collapsedLevelsAreSubtotals="1" fieldPosition="0">
        <references count="1">
          <reference field="4294967294" count="1" selected="0">
            <x v="24"/>
          </reference>
        </references>
      </pivotArea>
    </format>
    <format dxfId="1383">
      <pivotArea dataOnly="0" labelOnly="1" outline="0" fieldPosition="0">
        <references count="1">
          <reference field="4294967294" count="1">
            <x v="24"/>
          </reference>
        </references>
      </pivotArea>
    </format>
    <format dxfId="1382">
      <pivotArea outline="0" collapsedLevelsAreSubtotals="1" fieldPosition="0">
        <references count="1">
          <reference field="4294967294" count="1" selected="0">
            <x v="26"/>
          </reference>
        </references>
      </pivotArea>
    </format>
    <format dxfId="1381">
      <pivotArea dataOnly="0" labelOnly="1" outline="0" fieldPosition="0">
        <references count="1">
          <reference field="4294967294" count="1">
            <x v="26"/>
          </reference>
        </references>
      </pivotArea>
    </format>
    <format dxfId="1380">
      <pivotArea outline="0" collapsedLevelsAreSubtotals="1" fieldPosition="0">
        <references count="1">
          <reference field="4294967294" count="2" selected="0">
            <x v="26"/>
            <x v="27"/>
          </reference>
        </references>
      </pivotArea>
    </format>
    <format dxfId="1379">
      <pivotArea dataOnly="0" labelOnly="1" outline="0" fieldPosition="0">
        <references count="1">
          <reference field="4294967294" count="2">
            <x v="26"/>
            <x v="27"/>
          </reference>
        </references>
      </pivotArea>
    </format>
    <format dxfId="1378">
      <pivotArea dataOnly="0" outline="0" fieldPosition="0">
        <references count="1">
          <reference field="4294967294" count="1">
            <x v="28"/>
          </reference>
        </references>
      </pivotArea>
    </format>
    <format dxfId="1377">
      <pivotArea outline="0" collapsedLevelsAreSubtotals="1" fieldPosition="0">
        <references count="1">
          <reference field="4294967294" count="2" selected="0">
            <x v="28"/>
            <x v="29"/>
          </reference>
        </references>
      </pivotArea>
    </format>
    <format dxfId="1376">
      <pivotArea dataOnly="0" labelOnly="1" outline="0" fieldPosition="0">
        <references count="1">
          <reference field="4294967294" count="2">
            <x v="28"/>
            <x v="29"/>
          </reference>
        </references>
      </pivotArea>
    </format>
    <format dxfId="1375">
      <pivotArea outline="0" collapsedLevelsAreSubtotals="1" fieldPosition="0">
        <references count="1">
          <reference field="4294967294" count="1" selected="0">
            <x v="30"/>
          </reference>
        </references>
      </pivotArea>
    </format>
    <format dxfId="1374">
      <pivotArea dataOnly="0" labelOnly="1" outline="0" fieldPosition="0">
        <references count="1">
          <reference field="4294967294" count="1">
            <x v="30"/>
          </reference>
        </references>
      </pivotArea>
    </format>
    <format dxfId="1373">
      <pivotArea outline="0" collapsedLevelsAreSubtotals="1" fieldPosition="0">
        <references count="1">
          <reference field="4294967294" count="2" selected="0">
            <x v="30"/>
            <x v="31"/>
          </reference>
        </references>
      </pivotArea>
    </format>
    <format dxfId="1372">
      <pivotArea dataOnly="0" labelOnly="1" outline="0" fieldPosition="0">
        <references count="1">
          <reference field="4294967294" count="2">
            <x v="30"/>
            <x v="31"/>
          </reference>
        </references>
      </pivotArea>
    </format>
    <format dxfId="1371">
      <pivotArea outline="0" collapsedLevelsAreSubtotals="1" fieldPosition="0">
        <references count="1">
          <reference field="4294967294" count="2" selected="0">
            <x v="26"/>
            <x v="27"/>
          </reference>
        </references>
      </pivotArea>
    </format>
    <format dxfId="1370">
      <pivotArea dataOnly="0" labelOnly="1" outline="0" fieldPosition="0">
        <references count="1">
          <reference field="4294967294" count="2">
            <x v="26"/>
            <x v="27"/>
          </reference>
        </references>
      </pivotArea>
    </format>
    <format dxfId="1369">
      <pivotArea outline="0" collapsedLevelsAreSubtotals="1" fieldPosition="0">
        <references count="1">
          <reference field="4294967294" count="1" selected="0">
            <x v="14"/>
          </reference>
        </references>
      </pivotArea>
    </format>
    <format dxfId="1368">
      <pivotArea dataOnly="0" labelOnly="1" outline="0" fieldPosition="0">
        <references count="1">
          <reference field="4294967294" count="1">
            <x v="14"/>
          </reference>
        </references>
      </pivotArea>
    </format>
    <format dxfId="1367">
      <pivotArea outline="0" collapsedLevelsAreSubtotals="1" fieldPosition="0">
        <references count="1">
          <reference field="4294967294" count="1" selected="0">
            <x v="32"/>
          </reference>
        </references>
      </pivotArea>
    </format>
    <format dxfId="1366">
      <pivotArea dataOnly="0" labelOnly="1" outline="0" fieldPosition="0">
        <references count="1">
          <reference field="4294967294" count="1">
            <x v="32"/>
          </reference>
        </references>
      </pivotArea>
    </format>
    <format dxfId="1365">
      <pivotArea outline="0" collapsedLevelsAreSubtotals="1" fieldPosition="0">
        <references count="1">
          <reference field="4294967294" count="2" selected="0">
            <x v="32"/>
            <x v="33"/>
          </reference>
        </references>
      </pivotArea>
    </format>
    <format dxfId="1364">
      <pivotArea dataOnly="0" labelOnly="1" outline="0" fieldPosition="0">
        <references count="1">
          <reference field="4294967294" count="2">
            <x v="32"/>
            <x v="33"/>
          </reference>
        </references>
      </pivotArea>
    </format>
    <format dxfId="1363">
      <pivotArea outline="0" collapsedLevelsAreSubtotals="1" fieldPosition="0">
        <references count="1">
          <reference field="4294967294" count="2" selected="0">
            <x v="34"/>
            <x v="35"/>
          </reference>
        </references>
      </pivotArea>
    </format>
    <format dxfId="1362">
      <pivotArea dataOnly="0" labelOnly="1" outline="0" fieldPosition="0">
        <references count="1">
          <reference field="4294967294" count="2">
            <x v="34"/>
            <x v="35"/>
          </reference>
        </references>
      </pivotArea>
    </format>
    <format dxfId="1361">
      <pivotArea outline="0" collapsedLevelsAreSubtotals="1" fieldPosition="0">
        <references count="1">
          <reference field="4294967294" count="1" selected="0">
            <x v="34"/>
          </reference>
        </references>
      </pivotArea>
    </format>
    <format dxfId="1360">
      <pivotArea dataOnly="0" labelOnly="1" outline="0" fieldPosition="0">
        <references count="1">
          <reference field="4294967294" count="1">
            <x v="34"/>
          </reference>
        </references>
      </pivotArea>
    </format>
    <format dxfId="1359">
      <pivotArea outline="0" collapsedLevelsAreSubtotals="1" fieldPosition="0">
        <references count="1">
          <reference field="4294967294" count="2" selected="0">
            <x v="34"/>
            <x v="35"/>
          </reference>
        </references>
      </pivotArea>
    </format>
    <format dxfId="1358">
      <pivotArea dataOnly="0" labelOnly="1" outline="0" fieldPosition="0">
        <references count="1">
          <reference field="4294967294" count="2">
            <x v="34"/>
            <x v="35"/>
          </reference>
        </references>
      </pivotArea>
    </format>
    <format dxfId="1357">
      <pivotArea outline="0" collapsedLevelsAreSubtotals="1" fieldPosition="0">
        <references count="1">
          <reference field="4294967294" count="1" selected="0">
            <x v="34"/>
          </reference>
        </references>
      </pivotArea>
    </format>
    <format dxfId="1356">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0"/>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85E600E-7E12-4334-B043-D526325F00C2}" name="PivotTable10" cacheId="96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31:AK47" firstHeaderRow="0" firstDataRow="1" firstDataCol="1" rowPageCount="1" colPageCount="1"/>
  <pivotFields count="38">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Fields count="1">
    <field x="0"/>
  </rowFields>
  <rowItems count="16">
    <i>
      <x/>
    </i>
    <i>
      <x v="1"/>
    </i>
    <i>
      <x v="2"/>
    </i>
    <i>
      <x v="3"/>
    </i>
    <i>
      <x v="4"/>
    </i>
    <i>
      <x v="5"/>
    </i>
    <i>
      <x v="6"/>
    </i>
    <i>
      <x v="7"/>
    </i>
    <i>
      <x v="8"/>
    </i>
    <i>
      <x v="9"/>
    </i>
    <i>
      <x v="10"/>
    </i>
    <i>
      <x v="11"/>
    </i>
    <i>
      <x v="12"/>
    </i>
    <i>
      <x v="13"/>
    </i>
    <i>
      <x v="14"/>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7]" cap="7"/>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980">
      <pivotArea outline="0" collapsedLevelsAreSubtotals="1" fieldPosition="0">
        <references count="1">
          <reference field="4294967294" count="1" selected="0">
            <x v="0"/>
          </reference>
        </references>
      </pivotArea>
    </format>
    <format dxfId="979">
      <pivotArea dataOnly="0" labelOnly="1" outline="0" fieldPosition="0">
        <references count="1">
          <reference field="4294967294" count="1">
            <x v="0"/>
          </reference>
        </references>
      </pivotArea>
    </format>
    <format dxfId="978">
      <pivotArea outline="0" collapsedLevelsAreSubtotals="1" fieldPosition="0">
        <references count="1">
          <reference field="4294967294" count="1" selected="0">
            <x v="2"/>
          </reference>
        </references>
      </pivotArea>
    </format>
    <format dxfId="977">
      <pivotArea dataOnly="0" labelOnly="1" outline="0" fieldPosition="0">
        <references count="1">
          <reference field="4294967294" count="1">
            <x v="2"/>
          </reference>
        </references>
      </pivotArea>
    </format>
    <format dxfId="976">
      <pivotArea outline="0" collapsedLevelsAreSubtotals="1" fieldPosition="0">
        <references count="1">
          <reference field="4294967294" count="1" selected="0">
            <x v="4"/>
          </reference>
        </references>
      </pivotArea>
    </format>
    <format dxfId="975">
      <pivotArea dataOnly="0" labelOnly="1" outline="0" fieldPosition="0">
        <references count="1">
          <reference field="4294967294" count="1">
            <x v="4"/>
          </reference>
        </references>
      </pivotArea>
    </format>
    <format dxfId="974">
      <pivotArea outline="0" collapsedLevelsAreSubtotals="1" fieldPosition="0">
        <references count="1">
          <reference field="4294967294" count="1" selected="0">
            <x v="2"/>
          </reference>
        </references>
      </pivotArea>
    </format>
    <format dxfId="973">
      <pivotArea outline="0" collapsedLevelsAreSubtotals="1" fieldPosition="0">
        <references count="1">
          <reference field="4294967294" count="1" selected="0">
            <x v="6"/>
          </reference>
        </references>
      </pivotArea>
    </format>
    <format dxfId="972">
      <pivotArea dataOnly="0" labelOnly="1" outline="0" fieldPosition="0">
        <references count="1">
          <reference field="4294967294" count="1">
            <x v="6"/>
          </reference>
        </references>
      </pivotArea>
    </format>
    <format dxfId="971">
      <pivotArea outline="0" collapsedLevelsAreSubtotals="1" fieldPosition="0">
        <references count="1">
          <reference field="4294967294" count="1" selected="0">
            <x v="8"/>
          </reference>
        </references>
      </pivotArea>
    </format>
    <format dxfId="970">
      <pivotArea dataOnly="0" labelOnly="1" outline="0" fieldPosition="0">
        <references count="1">
          <reference field="4294967294" count="1">
            <x v="8"/>
          </reference>
        </references>
      </pivotArea>
    </format>
    <format dxfId="969">
      <pivotArea outline="0" collapsedLevelsAreSubtotals="1" fieldPosition="0">
        <references count="1">
          <reference field="4294967294" count="1" selected="0">
            <x v="10"/>
          </reference>
        </references>
      </pivotArea>
    </format>
    <format dxfId="968">
      <pivotArea dataOnly="0" labelOnly="1" outline="0" fieldPosition="0">
        <references count="1">
          <reference field="4294967294" count="1">
            <x v="10"/>
          </reference>
        </references>
      </pivotArea>
    </format>
    <format dxfId="967">
      <pivotArea outline="0" collapsedLevelsAreSubtotals="1" fieldPosition="0">
        <references count="1">
          <reference field="4294967294" count="2" selected="0">
            <x v="0"/>
            <x v="1"/>
          </reference>
        </references>
      </pivotArea>
    </format>
    <format dxfId="966">
      <pivotArea dataOnly="0" labelOnly="1" outline="0" fieldPosition="0">
        <references count="1">
          <reference field="4294967294" count="2">
            <x v="0"/>
            <x v="1"/>
          </reference>
        </references>
      </pivotArea>
    </format>
    <format dxfId="965">
      <pivotArea outline="0" collapsedLevelsAreSubtotals="1" fieldPosition="0">
        <references count="1">
          <reference field="4294967294" count="2" selected="0">
            <x v="2"/>
            <x v="3"/>
          </reference>
        </references>
      </pivotArea>
    </format>
    <format dxfId="964">
      <pivotArea dataOnly="0" labelOnly="1" outline="0" fieldPosition="0">
        <references count="1">
          <reference field="4294967294" count="2">
            <x v="2"/>
            <x v="3"/>
          </reference>
        </references>
      </pivotArea>
    </format>
    <format dxfId="963">
      <pivotArea outline="0" collapsedLevelsAreSubtotals="1" fieldPosition="0">
        <references count="1">
          <reference field="4294967294" count="2" selected="0">
            <x v="4"/>
            <x v="5"/>
          </reference>
        </references>
      </pivotArea>
    </format>
    <format dxfId="962">
      <pivotArea dataOnly="0" labelOnly="1" outline="0" fieldPosition="0">
        <references count="1">
          <reference field="4294967294" count="2">
            <x v="4"/>
            <x v="5"/>
          </reference>
        </references>
      </pivotArea>
    </format>
    <format dxfId="961">
      <pivotArea outline="0" collapsedLevelsAreSubtotals="1" fieldPosition="0">
        <references count="1">
          <reference field="4294967294" count="2" selected="0">
            <x v="6"/>
            <x v="7"/>
          </reference>
        </references>
      </pivotArea>
    </format>
    <format dxfId="960">
      <pivotArea dataOnly="0" labelOnly="1" outline="0" fieldPosition="0">
        <references count="1">
          <reference field="4294967294" count="2">
            <x v="6"/>
            <x v="7"/>
          </reference>
        </references>
      </pivotArea>
    </format>
    <format dxfId="959">
      <pivotArea outline="0" collapsedLevelsAreSubtotals="1" fieldPosition="0">
        <references count="1">
          <reference field="4294967294" count="2" selected="0">
            <x v="8"/>
            <x v="9"/>
          </reference>
        </references>
      </pivotArea>
    </format>
    <format dxfId="958">
      <pivotArea dataOnly="0" labelOnly="1" outline="0" fieldPosition="0">
        <references count="1">
          <reference field="4294967294" count="2">
            <x v="8"/>
            <x v="9"/>
          </reference>
        </references>
      </pivotArea>
    </format>
    <format dxfId="957">
      <pivotArea outline="0" collapsedLevelsAreSubtotals="1" fieldPosition="0">
        <references count="1">
          <reference field="4294967294" count="2" selected="0">
            <x v="10"/>
            <x v="11"/>
          </reference>
        </references>
      </pivotArea>
    </format>
    <format dxfId="956">
      <pivotArea dataOnly="0" labelOnly="1" outline="0" fieldPosition="0">
        <references count="1">
          <reference field="4294967294" count="2">
            <x v="10"/>
            <x v="11"/>
          </reference>
        </references>
      </pivotArea>
    </format>
    <format dxfId="955">
      <pivotArea outline="0" collapsedLevelsAreSubtotals="1" fieldPosition="0">
        <references count="1">
          <reference field="4294967294" count="1" selected="0">
            <x v="12"/>
          </reference>
        </references>
      </pivotArea>
    </format>
    <format dxfId="954">
      <pivotArea dataOnly="0" labelOnly="1" outline="0" fieldPosition="0">
        <references count="1">
          <reference field="4294967294" count="1">
            <x v="12"/>
          </reference>
        </references>
      </pivotArea>
    </format>
    <format dxfId="953">
      <pivotArea outline="0" collapsedLevelsAreSubtotals="1" fieldPosition="0">
        <references count="1">
          <reference field="4294967294" count="2" selected="0">
            <x v="12"/>
            <x v="13"/>
          </reference>
        </references>
      </pivotArea>
    </format>
    <format dxfId="952">
      <pivotArea dataOnly="0" labelOnly="1" outline="0" fieldPosition="0">
        <references count="1">
          <reference field="4294967294" count="2">
            <x v="12"/>
            <x v="13"/>
          </reference>
        </references>
      </pivotArea>
    </format>
    <format dxfId="951">
      <pivotArea outline="0" collapsedLevelsAreSubtotals="1" fieldPosition="0"/>
    </format>
    <format dxfId="950">
      <pivotArea outline="0" collapsedLevelsAreSubtotals="1" fieldPosition="0">
        <references count="1">
          <reference field="4294967294" count="1" selected="0">
            <x v="16"/>
          </reference>
        </references>
      </pivotArea>
    </format>
    <format dxfId="949">
      <pivotArea dataOnly="0" labelOnly="1" outline="0" fieldPosition="0">
        <references count="1">
          <reference field="4294967294" count="1">
            <x v="16"/>
          </reference>
        </references>
      </pivotArea>
    </format>
    <format dxfId="948">
      <pivotArea outline="0" collapsedLevelsAreSubtotals="1" fieldPosition="0">
        <references count="1">
          <reference field="4294967294" count="1" selected="0">
            <x v="18"/>
          </reference>
        </references>
      </pivotArea>
    </format>
    <format dxfId="947">
      <pivotArea dataOnly="0" labelOnly="1" outline="0" fieldPosition="0">
        <references count="1">
          <reference field="4294967294" count="1">
            <x v="18"/>
          </reference>
        </references>
      </pivotArea>
    </format>
    <format dxfId="946">
      <pivotArea outline="0" collapsedLevelsAreSubtotals="1" fieldPosition="0">
        <references count="1">
          <reference field="4294967294" count="2" selected="0">
            <x v="16"/>
            <x v="17"/>
          </reference>
        </references>
      </pivotArea>
    </format>
    <format dxfId="945">
      <pivotArea dataOnly="0" labelOnly="1" outline="0" fieldPosition="0">
        <references count="1">
          <reference field="4294967294" count="2">
            <x v="16"/>
            <x v="17"/>
          </reference>
        </references>
      </pivotArea>
    </format>
    <format dxfId="944">
      <pivotArea outline="0" collapsedLevelsAreSubtotals="1" fieldPosition="0">
        <references count="1">
          <reference field="4294967294" count="2" selected="0">
            <x v="18"/>
            <x v="19"/>
          </reference>
        </references>
      </pivotArea>
    </format>
    <format dxfId="943">
      <pivotArea dataOnly="0" labelOnly="1" outline="0" fieldPosition="0">
        <references count="1">
          <reference field="4294967294" count="2">
            <x v="18"/>
            <x v="19"/>
          </reference>
        </references>
      </pivotArea>
    </format>
    <format dxfId="942">
      <pivotArea outline="0" collapsedLevelsAreSubtotals="1" fieldPosition="0">
        <references count="1">
          <reference field="4294967294" count="1" selected="0">
            <x v="20"/>
          </reference>
        </references>
      </pivotArea>
    </format>
    <format dxfId="941">
      <pivotArea dataOnly="0" labelOnly="1" outline="0" fieldPosition="0">
        <references count="1">
          <reference field="4294967294" count="1">
            <x v="20"/>
          </reference>
        </references>
      </pivotArea>
    </format>
    <format dxfId="940">
      <pivotArea dataOnly="0" outline="0" fieldPosition="0">
        <references count="1">
          <reference field="4294967294" count="1">
            <x v="22"/>
          </reference>
        </references>
      </pivotArea>
    </format>
    <format dxfId="939">
      <pivotArea outline="0" collapsedLevelsAreSubtotals="1" fieldPosition="0">
        <references count="1">
          <reference field="4294967294" count="2" selected="0">
            <x v="20"/>
            <x v="21"/>
          </reference>
        </references>
      </pivotArea>
    </format>
    <format dxfId="938">
      <pivotArea dataOnly="0" labelOnly="1" outline="0" fieldPosition="0">
        <references count="1">
          <reference field="4294967294" count="2">
            <x v="20"/>
            <x v="21"/>
          </reference>
        </references>
      </pivotArea>
    </format>
    <format dxfId="937">
      <pivotArea dataOnly="0" outline="0" fieldPosition="0">
        <references count="1">
          <reference field="4294967294" count="2">
            <x v="22"/>
            <x v="23"/>
          </reference>
        </references>
      </pivotArea>
    </format>
    <format dxfId="936">
      <pivotArea outline="0" collapsedLevelsAreSubtotals="1" fieldPosition="0">
        <references count="1">
          <reference field="4294967294" count="1" selected="0">
            <x v="24"/>
          </reference>
        </references>
      </pivotArea>
    </format>
    <format dxfId="935">
      <pivotArea dataOnly="0" labelOnly="1" outline="0" fieldPosition="0">
        <references count="1">
          <reference field="4294967294" count="1">
            <x v="24"/>
          </reference>
        </references>
      </pivotArea>
    </format>
    <format dxfId="934">
      <pivotArea outline="0" collapsedLevelsAreSubtotals="1" fieldPosition="0">
        <references count="1">
          <reference field="4294967294" count="1" selected="0">
            <x v="24"/>
          </reference>
        </references>
      </pivotArea>
    </format>
    <format dxfId="933">
      <pivotArea dataOnly="0" labelOnly="1" outline="0" fieldPosition="0">
        <references count="1">
          <reference field="4294967294" count="1">
            <x v="24"/>
          </reference>
        </references>
      </pivotArea>
    </format>
    <format dxfId="932">
      <pivotArea outline="0" collapsedLevelsAreSubtotals="1" fieldPosition="0">
        <references count="1">
          <reference field="4294967294" count="1" selected="0">
            <x v="26"/>
          </reference>
        </references>
      </pivotArea>
    </format>
    <format dxfId="931">
      <pivotArea dataOnly="0" labelOnly="1" outline="0" fieldPosition="0">
        <references count="1">
          <reference field="4294967294" count="1">
            <x v="26"/>
          </reference>
        </references>
      </pivotArea>
    </format>
    <format dxfId="930">
      <pivotArea outline="0" collapsedLevelsAreSubtotals="1" fieldPosition="0">
        <references count="1">
          <reference field="4294967294" count="2" selected="0">
            <x v="26"/>
            <x v="27"/>
          </reference>
        </references>
      </pivotArea>
    </format>
    <format dxfId="929">
      <pivotArea dataOnly="0" labelOnly="1" outline="0" fieldPosition="0">
        <references count="1">
          <reference field="4294967294" count="2">
            <x v="26"/>
            <x v="27"/>
          </reference>
        </references>
      </pivotArea>
    </format>
    <format dxfId="928">
      <pivotArea dataOnly="0" outline="0" fieldPosition="0">
        <references count="1">
          <reference field="4294967294" count="1">
            <x v="28"/>
          </reference>
        </references>
      </pivotArea>
    </format>
    <format dxfId="927">
      <pivotArea outline="0" collapsedLevelsAreSubtotals="1" fieldPosition="0">
        <references count="1">
          <reference field="4294967294" count="2" selected="0">
            <x v="28"/>
            <x v="29"/>
          </reference>
        </references>
      </pivotArea>
    </format>
    <format dxfId="926">
      <pivotArea dataOnly="0" labelOnly="1" outline="0" fieldPosition="0">
        <references count="1">
          <reference field="4294967294" count="2">
            <x v="28"/>
            <x v="29"/>
          </reference>
        </references>
      </pivotArea>
    </format>
    <format dxfId="925">
      <pivotArea outline="0" collapsedLevelsAreSubtotals="1" fieldPosition="0">
        <references count="1">
          <reference field="4294967294" count="1" selected="0">
            <x v="30"/>
          </reference>
        </references>
      </pivotArea>
    </format>
    <format dxfId="924">
      <pivotArea dataOnly="0" labelOnly="1" outline="0" fieldPosition="0">
        <references count="1">
          <reference field="4294967294" count="1">
            <x v="30"/>
          </reference>
        </references>
      </pivotArea>
    </format>
    <format dxfId="923">
      <pivotArea outline="0" collapsedLevelsAreSubtotals="1" fieldPosition="0">
        <references count="1">
          <reference field="4294967294" count="2" selected="0">
            <x v="30"/>
            <x v="31"/>
          </reference>
        </references>
      </pivotArea>
    </format>
    <format dxfId="922">
      <pivotArea dataOnly="0" labelOnly="1" outline="0" fieldPosition="0">
        <references count="1">
          <reference field="4294967294" count="2">
            <x v="30"/>
            <x v="31"/>
          </reference>
        </references>
      </pivotArea>
    </format>
    <format dxfId="921">
      <pivotArea outline="0" collapsedLevelsAreSubtotals="1" fieldPosition="0">
        <references count="1">
          <reference field="4294967294" count="2" selected="0">
            <x v="26"/>
            <x v="27"/>
          </reference>
        </references>
      </pivotArea>
    </format>
    <format dxfId="920">
      <pivotArea dataOnly="0" labelOnly="1" outline="0" fieldPosition="0">
        <references count="1">
          <reference field="4294967294" count="2">
            <x v="26"/>
            <x v="27"/>
          </reference>
        </references>
      </pivotArea>
    </format>
    <format dxfId="919">
      <pivotArea outline="0" collapsedLevelsAreSubtotals="1" fieldPosition="0">
        <references count="1">
          <reference field="4294967294" count="1" selected="0">
            <x v="14"/>
          </reference>
        </references>
      </pivotArea>
    </format>
    <format dxfId="918">
      <pivotArea dataOnly="0" labelOnly="1" outline="0" fieldPosition="0">
        <references count="1">
          <reference field="4294967294" count="1">
            <x v="14"/>
          </reference>
        </references>
      </pivotArea>
    </format>
    <format dxfId="917">
      <pivotArea outline="0" collapsedLevelsAreSubtotals="1" fieldPosition="0">
        <references count="1">
          <reference field="4294967294" count="1" selected="0">
            <x v="32"/>
          </reference>
        </references>
      </pivotArea>
    </format>
    <format dxfId="916">
      <pivotArea dataOnly="0" labelOnly="1" outline="0" fieldPosition="0">
        <references count="1">
          <reference field="4294967294" count="1">
            <x v="32"/>
          </reference>
        </references>
      </pivotArea>
    </format>
    <format dxfId="915">
      <pivotArea outline="0" collapsedLevelsAreSubtotals="1" fieldPosition="0">
        <references count="1">
          <reference field="4294967294" count="2" selected="0">
            <x v="32"/>
            <x v="33"/>
          </reference>
        </references>
      </pivotArea>
    </format>
    <format dxfId="914">
      <pivotArea dataOnly="0" labelOnly="1" outline="0" fieldPosition="0">
        <references count="1">
          <reference field="4294967294" count="2">
            <x v="32"/>
            <x v="33"/>
          </reference>
        </references>
      </pivotArea>
    </format>
    <format dxfId="913">
      <pivotArea outline="0" collapsedLevelsAreSubtotals="1" fieldPosition="0">
        <references count="1">
          <reference field="4294967294" count="2" selected="0">
            <x v="34"/>
            <x v="35"/>
          </reference>
        </references>
      </pivotArea>
    </format>
    <format dxfId="912">
      <pivotArea dataOnly="0" labelOnly="1" outline="0" fieldPosition="0">
        <references count="1">
          <reference field="4294967294" count="2">
            <x v="34"/>
            <x v="35"/>
          </reference>
        </references>
      </pivotArea>
    </format>
    <format dxfId="911">
      <pivotArea outline="0" collapsedLevelsAreSubtotals="1" fieldPosition="0">
        <references count="1">
          <reference field="4294967294" count="1" selected="0">
            <x v="34"/>
          </reference>
        </references>
      </pivotArea>
    </format>
    <format dxfId="910">
      <pivotArea dataOnly="0" labelOnly="1" outline="0" fieldPosition="0">
        <references count="1">
          <reference field="4294967294" count="1">
            <x v="34"/>
          </reference>
        </references>
      </pivotArea>
    </format>
    <format dxfId="909">
      <pivotArea outline="0" collapsedLevelsAreSubtotals="1" fieldPosition="0">
        <references count="1">
          <reference field="4294967294" count="2" selected="0">
            <x v="34"/>
            <x v="35"/>
          </reference>
        </references>
      </pivotArea>
    </format>
    <format dxfId="908">
      <pivotArea dataOnly="0" labelOnly="1" outline="0" fieldPosition="0">
        <references count="1">
          <reference field="4294967294" count="2">
            <x v="34"/>
            <x v="35"/>
          </reference>
        </references>
      </pivotArea>
    </format>
    <format dxfId="907">
      <pivotArea outline="0" collapsedLevelsAreSubtotals="1" fieldPosition="0">
        <references count="1">
          <reference field="4294967294" count="1" selected="0">
            <x v="34"/>
          </reference>
        </references>
      </pivotArea>
    </format>
    <format dxfId="906">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4" level="1">
        <member name="[Range 1].[Type].&amp;[7]"/>
        <member name="[Range 1].[Type].&amp;[8]"/>
        <member name="[Range 1].[Type].&amp;[9]"/>
        <member name="[Range 1].[Type].&amp;[1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563D897-5DAD-413F-BAC7-0189EB81E9E5}" name="PivotTable9" cacheId="95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4:AK19" firstHeaderRow="0" firstDataRow="1" firstDataCol="1" rowPageCount="1" colPageCount="1"/>
  <pivotFields count="38">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Fields count="1">
    <field x="0"/>
  </rowFields>
  <rowItems count="15">
    <i>
      <x/>
    </i>
    <i>
      <x v="1"/>
    </i>
    <i>
      <x v="2"/>
    </i>
    <i>
      <x v="3"/>
    </i>
    <i>
      <x v="4"/>
    </i>
    <i>
      <x v="5"/>
    </i>
    <i>
      <x v="6"/>
    </i>
    <i>
      <x v="7"/>
    </i>
    <i>
      <x v="8"/>
    </i>
    <i>
      <x v="9"/>
    </i>
    <i>
      <x v="10"/>
    </i>
    <i>
      <x v="11"/>
    </i>
    <i>
      <x v="12"/>
    </i>
    <i>
      <x v="13"/>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1]" cap="1"/>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055">
      <pivotArea outline="0" collapsedLevelsAreSubtotals="1" fieldPosition="0">
        <references count="1">
          <reference field="4294967294" count="1" selected="0">
            <x v="0"/>
          </reference>
        </references>
      </pivotArea>
    </format>
    <format dxfId="1054">
      <pivotArea dataOnly="0" labelOnly="1" outline="0" fieldPosition="0">
        <references count="1">
          <reference field="4294967294" count="1">
            <x v="0"/>
          </reference>
        </references>
      </pivotArea>
    </format>
    <format dxfId="1053">
      <pivotArea outline="0" collapsedLevelsAreSubtotals="1" fieldPosition="0">
        <references count="1">
          <reference field="4294967294" count="1" selected="0">
            <x v="2"/>
          </reference>
        </references>
      </pivotArea>
    </format>
    <format dxfId="1052">
      <pivotArea dataOnly="0" labelOnly="1" outline="0" fieldPosition="0">
        <references count="1">
          <reference field="4294967294" count="1">
            <x v="2"/>
          </reference>
        </references>
      </pivotArea>
    </format>
    <format dxfId="1051">
      <pivotArea outline="0" collapsedLevelsAreSubtotals="1" fieldPosition="0">
        <references count="1">
          <reference field="4294967294" count="1" selected="0">
            <x v="4"/>
          </reference>
        </references>
      </pivotArea>
    </format>
    <format dxfId="1050">
      <pivotArea dataOnly="0" labelOnly="1" outline="0" fieldPosition="0">
        <references count="1">
          <reference field="4294967294" count="1">
            <x v="4"/>
          </reference>
        </references>
      </pivotArea>
    </format>
    <format dxfId="1049">
      <pivotArea outline="0" collapsedLevelsAreSubtotals="1" fieldPosition="0">
        <references count="1">
          <reference field="4294967294" count="1" selected="0">
            <x v="2"/>
          </reference>
        </references>
      </pivotArea>
    </format>
    <format dxfId="1048">
      <pivotArea outline="0" collapsedLevelsAreSubtotals="1" fieldPosition="0">
        <references count="1">
          <reference field="4294967294" count="1" selected="0">
            <x v="6"/>
          </reference>
        </references>
      </pivotArea>
    </format>
    <format dxfId="1047">
      <pivotArea dataOnly="0" labelOnly="1" outline="0" fieldPosition="0">
        <references count="1">
          <reference field="4294967294" count="1">
            <x v="6"/>
          </reference>
        </references>
      </pivotArea>
    </format>
    <format dxfId="1046">
      <pivotArea outline="0" collapsedLevelsAreSubtotals="1" fieldPosition="0">
        <references count="1">
          <reference field="4294967294" count="1" selected="0">
            <x v="8"/>
          </reference>
        </references>
      </pivotArea>
    </format>
    <format dxfId="1045">
      <pivotArea dataOnly="0" labelOnly="1" outline="0" fieldPosition="0">
        <references count="1">
          <reference field="4294967294" count="1">
            <x v="8"/>
          </reference>
        </references>
      </pivotArea>
    </format>
    <format dxfId="1044">
      <pivotArea outline="0" collapsedLevelsAreSubtotals="1" fieldPosition="0">
        <references count="1">
          <reference field="4294967294" count="1" selected="0">
            <x v="10"/>
          </reference>
        </references>
      </pivotArea>
    </format>
    <format dxfId="1043">
      <pivotArea dataOnly="0" labelOnly="1" outline="0" fieldPosition="0">
        <references count="1">
          <reference field="4294967294" count="1">
            <x v="10"/>
          </reference>
        </references>
      </pivotArea>
    </format>
    <format dxfId="1042">
      <pivotArea outline="0" collapsedLevelsAreSubtotals="1" fieldPosition="0">
        <references count="1">
          <reference field="4294967294" count="2" selected="0">
            <x v="0"/>
            <x v="1"/>
          </reference>
        </references>
      </pivotArea>
    </format>
    <format dxfId="1041">
      <pivotArea dataOnly="0" labelOnly="1" outline="0" fieldPosition="0">
        <references count="1">
          <reference field="4294967294" count="2">
            <x v="0"/>
            <x v="1"/>
          </reference>
        </references>
      </pivotArea>
    </format>
    <format dxfId="1040">
      <pivotArea outline="0" collapsedLevelsAreSubtotals="1" fieldPosition="0">
        <references count="1">
          <reference field="4294967294" count="2" selected="0">
            <x v="2"/>
            <x v="3"/>
          </reference>
        </references>
      </pivotArea>
    </format>
    <format dxfId="1039">
      <pivotArea dataOnly="0" labelOnly="1" outline="0" fieldPosition="0">
        <references count="1">
          <reference field="4294967294" count="2">
            <x v="2"/>
            <x v="3"/>
          </reference>
        </references>
      </pivotArea>
    </format>
    <format dxfId="1038">
      <pivotArea outline="0" collapsedLevelsAreSubtotals="1" fieldPosition="0">
        <references count="1">
          <reference field="4294967294" count="2" selected="0">
            <x v="4"/>
            <x v="5"/>
          </reference>
        </references>
      </pivotArea>
    </format>
    <format dxfId="1037">
      <pivotArea dataOnly="0" labelOnly="1" outline="0" fieldPosition="0">
        <references count="1">
          <reference field="4294967294" count="2">
            <x v="4"/>
            <x v="5"/>
          </reference>
        </references>
      </pivotArea>
    </format>
    <format dxfId="1036">
      <pivotArea outline="0" collapsedLevelsAreSubtotals="1" fieldPosition="0">
        <references count="1">
          <reference field="4294967294" count="2" selected="0">
            <x v="6"/>
            <x v="7"/>
          </reference>
        </references>
      </pivotArea>
    </format>
    <format dxfId="1035">
      <pivotArea dataOnly="0" labelOnly="1" outline="0" fieldPosition="0">
        <references count="1">
          <reference field="4294967294" count="2">
            <x v="6"/>
            <x v="7"/>
          </reference>
        </references>
      </pivotArea>
    </format>
    <format dxfId="1034">
      <pivotArea outline="0" collapsedLevelsAreSubtotals="1" fieldPosition="0">
        <references count="1">
          <reference field="4294967294" count="2" selected="0">
            <x v="8"/>
            <x v="9"/>
          </reference>
        </references>
      </pivotArea>
    </format>
    <format dxfId="1033">
      <pivotArea dataOnly="0" labelOnly="1" outline="0" fieldPosition="0">
        <references count="1">
          <reference field="4294967294" count="2">
            <x v="8"/>
            <x v="9"/>
          </reference>
        </references>
      </pivotArea>
    </format>
    <format dxfId="1032">
      <pivotArea outline="0" collapsedLevelsAreSubtotals="1" fieldPosition="0">
        <references count="1">
          <reference field="4294967294" count="2" selected="0">
            <x v="10"/>
            <x v="11"/>
          </reference>
        </references>
      </pivotArea>
    </format>
    <format dxfId="1031">
      <pivotArea dataOnly="0" labelOnly="1" outline="0" fieldPosition="0">
        <references count="1">
          <reference field="4294967294" count="2">
            <x v="10"/>
            <x v="11"/>
          </reference>
        </references>
      </pivotArea>
    </format>
    <format dxfId="1030">
      <pivotArea outline="0" collapsedLevelsAreSubtotals="1" fieldPosition="0">
        <references count="1">
          <reference field="4294967294" count="1" selected="0">
            <x v="12"/>
          </reference>
        </references>
      </pivotArea>
    </format>
    <format dxfId="1029">
      <pivotArea dataOnly="0" labelOnly="1" outline="0" fieldPosition="0">
        <references count="1">
          <reference field="4294967294" count="1">
            <x v="12"/>
          </reference>
        </references>
      </pivotArea>
    </format>
    <format dxfId="1028">
      <pivotArea outline="0" collapsedLevelsAreSubtotals="1" fieldPosition="0">
        <references count="1">
          <reference field="4294967294" count="2" selected="0">
            <x v="12"/>
            <x v="13"/>
          </reference>
        </references>
      </pivotArea>
    </format>
    <format dxfId="1027">
      <pivotArea dataOnly="0" labelOnly="1" outline="0" fieldPosition="0">
        <references count="1">
          <reference field="4294967294" count="2">
            <x v="12"/>
            <x v="13"/>
          </reference>
        </references>
      </pivotArea>
    </format>
    <format dxfId="1026">
      <pivotArea outline="0" collapsedLevelsAreSubtotals="1" fieldPosition="0"/>
    </format>
    <format dxfId="1025">
      <pivotArea outline="0" collapsedLevelsAreSubtotals="1" fieldPosition="0">
        <references count="1">
          <reference field="4294967294" count="1" selected="0">
            <x v="16"/>
          </reference>
        </references>
      </pivotArea>
    </format>
    <format dxfId="1024">
      <pivotArea dataOnly="0" labelOnly="1" outline="0" fieldPosition="0">
        <references count="1">
          <reference field="4294967294" count="1">
            <x v="16"/>
          </reference>
        </references>
      </pivotArea>
    </format>
    <format dxfId="1023">
      <pivotArea outline="0" collapsedLevelsAreSubtotals="1" fieldPosition="0">
        <references count="1">
          <reference field="4294967294" count="1" selected="0">
            <x v="18"/>
          </reference>
        </references>
      </pivotArea>
    </format>
    <format dxfId="1022">
      <pivotArea dataOnly="0" labelOnly="1" outline="0" fieldPosition="0">
        <references count="1">
          <reference field="4294967294" count="1">
            <x v="18"/>
          </reference>
        </references>
      </pivotArea>
    </format>
    <format dxfId="1021">
      <pivotArea outline="0" collapsedLevelsAreSubtotals="1" fieldPosition="0">
        <references count="1">
          <reference field="4294967294" count="2" selected="0">
            <x v="16"/>
            <x v="17"/>
          </reference>
        </references>
      </pivotArea>
    </format>
    <format dxfId="1020">
      <pivotArea dataOnly="0" labelOnly="1" outline="0" fieldPosition="0">
        <references count="1">
          <reference field="4294967294" count="2">
            <x v="16"/>
            <x v="17"/>
          </reference>
        </references>
      </pivotArea>
    </format>
    <format dxfId="1019">
      <pivotArea outline="0" collapsedLevelsAreSubtotals="1" fieldPosition="0">
        <references count="1">
          <reference field="4294967294" count="2" selected="0">
            <x v="18"/>
            <x v="19"/>
          </reference>
        </references>
      </pivotArea>
    </format>
    <format dxfId="1018">
      <pivotArea dataOnly="0" labelOnly="1" outline="0" fieldPosition="0">
        <references count="1">
          <reference field="4294967294" count="2">
            <x v="18"/>
            <x v="19"/>
          </reference>
        </references>
      </pivotArea>
    </format>
    <format dxfId="1017">
      <pivotArea outline="0" collapsedLevelsAreSubtotals="1" fieldPosition="0">
        <references count="1">
          <reference field="4294967294" count="1" selected="0">
            <x v="20"/>
          </reference>
        </references>
      </pivotArea>
    </format>
    <format dxfId="1016">
      <pivotArea dataOnly="0" labelOnly="1" outline="0" fieldPosition="0">
        <references count="1">
          <reference field="4294967294" count="1">
            <x v="20"/>
          </reference>
        </references>
      </pivotArea>
    </format>
    <format dxfId="1015">
      <pivotArea dataOnly="0" outline="0" fieldPosition="0">
        <references count="1">
          <reference field="4294967294" count="1">
            <x v="22"/>
          </reference>
        </references>
      </pivotArea>
    </format>
    <format dxfId="1014">
      <pivotArea outline="0" collapsedLevelsAreSubtotals="1" fieldPosition="0">
        <references count="1">
          <reference field="4294967294" count="2" selected="0">
            <x v="20"/>
            <x v="21"/>
          </reference>
        </references>
      </pivotArea>
    </format>
    <format dxfId="1013">
      <pivotArea dataOnly="0" labelOnly="1" outline="0" fieldPosition="0">
        <references count="1">
          <reference field="4294967294" count="2">
            <x v="20"/>
            <x v="21"/>
          </reference>
        </references>
      </pivotArea>
    </format>
    <format dxfId="1012">
      <pivotArea dataOnly="0" outline="0" fieldPosition="0">
        <references count="1">
          <reference field="4294967294" count="2">
            <x v="22"/>
            <x v="23"/>
          </reference>
        </references>
      </pivotArea>
    </format>
    <format dxfId="1011">
      <pivotArea outline="0" collapsedLevelsAreSubtotals="1" fieldPosition="0">
        <references count="1">
          <reference field="4294967294" count="1" selected="0">
            <x v="24"/>
          </reference>
        </references>
      </pivotArea>
    </format>
    <format dxfId="1010">
      <pivotArea dataOnly="0" labelOnly="1" outline="0" fieldPosition="0">
        <references count="1">
          <reference field="4294967294" count="1">
            <x v="24"/>
          </reference>
        </references>
      </pivotArea>
    </format>
    <format dxfId="1009">
      <pivotArea outline="0" collapsedLevelsAreSubtotals="1" fieldPosition="0">
        <references count="1">
          <reference field="4294967294" count="1" selected="0">
            <x v="24"/>
          </reference>
        </references>
      </pivotArea>
    </format>
    <format dxfId="1008">
      <pivotArea dataOnly="0" labelOnly="1" outline="0" fieldPosition="0">
        <references count="1">
          <reference field="4294967294" count="1">
            <x v="24"/>
          </reference>
        </references>
      </pivotArea>
    </format>
    <format dxfId="1007">
      <pivotArea outline="0" collapsedLevelsAreSubtotals="1" fieldPosition="0">
        <references count="1">
          <reference field="4294967294" count="1" selected="0">
            <x v="26"/>
          </reference>
        </references>
      </pivotArea>
    </format>
    <format dxfId="1006">
      <pivotArea dataOnly="0" labelOnly="1" outline="0" fieldPosition="0">
        <references count="1">
          <reference field="4294967294" count="1">
            <x v="26"/>
          </reference>
        </references>
      </pivotArea>
    </format>
    <format dxfId="1005">
      <pivotArea outline="0" collapsedLevelsAreSubtotals="1" fieldPosition="0">
        <references count="1">
          <reference field="4294967294" count="2" selected="0">
            <x v="26"/>
            <x v="27"/>
          </reference>
        </references>
      </pivotArea>
    </format>
    <format dxfId="1004">
      <pivotArea dataOnly="0" labelOnly="1" outline="0" fieldPosition="0">
        <references count="1">
          <reference field="4294967294" count="2">
            <x v="26"/>
            <x v="27"/>
          </reference>
        </references>
      </pivotArea>
    </format>
    <format dxfId="1003">
      <pivotArea dataOnly="0" outline="0" fieldPosition="0">
        <references count="1">
          <reference field="4294967294" count="1">
            <x v="28"/>
          </reference>
        </references>
      </pivotArea>
    </format>
    <format dxfId="1002">
      <pivotArea outline="0" collapsedLevelsAreSubtotals="1" fieldPosition="0">
        <references count="1">
          <reference field="4294967294" count="2" selected="0">
            <x v="28"/>
            <x v="29"/>
          </reference>
        </references>
      </pivotArea>
    </format>
    <format dxfId="1001">
      <pivotArea dataOnly="0" labelOnly="1" outline="0" fieldPosition="0">
        <references count="1">
          <reference field="4294967294" count="2">
            <x v="28"/>
            <x v="29"/>
          </reference>
        </references>
      </pivotArea>
    </format>
    <format dxfId="1000">
      <pivotArea outline="0" collapsedLevelsAreSubtotals="1" fieldPosition="0">
        <references count="1">
          <reference field="4294967294" count="1" selected="0">
            <x v="30"/>
          </reference>
        </references>
      </pivotArea>
    </format>
    <format dxfId="999">
      <pivotArea dataOnly="0" labelOnly="1" outline="0" fieldPosition="0">
        <references count="1">
          <reference field="4294967294" count="1">
            <x v="30"/>
          </reference>
        </references>
      </pivotArea>
    </format>
    <format dxfId="998">
      <pivotArea outline="0" collapsedLevelsAreSubtotals="1" fieldPosition="0">
        <references count="1">
          <reference field="4294967294" count="2" selected="0">
            <x v="30"/>
            <x v="31"/>
          </reference>
        </references>
      </pivotArea>
    </format>
    <format dxfId="997">
      <pivotArea dataOnly="0" labelOnly="1" outline="0" fieldPosition="0">
        <references count="1">
          <reference field="4294967294" count="2">
            <x v="30"/>
            <x v="31"/>
          </reference>
        </references>
      </pivotArea>
    </format>
    <format dxfId="996">
      <pivotArea outline="0" collapsedLevelsAreSubtotals="1" fieldPosition="0">
        <references count="1">
          <reference field="4294967294" count="2" selected="0">
            <x v="26"/>
            <x v="27"/>
          </reference>
        </references>
      </pivotArea>
    </format>
    <format dxfId="995">
      <pivotArea dataOnly="0" labelOnly="1" outline="0" fieldPosition="0">
        <references count="1">
          <reference field="4294967294" count="2">
            <x v="26"/>
            <x v="27"/>
          </reference>
        </references>
      </pivotArea>
    </format>
    <format dxfId="994">
      <pivotArea outline="0" collapsedLevelsAreSubtotals="1" fieldPosition="0">
        <references count="1">
          <reference field="4294967294" count="1" selected="0">
            <x v="14"/>
          </reference>
        </references>
      </pivotArea>
    </format>
    <format dxfId="993">
      <pivotArea dataOnly="0" labelOnly="1" outline="0" fieldPosition="0">
        <references count="1">
          <reference field="4294967294" count="1">
            <x v="14"/>
          </reference>
        </references>
      </pivotArea>
    </format>
    <format dxfId="992">
      <pivotArea outline="0" collapsedLevelsAreSubtotals="1" fieldPosition="0">
        <references count="1">
          <reference field="4294967294" count="1" selected="0">
            <x v="32"/>
          </reference>
        </references>
      </pivotArea>
    </format>
    <format dxfId="991">
      <pivotArea dataOnly="0" labelOnly="1" outline="0" fieldPosition="0">
        <references count="1">
          <reference field="4294967294" count="1">
            <x v="32"/>
          </reference>
        </references>
      </pivotArea>
    </format>
    <format dxfId="990">
      <pivotArea outline="0" collapsedLevelsAreSubtotals="1" fieldPosition="0">
        <references count="1">
          <reference field="4294967294" count="2" selected="0">
            <x v="32"/>
            <x v="33"/>
          </reference>
        </references>
      </pivotArea>
    </format>
    <format dxfId="989">
      <pivotArea dataOnly="0" labelOnly="1" outline="0" fieldPosition="0">
        <references count="1">
          <reference field="4294967294" count="2">
            <x v="32"/>
            <x v="33"/>
          </reference>
        </references>
      </pivotArea>
    </format>
    <format dxfId="988">
      <pivotArea outline="0" collapsedLevelsAreSubtotals="1" fieldPosition="0">
        <references count="1">
          <reference field="4294967294" count="2" selected="0">
            <x v="34"/>
            <x v="35"/>
          </reference>
        </references>
      </pivotArea>
    </format>
    <format dxfId="987">
      <pivotArea dataOnly="0" labelOnly="1" outline="0" fieldPosition="0">
        <references count="1">
          <reference field="4294967294" count="2">
            <x v="34"/>
            <x v="35"/>
          </reference>
        </references>
      </pivotArea>
    </format>
    <format dxfId="986">
      <pivotArea outline="0" collapsedLevelsAreSubtotals="1" fieldPosition="0">
        <references count="1">
          <reference field="4294967294" count="1" selected="0">
            <x v="34"/>
          </reference>
        </references>
      </pivotArea>
    </format>
    <format dxfId="985">
      <pivotArea dataOnly="0" labelOnly="1" outline="0" fieldPosition="0">
        <references count="1">
          <reference field="4294967294" count="1">
            <x v="34"/>
          </reference>
        </references>
      </pivotArea>
    </format>
    <format dxfId="984">
      <pivotArea outline="0" collapsedLevelsAreSubtotals="1" fieldPosition="0">
        <references count="1">
          <reference field="4294967294" count="2" selected="0">
            <x v="34"/>
            <x v="35"/>
          </reference>
        </references>
      </pivotArea>
    </format>
    <format dxfId="983">
      <pivotArea dataOnly="0" labelOnly="1" outline="0" fieldPosition="0">
        <references count="1">
          <reference field="4294967294" count="2">
            <x v="34"/>
            <x v="35"/>
          </reference>
        </references>
      </pivotArea>
    </format>
    <format dxfId="982">
      <pivotArea outline="0" collapsedLevelsAreSubtotals="1" fieldPosition="0">
        <references count="1">
          <reference field="4294967294" count="1" selected="0">
            <x v="34"/>
          </reference>
        </references>
      </pivotArea>
    </format>
    <format dxfId="981">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6" level="1">
        <member name="[Range 1].[Type].&amp;[1]"/>
        <member name="[Range 1].[Type].&amp;[2]"/>
        <member name="[Range 1].[Type].&amp;[3]"/>
        <member name="[Range 1].[Type].&amp;[4]"/>
        <member name="[Range 1].[Type].&amp;[5]"/>
        <member name="[Range 1].[Type].&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F88FEE4-E588-4DAE-A1C7-ECADB1D6626A}" autoFormatId="16" applyNumberFormats="0" applyBorderFormats="0" applyFontFormats="0" applyPatternFormats="0" applyAlignmentFormats="0" applyWidthHeightFormats="0">
  <queryTableRefresh nextId="42">
    <queryTableFields count="41">
      <queryTableField id="1" name="Range 1[State]" tableColumnId="1"/>
      <queryTableField id="2" name="Range 1[Name]" tableColumnId="2"/>
      <queryTableField id="3" name="Range 1[Notes]" tableColumnId="3"/>
      <queryTableField id="4" name="Range 1[IPEDSID]" tableColumnId="4"/>
      <queryTableField id="5" name="Range 1[Type]" tableColumnId="5"/>
      <queryTableField id="6" name="Range 1[OldUGIS]" tableColumnId="6"/>
      <queryTableField id="7" name="Range 1[NewUGIS]" tableColumnId="7"/>
      <queryTableField id="8" name="Range 1[OldUGOS]" tableColumnId="8"/>
      <queryTableField id="9" name="Range 1[NewUGOS]" tableColumnId="9"/>
      <queryTableField id="10" name="Range 1[OldGIS]" tableColumnId="10"/>
      <queryTableField id="11" name="Range 1[NewGIS]" tableColumnId="11"/>
      <queryTableField id="12" name="Range 1[OldGOS]" tableColumnId="12"/>
      <queryTableField id="13" name="Range 1[NewGOS]" tableColumnId="13"/>
      <queryTableField id="14" name="Range 1[OldLawIS]" tableColumnId="14"/>
      <queryTableField id="15" name="Range 1[NewLawIS]" tableColumnId="15"/>
      <queryTableField id="16" name="Range 1[OldLawOS]" tableColumnId="16"/>
      <queryTableField id="17" name="Range 1[NewLawOS]" tableColumnId="17"/>
      <queryTableField id="18" name="Range 1[OldMedIS]" tableColumnId="18"/>
      <queryTableField id="19" name="Range 1[NewMedIS]" tableColumnId="19"/>
      <queryTableField id="20" name="Range 1[OldMedOS]" tableColumnId="20"/>
      <queryTableField id="21" name="Range 1[NewMedOS]" tableColumnId="21"/>
      <queryTableField id="22" name="Range 1[OldDenIS]" tableColumnId="22"/>
      <queryTableField id="23" name="Range 1[NewDenIS]" tableColumnId="23"/>
      <queryTableField id="24" name="Range 1[OldDenOS]" tableColumnId="24"/>
      <queryTableField id="25" name="Range 1[NewDenOS]" tableColumnId="25"/>
      <queryTableField id="26" name="Range 1[OldPhrIS]" tableColumnId="26"/>
      <queryTableField id="27" name="Range 1[NewPhrIS]" tableColumnId="27"/>
      <queryTableField id="28" name="Range 1[OldPhrOS]" tableColumnId="28"/>
      <queryTableField id="29" name="Range 1[NewPhrOS]" tableColumnId="29"/>
      <queryTableField id="30" name="Range 1[OldOptIS]" tableColumnId="30"/>
      <queryTableField id="31" name="Range 1[NewOptIS]" tableColumnId="31"/>
      <queryTableField id="32" name="Range 1[OldOptOS]" tableColumnId="32"/>
      <queryTableField id="33" name="Range 1[NewOptOS]" tableColumnId="33"/>
      <queryTableField id="34" name="Range 1[OldOstIS]" tableColumnId="34"/>
      <queryTableField id="35" name="Range 1[NewOstIS]" tableColumnId="35"/>
      <queryTableField id="36" name="Range 1[OldOstOS]" tableColumnId="36"/>
      <queryTableField id="37" name="Range 1[NewOstOS]" tableColumnId="37"/>
      <queryTableField id="38" name="Range 1[OldVetIS]" tableColumnId="38"/>
      <queryTableField id="39" name="Range 1[NewVetIS]" tableColumnId="39"/>
      <queryTableField id="40" name="Range 1[OldVetOS]" tableColumnId="40"/>
      <queryTableField id="41" name="Range 1[NewVetOS]" tableColumnId="41"/>
    </queryTableFields>
  </queryTableRefresh>
  <extLst>
    <ext xmlns:x15="http://schemas.microsoft.com/office/spreadsheetml/2010/11/main" uri="{883FBD77-0823-4a55-B5E3-86C4891E6966}">
      <x15:queryTable drillThrough="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C5E8F91-766A-41D9-B8DB-FE589BA3D3EA}" name="Table_ExternalData_1" displayName="Table_ExternalData_1" ref="A3:AO9" tableType="queryTable" totalsRowCount="1">
  <autoFilter ref="A3:AO8" xr:uid="{8C5E8F91-766A-41D9-B8DB-FE589BA3D3EA}"/>
  <tableColumns count="41">
    <tableColumn id="1" xr3:uid="{DA56E613-51F1-41CF-84A4-288FF62CF912}" uniqueName="1" name="Range 1[State]" queryTableFieldId="1"/>
    <tableColumn id="2" xr3:uid="{BF72CE91-EED1-4407-896C-93E88A6E5167}" uniqueName="2" name="Range 1[Name]" queryTableFieldId="2"/>
    <tableColumn id="3" xr3:uid="{2D997208-146D-4803-96BC-A560D9D0CA3B}" uniqueName="3" name="Range 1[Notes]" queryTableFieldId="3"/>
    <tableColumn id="4" xr3:uid="{F6843229-12C9-405F-AB03-82439B870A3C}" uniqueName="4" name="Range 1[IPEDSID]" queryTableFieldId="4"/>
    <tableColumn id="5" xr3:uid="{462ED809-AD07-4FFB-936F-63F1B0BED34B}" uniqueName="5" name="Range 1[Type]" queryTableFieldId="5"/>
    <tableColumn id="6" xr3:uid="{71E5F826-496A-4B33-B012-9F2FF21533F7}" uniqueName="6" name="Range 1[OldUGIS]" totalsRowFunction="custom" queryTableFieldId="6">
      <totalsRowFormula>MEDIAN(Table_ExternalData_1[Range 1'[OldUGIS']])</totalsRowFormula>
    </tableColumn>
    <tableColumn id="7" xr3:uid="{73A18D4B-09AE-4960-9573-6E3581CFBAF1}" uniqueName="7" name="Range 1[NewUGIS]" queryTableFieldId="7"/>
    <tableColumn id="8" xr3:uid="{81F65915-2AA3-44DB-A0F2-9B31F9A234A3}" uniqueName="8" name="Range 1[OldUGOS]" queryTableFieldId="8"/>
    <tableColumn id="9" xr3:uid="{DF4D540E-F6F8-4443-AB1E-20858AA5901D}" uniqueName="9" name="Range 1[NewUGOS]" queryTableFieldId="9"/>
    <tableColumn id="10" xr3:uid="{9336E85C-CD08-437B-9EEA-B94E555AAE91}" uniqueName="10" name="Range 1[OldGIS]" queryTableFieldId="10"/>
    <tableColumn id="11" xr3:uid="{1E3FBBFC-B713-4635-92B7-5BB6276777F1}" uniqueName="11" name="Range 1[NewGIS]" queryTableFieldId="11"/>
    <tableColumn id="12" xr3:uid="{35040B54-5E0D-45EA-B310-0841CBE3DDE1}" uniqueName="12" name="Range 1[OldGOS]" queryTableFieldId="12"/>
    <tableColumn id="13" xr3:uid="{6A1AB070-C57F-4276-B8B8-8669FE7A14C9}" uniqueName="13" name="Range 1[NewGOS]" queryTableFieldId="13"/>
    <tableColumn id="14" xr3:uid="{2FB80F57-C7BF-4927-B651-00441306EFCB}" uniqueName="14" name="Range 1[OldLawIS]" queryTableFieldId="14"/>
    <tableColumn id="15" xr3:uid="{8598F885-8AEF-4EB7-9E04-B425462FE778}" uniqueName="15" name="Range 1[NewLawIS]" queryTableFieldId="15"/>
    <tableColumn id="16" xr3:uid="{A01DE42B-076C-4641-B4ED-A8C704259B63}" uniqueName="16" name="Range 1[OldLawOS]" queryTableFieldId="16"/>
    <tableColumn id="17" xr3:uid="{64E745E5-B9DF-4861-A2B2-B860BC4ABE56}" uniqueName="17" name="Range 1[NewLawOS]" queryTableFieldId="17"/>
    <tableColumn id="18" xr3:uid="{317F36FF-A7F1-4006-A8F2-582DB46BE630}" uniqueName="18" name="Range 1[OldMedIS]" queryTableFieldId="18"/>
    <tableColumn id="19" xr3:uid="{0EEE4350-3DCD-41B7-813E-4577B88591C0}" uniqueName="19" name="Range 1[NewMedIS]" queryTableFieldId="19"/>
    <tableColumn id="20" xr3:uid="{04F0B808-49D8-4DCF-8E45-497818C8067A}" uniqueName="20" name="Range 1[OldMedOS]" queryTableFieldId="20"/>
    <tableColumn id="21" xr3:uid="{843494B2-510F-4E40-ABC2-9D9B95C9B647}" uniqueName="21" name="Range 1[NewMedOS]" queryTableFieldId="21"/>
    <tableColumn id="22" xr3:uid="{BCABF92D-E8ED-4C54-A1A4-6188389FBA24}" uniqueName="22" name="Range 1[OldDenIS]" queryTableFieldId="22"/>
    <tableColumn id="23" xr3:uid="{F59D62DB-5A1B-4AB9-92C3-E5206FA1DE66}" uniqueName="23" name="Range 1[NewDenIS]" queryTableFieldId="23"/>
    <tableColumn id="24" xr3:uid="{3E09ADC3-5B5C-46D4-876B-6923AFB999BA}" uniqueName="24" name="Range 1[OldDenOS]" queryTableFieldId="24"/>
    <tableColumn id="25" xr3:uid="{CFF13AAA-FD88-41F4-937B-99D8594250EF}" uniqueName="25" name="Range 1[NewDenOS]" queryTableFieldId="25"/>
    <tableColumn id="26" xr3:uid="{E7B347DC-A63C-4D72-B9A6-4A10309F804D}" uniqueName="26" name="Range 1[OldPhrIS]" queryTableFieldId="26"/>
    <tableColumn id="27" xr3:uid="{7664496C-CAD1-4E91-92EB-23C4D4310E38}" uniqueName="27" name="Range 1[NewPhrIS]" queryTableFieldId="27"/>
    <tableColumn id="28" xr3:uid="{44ED037F-BFF0-4758-BDDE-A72FADB1E186}" uniqueName="28" name="Range 1[OldPhrOS]" queryTableFieldId="28"/>
    <tableColumn id="29" xr3:uid="{5D5185D7-DFBE-47DD-93EB-7583F7BDB2E5}" uniqueName="29" name="Range 1[NewPhrOS]" queryTableFieldId="29"/>
    <tableColumn id="30" xr3:uid="{0EA17D78-42C3-4FD1-8191-409CDD956D4B}" uniqueName="30" name="Range 1[OldOptIS]" queryTableFieldId="30"/>
    <tableColumn id="31" xr3:uid="{3199FDCD-1327-445A-9637-E2E0D53D6834}" uniqueName="31" name="Range 1[NewOptIS]" queryTableFieldId="31"/>
    <tableColumn id="32" xr3:uid="{2A9D49DC-639C-4B8F-B0EC-20BA7B4986A9}" uniqueName="32" name="Range 1[OldOptOS]" queryTableFieldId="32"/>
    <tableColumn id="33" xr3:uid="{3504544F-6E59-45E4-A187-65C2210D6720}" uniqueName="33" name="Range 1[NewOptOS]" queryTableFieldId="33"/>
    <tableColumn id="34" xr3:uid="{5EF7A397-8C6E-418D-936B-297ED494727D}" uniqueName="34" name="Range 1[OldOstIS]" queryTableFieldId="34"/>
    <tableColumn id="35" xr3:uid="{9AF4DFFB-663E-4C24-A68A-120C21C75F38}" uniqueName="35" name="Range 1[NewOstIS]" queryTableFieldId="35"/>
    <tableColumn id="36" xr3:uid="{1B03D614-FB97-439D-B6EE-2A0E77B5CBF7}" uniqueName="36" name="Range 1[OldOstOS]" queryTableFieldId="36"/>
    <tableColumn id="37" xr3:uid="{5A987D44-42D9-47B6-9F0B-08325F844240}" uniqueName="37" name="Range 1[NewOstOS]" queryTableFieldId="37"/>
    <tableColumn id="38" xr3:uid="{C6783A1C-1F42-4AD6-B8F5-1FFAC8648C54}" uniqueName="38" name="Range 1[OldVetIS]" queryTableFieldId="38"/>
    <tableColumn id="39" xr3:uid="{44974BF4-80FE-448C-B4E7-52DB69F5F320}" uniqueName="39" name="Range 1[NewVetIS]" queryTableFieldId="39"/>
    <tableColumn id="40" xr3:uid="{DB1DA71A-2288-47D2-A765-5F418961382C}" uniqueName="40" name="Range 1[OldVetOS]" queryTableFieldId="40"/>
    <tableColumn id="41" xr3:uid="{134AC29B-15AB-4532-A5AB-7389EB182E9D}" uniqueName="41" name="Range 1[NewVetOS]" queryTableFieldId="4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6"/>
  </sheetPr>
  <dimension ref="A1:S258"/>
  <sheetViews>
    <sheetView showZeros="0" view="pageBreakPreview" zoomScaleNormal="100" zoomScaleSheetLayoutView="100" workbookViewId="0">
      <selection activeCell="H258" sqref="H258"/>
    </sheetView>
  </sheetViews>
  <sheetFormatPr defaultColWidth="9" defaultRowHeight="15"/>
  <cols>
    <col min="1" max="1" width="12" style="63" customWidth="1"/>
    <col min="2" max="6" width="8.6640625" style="63" customWidth="1"/>
    <col min="7" max="7" width="9.5546875" style="63" customWidth="1"/>
    <col min="8" max="8" width="8.6640625" style="63" customWidth="1"/>
    <col min="9" max="9" width="5.77734375" style="63" customWidth="1"/>
    <col min="10" max="16384" width="9" style="63"/>
  </cols>
  <sheetData>
    <row r="1" spans="1:19" ht="18">
      <c r="A1" s="62" t="s">
        <v>561</v>
      </c>
      <c r="B1" s="62"/>
      <c r="C1" s="62"/>
      <c r="D1" s="62"/>
      <c r="E1" s="62"/>
      <c r="F1" s="62"/>
      <c r="G1" s="62"/>
      <c r="H1" s="62"/>
    </row>
    <row r="2" spans="1:19" s="53" customFormat="1" ht="12.75">
      <c r="A2" s="64"/>
      <c r="B2" s="64"/>
      <c r="C2" s="64"/>
      <c r="D2" s="64"/>
      <c r="E2" s="64"/>
      <c r="F2" s="64"/>
      <c r="G2" s="64"/>
      <c r="H2" s="64"/>
    </row>
    <row r="3" spans="1:19" ht="15.75">
      <c r="A3" s="65" t="s">
        <v>562</v>
      </c>
      <c r="B3" s="65"/>
      <c r="C3" s="65"/>
      <c r="D3" s="65"/>
      <c r="E3" s="65"/>
      <c r="F3" s="65"/>
      <c r="G3" s="65"/>
      <c r="H3" s="65"/>
    </row>
    <row r="4" spans="1:19" ht="15.75">
      <c r="A4" s="65" t="s">
        <v>563</v>
      </c>
      <c r="B4" s="65"/>
      <c r="C4" s="65"/>
      <c r="D4" s="65"/>
      <c r="E4" s="65"/>
      <c r="F4" s="65"/>
      <c r="G4" s="65"/>
      <c r="H4" s="65"/>
    </row>
    <row r="5" spans="1:19" ht="15.75">
      <c r="A5" s="65" t="s">
        <v>993</v>
      </c>
      <c r="B5" s="65"/>
      <c r="C5" s="65"/>
      <c r="D5" s="65"/>
      <c r="E5" s="65"/>
      <c r="F5" s="65"/>
      <c r="G5" s="65"/>
      <c r="H5" s="65"/>
    </row>
    <row r="6" spans="1:19" s="53" customFormat="1" ht="12.75">
      <c r="A6" s="66"/>
      <c r="B6" s="66"/>
      <c r="C6" s="66"/>
      <c r="D6" s="66"/>
      <c r="E6" s="66"/>
      <c r="F6" s="66"/>
      <c r="G6" s="66"/>
      <c r="H6" s="66"/>
    </row>
    <row r="7" spans="1:19">
      <c r="A7" s="145"/>
      <c r="B7" s="68" t="s">
        <v>564</v>
      </c>
      <c r="C7" s="68"/>
      <c r="D7" s="68"/>
      <c r="E7" s="68"/>
      <c r="F7" s="68"/>
      <c r="G7" s="68"/>
      <c r="H7" s="68"/>
    </row>
    <row r="8" spans="1:19" s="72" customFormat="1">
      <c r="A8" s="146"/>
      <c r="B8" s="132">
        <v>1</v>
      </c>
      <c r="C8" s="132">
        <v>2</v>
      </c>
      <c r="D8" s="132">
        <v>3</v>
      </c>
      <c r="E8" s="132">
        <v>4</v>
      </c>
      <c r="F8" s="132">
        <v>5</v>
      </c>
      <c r="G8" s="132">
        <v>6</v>
      </c>
      <c r="H8" s="147" t="s">
        <v>565</v>
      </c>
    </row>
    <row r="9" spans="1:19" ht="12.75" customHeight="1">
      <c r="A9" s="66"/>
      <c r="B9" s="73"/>
      <c r="C9" s="73"/>
      <c r="D9" s="73"/>
      <c r="E9" s="73"/>
      <c r="F9" s="73"/>
      <c r="G9" s="148"/>
      <c r="H9" s="73"/>
      <c r="L9" s="72"/>
      <c r="M9" s="72"/>
      <c r="N9" s="72"/>
      <c r="O9" s="72"/>
      <c r="P9" s="72"/>
      <c r="Q9" s="72"/>
      <c r="R9" s="72"/>
      <c r="S9" s="72"/>
    </row>
    <row r="10" spans="1:19" ht="12.75" customHeight="1">
      <c r="A10" s="66" t="s">
        <v>566</v>
      </c>
      <c r="B10" s="75">
        <f>+'Summary Medians'!$D$3</f>
        <v>11740</v>
      </c>
      <c r="C10" s="75">
        <f>+'Summary Medians'!$D$4</f>
        <v>10222</v>
      </c>
      <c r="D10" s="75">
        <f>+'Summary Medians'!$D$5</f>
        <v>9500.5</v>
      </c>
      <c r="E10" s="75">
        <f>+'Summary Medians'!$D$6</f>
        <v>8563</v>
      </c>
      <c r="F10" s="75">
        <f>+'Summary Medians'!$D$7</f>
        <v>8575</v>
      </c>
      <c r="G10" s="75">
        <f>+'Summary Medians'!$D$8</f>
        <v>7533.5</v>
      </c>
      <c r="H10" s="76">
        <f>+'Summary Medians'!$D$9</f>
        <v>9456</v>
      </c>
      <c r="L10" s="72"/>
      <c r="M10" s="72"/>
      <c r="N10" s="72"/>
      <c r="O10" s="72"/>
      <c r="P10" s="72"/>
      <c r="Q10" s="72"/>
      <c r="R10" s="72"/>
      <c r="S10" s="72"/>
    </row>
    <row r="11" spans="1:19" ht="12.75" customHeight="1">
      <c r="A11" s="66"/>
      <c r="B11" s="149"/>
      <c r="C11" s="149"/>
      <c r="D11" s="149"/>
      <c r="E11" s="149"/>
      <c r="F11" s="149"/>
      <c r="G11" s="150"/>
      <c r="H11" s="149"/>
      <c r="L11" s="72"/>
      <c r="M11" s="72"/>
      <c r="N11" s="72"/>
      <c r="O11" s="72"/>
      <c r="P11" s="72"/>
      <c r="Q11" s="72"/>
      <c r="R11" s="72"/>
      <c r="S11" s="72"/>
    </row>
    <row r="12" spans="1:19" ht="12.75" customHeight="1">
      <c r="A12" s="66" t="s">
        <v>567</v>
      </c>
      <c r="B12" s="77">
        <f>+'Summary Medians'!$D$20</f>
        <v>11620</v>
      </c>
      <c r="C12" s="77">
        <f>+'Summary Medians'!$D$21</f>
        <v>10950</v>
      </c>
      <c r="D12" s="77">
        <f>+'Summary Medians'!$D$22</f>
        <v>10918</v>
      </c>
      <c r="E12" s="77">
        <f>+'Summary Medians'!$D$23</f>
        <v>11079</v>
      </c>
      <c r="F12" s="77">
        <f>+'Summary Medians'!$D$24</f>
        <v>11384</v>
      </c>
      <c r="G12" s="77" t="str">
        <f>+'Summary Medians'!$D$25</f>
        <v xml:space="preserve"> </v>
      </c>
      <c r="H12" s="79">
        <f>+'Summary Medians'!$D$26</f>
        <v>11055</v>
      </c>
      <c r="L12" s="72"/>
      <c r="M12" s="72"/>
      <c r="N12" s="72"/>
      <c r="O12" s="72"/>
      <c r="P12" s="72"/>
      <c r="Q12" s="72"/>
      <c r="R12" s="72"/>
      <c r="S12" s="72"/>
    </row>
    <row r="13" spans="1:19" ht="12.75" customHeight="1">
      <c r="A13" s="66" t="s">
        <v>568</v>
      </c>
      <c r="B13" s="77">
        <f>+'Summary Medians'!$D$37</f>
        <v>9572</v>
      </c>
      <c r="C13" s="77">
        <f>+'Summary Medians'!$D$38</f>
        <v>9529</v>
      </c>
      <c r="D13" s="77">
        <f>+'Summary Medians'!$D$39</f>
        <v>9539</v>
      </c>
      <c r="E13" s="77">
        <f>+'Summary Medians'!$D$40</f>
        <v>9310</v>
      </c>
      <c r="F13" s="77" t="str">
        <f>+'Summary Medians'!$D$41</f>
        <v xml:space="preserve"> </v>
      </c>
      <c r="G13" s="77">
        <f>+'Summary Medians'!$D$42</f>
        <v>7701.5</v>
      </c>
      <c r="H13" s="79">
        <f>+'Summary Medians'!$D$43</f>
        <v>9380</v>
      </c>
      <c r="L13" s="72"/>
      <c r="M13" s="72"/>
      <c r="N13" s="72"/>
      <c r="O13" s="72"/>
      <c r="P13" s="72"/>
      <c r="Q13" s="72"/>
      <c r="R13" s="72"/>
      <c r="S13" s="72"/>
    </row>
    <row r="14" spans="1:19" ht="12.75" customHeight="1">
      <c r="A14" s="66" t="s">
        <v>569</v>
      </c>
      <c r="B14" s="77">
        <f>+'Summary Medians'!$D$54</f>
        <v>15020</v>
      </c>
      <c r="C14" s="77" t="str">
        <f>+'Summary Medians'!$D$55</f>
        <v xml:space="preserve"> </v>
      </c>
      <c r="D14" s="77">
        <f>+'Summary Medians'!$D$56</f>
        <v>8358</v>
      </c>
      <c r="E14" s="77" t="str">
        <f>+'Summary Medians'!$D$57</f>
        <v xml:space="preserve"> </v>
      </c>
      <c r="F14" s="77" t="str">
        <f>+'Summary Medians'!$D$58</f>
        <v xml:space="preserve"> </v>
      </c>
      <c r="G14" s="77" t="str">
        <f>+'Summary Medians'!$D$59</f>
        <v xml:space="preserve"> </v>
      </c>
      <c r="H14" s="79">
        <f>+'Summary Medians'!$D$60</f>
        <v>11689</v>
      </c>
      <c r="L14" s="72"/>
      <c r="M14" s="72"/>
      <c r="N14" s="72"/>
      <c r="O14" s="72"/>
      <c r="P14" s="72"/>
      <c r="Q14" s="72"/>
      <c r="R14" s="72"/>
      <c r="S14" s="72"/>
    </row>
    <row r="15" spans="1:19" ht="12.75" customHeight="1">
      <c r="A15" s="66" t="s">
        <v>570</v>
      </c>
      <c r="B15" s="77" t="str">
        <f>+'Summary Medians'!$D$71</f>
        <v xml:space="preserve"> </v>
      </c>
      <c r="C15" s="77" t="str">
        <f>+'Summary Medians'!$D$72</f>
        <v xml:space="preserve"> </v>
      </c>
      <c r="D15" s="77" t="str">
        <f>+'Summary Medians'!$D$73</f>
        <v xml:space="preserve"> </v>
      </c>
      <c r="E15" s="77" t="str">
        <f>+'Summary Medians'!$D$74</f>
        <v xml:space="preserve"> </v>
      </c>
      <c r="F15" s="77" t="str">
        <f>+'Summary Medians'!$D$75</f>
        <v xml:space="preserve"> </v>
      </c>
      <c r="G15" s="77" t="str">
        <f>+'Summary Medians'!$D$76</f>
        <v xml:space="preserve"> </v>
      </c>
      <c r="H15" s="79" t="str">
        <f>+'Summary Medians'!$D$77</f>
        <v xml:space="preserve"> </v>
      </c>
      <c r="L15" s="72"/>
      <c r="M15" s="72"/>
      <c r="N15" s="72"/>
      <c r="O15" s="72"/>
      <c r="P15" s="72"/>
      <c r="Q15" s="72"/>
      <c r="R15" s="72"/>
      <c r="S15" s="72"/>
    </row>
    <row r="16" spans="1:19" ht="12.75" customHeight="1">
      <c r="A16" s="66"/>
      <c r="B16" s="77"/>
      <c r="C16" s="77"/>
      <c r="D16" s="77"/>
      <c r="E16" s="77"/>
      <c r="F16" s="77"/>
      <c r="G16" s="77"/>
      <c r="H16" s="79"/>
      <c r="L16" s="72"/>
      <c r="M16" s="72"/>
      <c r="N16" s="72"/>
      <c r="O16" s="72"/>
      <c r="P16" s="72"/>
      <c r="Q16" s="72"/>
      <c r="R16" s="72"/>
      <c r="S16" s="72"/>
    </row>
    <row r="17" spans="1:19" ht="12.75" customHeight="1">
      <c r="A17" s="66" t="s">
        <v>571</v>
      </c>
      <c r="B17" s="77">
        <f>+'Summary Medians'!$D$88</f>
        <v>11578</v>
      </c>
      <c r="C17" s="77">
        <f>+'Summary Medians'!$D$89</f>
        <v>12852</v>
      </c>
      <c r="D17" s="77">
        <f>+'Summary Medians'!$D$90</f>
        <v>7596</v>
      </c>
      <c r="E17" s="77">
        <f>+'Summary Medians'!$D$91</f>
        <v>7334</v>
      </c>
      <c r="F17" s="77">
        <f>+'Summary Medians'!$D$92</f>
        <v>6848</v>
      </c>
      <c r="G17" s="77">
        <f>+'Summary Medians'!$D$93</f>
        <v>4430</v>
      </c>
      <c r="H17" s="79">
        <f>+'Summary Medians'!$D$94</f>
        <v>7142</v>
      </c>
      <c r="L17" s="72"/>
      <c r="M17" s="72"/>
      <c r="N17" s="72"/>
      <c r="O17" s="72"/>
      <c r="P17" s="72"/>
      <c r="Q17" s="72"/>
      <c r="R17" s="72"/>
      <c r="S17" s="72"/>
    </row>
    <row r="18" spans="1:19" ht="12.75" customHeight="1">
      <c r="A18" s="66" t="s">
        <v>572</v>
      </c>
      <c r="B18" s="77">
        <f>+'Summary Medians'!$D$105</f>
        <v>12490</v>
      </c>
      <c r="C18" s="77" t="str">
        <f>+'Summary Medians'!$D$106</f>
        <v xml:space="preserve"> </v>
      </c>
      <c r="D18" s="77">
        <f>+'Summary Medians'!$D$107</f>
        <v>10052</v>
      </c>
      <c r="E18" s="77">
        <f>+'Summary Medians'!$D$108</f>
        <v>8800</v>
      </c>
      <c r="F18" s="77" t="str">
        <f>+'Summary Medians'!$D$109</f>
        <v xml:space="preserve"> </v>
      </c>
      <c r="G18" s="77" t="str">
        <f>+'Summary Medians'!$D$110</f>
        <v xml:space="preserve"> </v>
      </c>
      <c r="H18" s="79">
        <f>+'Summary Medians'!$D$111</f>
        <v>10224</v>
      </c>
      <c r="L18" s="72"/>
      <c r="M18" s="72"/>
      <c r="N18" s="72"/>
      <c r="O18" s="72"/>
      <c r="P18" s="72"/>
      <c r="Q18" s="72"/>
      <c r="R18" s="72"/>
      <c r="S18" s="72"/>
    </row>
    <row r="19" spans="1:19" ht="12.75" customHeight="1">
      <c r="A19" s="66" t="s">
        <v>573</v>
      </c>
      <c r="B19" s="77">
        <f>+'Summary Medians'!$D$122</f>
        <v>11958</v>
      </c>
      <c r="C19" s="77">
        <f>+'Summary Medians'!$D$123</f>
        <v>10635</v>
      </c>
      <c r="D19" s="77">
        <f>+'Summary Medians'!$D$124</f>
        <v>9024.83</v>
      </c>
      <c r="E19" s="77">
        <f>+'Summary Medians'!$D$125</f>
        <v>7829</v>
      </c>
      <c r="F19" s="77">
        <f>+'Summary Medians'!$D$126</f>
        <v>7381.34</v>
      </c>
      <c r="G19" s="77">
        <f>+'Summary Medians'!$D$127</f>
        <v>6910.02</v>
      </c>
      <c r="H19" s="79">
        <f>+'Summary Medians'!$D$128</f>
        <v>8682.33</v>
      </c>
      <c r="L19" s="72"/>
      <c r="M19" s="72"/>
      <c r="N19" s="72"/>
      <c r="O19" s="72"/>
      <c r="P19" s="72"/>
      <c r="Q19" s="72"/>
      <c r="R19" s="72"/>
      <c r="S19" s="72"/>
    </row>
    <row r="20" spans="1:19" ht="12.75" customHeight="1">
      <c r="A20" s="66" t="s">
        <v>574</v>
      </c>
      <c r="B20" s="77">
        <f>+'Summary Medians'!$D$139</f>
        <v>10955</v>
      </c>
      <c r="C20" s="77">
        <f>+'Summary Medians'!$D$140</f>
        <v>10144</v>
      </c>
      <c r="D20" s="77">
        <f>+'Summary Medians'!$D$141</f>
        <v>9914</v>
      </c>
      <c r="E20" s="77">
        <f>+'Summary Medians'!$D$142</f>
        <v>9159</v>
      </c>
      <c r="F20" s="77">
        <f>+'Summary Medians'!$D$143</f>
        <v>6809</v>
      </c>
      <c r="G20" s="77">
        <f>+'Summary Medians'!$D$144</f>
        <v>15124</v>
      </c>
      <c r="H20" s="79">
        <f>+'Summary Medians'!$D$145</f>
        <v>9594</v>
      </c>
      <c r="L20" s="72"/>
      <c r="M20" s="72"/>
      <c r="N20" s="72"/>
      <c r="O20" s="72"/>
      <c r="P20" s="72"/>
      <c r="Q20" s="72"/>
      <c r="R20" s="72"/>
      <c r="S20" s="72"/>
    </row>
    <row r="21" spans="1:19" ht="12.75" customHeight="1">
      <c r="A21" s="66"/>
      <c r="B21" s="77"/>
      <c r="C21" s="77"/>
      <c r="D21" s="77"/>
      <c r="E21" s="77"/>
      <c r="F21" s="77"/>
      <c r="G21" s="77"/>
      <c r="H21" s="79"/>
      <c r="L21" s="72"/>
      <c r="M21" s="72"/>
      <c r="N21" s="72"/>
      <c r="O21" s="72"/>
      <c r="P21" s="72"/>
      <c r="Q21" s="72"/>
      <c r="R21" s="72"/>
      <c r="S21" s="72"/>
    </row>
    <row r="22" spans="1:19" ht="12.75" customHeight="1">
      <c r="A22" s="66" t="s">
        <v>575</v>
      </c>
      <c r="B22" s="77">
        <f>+'Summary Medians'!$D$156</f>
        <v>9204</v>
      </c>
      <c r="C22" s="77">
        <f>+'Summary Medians'!$D$157</f>
        <v>8445</v>
      </c>
      <c r="D22" s="77" t="str">
        <f>+'Summary Medians'!$D$158</f>
        <v xml:space="preserve"> </v>
      </c>
      <c r="E22" s="77">
        <f>+'Summary Medians'!$D$159</f>
        <v>7966</v>
      </c>
      <c r="F22" s="77" t="str">
        <f>+'Summary Medians'!$D$160</f>
        <v xml:space="preserve"> </v>
      </c>
      <c r="G22" s="77" t="str">
        <f>+'Summary Medians'!$D$161</f>
        <v xml:space="preserve"> </v>
      </c>
      <c r="H22" s="79">
        <f>+'Summary Medians'!$D$162</f>
        <v>8402.5</v>
      </c>
      <c r="L22" s="72"/>
      <c r="M22" s="72"/>
      <c r="N22" s="72"/>
      <c r="O22" s="72"/>
      <c r="P22" s="72"/>
      <c r="Q22" s="72"/>
      <c r="R22" s="72"/>
      <c r="S22" s="72"/>
    </row>
    <row r="23" spans="1:19" ht="12.75" customHeight="1">
      <c r="A23" s="66" t="s">
        <v>576</v>
      </c>
      <c r="B23" s="77">
        <f>+'Summary Medians'!$D$173</f>
        <v>8248</v>
      </c>
      <c r="C23" s="77">
        <f>+'Summary Medians'!$D$174</f>
        <v>7015</v>
      </c>
      <c r="D23" s="77">
        <f>+'Summary Medians'!$D$175</f>
        <v>6941</v>
      </c>
      <c r="E23" s="77">
        <f>+'Summary Medians'!$D$176</f>
        <v>5379</v>
      </c>
      <c r="F23" s="77">
        <f>+'Summary Medians'!$D$177</f>
        <v>4871</v>
      </c>
      <c r="G23" s="77">
        <f>+'Summary Medians'!$D$178</f>
        <v>5322.5</v>
      </c>
      <c r="H23" s="79">
        <f>+'Summary Medians'!$D$179</f>
        <v>7188</v>
      </c>
      <c r="L23" s="72"/>
      <c r="M23" s="72"/>
      <c r="N23" s="72"/>
      <c r="O23" s="72"/>
      <c r="P23" s="72"/>
      <c r="Q23" s="72"/>
      <c r="R23" s="72"/>
      <c r="S23" s="72"/>
    </row>
    <row r="24" spans="1:19" ht="12.75" customHeight="1">
      <c r="A24" s="66" t="s">
        <v>577</v>
      </c>
      <c r="B24" s="77" t="str">
        <f>+'Summary Medians'!$D$190</f>
        <v xml:space="preserve"> </v>
      </c>
      <c r="C24" s="77" t="str">
        <f>+'Summary Medians'!$D$191</f>
        <v xml:space="preserve"> </v>
      </c>
      <c r="D24" s="77" t="str">
        <f>+'Summary Medians'!$D$192</f>
        <v xml:space="preserve"> </v>
      </c>
      <c r="E24" s="77" t="str">
        <f>+'Summary Medians'!$D$193</f>
        <v xml:space="preserve"> </v>
      </c>
      <c r="F24" s="77" t="str">
        <f>+'Summary Medians'!$D$194</f>
        <v xml:space="preserve"> </v>
      </c>
      <c r="G24" s="77" t="str">
        <f>+'Summary Medians'!$D$195</f>
        <v xml:space="preserve"> </v>
      </c>
      <c r="H24" s="79" t="str">
        <f>+'Summary Medians'!$D$196</f>
        <v xml:space="preserve"> </v>
      </c>
      <c r="L24" s="72"/>
      <c r="M24" s="72"/>
      <c r="N24" s="72"/>
      <c r="O24" s="72"/>
      <c r="P24" s="72"/>
      <c r="Q24" s="72"/>
      <c r="R24" s="72"/>
      <c r="S24" s="72"/>
    </row>
    <row r="25" spans="1:19" ht="12.75" customHeight="1">
      <c r="A25" s="66" t="s">
        <v>578</v>
      </c>
      <c r="B25" s="77">
        <f>+'Summary Medians'!$D$207</f>
        <v>13904</v>
      </c>
      <c r="C25" s="77" t="str">
        <f>+'Summary Medians'!$D$208</f>
        <v xml:space="preserve"> </v>
      </c>
      <c r="D25" s="77">
        <f>+'Summary Medians'!$D$209</f>
        <v>13140</v>
      </c>
      <c r="E25" s="77">
        <f>+'Summary Medians'!$D$210</f>
        <v>11640</v>
      </c>
      <c r="F25" s="77">
        <f>+'Summary Medians'!$D$211</f>
        <v>11060</v>
      </c>
      <c r="G25" s="77">
        <f>+'Summary Medians'!$D$212</f>
        <v>11488</v>
      </c>
      <c r="H25" s="79">
        <f>+'Summary Medians'!$D$213</f>
        <v>11670</v>
      </c>
      <c r="L25" s="72"/>
      <c r="M25" s="72"/>
      <c r="N25" s="72"/>
      <c r="O25" s="72"/>
      <c r="P25" s="72"/>
      <c r="Q25" s="72"/>
      <c r="R25" s="72"/>
      <c r="S25" s="72"/>
    </row>
    <row r="26" spans="1:19" ht="12.75" customHeight="1">
      <c r="A26" s="66"/>
      <c r="B26" s="77"/>
      <c r="C26" s="77"/>
      <c r="D26" s="77"/>
      <c r="E26" s="77"/>
      <c r="F26" s="77"/>
      <c r="G26" s="77"/>
      <c r="H26" s="79"/>
      <c r="L26" s="72"/>
      <c r="M26" s="72"/>
      <c r="N26" s="72"/>
      <c r="O26" s="72"/>
      <c r="P26" s="72"/>
      <c r="Q26" s="72"/>
      <c r="R26" s="72"/>
      <c r="S26" s="72"/>
    </row>
    <row r="27" spans="1:19" ht="12.75" customHeight="1">
      <c r="A27" s="66" t="s">
        <v>579</v>
      </c>
      <c r="B27" s="77">
        <f>+'Summary Medians'!$D$224</f>
        <v>11650</v>
      </c>
      <c r="C27" s="77">
        <f>+'Summary Medians'!$D$225</f>
        <v>9592</v>
      </c>
      <c r="D27" s="77">
        <f>+'Summary Medians'!$D$226</f>
        <v>9848</v>
      </c>
      <c r="E27" s="77">
        <f>+'Summary Medians'!$D$227</f>
        <v>9912</v>
      </c>
      <c r="F27" s="77" t="str">
        <f>+'Summary Medians'!$D$228</f>
        <v xml:space="preserve"> </v>
      </c>
      <c r="G27" s="77" t="str">
        <f>+'Summary Medians'!$D$229</f>
        <v xml:space="preserve"> </v>
      </c>
      <c r="H27" s="79">
        <f>+'Summary Medians'!$D$230</f>
        <v>9848</v>
      </c>
      <c r="L27" s="72"/>
      <c r="M27" s="72"/>
      <c r="N27" s="72"/>
      <c r="O27" s="72"/>
      <c r="P27" s="72"/>
      <c r="Q27" s="72"/>
      <c r="R27" s="72"/>
      <c r="S27" s="72"/>
    </row>
    <row r="28" spans="1:19" ht="12.75" customHeight="1">
      <c r="A28" s="66" t="s">
        <v>580</v>
      </c>
      <c r="B28" s="77">
        <f>+'Summary Medians'!$D$241</f>
        <v>11845</v>
      </c>
      <c r="C28" s="77">
        <f>+'Summary Medians'!$D$242</f>
        <v>10332</v>
      </c>
      <c r="D28" s="77">
        <f>+'Summary Medians'!$D$243</f>
        <v>9394</v>
      </c>
      <c r="E28" s="77">
        <f>+'Summary Medians'!$D$244</f>
        <v>8797</v>
      </c>
      <c r="F28" s="77">
        <f>+'Summary Medians'!$D$245</f>
        <v>10875</v>
      </c>
      <c r="G28" s="77" t="str">
        <f>+'Summary Medians'!$D$246</f>
        <v xml:space="preserve"> </v>
      </c>
      <c r="H28" s="79">
        <f>+'Summary Medians'!$D$247</f>
        <v>10222</v>
      </c>
      <c r="L28" s="72"/>
      <c r="M28" s="72"/>
      <c r="N28" s="72"/>
      <c r="O28" s="72"/>
      <c r="P28" s="72"/>
      <c r="Q28" s="72"/>
      <c r="R28" s="72"/>
      <c r="S28" s="72"/>
    </row>
    <row r="29" spans="1:19" ht="12.75" customHeight="1">
      <c r="A29" s="66" t="s">
        <v>581</v>
      </c>
      <c r="B29" s="77">
        <f>+'Summary Medians'!$D$258</f>
        <v>14175</v>
      </c>
      <c r="C29" s="77">
        <f>+'Summary Medians'!$D$259</f>
        <v>23812</v>
      </c>
      <c r="D29" s="77">
        <f>+'Summary Medians'!$D$260</f>
        <v>11542</v>
      </c>
      <c r="E29" s="77">
        <f>+'Summary Medians'!$D$261</f>
        <v>9622</v>
      </c>
      <c r="F29" s="77">
        <f>+'Summary Medians'!$D$262</f>
        <v>14090</v>
      </c>
      <c r="G29" s="77">
        <f>+'Summary Medians'!$D$263</f>
        <v>11161</v>
      </c>
      <c r="H29" s="79">
        <f>+'Summary Medians'!$D$264</f>
        <v>13474.5</v>
      </c>
      <c r="L29" s="72"/>
      <c r="M29" s="72"/>
      <c r="N29" s="72"/>
      <c r="O29" s="72"/>
      <c r="P29" s="72"/>
      <c r="Q29" s="72"/>
      <c r="R29" s="72"/>
      <c r="S29" s="72"/>
    </row>
    <row r="30" spans="1:19" ht="12.75" customHeight="1">
      <c r="A30" s="137" t="s">
        <v>582</v>
      </c>
      <c r="B30" s="138">
        <f>+'Summary Medians'!$D$275</f>
        <v>9144</v>
      </c>
      <c r="C30" s="138" t="str">
        <f>+'Summary Medians'!$D$276</f>
        <v xml:space="preserve"> </v>
      </c>
      <c r="D30" s="138">
        <f>+'Summary Medians'!$D$277</f>
        <v>8552</v>
      </c>
      <c r="E30" s="138">
        <f>+'Summary Medians'!$D$278</f>
        <v>8229</v>
      </c>
      <c r="F30" s="138">
        <f>+'Summary Medians'!$D$279</f>
        <v>7892</v>
      </c>
      <c r="G30" s="138">
        <f>+'Summary Medians'!$D$280</f>
        <v>7886</v>
      </c>
      <c r="H30" s="82">
        <f>+'Summary Medians'!$D$281</f>
        <v>7998</v>
      </c>
      <c r="L30" s="72"/>
      <c r="M30" s="72"/>
      <c r="N30" s="72"/>
      <c r="O30" s="72"/>
      <c r="P30" s="72"/>
      <c r="Q30" s="72"/>
      <c r="R30" s="72"/>
      <c r="S30" s="72"/>
    </row>
    <row r="31" spans="1:19" ht="40.5" customHeight="1">
      <c r="A31" s="544" t="s">
        <v>583</v>
      </c>
      <c r="B31" s="544"/>
      <c r="C31" s="544"/>
      <c r="D31" s="544"/>
      <c r="E31" s="544"/>
      <c r="F31" s="544"/>
      <c r="G31" s="544"/>
      <c r="H31" s="544"/>
      <c r="L31" s="72"/>
      <c r="M31" s="72"/>
      <c r="N31" s="72"/>
      <c r="O31" s="72"/>
      <c r="P31" s="72"/>
      <c r="Q31" s="72"/>
      <c r="R31" s="72"/>
      <c r="S31" s="72"/>
    </row>
    <row r="32" spans="1:19">
      <c r="H32" s="83" t="s">
        <v>1054</v>
      </c>
      <c r="L32" s="72"/>
      <c r="M32" s="72"/>
      <c r="N32" s="72"/>
      <c r="O32" s="72"/>
      <c r="P32" s="72"/>
      <c r="Q32" s="72"/>
      <c r="R32" s="72"/>
      <c r="S32" s="72"/>
    </row>
    <row r="33" spans="1:19" ht="18">
      <c r="A33" s="545" t="s">
        <v>584</v>
      </c>
      <c r="B33" s="545"/>
      <c r="C33" s="545"/>
      <c r="D33" s="545"/>
      <c r="E33" s="545"/>
      <c r="F33" s="545"/>
      <c r="G33" s="545"/>
      <c r="H33" s="545"/>
      <c r="I33" s="545"/>
      <c r="J33" s="545"/>
      <c r="L33" s="72"/>
      <c r="M33" s="72"/>
      <c r="N33" s="72"/>
      <c r="O33" s="72"/>
      <c r="P33" s="72"/>
      <c r="Q33" s="72"/>
      <c r="R33" s="72"/>
      <c r="S33" s="72"/>
    </row>
    <row r="34" spans="1:19" ht="9.75" customHeight="1">
      <c r="A34" s="84"/>
      <c r="B34" s="84"/>
      <c r="C34" s="84"/>
      <c r="D34" s="84"/>
      <c r="E34" s="84"/>
      <c r="F34" s="84"/>
      <c r="G34" s="84"/>
      <c r="H34" s="84"/>
      <c r="I34" s="84"/>
      <c r="J34" s="84"/>
      <c r="K34" s="53"/>
      <c r="L34" s="72"/>
      <c r="M34" s="72"/>
      <c r="N34" s="72"/>
      <c r="O34" s="72"/>
      <c r="P34" s="72"/>
      <c r="Q34" s="72"/>
      <c r="R34" s="72"/>
      <c r="S34" s="72"/>
    </row>
    <row r="35" spans="1:19" ht="15.75">
      <c r="A35" s="543" t="s">
        <v>562</v>
      </c>
      <c r="B35" s="543"/>
      <c r="C35" s="543"/>
      <c r="D35" s="543"/>
      <c r="E35" s="543"/>
      <c r="F35" s="543"/>
      <c r="G35" s="543"/>
      <c r="H35" s="543"/>
      <c r="I35" s="543"/>
      <c r="J35" s="543"/>
      <c r="L35" s="72"/>
      <c r="M35" s="72"/>
      <c r="N35" s="72"/>
      <c r="O35" s="72"/>
      <c r="P35" s="72"/>
      <c r="Q35" s="72"/>
      <c r="R35" s="72"/>
      <c r="S35" s="72"/>
    </row>
    <row r="36" spans="1:19" ht="15.75">
      <c r="A36" s="543" t="s">
        <v>563</v>
      </c>
      <c r="B36" s="543"/>
      <c r="C36" s="543"/>
      <c r="D36" s="543"/>
      <c r="E36" s="543"/>
      <c r="F36" s="543"/>
      <c r="G36" s="543"/>
      <c r="H36" s="543"/>
      <c r="I36" s="543"/>
      <c r="J36" s="543"/>
      <c r="L36" s="72"/>
      <c r="M36" s="72"/>
      <c r="N36" s="72"/>
      <c r="O36" s="72"/>
      <c r="P36" s="72"/>
      <c r="Q36" s="72"/>
      <c r="R36" s="72"/>
      <c r="S36" s="72"/>
    </row>
    <row r="37" spans="1:19" ht="15.75">
      <c r="A37" s="543" t="s">
        <v>994</v>
      </c>
      <c r="B37" s="543"/>
      <c r="C37" s="543"/>
      <c r="D37" s="543"/>
      <c r="E37" s="543"/>
      <c r="F37" s="543"/>
      <c r="G37" s="543"/>
      <c r="H37" s="543"/>
      <c r="I37" s="543"/>
      <c r="J37" s="543"/>
      <c r="L37" s="72"/>
      <c r="M37" s="72"/>
      <c r="N37" s="72"/>
      <c r="O37" s="72"/>
      <c r="P37" s="72"/>
      <c r="Q37" s="72"/>
      <c r="R37" s="72"/>
      <c r="S37" s="72"/>
    </row>
    <row r="38" spans="1:19" ht="10.5" customHeight="1">
      <c r="A38" s="66"/>
      <c r="B38" s="66"/>
      <c r="C38" s="66"/>
      <c r="D38" s="66"/>
      <c r="E38" s="66"/>
      <c r="F38" s="66"/>
      <c r="G38" s="66"/>
      <c r="H38" s="66"/>
      <c r="I38" s="66"/>
      <c r="J38" s="66"/>
      <c r="K38" s="53"/>
      <c r="L38" s="72"/>
      <c r="M38" s="72"/>
      <c r="N38" s="72"/>
      <c r="O38" s="72"/>
      <c r="P38" s="72"/>
      <c r="Q38" s="72"/>
      <c r="R38" s="72"/>
      <c r="S38" s="72"/>
    </row>
    <row r="39" spans="1:19">
      <c r="A39" s="145"/>
      <c r="B39" s="68" t="s">
        <v>585</v>
      </c>
      <c r="C39" s="68"/>
      <c r="D39" s="68"/>
      <c r="E39" s="68"/>
      <c r="F39" s="151"/>
      <c r="G39" s="152" t="s">
        <v>586</v>
      </c>
      <c r="H39" s="68"/>
      <c r="I39" s="68"/>
      <c r="J39" s="153"/>
      <c r="L39" s="72"/>
      <c r="M39" s="72"/>
      <c r="N39" s="72"/>
      <c r="O39" s="72"/>
      <c r="P39" s="72"/>
      <c r="Q39" s="72"/>
      <c r="R39" s="72"/>
      <c r="S39" s="72"/>
    </row>
    <row r="40" spans="1:19" ht="34.5" customHeight="1">
      <c r="A40" s="146"/>
      <c r="B40" s="154" t="s">
        <v>587</v>
      </c>
      <c r="C40" s="132">
        <v>1</v>
      </c>
      <c r="D40" s="132">
        <v>2</v>
      </c>
      <c r="E40" s="132">
        <v>3</v>
      </c>
      <c r="F40" s="155" t="s">
        <v>565</v>
      </c>
      <c r="G40" s="132">
        <v>1</v>
      </c>
      <c r="H40" s="132">
        <v>2</v>
      </c>
      <c r="I40" s="156" t="s">
        <v>588</v>
      </c>
      <c r="J40" s="147" t="s">
        <v>565</v>
      </c>
      <c r="K40" s="72"/>
      <c r="L40" s="72"/>
      <c r="M40" s="72"/>
      <c r="N40" s="72"/>
      <c r="O40" s="72"/>
      <c r="P40" s="72"/>
      <c r="Q40" s="72"/>
      <c r="R40" s="72"/>
      <c r="S40" s="72"/>
    </row>
    <row r="41" spans="1:19" ht="7.5" customHeight="1">
      <c r="A41" s="66"/>
      <c r="B41" s="73"/>
      <c r="C41" s="73"/>
      <c r="D41" s="73"/>
      <c r="E41" s="148"/>
      <c r="F41" s="157"/>
      <c r="G41" s="158"/>
      <c r="H41" s="93"/>
      <c r="I41" s="159"/>
      <c r="J41" s="93"/>
      <c r="L41" s="72"/>
      <c r="M41" s="72"/>
      <c r="N41" s="72"/>
      <c r="O41" s="72"/>
      <c r="P41" s="72"/>
      <c r="Q41" s="72"/>
      <c r="R41" s="72"/>
      <c r="S41" s="72"/>
    </row>
    <row r="42" spans="1:19">
      <c r="A42" s="66" t="s">
        <v>566</v>
      </c>
      <c r="B42" s="75">
        <f>'Summary Medians'!D10</f>
        <v>3176</v>
      </c>
      <c r="C42" s="75">
        <f>'Summary Medians'!D11</f>
        <v>3700</v>
      </c>
      <c r="D42" s="75">
        <f>'Summary Medians'!D12</f>
        <v>3915</v>
      </c>
      <c r="E42" s="75">
        <f>'Summary Medians'!D13</f>
        <v>4070</v>
      </c>
      <c r="F42" s="95">
        <f>+'Summary Medians'!$D$14</f>
        <v>3790</v>
      </c>
      <c r="G42" s="76">
        <f>+'Summary Medians'!$D$15</f>
        <v>3709</v>
      </c>
      <c r="H42" s="75">
        <f>+'Summary Medians'!$D$16</f>
        <v>2452.5</v>
      </c>
      <c r="I42" s="96">
        <f>+'Summary Medians'!$D$17</f>
        <v>6435</v>
      </c>
      <c r="J42" s="76">
        <f>+'Summary Medians'!$D$18</f>
        <v>3727</v>
      </c>
      <c r="L42" s="72"/>
      <c r="M42" s="72"/>
      <c r="N42" s="72"/>
      <c r="O42" s="72"/>
      <c r="P42" s="72"/>
      <c r="Q42" s="72"/>
      <c r="R42" s="72"/>
      <c r="S42" s="72"/>
    </row>
    <row r="43" spans="1:19" ht="12" customHeight="1">
      <c r="A43" s="66"/>
      <c r="B43" s="149"/>
      <c r="C43" s="149"/>
      <c r="D43" s="149"/>
      <c r="E43" s="149"/>
      <c r="F43" s="97"/>
      <c r="G43" s="79"/>
      <c r="H43" s="77"/>
      <c r="I43" s="98"/>
      <c r="J43" s="79"/>
      <c r="L43" s="72"/>
      <c r="M43" s="72"/>
      <c r="N43" s="72"/>
      <c r="O43" s="72"/>
      <c r="P43" s="72"/>
      <c r="Q43" s="72"/>
      <c r="R43" s="72"/>
      <c r="S43" s="72"/>
    </row>
    <row r="44" spans="1:19">
      <c r="A44" s="66" t="s">
        <v>567</v>
      </c>
      <c r="B44" s="77" t="str">
        <f>'Summary Medians'!D27</f>
        <v xml:space="preserve"> </v>
      </c>
      <c r="C44" s="77">
        <f>'Summary Medians'!D28</f>
        <v>4920</v>
      </c>
      <c r="D44" s="77">
        <f>'Summary Medians'!D29</f>
        <v>4860</v>
      </c>
      <c r="E44" s="77">
        <f>'Summary Medians'!D30</f>
        <v>4860</v>
      </c>
      <c r="F44" s="97">
        <f>+'Summary Medians'!$D$31</f>
        <v>4860</v>
      </c>
      <c r="G44" s="79">
        <f>+'Summary Medians'!$D$32</f>
        <v>4770</v>
      </c>
      <c r="H44" s="77">
        <f>+'Summary Medians'!$D$33</f>
        <v>4900</v>
      </c>
      <c r="I44" s="98" t="str">
        <f>+'Summary Medians'!$D$34</f>
        <v xml:space="preserve"> </v>
      </c>
      <c r="J44" s="79">
        <f>+'Summary Medians'!$D$35</f>
        <v>4865</v>
      </c>
      <c r="L44" s="72"/>
      <c r="M44" s="72"/>
      <c r="N44" s="72"/>
      <c r="O44" s="72"/>
      <c r="P44" s="72"/>
      <c r="Q44" s="72"/>
      <c r="R44" s="72"/>
      <c r="S44" s="72"/>
    </row>
    <row r="45" spans="1:19">
      <c r="A45" s="66" t="s">
        <v>568</v>
      </c>
      <c r="B45" s="77" t="str">
        <f>'Summary Medians'!D44</f>
        <v xml:space="preserve"> </v>
      </c>
      <c r="C45" s="77">
        <f>'Summary Medians'!D45</f>
        <v>3288</v>
      </c>
      <c r="D45" s="77">
        <f>'Summary Medians'!D46</f>
        <v>4665</v>
      </c>
      <c r="E45" s="77">
        <f>'Summary Medians'!D47</f>
        <v>3570</v>
      </c>
      <c r="F45" s="97">
        <f>+'Summary Medians'!$D$48</f>
        <v>3600</v>
      </c>
      <c r="G45" s="79" t="str">
        <f>+'Summary Medians'!$D$49</f>
        <v xml:space="preserve"> </v>
      </c>
      <c r="H45" s="77" t="str">
        <f>+'Summary Medians'!$D$50</f>
        <v xml:space="preserve"> </v>
      </c>
      <c r="I45" s="98" t="str">
        <f>+'Summary Medians'!$D$51</f>
        <v xml:space="preserve"> </v>
      </c>
      <c r="J45" s="79"/>
      <c r="L45" s="72"/>
      <c r="M45" s="72"/>
      <c r="N45" s="72"/>
      <c r="O45" s="72"/>
      <c r="P45" s="72"/>
      <c r="Q45" s="72"/>
      <c r="R45" s="72"/>
      <c r="S45" s="72"/>
    </row>
    <row r="46" spans="1:19">
      <c r="A46" s="66" t="s">
        <v>569</v>
      </c>
      <c r="B46" s="77">
        <f>'Summary Medians'!D61</f>
        <v>4945</v>
      </c>
      <c r="C46" s="77" t="str">
        <f>'Summary Medians'!D62</f>
        <v xml:space="preserve"> </v>
      </c>
      <c r="D46" s="77" t="str">
        <f>'Summary Medians'!D63</f>
        <v xml:space="preserve"> </v>
      </c>
      <c r="E46" s="77" t="str">
        <f>'Summary Medians'!D64</f>
        <v xml:space="preserve"> </v>
      </c>
      <c r="F46" s="97">
        <f>+'Summary Medians'!$D$65</f>
        <v>4945</v>
      </c>
      <c r="G46" s="79" t="str">
        <f>+'Summary Medians'!$D$66</f>
        <v xml:space="preserve"> </v>
      </c>
      <c r="H46" s="77" t="str">
        <f>+'Summary Medians'!$D$67</f>
        <v xml:space="preserve"> </v>
      </c>
      <c r="I46" s="98" t="str">
        <f>+'Summary Medians'!$D$68</f>
        <v xml:space="preserve"> </v>
      </c>
      <c r="J46" s="79" t="str">
        <f>+'Summary Medians'!$D$69</f>
        <v xml:space="preserve"> </v>
      </c>
      <c r="L46" s="72"/>
      <c r="M46" s="72"/>
      <c r="N46" s="72"/>
      <c r="O46" s="72"/>
      <c r="P46" s="72"/>
      <c r="Q46" s="72"/>
      <c r="R46" s="72"/>
      <c r="S46" s="72"/>
    </row>
    <row r="47" spans="1:19">
      <c r="A47" s="66" t="s">
        <v>570</v>
      </c>
      <c r="B47" s="77">
        <f>'Summary Medians'!D78</f>
        <v>3129</v>
      </c>
      <c r="C47" s="77">
        <f>'Summary Medians'!D79</f>
        <v>3070.2</v>
      </c>
      <c r="D47" s="77" t="str">
        <f>'Summary Medians'!D80</f>
        <v xml:space="preserve"> </v>
      </c>
      <c r="E47" s="77">
        <f>'Summary Medians'!D81</f>
        <v>2914.8</v>
      </c>
      <c r="F47" s="97">
        <f>+'Summary Medians'!$D$82</f>
        <v>3121.3500000000004</v>
      </c>
      <c r="G47" s="79" t="str">
        <f>+'Summary Medians'!$D$83</f>
        <v xml:space="preserve"> </v>
      </c>
      <c r="H47" s="77" t="str">
        <f>+'Summary Medians'!$D$84</f>
        <v xml:space="preserve"> </v>
      </c>
      <c r="I47" s="98" t="str">
        <f>+'Summary Medians'!$D$85</f>
        <v xml:space="preserve"> </v>
      </c>
      <c r="J47" s="79" t="str">
        <f>+'Summary Medians'!$D$86</f>
        <v xml:space="preserve"> </v>
      </c>
      <c r="L47" s="72"/>
      <c r="M47" s="72"/>
      <c r="N47" s="72"/>
      <c r="O47" s="72"/>
      <c r="P47" s="72"/>
      <c r="Q47" s="72"/>
      <c r="R47" s="72"/>
      <c r="S47" s="72"/>
    </row>
    <row r="48" spans="1:19" ht="12.75" customHeight="1">
      <c r="A48" s="66"/>
      <c r="B48" s="77"/>
      <c r="C48" s="77"/>
      <c r="D48" s="77"/>
      <c r="E48" s="77"/>
      <c r="F48" s="97"/>
      <c r="G48" s="79"/>
      <c r="H48" s="77"/>
      <c r="I48" s="98"/>
      <c r="J48" s="79"/>
      <c r="L48" s="72"/>
      <c r="M48" s="72"/>
      <c r="N48" s="72"/>
      <c r="O48" s="72"/>
      <c r="P48" s="72"/>
      <c r="Q48" s="72"/>
      <c r="R48" s="72"/>
      <c r="S48" s="72"/>
    </row>
    <row r="49" spans="1:19">
      <c r="A49" s="66" t="s">
        <v>571</v>
      </c>
      <c r="B49" s="77">
        <f>'Summary Medians'!D95</f>
        <v>3897</v>
      </c>
      <c r="C49" s="77" t="str">
        <f>'Summary Medians'!D96</f>
        <v xml:space="preserve"> </v>
      </c>
      <c r="D49" s="77" t="str">
        <f>'Summary Medians'!D97</f>
        <v xml:space="preserve"> </v>
      </c>
      <c r="E49" s="77" t="str">
        <f>'Summary Medians'!D98</f>
        <v xml:space="preserve"> </v>
      </c>
      <c r="F49" s="97">
        <f>+'Summary Medians'!$D$99</f>
        <v>3897</v>
      </c>
      <c r="G49" s="79">
        <f>+'Summary Medians'!$D$100</f>
        <v>3669</v>
      </c>
      <c r="H49" s="77" t="str">
        <f>+'Summary Medians'!$D$101</f>
        <v xml:space="preserve"> </v>
      </c>
      <c r="I49" s="98" t="str">
        <f>+'Summary Medians'!$D$102</f>
        <v xml:space="preserve"> </v>
      </c>
      <c r="J49" s="79">
        <f>+'Summary Medians'!$D$103</f>
        <v>3669</v>
      </c>
      <c r="L49" s="72"/>
      <c r="M49" s="72"/>
      <c r="N49" s="72"/>
      <c r="O49" s="72"/>
      <c r="P49" s="72"/>
      <c r="Q49" s="72"/>
      <c r="R49" s="72"/>
      <c r="S49" s="72"/>
    </row>
    <row r="50" spans="1:19">
      <c r="A50" s="66" t="s">
        <v>572</v>
      </c>
      <c r="B50" s="77" t="str">
        <f>'Summary Medians'!D112</f>
        <v xml:space="preserve"> </v>
      </c>
      <c r="C50" s="77">
        <f>'Summary Medians'!D113</f>
        <v>5610</v>
      </c>
      <c r="D50" s="77">
        <f>'Summary Medians'!D114</f>
        <v>5610</v>
      </c>
      <c r="E50" s="77">
        <f>'Summary Medians'!D115</f>
        <v>5610</v>
      </c>
      <c r="F50" s="97">
        <f>+'Summary Medians'!$D$116</f>
        <v>5610</v>
      </c>
      <c r="G50" s="79">
        <f>+'Summary Medians'!$D$117</f>
        <v>5610</v>
      </c>
      <c r="H50" s="77" t="str">
        <f>+'Summary Medians'!$D$118</f>
        <v xml:space="preserve"> </v>
      </c>
      <c r="I50" s="98" t="str">
        <f>+'Summary Medians'!$D$119</f>
        <v xml:space="preserve"> </v>
      </c>
      <c r="J50" s="79">
        <f>+'Summary Medians'!$D$120</f>
        <v>5610</v>
      </c>
      <c r="L50" s="72"/>
      <c r="M50" s="72"/>
      <c r="N50" s="72"/>
      <c r="O50" s="72"/>
      <c r="P50" s="72"/>
      <c r="Q50" s="72"/>
      <c r="R50" s="72"/>
      <c r="S50" s="72"/>
    </row>
    <row r="51" spans="1:19">
      <c r="A51" s="66" t="s">
        <v>573</v>
      </c>
      <c r="B51" s="77" t="str">
        <f>'Summary Medians'!D129</f>
        <v xml:space="preserve"> </v>
      </c>
      <c r="C51" s="77">
        <f>'Summary Medians'!D130</f>
        <v>4300.2</v>
      </c>
      <c r="D51" s="77">
        <f>'Summary Medians'!D131</f>
        <v>4283.04</v>
      </c>
      <c r="E51" s="77">
        <f>'Summary Medians'!D132</f>
        <v>4182.04</v>
      </c>
      <c r="F51" s="97">
        <f>+'Summary Medians'!$D$133</f>
        <v>4279.04</v>
      </c>
      <c r="G51" s="79">
        <f>+'Summary Medians'!$D$134</f>
        <v>4193.9549999999999</v>
      </c>
      <c r="H51" s="77">
        <f>+'Summary Medians'!$D$135</f>
        <v>4109.3500000000004</v>
      </c>
      <c r="I51" s="98" t="str">
        <f>+'Summary Medians'!$D$136</f>
        <v xml:space="preserve"> </v>
      </c>
      <c r="J51" s="79">
        <f>+'Summary Medians'!$D$137</f>
        <v>4184.87</v>
      </c>
      <c r="L51" s="72"/>
      <c r="M51" s="72"/>
      <c r="N51" s="72"/>
      <c r="O51" s="72"/>
      <c r="P51" s="72"/>
      <c r="Q51" s="72"/>
      <c r="R51" s="72"/>
      <c r="S51" s="72"/>
    </row>
    <row r="52" spans="1:19">
      <c r="A52" s="66" t="s">
        <v>574</v>
      </c>
      <c r="B52" s="77" t="str">
        <f>'Summary Medians'!D146</f>
        <v xml:space="preserve"> </v>
      </c>
      <c r="C52" s="77">
        <f>'Summary Medians'!D147</f>
        <v>5016</v>
      </c>
      <c r="D52" s="77">
        <f>'Summary Medians'!D148</f>
        <v>4750</v>
      </c>
      <c r="E52" s="77">
        <f>'Summary Medians'!D149</f>
        <v>4770</v>
      </c>
      <c r="F52" s="97">
        <f>+'Summary Medians'!$D$150</f>
        <v>4816.5</v>
      </c>
      <c r="G52" s="79" t="str">
        <f>+'Summary Medians'!$D$151</f>
        <v xml:space="preserve"> </v>
      </c>
      <c r="H52" s="77" t="str">
        <f>+'Summary Medians'!$D$152</f>
        <v xml:space="preserve"> </v>
      </c>
      <c r="I52" s="98" t="str">
        <f>+'Summary Medians'!$D$153</f>
        <v xml:space="preserve"> </v>
      </c>
      <c r="J52" s="79" t="str">
        <f>+'Summary Medians'!$D$154</f>
        <v xml:space="preserve"> </v>
      </c>
      <c r="L52" s="72"/>
      <c r="M52" s="72"/>
      <c r="N52" s="72"/>
      <c r="O52" s="72"/>
      <c r="P52" s="72"/>
      <c r="Q52" s="72"/>
      <c r="R52" s="72"/>
      <c r="S52" s="72"/>
    </row>
    <row r="53" spans="1:19" ht="11.25" customHeight="1">
      <c r="A53" s="66"/>
      <c r="B53" s="77"/>
      <c r="C53" s="77"/>
      <c r="D53" s="77"/>
      <c r="E53" s="77"/>
      <c r="F53" s="97"/>
      <c r="G53" s="79"/>
      <c r="H53" s="77"/>
      <c r="I53" s="98"/>
      <c r="J53" s="79"/>
      <c r="L53" s="72"/>
      <c r="M53" s="72"/>
      <c r="N53" s="72"/>
      <c r="O53" s="72"/>
      <c r="P53" s="72"/>
      <c r="Q53" s="72"/>
      <c r="R53" s="72"/>
      <c r="S53" s="72"/>
    </row>
    <row r="54" spans="1:19">
      <c r="A54" s="66" t="s">
        <v>575</v>
      </c>
      <c r="B54" s="77" t="str">
        <f>'Summary Medians'!D163</f>
        <v xml:space="preserve"> </v>
      </c>
      <c r="C54" s="77">
        <f>'Summary Medians'!D164</f>
        <v>3445</v>
      </c>
      <c r="D54" s="77">
        <f>'Summary Medians'!D165</f>
        <v>3410</v>
      </c>
      <c r="E54" s="77">
        <f>'Summary Medians'!D166</f>
        <v>3325</v>
      </c>
      <c r="F54" s="97">
        <f>+'Summary Medians'!$D$167</f>
        <v>3390</v>
      </c>
      <c r="G54" s="79" t="str">
        <f>+'Summary Medians'!$D$168</f>
        <v xml:space="preserve"> </v>
      </c>
      <c r="H54" s="77" t="str">
        <f>+'Summary Medians'!$D$169</f>
        <v xml:space="preserve"> </v>
      </c>
      <c r="I54" s="98" t="str">
        <f>+'Summary Medians'!$D$170</f>
        <v xml:space="preserve"> </v>
      </c>
      <c r="J54" s="79" t="str">
        <f>+'Summary Medians'!$D$171</f>
        <v xml:space="preserve"> </v>
      </c>
      <c r="L54" s="72"/>
      <c r="M54" s="72"/>
      <c r="N54" s="72"/>
      <c r="O54" s="72"/>
      <c r="P54" s="72"/>
      <c r="Q54" s="72"/>
      <c r="R54" s="72"/>
      <c r="S54" s="72"/>
    </row>
    <row r="55" spans="1:19">
      <c r="A55" s="66" t="s">
        <v>576</v>
      </c>
      <c r="B55" s="77" t="str">
        <f>'Summary Medians'!D180</f>
        <v xml:space="preserve"> </v>
      </c>
      <c r="C55" s="77">
        <f>'Summary Medians'!D181</f>
        <v>2626</v>
      </c>
      <c r="D55" s="77">
        <f>'Summary Medians'!D182</f>
        <v>2537</v>
      </c>
      <c r="E55" s="77">
        <f>'Summary Medians'!D183</f>
        <v>2562</v>
      </c>
      <c r="F55" s="97">
        <f>+'Summary Medians'!$D$184</f>
        <v>2559.5</v>
      </c>
      <c r="G55" s="79" t="str">
        <f>+'Summary Medians'!$D$185</f>
        <v xml:space="preserve"> </v>
      </c>
      <c r="H55" s="77" t="str">
        <f>+'Summary Medians'!$D$186</f>
        <v xml:space="preserve"> </v>
      </c>
      <c r="I55" s="98" t="str">
        <f>+'Summary Medians'!$D$187</f>
        <v xml:space="preserve"> </v>
      </c>
      <c r="J55" s="77" t="str">
        <f>+'Summary Medians'!$D$188</f>
        <v xml:space="preserve"> </v>
      </c>
      <c r="L55" s="72"/>
      <c r="M55" s="72"/>
      <c r="N55" s="72"/>
      <c r="O55" s="72"/>
      <c r="P55" s="72"/>
      <c r="Q55" s="72"/>
      <c r="R55" s="72"/>
      <c r="S55" s="72"/>
    </row>
    <row r="56" spans="1:19">
      <c r="A56" s="66" t="s">
        <v>577</v>
      </c>
      <c r="B56" s="77" t="str">
        <f>'Summary Medians'!D197</f>
        <v xml:space="preserve"> </v>
      </c>
      <c r="C56" s="77" t="str">
        <f>'Summary Medians'!D198</f>
        <v xml:space="preserve"> </v>
      </c>
      <c r="D56" s="77" t="str">
        <f>'Summary Medians'!D199</f>
        <v xml:space="preserve"> </v>
      </c>
      <c r="E56" s="77" t="str">
        <f>'Summary Medians'!D200</f>
        <v xml:space="preserve"> </v>
      </c>
      <c r="F56" s="97" t="str">
        <f>+'Summary Medians'!$D$201</f>
        <v xml:space="preserve"> </v>
      </c>
      <c r="G56" s="79">
        <f>+'Summary Medians'!$D$202</f>
        <v>1980</v>
      </c>
      <c r="H56" s="77">
        <f>+'Summary Medians'!$D$203</f>
        <v>1890</v>
      </c>
      <c r="I56" s="98" t="str">
        <f>+'Summary Medians'!$D$204</f>
        <v xml:space="preserve"> </v>
      </c>
      <c r="J56" s="77">
        <f>+'Summary Medians'!$D$205</f>
        <v>1935</v>
      </c>
      <c r="L56" s="72"/>
      <c r="M56" s="72"/>
      <c r="N56" s="72"/>
      <c r="O56" s="72"/>
      <c r="P56" s="72"/>
      <c r="Q56" s="72"/>
      <c r="R56" s="72"/>
      <c r="S56" s="72"/>
    </row>
    <row r="57" spans="1:19">
      <c r="A57" s="66" t="s">
        <v>578</v>
      </c>
      <c r="B57" s="77" t="str">
        <f>'Summary Medians'!D214</f>
        <v xml:space="preserve"> </v>
      </c>
      <c r="C57" s="77">
        <f>'Summary Medians'!D215</f>
        <v>5806</v>
      </c>
      <c r="D57" s="77">
        <f>'Summary Medians'!D216</f>
        <v>5705</v>
      </c>
      <c r="E57" s="77">
        <f>'Summary Medians'!D217</f>
        <v>6283</v>
      </c>
      <c r="F57" s="97">
        <f>+'Summary Medians'!$D$218</f>
        <v>5995</v>
      </c>
      <c r="G57" s="79" t="str">
        <f>+'Summary Medians'!$D$219</f>
        <v xml:space="preserve"> </v>
      </c>
      <c r="H57" s="77" t="str">
        <f>+'Summary Medians'!$D$220</f>
        <v xml:space="preserve"> </v>
      </c>
      <c r="I57" s="98" t="str">
        <f>+'Summary Medians'!$D$221</f>
        <v xml:space="preserve"> </v>
      </c>
      <c r="J57" s="77" t="str">
        <f>+'Summary Medians'!$D$222</f>
        <v xml:space="preserve"> </v>
      </c>
      <c r="L57" s="72"/>
      <c r="M57" s="72"/>
      <c r="N57" s="72"/>
      <c r="O57" s="72"/>
      <c r="P57" s="72"/>
      <c r="Q57" s="72"/>
      <c r="R57" s="72"/>
      <c r="S57" s="72"/>
    </row>
    <row r="58" spans="1:19" ht="9" customHeight="1">
      <c r="A58" s="66"/>
      <c r="B58" s="77"/>
      <c r="C58" s="77"/>
      <c r="D58" s="77"/>
      <c r="E58" s="77"/>
      <c r="F58" s="97"/>
      <c r="G58" s="79"/>
      <c r="H58" s="77"/>
      <c r="I58" s="98"/>
      <c r="J58" s="77"/>
      <c r="L58" s="72"/>
      <c r="M58" s="72"/>
      <c r="N58" s="72"/>
      <c r="O58" s="72"/>
      <c r="P58" s="72"/>
      <c r="Q58" s="72"/>
      <c r="R58" s="72"/>
      <c r="S58" s="72"/>
    </row>
    <row r="59" spans="1:19">
      <c r="A59" s="66" t="s">
        <v>579</v>
      </c>
      <c r="B59" s="77" t="str">
        <f>'Summary Medians'!D231</f>
        <v xml:space="preserve"> </v>
      </c>
      <c r="C59" s="77">
        <f>'Summary Medians'!D232</f>
        <v>4652</v>
      </c>
      <c r="D59" s="77">
        <f>'Summary Medians'!D233</f>
        <v>4636</v>
      </c>
      <c r="E59" s="77">
        <f>'Summary Medians'!D234</f>
        <v>4632</v>
      </c>
      <c r="F59" s="97">
        <f>+'Summary Medians'!$D$235</f>
        <v>4636</v>
      </c>
      <c r="G59" s="79" t="str">
        <f>+'Summary Medians'!$D$236</f>
        <v xml:space="preserve"> </v>
      </c>
      <c r="H59" s="77">
        <f>+'Summary Medians'!$D$237</f>
        <v>4008</v>
      </c>
      <c r="I59" s="98" t="str">
        <f>+'Summary Medians'!$D$238</f>
        <v xml:space="preserve"> </v>
      </c>
      <c r="J59" s="77">
        <f>+'Summary Medians'!$D$239</f>
        <v>4008</v>
      </c>
      <c r="L59" s="72"/>
      <c r="M59" s="72"/>
      <c r="N59" s="72"/>
      <c r="O59" s="72"/>
      <c r="P59" s="72"/>
      <c r="Q59" s="72"/>
      <c r="R59" s="72"/>
      <c r="S59" s="72"/>
    </row>
    <row r="60" spans="1:19">
      <c r="A60" s="66" t="s">
        <v>589</v>
      </c>
      <c r="B60" s="77">
        <f>'Summary Medians'!D248</f>
        <v>4121</v>
      </c>
      <c r="C60" s="77">
        <f>'Summary Medians'!D249</f>
        <v>2798</v>
      </c>
      <c r="D60" s="77">
        <f>'Summary Medians'!D250</f>
        <v>3316</v>
      </c>
      <c r="E60" s="77">
        <f>'Summary Medians'!D251</f>
        <v>3840</v>
      </c>
      <c r="F60" s="97">
        <f>+'Summary Medians'!$D$252</f>
        <v>3294</v>
      </c>
      <c r="G60" s="79" t="str">
        <f>+'Summary Medians'!$D$253</f>
        <v xml:space="preserve"> </v>
      </c>
      <c r="H60" s="77" t="str">
        <f>+'Summary Medians'!$D$254</f>
        <v xml:space="preserve"> </v>
      </c>
      <c r="I60" s="98" t="str">
        <f>+'Summary Medians'!$D$255</f>
        <v xml:space="preserve"> </v>
      </c>
      <c r="J60" s="77" t="str">
        <f>+'Summary Medians'!$D$256</f>
        <v xml:space="preserve"> </v>
      </c>
      <c r="L60" s="72"/>
      <c r="M60" s="72"/>
      <c r="N60" s="72"/>
      <c r="O60" s="72"/>
      <c r="P60" s="72"/>
      <c r="Q60" s="72"/>
      <c r="R60" s="72"/>
      <c r="S60" s="72"/>
    </row>
    <row r="61" spans="1:19">
      <c r="A61" s="66" t="s">
        <v>590</v>
      </c>
      <c r="B61" s="77" t="str">
        <f>'Summary Medians'!D265</f>
        <v xml:space="preserve"> </v>
      </c>
      <c r="C61" s="77">
        <f>'Summary Medians'!D266</f>
        <v>4620</v>
      </c>
      <c r="D61" s="77">
        <f>'Summary Medians'!D267</f>
        <v>4620</v>
      </c>
      <c r="E61" s="77">
        <f>'Summary Medians'!D268</f>
        <v>4620</v>
      </c>
      <c r="F61" s="97">
        <f>+'Summary Medians'!$D$269</f>
        <v>4620</v>
      </c>
      <c r="G61" s="79" t="str">
        <f>+'Summary Medians'!$D$270</f>
        <v xml:space="preserve"> </v>
      </c>
      <c r="H61" s="77" t="str">
        <f>+'Summary Medians'!$D$271</f>
        <v xml:space="preserve"> </v>
      </c>
      <c r="I61" s="98" t="str">
        <f>+'Summary Medians'!$D$272</f>
        <v xml:space="preserve"> </v>
      </c>
      <c r="J61" s="77" t="str">
        <f>+'Summary Medians'!$D$273</f>
        <v xml:space="preserve"> </v>
      </c>
      <c r="L61" s="72"/>
      <c r="M61" s="72"/>
      <c r="N61" s="72"/>
      <c r="O61" s="72"/>
      <c r="P61" s="72"/>
      <c r="Q61" s="72"/>
      <c r="R61" s="72"/>
      <c r="S61" s="72"/>
    </row>
    <row r="62" spans="1:19">
      <c r="A62" s="137" t="s">
        <v>582</v>
      </c>
      <c r="B62" s="138">
        <f>'Summary Medians'!D282</f>
        <v>4286</v>
      </c>
      <c r="C62" s="138" t="str">
        <f>'Summary Medians'!D283</f>
        <v xml:space="preserve"> </v>
      </c>
      <c r="D62" s="138">
        <f>'Summary Medians'!D284</f>
        <v>4128</v>
      </c>
      <c r="E62" s="138">
        <f>'Summary Medians'!D285</f>
        <v>4502</v>
      </c>
      <c r="F62" s="99">
        <f>+'Summary Medians'!$D$286</f>
        <v>4315</v>
      </c>
      <c r="G62" s="82" t="str">
        <f>+'Summary Medians'!$D$287</f>
        <v xml:space="preserve"> </v>
      </c>
      <c r="H62" s="138" t="str">
        <f>+'Summary Medians'!$D$288</f>
        <v xml:space="preserve"> </v>
      </c>
      <c r="I62" s="100">
        <f>+'Summary Medians'!$D$289</f>
        <v>6435</v>
      </c>
      <c r="J62" s="138">
        <f>+'Summary Medians'!$D$290</f>
        <v>6435</v>
      </c>
      <c r="L62" s="72"/>
      <c r="M62" s="72"/>
      <c r="N62" s="72"/>
      <c r="O62" s="72"/>
      <c r="P62" s="72"/>
      <c r="Q62" s="72"/>
      <c r="R62" s="72"/>
      <c r="S62" s="72"/>
    </row>
    <row r="63" spans="1:19" ht="14.25" customHeight="1">
      <c r="A63" s="101" t="s">
        <v>591</v>
      </c>
      <c r="B63" s="102"/>
      <c r="C63" s="102"/>
      <c r="D63" s="102"/>
      <c r="E63" s="102"/>
      <c r="F63" s="102"/>
      <c r="G63" s="102"/>
      <c r="H63" s="102"/>
      <c r="I63" s="102"/>
      <c r="J63" s="102"/>
      <c r="L63" s="72"/>
      <c r="M63" s="72"/>
      <c r="N63" s="72"/>
      <c r="O63" s="72"/>
      <c r="P63" s="72"/>
      <c r="Q63" s="72"/>
      <c r="R63" s="72"/>
      <c r="S63" s="72"/>
    </row>
    <row r="64" spans="1:19" ht="57.75" customHeight="1">
      <c r="A64" s="544" t="s">
        <v>592</v>
      </c>
      <c r="B64" s="544"/>
      <c r="C64" s="544"/>
      <c r="D64" s="544"/>
      <c r="E64" s="544"/>
      <c r="F64" s="544"/>
      <c r="G64" s="544"/>
      <c r="H64" s="544"/>
      <c r="I64" s="544"/>
      <c r="J64" s="544"/>
      <c r="L64" s="72"/>
      <c r="M64" s="72"/>
      <c r="N64" s="72"/>
      <c r="O64" s="72"/>
      <c r="P64" s="72"/>
      <c r="Q64" s="72"/>
      <c r="R64" s="72"/>
      <c r="S64" s="72"/>
    </row>
    <row r="65" spans="1:19" ht="13.5" customHeight="1">
      <c r="J65" s="83" t="s">
        <v>1054</v>
      </c>
      <c r="L65" s="72"/>
      <c r="M65" s="72"/>
      <c r="N65" s="72"/>
      <c r="O65" s="72"/>
      <c r="P65" s="72"/>
      <c r="Q65" s="72"/>
      <c r="R65" s="72"/>
      <c r="S65" s="72"/>
    </row>
    <row r="66" spans="1:19" ht="18">
      <c r="A66" s="62" t="s">
        <v>593</v>
      </c>
      <c r="B66" s="62"/>
      <c r="C66" s="62"/>
      <c r="D66" s="62"/>
      <c r="E66" s="62"/>
      <c r="F66" s="62"/>
      <c r="G66" s="62"/>
      <c r="H66" s="62"/>
      <c r="L66" s="72"/>
      <c r="M66" s="72"/>
      <c r="N66" s="72"/>
      <c r="O66" s="72"/>
      <c r="P66" s="72"/>
      <c r="Q66" s="72"/>
      <c r="R66" s="72"/>
      <c r="S66" s="72"/>
    </row>
    <row r="67" spans="1:19">
      <c r="A67" s="64"/>
      <c r="B67" s="64"/>
      <c r="C67" s="64"/>
      <c r="D67" s="64"/>
      <c r="E67" s="64"/>
      <c r="F67" s="64"/>
      <c r="G67" s="64"/>
      <c r="H67" s="64"/>
      <c r="L67" s="72"/>
      <c r="M67" s="72"/>
      <c r="N67" s="72"/>
      <c r="O67" s="72"/>
      <c r="P67" s="72"/>
      <c r="Q67" s="72"/>
      <c r="R67" s="72"/>
      <c r="S67" s="72"/>
    </row>
    <row r="68" spans="1:19" ht="15.75">
      <c r="A68" s="65" t="s">
        <v>562</v>
      </c>
      <c r="B68" s="65"/>
      <c r="C68" s="65"/>
      <c r="D68" s="65"/>
      <c r="E68" s="65"/>
      <c r="F68" s="65"/>
      <c r="G68" s="65"/>
      <c r="H68" s="65"/>
      <c r="L68" s="72"/>
      <c r="M68" s="72"/>
      <c r="N68" s="72"/>
      <c r="O68" s="72"/>
      <c r="P68" s="72"/>
      <c r="Q68" s="72"/>
      <c r="R68" s="72"/>
      <c r="S68" s="72"/>
    </row>
    <row r="69" spans="1:19" ht="15.75">
      <c r="A69" s="65" t="s">
        <v>594</v>
      </c>
      <c r="B69" s="65"/>
      <c r="C69" s="65"/>
      <c r="D69" s="65"/>
      <c r="E69" s="65"/>
      <c r="F69" s="65"/>
      <c r="G69" s="65"/>
      <c r="H69" s="65"/>
      <c r="L69" s="72"/>
      <c r="M69" s="72"/>
      <c r="N69" s="72"/>
      <c r="O69" s="72"/>
      <c r="P69" s="72"/>
      <c r="Q69" s="72"/>
      <c r="R69" s="72"/>
      <c r="S69" s="72"/>
    </row>
    <row r="70" spans="1:19" ht="15.75">
      <c r="A70" s="65" t="s">
        <v>993</v>
      </c>
      <c r="B70" s="65"/>
      <c r="C70" s="65"/>
      <c r="D70" s="65"/>
      <c r="E70" s="65"/>
      <c r="F70" s="65"/>
      <c r="G70" s="65"/>
      <c r="H70" s="65"/>
      <c r="L70" s="72"/>
      <c r="M70" s="72"/>
      <c r="N70" s="72"/>
      <c r="O70" s="72"/>
      <c r="P70" s="72"/>
      <c r="Q70" s="72"/>
      <c r="R70" s="72"/>
      <c r="S70" s="72"/>
    </row>
    <row r="71" spans="1:19">
      <c r="A71" s="103"/>
      <c r="B71" s="103"/>
      <c r="C71" s="103"/>
      <c r="D71" s="103"/>
      <c r="E71" s="103"/>
      <c r="F71" s="103"/>
      <c r="G71" s="103"/>
      <c r="H71" s="103"/>
      <c r="L71" s="72"/>
      <c r="M71" s="72"/>
      <c r="N71" s="72"/>
      <c r="O71" s="72"/>
      <c r="P71" s="72"/>
      <c r="Q71" s="72"/>
      <c r="R71" s="72"/>
      <c r="S71" s="72"/>
    </row>
    <row r="72" spans="1:19">
      <c r="A72" s="145"/>
      <c r="B72" s="68" t="s">
        <v>564</v>
      </c>
      <c r="C72" s="68"/>
      <c r="D72" s="68"/>
      <c r="E72" s="68"/>
      <c r="F72" s="68"/>
      <c r="G72" s="68"/>
      <c r="H72" s="68"/>
      <c r="L72" s="72"/>
      <c r="M72" s="72"/>
      <c r="N72" s="72"/>
      <c r="O72" s="72"/>
      <c r="P72" s="72"/>
      <c r="Q72" s="72"/>
      <c r="R72" s="72"/>
      <c r="S72" s="72"/>
    </row>
    <row r="73" spans="1:19">
      <c r="A73" s="146"/>
      <c r="B73" s="132">
        <v>1</v>
      </c>
      <c r="C73" s="132">
        <v>2</v>
      </c>
      <c r="D73" s="132">
        <v>3</v>
      </c>
      <c r="E73" s="132">
        <v>4</v>
      </c>
      <c r="F73" s="132">
        <v>5</v>
      </c>
      <c r="G73" s="132">
        <v>6</v>
      </c>
      <c r="H73" s="133" t="s">
        <v>565</v>
      </c>
      <c r="L73" s="72"/>
      <c r="M73" s="72"/>
      <c r="N73" s="72"/>
      <c r="O73" s="72"/>
      <c r="P73" s="72"/>
      <c r="Q73" s="72"/>
      <c r="R73" s="72"/>
      <c r="S73" s="72"/>
    </row>
    <row r="74" spans="1:19">
      <c r="A74"/>
      <c r="B74"/>
      <c r="C74"/>
      <c r="D74"/>
      <c r="E74"/>
      <c r="F74"/>
      <c r="G74" s="160"/>
      <c r="H74"/>
      <c r="L74" s="72"/>
      <c r="M74" s="72"/>
      <c r="N74" s="72"/>
      <c r="O74" s="72"/>
      <c r="P74" s="72"/>
      <c r="Q74" s="72"/>
      <c r="R74" s="72"/>
      <c r="S74" s="72"/>
    </row>
    <row r="75" spans="1:19">
      <c r="A75" s="66" t="s">
        <v>566</v>
      </c>
      <c r="B75" s="75">
        <f>+'Summary Medians'!$G$3</f>
        <v>30602</v>
      </c>
      <c r="C75" s="75">
        <f>+'Summary Medians'!$G$4</f>
        <v>23574</v>
      </c>
      <c r="D75" s="75">
        <f>+'Summary Medians'!$G$5</f>
        <v>21506</v>
      </c>
      <c r="E75" s="75">
        <f>+'Summary Medians'!$G$6</f>
        <v>19416.5</v>
      </c>
      <c r="F75" s="75">
        <f>+'Summary Medians'!$G$7</f>
        <v>20285</v>
      </c>
      <c r="G75" s="75">
        <f>+'Summary Medians'!$G$8</f>
        <v>15855.5</v>
      </c>
      <c r="H75" s="107">
        <f>+'Summary Medians'!$G$9</f>
        <v>21525</v>
      </c>
      <c r="L75" s="72"/>
      <c r="M75" s="72"/>
      <c r="N75" s="72"/>
      <c r="O75" s="72"/>
      <c r="P75" s="72"/>
      <c r="Q75" s="72"/>
      <c r="R75" s="72"/>
      <c r="S75" s="72"/>
    </row>
    <row r="76" spans="1:19">
      <c r="A76" s="66"/>
      <c r="B76" s="149"/>
      <c r="C76" s="149"/>
      <c r="D76" s="149"/>
      <c r="E76" s="149"/>
      <c r="F76" s="149"/>
      <c r="G76" s="150"/>
      <c r="H76" s="149"/>
      <c r="L76" s="72"/>
      <c r="M76" s="72"/>
      <c r="N76" s="72"/>
      <c r="O76" s="72"/>
      <c r="P76" s="72"/>
      <c r="Q76" s="72"/>
      <c r="R76" s="72"/>
      <c r="S76" s="72"/>
    </row>
    <row r="77" spans="1:19">
      <c r="A77" s="66" t="s">
        <v>567</v>
      </c>
      <c r="B77" s="77">
        <f>+'Summary Medians'!$G$20</f>
        <v>31090</v>
      </c>
      <c r="C77" s="77">
        <f>+'Summary Medians'!$G$21</f>
        <v>22308</v>
      </c>
      <c r="D77" s="77">
        <f>+'Summary Medians'!$G$22</f>
        <v>20840</v>
      </c>
      <c r="E77" s="77">
        <f>+'Summary Medians'!$G$23</f>
        <v>19793</v>
      </c>
      <c r="F77" s="77">
        <f>+'Summary Medians'!$G$24</f>
        <v>21269</v>
      </c>
      <c r="G77" s="77" t="str">
        <f>+'Summary Medians'!$G$25</f>
        <v xml:space="preserve"> </v>
      </c>
      <c r="H77" s="126">
        <f>+'Summary Medians'!$G$26</f>
        <v>22060</v>
      </c>
      <c r="L77" s="72"/>
      <c r="M77" s="72"/>
      <c r="N77" s="72"/>
      <c r="O77" s="72"/>
      <c r="P77" s="72"/>
      <c r="Q77" s="72"/>
      <c r="R77" s="72"/>
      <c r="S77" s="72"/>
    </row>
    <row r="78" spans="1:19">
      <c r="A78" s="66" t="s">
        <v>568</v>
      </c>
      <c r="B78" s="77">
        <f>+'Summary Medians'!$G$37</f>
        <v>26389</v>
      </c>
      <c r="C78" s="77">
        <f>+'Summary Medians'!$G$38</f>
        <v>21784</v>
      </c>
      <c r="D78" s="77">
        <f>+'Summary Medians'!$G$39</f>
        <v>16433</v>
      </c>
      <c r="E78" s="77">
        <f>+'Summary Medians'!$G$40</f>
        <v>13879</v>
      </c>
      <c r="F78" s="77" t="str">
        <f>+'Summary Medians'!$G$41</f>
        <v xml:space="preserve"> </v>
      </c>
      <c r="G78" s="77">
        <f>+'Summary Medians'!$G$42</f>
        <v>15501.5</v>
      </c>
      <c r="H78" s="126">
        <f>+'Summary Medians'!$G$43</f>
        <v>16144.5</v>
      </c>
      <c r="L78" s="72"/>
      <c r="M78" s="72"/>
      <c r="N78" s="72"/>
      <c r="O78" s="72"/>
      <c r="P78" s="72"/>
      <c r="Q78" s="72"/>
      <c r="R78" s="72"/>
      <c r="S78" s="72"/>
    </row>
    <row r="79" spans="1:19">
      <c r="A79" s="66" t="s">
        <v>569</v>
      </c>
      <c r="B79" s="77">
        <f>+'Summary Medians'!$G$54</f>
        <v>36880</v>
      </c>
      <c r="C79" s="77" t="str">
        <f>+'Summary Medians'!$G$55</f>
        <v xml:space="preserve"> </v>
      </c>
      <c r="D79" s="77">
        <f>+'Summary Medians'!$G$56</f>
        <v>18280</v>
      </c>
      <c r="E79" s="77" t="str">
        <f>+'Summary Medians'!$G$57</f>
        <v xml:space="preserve"> </v>
      </c>
      <c r="F79" s="77" t="str">
        <f>+'Summary Medians'!$G$58</f>
        <v xml:space="preserve"> </v>
      </c>
      <c r="G79" s="77" t="str">
        <f>+'Summary Medians'!$G$59</f>
        <v xml:space="preserve"> </v>
      </c>
      <c r="H79" s="126">
        <f>+'Summary Medians'!$G$60</f>
        <v>27580</v>
      </c>
      <c r="L79" s="72"/>
      <c r="M79" s="72"/>
      <c r="N79" s="72"/>
      <c r="O79" s="72"/>
      <c r="P79" s="72"/>
      <c r="Q79" s="72"/>
      <c r="R79" s="72"/>
      <c r="S79" s="72"/>
    </row>
    <row r="80" spans="1:19">
      <c r="A80" s="66" t="s">
        <v>570</v>
      </c>
      <c r="B80" s="77" t="str">
        <f>+'Summary Medians'!$G$71</f>
        <v xml:space="preserve"> </v>
      </c>
      <c r="C80" s="77" t="str">
        <f>+'Summary Medians'!$G$72</f>
        <v xml:space="preserve"> </v>
      </c>
      <c r="D80" s="77" t="str">
        <f>+'Summary Medians'!$G$73</f>
        <v xml:space="preserve"> </v>
      </c>
      <c r="E80" s="77" t="str">
        <f>+'Summary Medians'!$G$74</f>
        <v xml:space="preserve"> </v>
      </c>
      <c r="F80" s="77" t="str">
        <f>+'Summary Medians'!$G$75</f>
        <v xml:space="preserve"> </v>
      </c>
      <c r="G80" s="77" t="str">
        <f>+'Summary Medians'!$G$76</f>
        <v xml:space="preserve"> </v>
      </c>
      <c r="H80" s="126" t="str">
        <f>+'Summary Medians'!$G$77</f>
        <v xml:space="preserve"> </v>
      </c>
      <c r="L80" s="72"/>
      <c r="M80" s="72"/>
      <c r="N80" s="72"/>
      <c r="O80" s="72"/>
      <c r="P80" s="72"/>
      <c r="Q80" s="72"/>
      <c r="R80" s="72"/>
      <c r="S80" s="72"/>
    </row>
    <row r="81" spans="1:19">
      <c r="A81" s="66"/>
      <c r="B81" s="77"/>
      <c r="C81" s="77"/>
      <c r="D81" s="77"/>
      <c r="E81" s="77"/>
      <c r="F81" s="77"/>
      <c r="G81" s="77"/>
      <c r="H81" s="126"/>
      <c r="L81" s="72"/>
      <c r="M81" s="72"/>
      <c r="N81" s="72"/>
      <c r="O81" s="72"/>
      <c r="P81" s="72"/>
      <c r="Q81" s="72"/>
      <c r="R81" s="72"/>
      <c r="S81" s="72"/>
    </row>
    <row r="82" spans="1:19">
      <c r="A82" s="66" t="s">
        <v>571</v>
      </c>
      <c r="B82" s="77">
        <f>+'Summary Medians'!$G$88</f>
        <v>30617</v>
      </c>
      <c r="C82" s="77">
        <f>+'Summary Medians'!$G$89</f>
        <v>33964</v>
      </c>
      <c r="D82" s="77">
        <f>+'Summary Medians'!$G$90</f>
        <v>21463</v>
      </c>
      <c r="E82" s="77">
        <f>+'Summary Medians'!$G$91</f>
        <v>21152</v>
      </c>
      <c r="F82" s="77">
        <f>+'Summary Medians'!$G$92</f>
        <v>20250</v>
      </c>
      <c r="G82" s="77">
        <f>+'Summary Medians'!$G$93</f>
        <v>13062</v>
      </c>
      <c r="H82" s="126">
        <f>+'Summary Medians'!$G$94</f>
        <v>20752</v>
      </c>
      <c r="L82" s="72"/>
      <c r="M82" s="72"/>
      <c r="N82" s="72"/>
      <c r="O82" s="72"/>
      <c r="P82" s="72"/>
      <c r="Q82" s="72"/>
      <c r="R82" s="72"/>
      <c r="S82" s="72"/>
    </row>
    <row r="83" spans="1:19">
      <c r="A83" s="66" t="s">
        <v>572</v>
      </c>
      <c r="B83" s="77">
        <f>+'Summary Medians'!$G$105</f>
        <v>30162</v>
      </c>
      <c r="C83" s="77" t="str">
        <f>+'Summary Medians'!$G$106</f>
        <v xml:space="preserve"> </v>
      </c>
      <c r="D83" s="77">
        <f>+'Summary Medians'!$G$107</f>
        <v>20324</v>
      </c>
      <c r="E83" s="77">
        <f>+'Summary Medians'!$G$108</f>
        <v>12650</v>
      </c>
      <c r="F83" s="77" t="str">
        <f>+'Summary Medians'!$G$109</f>
        <v xml:space="preserve"> </v>
      </c>
      <c r="G83" s="77" t="str">
        <f>+'Summary Medians'!$G$110</f>
        <v xml:space="preserve"> </v>
      </c>
      <c r="H83" s="126">
        <f>+'Summary Medians'!$G$111</f>
        <v>20389</v>
      </c>
      <c r="L83" s="72"/>
      <c r="M83" s="72"/>
      <c r="N83" s="72"/>
      <c r="O83" s="72"/>
      <c r="P83" s="72"/>
      <c r="Q83" s="72"/>
      <c r="R83" s="72"/>
      <c r="S83" s="72"/>
    </row>
    <row r="84" spans="1:19">
      <c r="A84" s="66" t="s">
        <v>573</v>
      </c>
      <c r="B84" s="77">
        <f>+'Summary Medians'!$G$122</f>
        <v>28635</v>
      </c>
      <c r="C84" s="77">
        <f>+'Summary Medians'!$G$123</f>
        <v>19548</v>
      </c>
      <c r="D84" s="77">
        <f>+'Summary Medians'!$G$124</f>
        <v>20334.830000000002</v>
      </c>
      <c r="E84" s="77">
        <f>+'Summary Medians'!$G$125</f>
        <v>18098</v>
      </c>
      <c r="F84" s="77">
        <f>+'Summary Medians'!$G$126</f>
        <v>16282.34</v>
      </c>
      <c r="G84" s="77">
        <f>+'Summary Medians'!$G$127</f>
        <v>14175.78</v>
      </c>
      <c r="H84" s="126">
        <f>+'Summary Medians'!$G$128</f>
        <v>19519</v>
      </c>
      <c r="L84" s="72"/>
      <c r="M84" s="72"/>
      <c r="N84" s="72"/>
      <c r="O84" s="72"/>
      <c r="P84" s="72"/>
      <c r="Q84" s="72"/>
      <c r="R84" s="72"/>
      <c r="S84" s="72"/>
    </row>
    <row r="85" spans="1:19">
      <c r="A85" s="66" t="s">
        <v>574</v>
      </c>
      <c r="B85" s="77">
        <f>+'Summary Medians'!$G$139</f>
        <v>38638</v>
      </c>
      <c r="C85" s="77">
        <f>+'Summary Medians'!$G$140</f>
        <v>23475</v>
      </c>
      <c r="D85" s="77">
        <f>+'Summary Medians'!$G$141</f>
        <v>24033</v>
      </c>
      <c r="E85" s="77">
        <f>+'Summary Medians'!$G$142</f>
        <v>19900.5</v>
      </c>
      <c r="F85" s="77">
        <f>+'Summary Medians'!$G$143</f>
        <v>13334</v>
      </c>
      <c r="G85" s="77">
        <f>+'Summary Medians'!$G$144</f>
        <v>31200</v>
      </c>
      <c r="H85" s="126">
        <f>+'Summary Medians'!$G$145</f>
        <v>22550</v>
      </c>
      <c r="L85" s="72"/>
      <c r="M85" s="72"/>
      <c r="N85" s="72"/>
      <c r="O85" s="72"/>
      <c r="P85" s="72"/>
      <c r="Q85" s="72"/>
      <c r="R85" s="72"/>
      <c r="S85" s="72"/>
    </row>
    <row r="86" spans="1:19">
      <c r="A86" s="66"/>
      <c r="B86" s="77"/>
      <c r="C86" s="77"/>
      <c r="D86" s="77"/>
      <c r="E86" s="77"/>
      <c r="F86" s="77"/>
      <c r="G86" s="77"/>
      <c r="H86" s="126"/>
      <c r="L86" s="72"/>
      <c r="M86" s="72"/>
      <c r="N86" s="72"/>
      <c r="O86" s="72"/>
      <c r="P86" s="72"/>
      <c r="Q86" s="72"/>
      <c r="R86" s="72"/>
      <c r="S86" s="72"/>
    </row>
    <row r="87" spans="1:19">
      <c r="A87" s="66" t="s">
        <v>575</v>
      </c>
      <c r="B87" s="77">
        <f>+'Summary Medians'!$G$156</f>
        <v>24900</v>
      </c>
      <c r="C87" s="77">
        <f>+'Summary Medians'!$G$157</f>
        <v>9445</v>
      </c>
      <c r="D87" s="77" t="str">
        <f>+'Summary Medians'!$G$158</f>
        <v xml:space="preserve"> </v>
      </c>
      <c r="E87" s="77">
        <f>+'Summary Medians'!$G$159</f>
        <v>7966</v>
      </c>
      <c r="F87" s="77" t="str">
        <f>+'Summary Medians'!$G$160</f>
        <v xml:space="preserve"> </v>
      </c>
      <c r="G87" s="77" t="str">
        <f>+'Summary Medians'!$G$161</f>
        <v xml:space="preserve"> </v>
      </c>
      <c r="H87" s="126">
        <f>+'Summary Medians'!$G$162</f>
        <v>8902.5</v>
      </c>
      <c r="L87" s="72"/>
      <c r="M87" s="72"/>
      <c r="N87" s="72"/>
      <c r="O87" s="72"/>
      <c r="P87" s="72"/>
      <c r="Q87" s="72"/>
      <c r="R87" s="72"/>
      <c r="S87" s="72"/>
    </row>
    <row r="88" spans="1:19">
      <c r="A88" s="66" t="s">
        <v>576</v>
      </c>
      <c r="B88" s="77">
        <f>+'Summary Medians'!$G$173</f>
        <v>26271.5</v>
      </c>
      <c r="C88" s="77">
        <f>+'Summary Medians'!$G$174</f>
        <v>21908.5</v>
      </c>
      <c r="D88" s="77">
        <f>+'Summary Medians'!$G$175</f>
        <v>20327</v>
      </c>
      <c r="E88" s="77">
        <f>+'Summary Medians'!$G$176</f>
        <v>16987</v>
      </c>
      <c r="F88" s="77">
        <f>+'Summary Medians'!$G$177</f>
        <v>12199</v>
      </c>
      <c r="G88" s="77">
        <f>+'Summary Medians'!$G$178</f>
        <v>15996.5</v>
      </c>
      <c r="H88" s="126">
        <f>+'Summary Medians'!$G$179</f>
        <v>20622</v>
      </c>
      <c r="L88" s="72"/>
      <c r="M88" s="72"/>
      <c r="N88" s="72"/>
      <c r="O88" s="72"/>
      <c r="P88" s="72"/>
      <c r="Q88" s="72"/>
      <c r="R88" s="72"/>
      <c r="S88" s="72"/>
    </row>
    <row r="89" spans="1:19">
      <c r="A89" s="66" t="s">
        <v>577</v>
      </c>
      <c r="B89" s="77" t="str">
        <f>+'Summary Medians'!$G$190</f>
        <v xml:space="preserve"> </v>
      </c>
      <c r="C89" s="77" t="str">
        <f>+'Summary Medians'!$G$191</f>
        <v xml:space="preserve"> </v>
      </c>
      <c r="D89" s="77" t="str">
        <f>+'Summary Medians'!$G$192</f>
        <v xml:space="preserve"> </v>
      </c>
      <c r="E89" s="77" t="str">
        <f>+'Summary Medians'!$G$193</f>
        <v xml:space="preserve"> </v>
      </c>
      <c r="F89" s="77" t="str">
        <f>+'Summary Medians'!$G$194</f>
        <v xml:space="preserve"> </v>
      </c>
      <c r="G89" s="77" t="str">
        <f>+'Summary Medians'!$G$195</f>
        <v xml:space="preserve"> </v>
      </c>
      <c r="H89" s="126" t="str">
        <f>+'Summary Medians'!$G$196</f>
        <v xml:space="preserve"> </v>
      </c>
      <c r="L89" s="72"/>
      <c r="M89" s="72"/>
      <c r="N89" s="72"/>
      <c r="O89" s="72"/>
      <c r="P89" s="72"/>
      <c r="Q89" s="72"/>
      <c r="R89" s="72"/>
      <c r="S89" s="72"/>
    </row>
    <row r="90" spans="1:19">
      <c r="A90" s="66" t="s">
        <v>578</v>
      </c>
      <c r="B90" s="77">
        <f>+'Summary Medians'!$G$207</f>
        <v>36020</v>
      </c>
      <c r="C90" s="77" t="str">
        <f>+'Summary Medians'!$G$208</f>
        <v xml:space="preserve"> </v>
      </c>
      <c r="D90" s="77">
        <f>+'Summary Medians'!$G$209</f>
        <v>33978</v>
      </c>
      <c r="E90" s="77">
        <f>+'Summary Medians'!$G$210</f>
        <v>27394</v>
      </c>
      <c r="F90" s="77">
        <f>+'Summary Medians'!$G$211</f>
        <v>21544</v>
      </c>
      <c r="G90" s="77">
        <f>+'Summary Medians'!$G$212</f>
        <v>21726</v>
      </c>
      <c r="H90" s="126">
        <f>+'Summary Medians'!$G$213</f>
        <v>25192</v>
      </c>
      <c r="L90" s="72"/>
      <c r="M90" s="72"/>
      <c r="N90" s="72"/>
      <c r="O90" s="72"/>
      <c r="P90" s="72"/>
      <c r="Q90" s="72"/>
      <c r="R90" s="72"/>
      <c r="S90" s="72"/>
    </row>
    <row r="91" spans="1:19">
      <c r="A91" s="66"/>
      <c r="B91"/>
      <c r="C91"/>
      <c r="D91"/>
      <c r="E91"/>
      <c r="F91"/>
      <c r="G91"/>
      <c r="H91" s="161"/>
      <c r="L91" s="72"/>
      <c r="M91" s="72"/>
      <c r="N91" s="72"/>
      <c r="O91" s="72"/>
      <c r="P91" s="72"/>
      <c r="Q91" s="72"/>
      <c r="R91" s="72"/>
      <c r="S91" s="72"/>
    </row>
    <row r="92" spans="1:19">
      <c r="A92" s="66" t="s">
        <v>579</v>
      </c>
      <c r="B92" s="77">
        <f>+'Summary Medians'!$G$224</f>
        <v>24309</v>
      </c>
      <c r="C92" s="77">
        <f>+'Summary Medians'!$G$225</f>
        <v>28856</v>
      </c>
      <c r="D92" s="77">
        <f>+'Summary Medians'!$G$226</f>
        <v>14722</v>
      </c>
      <c r="E92" s="77">
        <f>+'Summary Medians'!$G$227</f>
        <v>15952</v>
      </c>
      <c r="F92" s="77" t="str">
        <f>+'Summary Medians'!$G$228</f>
        <v xml:space="preserve"> </v>
      </c>
      <c r="G92" s="77" t="str">
        <f>+'Summary Medians'!$G$229</f>
        <v xml:space="preserve"> </v>
      </c>
      <c r="H92" s="126">
        <f>+'Summary Medians'!$G$230</f>
        <v>21691</v>
      </c>
      <c r="L92" s="72"/>
      <c r="M92" s="72"/>
      <c r="N92" s="72"/>
      <c r="O92" s="72"/>
      <c r="P92" s="72"/>
      <c r="Q92" s="72"/>
      <c r="R92" s="72"/>
      <c r="S92" s="72"/>
    </row>
    <row r="93" spans="1:19">
      <c r="A93" s="66" t="s">
        <v>589</v>
      </c>
      <c r="B93" s="77">
        <f>+'Summary Medians'!$G$241</f>
        <v>27694</v>
      </c>
      <c r="C93" s="77">
        <f>+'Summary Medians'!$G$242</f>
        <v>24100</v>
      </c>
      <c r="D93" s="77">
        <f>+'Summary Medians'!$G$243</f>
        <v>22870</v>
      </c>
      <c r="E93" s="77">
        <f>+'Summary Medians'!$G$244</f>
        <v>21038</v>
      </c>
      <c r="F93" s="77">
        <f>+'Summary Medians'!$G$245</f>
        <v>30803</v>
      </c>
      <c r="G93" s="77" t="str">
        <f>+'Summary Medians'!$G$246</f>
        <v xml:space="preserve"> </v>
      </c>
      <c r="H93" s="126">
        <f>+'Summary Medians'!$G$247</f>
        <v>23274</v>
      </c>
      <c r="L93" s="72"/>
      <c r="M93" s="72"/>
      <c r="N93" s="72"/>
      <c r="O93" s="72"/>
      <c r="P93" s="72"/>
      <c r="Q93" s="72"/>
      <c r="R93" s="72"/>
      <c r="S93" s="72"/>
    </row>
    <row r="94" spans="1:19">
      <c r="A94" s="66" t="s">
        <v>581</v>
      </c>
      <c r="B94" s="77">
        <f>+'Summary Medians'!$G$258</f>
        <v>36456</v>
      </c>
      <c r="C94" s="77">
        <f>+'Summary Medians'!$G$259</f>
        <v>47038</v>
      </c>
      <c r="D94" s="77">
        <f>+'Summary Medians'!$G$260</f>
        <v>23624</v>
      </c>
      <c r="E94" s="77">
        <f>+'Summary Medians'!$G$261</f>
        <v>21550</v>
      </c>
      <c r="F94" s="77">
        <f>+'Summary Medians'!$G$262</f>
        <v>27790</v>
      </c>
      <c r="G94" s="77">
        <f>+'Summary Medians'!$G$263</f>
        <v>30328</v>
      </c>
      <c r="H94" s="126">
        <f>+'Summary Medians'!$G$264</f>
        <v>30292</v>
      </c>
      <c r="L94" s="72"/>
      <c r="M94" s="72"/>
      <c r="N94" s="72"/>
      <c r="O94" s="72"/>
      <c r="P94" s="72"/>
      <c r="Q94" s="72"/>
      <c r="R94" s="72"/>
      <c r="S94" s="72"/>
    </row>
    <row r="95" spans="1:19">
      <c r="A95" s="137" t="s">
        <v>582</v>
      </c>
      <c r="B95" s="138">
        <f>+'Summary Medians'!$G$275</f>
        <v>25824</v>
      </c>
      <c r="C95" s="138" t="str">
        <f>+'Summary Medians'!$G$276</f>
        <v xml:space="preserve"> </v>
      </c>
      <c r="D95" s="138">
        <f>+'Summary Medians'!$G$277</f>
        <v>19606</v>
      </c>
      <c r="E95" s="138">
        <f>+'Summary Medians'!$G$278</f>
        <v>15182</v>
      </c>
      <c r="F95" s="138">
        <f>+'Summary Medians'!$G$279</f>
        <v>17880</v>
      </c>
      <c r="G95" s="138">
        <f>+'Summary Medians'!$G$280</f>
        <v>15282</v>
      </c>
      <c r="H95" s="111">
        <f>+'Summary Medians'!$G$281</f>
        <v>17515</v>
      </c>
      <c r="L95" s="72"/>
      <c r="M95" s="72"/>
      <c r="N95" s="72"/>
      <c r="O95" s="72"/>
      <c r="P95" s="72"/>
      <c r="Q95" s="72"/>
      <c r="R95" s="72"/>
      <c r="S95" s="72"/>
    </row>
    <row r="96" spans="1:19" ht="40.5" customHeight="1">
      <c r="A96" s="544" t="s">
        <v>583</v>
      </c>
      <c r="B96" s="544"/>
      <c r="C96" s="544"/>
      <c r="D96" s="544"/>
      <c r="E96" s="544"/>
      <c r="F96" s="544"/>
      <c r="G96" s="544"/>
      <c r="H96" s="544"/>
      <c r="L96" s="72"/>
      <c r="M96" s="72"/>
      <c r="N96" s="72"/>
      <c r="O96" s="72"/>
      <c r="P96" s="72"/>
      <c r="Q96" s="72"/>
      <c r="R96" s="72"/>
      <c r="S96" s="72"/>
    </row>
    <row r="97" spans="1:19">
      <c r="A97"/>
      <c r="B97"/>
      <c r="C97"/>
      <c r="D97"/>
      <c r="E97"/>
      <c r="F97"/>
      <c r="G97"/>
      <c r="H97" s="83" t="s">
        <v>1054</v>
      </c>
      <c r="L97" s="72"/>
      <c r="M97" s="72"/>
      <c r="N97" s="72"/>
      <c r="O97" s="72"/>
      <c r="P97" s="72"/>
      <c r="Q97" s="72"/>
      <c r="R97" s="72"/>
      <c r="S97" s="72"/>
    </row>
    <row r="98" spans="1:19" ht="18">
      <c r="A98" s="545" t="s">
        <v>595</v>
      </c>
      <c r="B98" s="545"/>
      <c r="C98" s="545"/>
      <c r="D98" s="545"/>
      <c r="E98" s="545"/>
      <c r="F98" s="545"/>
      <c r="G98" s="545"/>
      <c r="H98" s="545"/>
      <c r="I98" s="545"/>
      <c r="J98" s="545"/>
      <c r="L98" s="72"/>
      <c r="M98" s="72"/>
      <c r="N98" s="72"/>
      <c r="O98" s="72"/>
      <c r="P98" s="72"/>
      <c r="Q98" s="72"/>
      <c r="R98" s="72"/>
      <c r="S98" s="72"/>
    </row>
    <row r="99" spans="1:19" ht="9" customHeight="1">
      <c r="A99" s="84"/>
      <c r="B99" s="84"/>
      <c r="C99" s="84"/>
      <c r="D99" s="84"/>
      <c r="E99" s="84"/>
      <c r="F99" s="84"/>
      <c r="G99" s="84"/>
      <c r="H99" s="84"/>
      <c r="I99" s="84"/>
      <c r="J99" s="84"/>
      <c r="L99" s="72"/>
      <c r="M99" s="72"/>
      <c r="N99" s="72"/>
      <c r="O99" s="72"/>
      <c r="P99" s="72"/>
      <c r="Q99" s="72"/>
      <c r="R99" s="72"/>
      <c r="S99" s="72"/>
    </row>
    <row r="100" spans="1:19" ht="15.75">
      <c r="A100" s="543" t="s">
        <v>562</v>
      </c>
      <c r="B100" s="543"/>
      <c r="C100" s="543"/>
      <c r="D100" s="543"/>
      <c r="E100" s="543"/>
      <c r="F100" s="543"/>
      <c r="G100" s="543"/>
      <c r="H100" s="543"/>
      <c r="I100" s="543"/>
      <c r="J100" s="543"/>
      <c r="L100" s="72"/>
      <c r="M100" s="72"/>
      <c r="N100" s="72"/>
      <c r="O100" s="72"/>
      <c r="P100" s="72"/>
      <c r="Q100" s="72"/>
      <c r="R100" s="72"/>
      <c r="S100" s="72"/>
    </row>
    <row r="101" spans="1:19" ht="15.75">
      <c r="A101" s="543" t="s">
        <v>594</v>
      </c>
      <c r="B101" s="543"/>
      <c r="C101" s="543"/>
      <c r="D101" s="543"/>
      <c r="E101" s="543"/>
      <c r="F101" s="543"/>
      <c r="G101" s="543"/>
      <c r="H101" s="543"/>
      <c r="I101" s="543"/>
      <c r="J101" s="543"/>
      <c r="L101" s="72"/>
      <c r="M101" s="72"/>
      <c r="N101" s="72"/>
      <c r="O101" s="72"/>
      <c r="P101" s="72"/>
      <c r="Q101" s="72"/>
      <c r="R101" s="72"/>
      <c r="S101" s="72"/>
    </row>
    <row r="102" spans="1:19" ht="15.75">
      <c r="A102" s="543" t="s">
        <v>994</v>
      </c>
      <c r="B102" s="543"/>
      <c r="C102" s="543"/>
      <c r="D102" s="543"/>
      <c r="E102" s="543"/>
      <c r="F102" s="543"/>
      <c r="G102" s="543"/>
      <c r="H102" s="543"/>
      <c r="I102" s="543"/>
      <c r="J102" s="543"/>
      <c r="L102" s="72"/>
      <c r="M102" s="72"/>
      <c r="N102" s="72"/>
      <c r="O102" s="72"/>
      <c r="P102" s="72"/>
      <c r="Q102" s="72"/>
      <c r="R102" s="72"/>
      <c r="S102" s="72"/>
    </row>
    <row r="103" spans="1:19" ht="12" customHeight="1">
      <c r="A103" s="66"/>
      <c r="B103" s="66"/>
      <c r="C103" s="66"/>
      <c r="D103" s="66"/>
      <c r="E103" s="66"/>
      <c r="F103" s="66"/>
      <c r="G103" s="66"/>
      <c r="H103" s="66"/>
      <c r="I103" s="66"/>
      <c r="J103" s="66"/>
      <c r="L103" s="72"/>
      <c r="M103" s="72"/>
      <c r="N103" s="72"/>
      <c r="O103" s="72"/>
      <c r="P103" s="72"/>
      <c r="Q103" s="72"/>
      <c r="R103" s="72"/>
      <c r="S103" s="72"/>
    </row>
    <row r="104" spans="1:19">
      <c r="A104" s="145"/>
      <c r="B104" s="112" t="s">
        <v>585</v>
      </c>
      <c r="C104" s="112"/>
      <c r="D104" s="112"/>
      <c r="E104" s="112"/>
      <c r="F104" s="162"/>
      <c r="G104" s="163" t="s">
        <v>586</v>
      </c>
      <c r="H104" s="112"/>
      <c r="I104" s="112"/>
      <c r="J104" s="164"/>
      <c r="L104" s="72"/>
      <c r="M104" s="72"/>
      <c r="N104" s="72"/>
      <c r="O104" s="72"/>
      <c r="P104" s="72"/>
      <c r="Q104" s="72"/>
      <c r="R104" s="72"/>
      <c r="S104" s="72"/>
    </row>
    <row r="105" spans="1:19" ht="24">
      <c r="A105" s="146"/>
      <c r="B105" s="165" t="s">
        <v>1049</v>
      </c>
      <c r="C105" s="132">
        <v>1</v>
      </c>
      <c r="D105" s="132">
        <v>2</v>
      </c>
      <c r="E105" s="132">
        <v>3</v>
      </c>
      <c r="F105" s="155" t="s">
        <v>565</v>
      </c>
      <c r="G105" s="132">
        <v>1</v>
      </c>
      <c r="H105" s="132">
        <v>2</v>
      </c>
      <c r="I105" s="156" t="s">
        <v>588</v>
      </c>
      <c r="J105" s="147" t="s">
        <v>565</v>
      </c>
      <c r="L105" s="72"/>
      <c r="M105" s="72"/>
      <c r="N105" s="72"/>
      <c r="O105" s="72"/>
      <c r="P105" s="72"/>
      <c r="Q105" s="72"/>
      <c r="R105" s="72"/>
      <c r="S105" s="72"/>
    </row>
    <row r="106" spans="1:19" ht="9" customHeight="1">
      <c r="A106" s="66"/>
      <c r="B106" s="73"/>
      <c r="C106" s="73"/>
      <c r="D106" s="73"/>
      <c r="E106" s="148"/>
      <c r="F106" s="157"/>
      <c r="G106" s="166"/>
      <c r="H106" s="117"/>
      <c r="I106" s="117"/>
      <c r="J106" s="167"/>
      <c r="L106" s="72"/>
      <c r="M106" s="72"/>
      <c r="N106" s="72"/>
      <c r="O106" s="72"/>
      <c r="P106" s="72"/>
      <c r="Q106" s="72"/>
      <c r="R106" s="72"/>
      <c r="S106" s="72"/>
    </row>
    <row r="107" spans="1:19">
      <c r="A107" s="66" t="s">
        <v>566</v>
      </c>
      <c r="B107" s="75">
        <f>'Summary Medians'!$G10</f>
        <v>11765</v>
      </c>
      <c r="C107" s="75">
        <f>'Summary Medians'!$G11</f>
        <v>8659</v>
      </c>
      <c r="D107" s="75">
        <f>'Summary Medians'!$G12</f>
        <v>8550</v>
      </c>
      <c r="E107" s="75">
        <f>'Summary Medians'!$G13</f>
        <v>8700</v>
      </c>
      <c r="F107" s="119">
        <f>+'Summary Medians'!$G$14</f>
        <v>8701</v>
      </c>
      <c r="G107" s="76">
        <f>+'Summary Medians'!$G$15</f>
        <v>6664</v>
      </c>
      <c r="H107" s="75">
        <f>+'Summary Medians'!$G$16</f>
        <v>4050</v>
      </c>
      <c r="I107" s="96">
        <f>+'Summary Medians'!$G$17</f>
        <v>0</v>
      </c>
      <c r="J107" s="76">
        <f>+'Summary Medians'!$G$18</f>
        <v>4500</v>
      </c>
      <c r="L107" s="72"/>
      <c r="M107" s="72"/>
      <c r="N107" s="72"/>
      <c r="O107" s="72"/>
      <c r="P107" s="72"/>
      <c r="Q107" s="72"/>
      <c r="R107" s="72"/>
      <c r="S107" s="72"/>
    </row>
    <row r="108" spans="1:19" ht="8.25" customHeight="1">
      <c r="A108" s="66"/>
      <c r="B108" s="149"/>
      <c r="C108" s="149"/>
      <c r="D108" s="149"/>
      <c r="E108" s="149"/>
      <c r="F108" s="119"/>
      <c r="G108" s="79"/>
      <c r="H108" s="77"/>
      <c r="I108" s="98"/>
      <c r="J108" s="79"/>
      <c r="L108" s="72"/>
      <c r="M108" s="72"/>
      <c r="N108" s="72"/>
      <c r="O108" s="72"/>
      <c r="P108" s="72"/>
      <c r="Q108" s="72"/>
      <c r="R108" s="72"/>
      <c r="S108" s="72"/>
    </row>
    <row r="109" spans="1:19">
      <c r="A109" s="66" t="s">
        <v>567</v>
      </c>
      <c r="B109" s="77" t="str">
        <f>'Summary Medians'!$G27</f>
        <v xml:space="preserve"> </v>
      </c>
      <c r="C109" s="77">
        <f>'Summary Medians'!$G28</f>
        <v>8610</v>
      </c>
      <c r="D109" s="77">
        <f>'Summary Medians'!$G29</f>
        <v>8550</v>
      </c>
      <c r="E109" s="77">
        <f>'Summary Medians'!$G30</f>
        <v>8550</v>
      </c>
      <c r="F109" s="119">
        <f>+'Summary Medians'!$G$31</f>
        <v>8550</v>
      </c>
      <c r="G109" s="79">
        <f>+'Summary Medians'!$G$32</f>
        <v>8460</v>
      </c>
      <c r="H109" s="77">
        <f>+'Summary Medians'!$G$33</f>
        <v>8520</v>
      </c>
      <c r="I109" s="98" t="str">
        <f>+'Summary Medians'!$G$34</f>
        <v xml:space="preserve"> </v>
      </c>
      <c r="J109" s="79">
        <f>+'Summary Medians'!$G$35</f>
        <v>8490</v>
      </c>
      <c r="L109" s="72"/>
      <c r="M109" s="72"/>
      <c r="N109" s="72"/>
      <c r="O109" s="72"/>
      <c r="P109" s="72"/>
      <c r="Q109" s="72"/>
      <c r="R109" s="72"/>
      <c r="S109" s="72"/>
    </row>
    <row r="110" spans="1:19">
      <c r="A110" s="66" t="s">
        <v>568</v>
      </c>
      <c r="B110" s="77" t="str">
        <f>'Summary Medians'!$G44</f>
        <v xml:space="preserve"> </v>
      </c>
      <c r="C110" s="77">
        <f>'Summary Medians'!$G45</f>
        <v>5538</v>
      </c>
      <c r="D110" s="77">
        <f>'Summary Medians'!$G46</f>
        <v>6360</v>
      </c>
      <c r="E110" s="77">
        <f>'Summary Medians'!$G47</f>
        <v>5400</v>
      </c>
      <c r="F110" s="119">
        <f>+'Summary Medians'!$G$48</f>
        <v>5589</v>
      </c>
      <c r="G110" s="79" t="str">
        <f>+'Summary Medians'!$G$49</f>
        <v xml:space="preserve"> </v>
      </c>
      <c r="H110" s="77" t="str">
        <f>+'Summary Medians'!$G$50</f>
        <v xml:space="preserve"> </v>
      </c>
      <c r="I110" s="98" t="str">
        <f>+'Summary Medians'!$G$51</f>
        <v xml:space="preserve"> </v>
      </c>
      <c r="J110" s="79"/>
      <c r="L110" s="72"/>
      <c r="M110" s="72"/>
      <c r="N110" s="72"/>
      <c r="O110" s="72"/>
      <c r="P110" s="72"/>
      <c r="Q110" s="72"/>
      <c r="R110" s="72"/>
      <c r="S110" s="72"/>
    </row>
    <row r="111" spans="1:19">
      <c r="A111" s="66" t="s">
        <v>569</v>
      </c>
      <c r="B111" s="77">
        <f>'Summary Medians'!$G61</f>
        <v>11808</v>
      </c>
      <c r="C111" s="77" t="str">
        <f>'Summary Medians'!$G62</f>
        <v xml:space="preserve"> </v>
      </c>
      <c r="D111" s="77" t="str">
        <f>'Summary Medians'!$G63</f>
        <v xml:space="preserve"> </v>
      </c>
      <c r="E111" s="77" t="str">
        <f>'Summary Medians'!$G64</f>
        <v xml:space="preserve"> </v>
      </c>
      <c r="F111" s="119">
        <f>+'Summary Medians'!$G$65</f>
        <v>11808</v>
      </c>
      <c r="G111" s="79" t="str">
        <f>+'Summary Medians'!$G$66</f>
        <v xml:space="preserve"> </v>
      </c>
      <c r="H111" s="77" t="str">
        <f>+'Summary Medians'!$G$67</f>
        <v xml:space="preserve"> </v>
      </c>
      <c r="I111" s="98" t="str">
        <f>+'Summary Medians'!$G$68</f>
        <v xml:space="preserve"> </v>
      </c>
      <c r="J111" s="79" t="str">
        <f>+'Summary Medians'!$G$69</f>
        <v xml:space="preserve"> </v>
      </c>
      <c r="L111" s="72"/>
      <c r="M111" s="72"/>
      <c r="N111" s="72"/>
      <c r="O111" s="72"/>
      <c r="P111" s="72"/>
      <c r="Q111" s="72"/>
      <c r="R111" s="72"/>
      <c r="S111" s="72"/>
    </row>
    <row r="112" spans="1:19">
      <c r="A112" s="66" t="s">
        <v>570</v>
      </c>
      <c r="B112" s="77">
        <f>'Summary Medians'!$G78</f>
        <v>11779.05</v>
      </c>
      <c r="C112" s="77">
        <f>'Summary Medians'!$G79</f>
        <v>11495.1</v>
      </c>
      <c r="D112" s="77" t="str">
        <f>'Summary Medians'!$G80</f>
        <v xml:space="preserve"> </v>
      </c>
      <c r="E112" s="77">
        <f>'Summary Medians'!$G81</f>
        <v>11572.95</v>
      </c>
      <c r="F112" s="119">
        <f>+'Summary Medians'!$G$82</f>
        <v>11722.95</v>
      </c>
      <c r="G112" s="79" t="str">
        <f>+'Summary Medians'!$G$83</f>
        <v xml:space="preserve"> </v>
      </c>
      <c r="H112" s="77" t="str">
        <f>+'Summary Medians'!$G$84</f>
        <v xml:space="preserve"> </v>
      </c>
      <c r="I112" s="98" t="str">
        <f>+'Summary Medians'!$G$85</f>
        <v xml:space="preserve"> </v>
      </c>
      <c r="J112" s="79" t="str">
        <f>+'Summary Medians'!$G$86</f>
        <v xml:space="preserve"> </v>
      </c>
      <c r="L112" s="72"/>
      <c r="M112" s="72"/>
      <c r="N112" s="72"/>
      <c r="O112" s="72"/>
      <c r="P112" s="72"/>
      <c r="Q112" s="72"/>
      <c r="R112" s="72"/>
      <c r="S112" s="72"/>
    </row>
    <row r="113" spans="1:19" ht="16.5" customHeight="1">
      <c r="A113" s="66"/>
      <c r="B113" s="77"/>
      <c r="C113" s="77"/>
      <c r="D113" s="77"/>
      <c r="E113" s="77"/>
      <c r="F113" s="119"/>
      <c r="G113" s="79"/>
      <c r="H113" s="77"/>
      <c r="I113" s="98"/>
      <c r="J113" s="79"/>
      <c r="L113" s="72"/>
      <c r="M113" s="72"/>
      <c r="N113" s="72"/>
      <c r="O113" s="72"/>
      <c r="P113" s="72"/>
      <c r="Q113" s="72"/>
      <c r="R113" s="72"/>
      <c r="S113" s="72"/>
    </row>
    <row r="114" spans="1:19">
      <c r="A114" s="66" t="s">
        <v>571</v>
      </c>
      <c r="B114" s="77">
        <f>'Summary Medians'!$G95</f>
        <v>11837</v>
      </c>
      <c r="C114" s="77" t="str">
        <f>'Summary Medians'!$G96</f>
        <v xml:space="preserve"> </v>
      </c>
      <c r="D114" s="77" t="str">
        <f>'Summary Medians'!$G97</f>
        <v xml:space="preserve"> </v>
      </c>
      <c r="E114" s="77" t="str">
        <f>'Summary Medians'!$G98</f>
        <v xml:space="preserve"> </v>
      </c>
      <c r="F114" s="119">
        <f>+'Summary Medians'!$G$99</f>
        <v>11837</v>
      </c>
      <c r="G114" s="79">
        <f>+'Summary Medians'!$G$100</f>
        <v>6669</v>
      </c>
      <c r="H114" s="77" t="str">
        <f>+'Summary Medians'!$G$101</f>
        <v xml:space="preserve"> </v>
      </c>
      <c r="I114" s="98" t="str">
        <f>+'Summary Medians'!$G$102</f>
        <v xml:space="preserve"> </v>
      </c>
      <c r="J114" s="79">
        <f>+'Summary Medians'!$G$103</f>
        <v>6669</v>
      </c>
      <c r="L114" s="72"/>
      <c r="M114" s="72"/>
      <c r="N114" s="72"/>
      <c r="O114" s="72"/>
      <c r="P114" s="72"/>
      <c r="Q114" s="72"/>
      <c r="R114" s="72"/>
      <c r="S114" s="72"/>
    </row>
    <row r="115" spans="1:19">
      <c r="A115" s="66" t="s">
        <v>572</v>
      </c>
      <c r="B115" s="77" t="str">
        <f>'Summary Medians'!$G112</f>
        <v xml:space="preserve"> </v>
      </c>
      <c r="C115" s="77">
        <f>'Summary Medians'!$G113</f>
        <v>19050</v>
      </c>
      <c r="D115" s="77">
        <f>'Summary Medians'!$G114</f>
        <v>19050</v>
      </c>
      <c r="E115" s="77">
        <f>'Summary Medians'!$G115</f>
        <v>19050</v>
      </c>
      <c r="F115" s="119">
        <f>+'Summary Medians'!$G$116</f>
        <v>19050</v>
      </c>
      <c r="G115" s="79">
        <f>+'Summary Medians'!$G$117</f>
        <v>19050</v>
      </c>
      <c r="H115" s="77" t="str">
        <f>+'Summary Medians'!$G$118</f>
        <v xml:space="preserve"> </v>
      </c>
      <c r="I115" s="98" t="str">
        <f>+'Summary Medians'!$G$119</f>
        <v xml:space="preserve"> </v>
      </c>
      <c r="J115" s="79">
        <f>+'Summary Medians'!$G$120</f>
        <v>19050</v>
      </c>
      <c r="L115" s="72"/>
      <c r="M115" s="72"/>
      <c r="N115" s="72"/>
      <c r="O115" s="72"/>
      <c r="P115" s="72"/>
      <c r="Q115" s="72"/>
      <c r="R115" s="72"/>
      <c r="S115" s="72"/>
    </row>
    <row r="116" spans="1:19">
      <c r="A116" s="66" t="s">
        <v>573</v>
      </c>
      <c r="B116" s="77" t="str">
        <f>'Summary Medians'!$G129</f>
        <v xml:space="preserve"> </v>
      </c>
      <c r="C116" s="77">
        <f>'Summary Medians'!$G130</f>
        <v>4300.2</v>
      </c>
      <c r="D116" s="77">
        <f>'Summary Medians'!$G131</f>
        <v>4283.04</v>
      </c>
      <c r="E116" s="77">
        <f>'Summary Medians'!$G132</f>
        <v>4182.04</v>
      </c>
      <c r="F116" s="119">
        <f>+'Summary Medians'!$G$133</f>
        <v>4279.04</v>
      </c>
      <c r="G116" s="79">
        <f>+'Summary Medians'!$G$134</f>
        <v>4193.9549999999999</v>
      </c>
      <c r="H116" s="77">
        <f>+'Summary Medians'!$G$135</f>
        <v>4109.3500000000004</v>
      </c>
      <c r="I116" s="98" t="str">
        <f>+'Summary Medians'!$G$136</f>
        <v xml:space="preserve"> </v>
      </c>
      <c r="J116" s="79">
        <f>+'Summary Medians'!$G$137</f>
        <v>4184.87</v>
      </c>
      <c r="L116" s="72"/>
      <c r="M116" s="72"/>
      <c r="N116" s="72"/>
      <c r="O116" s="72"/>
      <c r="P116" s="72"/>
      <c r="Q116" s="72"/>
      <c r="R116" s="72"/>
      <c r="S116" s="72"/>
    </row>
    <row r="117" spans="1:19">
      <c r="A117" s="66" t="s">
        <v>574</v>
      </c>
      <c r="B117" s="77" t="str">
        <f>'Summary Medians'!$G146</f>
        <v xml:space="preserve"> </v>
      </c>
      <c r="C117" s="77">
        <f>'Summary Medians'!$G147</f>
        <v>12516</v>
      </c>
      <c r="D117" s="77">
        <f>'Summary Medians'!$G148</f>
        <v>10618.5</v>
      </c>
      <c r="E117" s="77">
        <f>'Summary Medians'!$G149</f>
        <v>10350</v>
      </c>
      <c r="F117" s="119">
        <f>+'Summary Medians'!$G$150</f>
        <v>10419.5</v>
      </c>
      <c r="G117" s="79" t="str">
        <f>+'Summary Medians'!$G$151</f>
        <v xml:space="preserve"> </v>
      </c>
      <c r="H117" s="77" t="str">
        <f>+'Summary Medians'!$G$152</f>
        <v xml:space="preserve"> </v>
      </c>
      <c r="I117" s="98" t="str">
        <f>+'Summary Medians'!$G$153</f>
        <v xml:space="preserve"> </v>
      </c>
      <c r="J117" s="79" t="str">
        <f>+'Summary Medians'!$G$154</f>
        <v xml:space="preserve"> </v>
      </c>
      <c r="L117" s="72"/>
      <c r="M117" s="72"/>
      <c r="N117" s="72"/>
      <c r="O117" s="72"/>
      <c r="P117" s="72"/>
      <c r="Q117" s="72"/>
      <c r="R117" s="72"/>
      <c r="S117" s="72"/>
    </row>
    <row r="118" spans="1:19" ht="15" customHeight="1">
      <c r="A118" s="66"/>
      <c r="B118" s="77"/>
      <c r="C118" s="77"/>
      <c r="D118" s="77"/>
      <c r="E118" s="77"/>
      <c r="F118" s="119"/>
      <c r="G118" s="79"/>
      <c r="H118" s="77"/>
      <c r="I118" s="98"/>
      <c r="J118" s="79"/>
      <c r="L118" s="72"/>
      <c r="M118" s="72"/>
      <c r="N118" s="72"/>
      <c r="O118" s="72"/>
      <c r="P118" s="72"/>
      <c r="Q118" s="72"/>
      <c r="R118" s="72"/>
      <c r="S118" s="72"/>
    </row>
    <row r="119" spans="1:19">
      <c r="A119" s="66" t="s">
        <v>575</v>
      </c>
      <c r="B119" s="77" t="str">
        <f>'Summary Medians'!$G163</f>
        <v xml:space="preserve"> </v>
      </c>
      <c r="C119" s="77">
        <f>'Summary Medians'!$G164</f>
        <v>6355</v>
      </c>
      <c r="D119" s="77">
        <f>'Summary Medians'!$G165</f>
        <v>5508</v>
      </c>
      <c r="E119" s="77">
        <f>'Summary Medians'!$G166</f>
        <v>6225</v>
      </c>
      <c r="F119" s="119">
        <f>+'Summary Medians'!$G$167</f>
        <v>5910</v>
      </c>
      <c r="G119" s="79" t="str">
        <f>+'Summary Medians'!$G$168</f>
        <v xml:space="preserve"> </v>
      </c>
      <c r="H119" s="77" t="str">
        <f>+'Summary Medians'!$G$169</f>
        <v xml:space="preserve"> </v>
      </c>
      <c r="I119" s="98" t="str">
        <f>+'Summary Medians'!$G$170</f>
        <v xml:space="preserve"> </v>
      </c>
      <c r="J119" s="79" t="str">
        <f>+'Summary Medians'!$G$171</f>
        <v xml:space="preserve"> </v>
      </c>
      <c r="L119" s="72"/>
      <c r="M119" s="72"/>
      <c r="N119" s="72"/>
      <c r="O119" s="72"/>
      <c r="P119" s="72"/>
      <c r="Q119" s="72"/>
      <c r="R119" s="72"/>
      <c r="S119" s="72"/>
    </row>
    <row r="120" spans="1:19">
      <c r="A120" s="66" t="s">
        <v>576</v>
      </c>
      <c r="B120" s="77" t="str">
        <f>'Summary Medians'!$G180</f>
        <v xml:space="preserve"> </v>
      </c>
      <c r="C120" s="77">
        <f>'Summary Medians'!$G181</f>
        <v>8770</v>
      </c>
      <c r="D120" s="77">
        <f>'Summary Medians'!$G182</f>
        <v>8681</v>
      </c>
      <c r="E120" s="77">
        <f>'Summary Medians'!$G183</f>
        <v>8703.5</v>
      </c>
      <c r="F120" s="119">
        <f>+'Summary Medians'!$G$184</f>
        <v>8700</v>
      </c>
      <c r="G120" s="79" t="str">
        <f>+'Summary Medians'!$G$185</f>
        <v xml:space="preserve"> </v>
      </c>
      <c r="H120" s="77" t="str">
        <f>+'Summary Medians'!$G$186</f>
        <v xml:space="preserve"> </v>
      </c>
      <c r="I120" s="98" t="str">
        <f>+'Summary Medians'!$G$187</f>
        <v xml:space="preserve"> </v>
      </c>
      <c r="J120" s="77" t="str">
        <f>+'Summary Medians'!$G$188</f>
        <v xml:space="preserve"> </v>
      </c>
      <c r="L120" s="72"/>
      <c r="M120" s="72"/>
      <c r="N120" s="72"/>
      <c r="O120" s="72"/>
      <c r="P120" s="72"/>
      <c r="Q120" s="72"/>
      <c r="R120" s="72"/>
      <c r="S120" s="72"/>
    </row>
    <row r="121" spans="1:19">
      <c r="A121" s="66" t="s">
        <v>577</v>
      </c>
      <c r="B121" s="77" t="str">
        <f>'Summary Medians'!$G197</f>
        <v xml:space="preserve"> </v>
      </c>
      <c r="C121" s="77" t="str">
        <f>'Summary Medians'!$G198</f>
        <v xml:space="preserve"> </v>
      </c>
      <c r="D121" s="77" t="str">
        <f>'Summary Medians'!$G199</f>
        <v xml:space="preserve"> </v>
      </c>
      <c r="E121" s="77" t="str">
        <f>'Summary Medians'!$G200</f>
        <v xml:space="preserve"> </v>
      </c>
      <c r="F121" s="119" t="str">
        <f>+'Summary Medians'!$G$201</f>
        <v xml:space="preserve"> </v>
      </c>
      <c r="G121" s="79">
        <f>+'Summary Medians'!$G$202</f>
        <v>3960</v>
      </c>
      <c r="H121" s="77">
        <f>+'Summary Medians'!$G$203</f>
        <v>3960</v>
      </c>
      <c r="I121" s="98" t="str">
        <f>+'Summary Medians'!$G$204</f>
        <v xml:space="preserve"> </v>
      </c>
      <c r="J121" s="77">
        <f>+'Summary Medians'!$G$205</f>
        <v>3960</v>
      </c>
      <c r="L121" s="72"/>
      <c r="M121" s="72"/>
      <c r="N121" s="72"/>
      <c r="O121" s="72"/>
      <c r="P121" s="72"/>
      <c r="Q121" s="72"/>
      <c r="R121" s="72"/>
      <c r="S121" s="72"/>
    </row>
    <row r="122" spans="1:19">
      <c r="A122" s="66" t="s">
        <v>578</v>
      </c>
      <c r="B122" s="77" t="str">
        <f>'Summary Medians'!$G214</f>
        <v xml:space="preserve"> </v>
      </c>
      <c r="C122" s="77">
        <f>'Summary Medians'!$G215</f>
        <v>11234.5</v>
      </c>
      <c r="D122" s="77">
        <f>'Summary Medians'!$G216</f>
        <v>11235</v>
      </c>
      <c r="E122" s="77">
        <f>'Summary Medians'!$G217</f>
        <v>12771</v>
      </c>
      <c r="F122" s="119">
        <f>+'Summary Medians'!$G$218</f>
        <v>11756</v>
      </c>
      <c r="G122" s="79" t="str">
        <f>+'Summary Medians'!$G$219</f>
        <v xml:space="preserve"> </v>
      </c>
      <c r="H122" s="77" t="str">
        <f>+'Summary Medians'!$G$220</f>
        <v xml:space="preserve"> </v>
      </c>
      <c r="I122" s="98" t="str">
        <f>+'Summary Medians'!$G$221</f>
        <v xml:space="preserve"> </v>
      </c>
      <c r="J122" s="77" t="str">
        <f>+'Summary Medians'!$G$222</f>
        <v xml:space="preserve"> </v>
      </c>
      <c r="L122" s="72"/>
      <c r="M122" s="72"/>
      <c r="N122" s="72"/>
      <c r="O122" s="72"/>
      <c r="P122" s="72"/>
      <c r="Q122" s="72"/>
      <c r="R122" s="72"/>
      <c r="S122" s="72"/>
    </row>
    <row r="123" spans="1:19" ht="15.75" customHeight="1">
      <c r="A123" s="66"/>
      <c r="B123" s="77"/>
      <c r="C123" s="77"/>
      <c r="D123" s="77"/>
      <c r="E123" s="77"/>
      <c r="F123" s="119"/>
      <c r="G123" s="79"/>
      <c r="H123" s="77"/>
      <c r="I123" s="98"/>
      <c r="J123" s="77"/>
      <c r="L123" s="72"/>
      <c r="M123" s="72"/>
      <c r="N123" s="72"/>
      <c r="O123" s="72"/>
      <c r="P123" s="72"/>
      <c r="Q123" s="72"/>
      <c r="R123" s="72"/>
      <c r="S123" s="72"/>
    </row>
    <row r="124" spans="1:19">
      <c r="A124" s="66" t="s">
        <v>579</v>
      </c>
      <c r="B124" s="77" t="str">
        <f>'Summary Medians'!$G231</f>
        <v xml:space="preserve"> </v>
      </c>
      <c r="C124" s="77">
        <f>'Summary Medians'!$G232</f>
        <v>18110</v>
      </c>
      <c r="D124" s="77">
        <f>'Summary Medians'!$G233</f>
        <v>18094</v>
      </c>
      <c r="E124" s="77">
        <f>'Summary Medians'!$G234</f>
        <v>18090</v>
      </c>
      <c r="F124" s="119">
        <f>+'Summary Medians'!$G$235</f>
        <v>18094</v>
      </c>
      <c r="G124" s="79" t="str">
        <f>+'Summary Medians'!$G$236</f>
        <v xml:space="preserve"> </v>
      </c>
      <c r="H124" s="77">
        <f>+'Summary Medians'!$G$237</f>
        <v>0</v>
      </c>
      <c r="I124" s="98" t="str">
        <f>+'Summary Medians'!$G$238</f>
        <v xml:space="preserve"> </v>
      </c>
      <c r="J124" s="77">
        <f>+'Summary Medians'!$G$239</f>
        <v>0</v>
      </c>
      <c r="L124" s="72"/>
      <c r="M124" s="72"/>
      <c r="N124" s="72"/>
      <c r="O124" s="72"/>
      <c r="P124" s="72"/>
      <c r="Q124" s="72"/>
      <c r="R124" s="72"/>
      <c r="S124" s="72"/>
    </row>
    <row r="125" spans="1:19">
      <c r="A125" s="66" t="s">
        <v>589</v>
      </c>
      <c r="B125" s="77">
        <f>'Summary Medians'!$G248</f>
        <v>5880</v>
      </c>
      <c r="C125" s="77">
        <f>'Summary Medians'!$G249</f>
        <v>6000</v>
      </c>
      <c r="D125" s="77">
        <f>'Summary Medians'!$G250</f>
        <v>6045</v>
      </c>
      <c r="E125" s="77">
        <f>'Summary Medians'!$G251</f>
        <v>5220</v>
      </c>
      <c r="F125" s="119">
        <f>+'Summary Medians'!$G$252</f>
        <v>6000</v>
      </c>
      <c r="G125" s="79" t="str">
        <f>+'Summary Medians'!$G$253</f>
        <v xml:space="preserve"> </v>
      </c>
      <c r="H125" s="77" t="str">
        <f>+'Summary Medians'!$G$254</f>
        <v xml:space="preserve"> </v>
      </c>
      <c r="I125" s="98" t="str">
        <f>+'Summary Medians'!$G$255</f>
        <v xml:space="preserve"> </v>
      </c>
      <c r="J125" s="77" t="str">
        <f>+'Summary Medians'!$G$256</f>
        <v xml:space="preserve"> </v>
      </c>
      <c r="L125" s="72"/>
      <c r="M125" s="72"/>
      <c r="N125" s="72"/>
      <c r="O125" s="72"/>
      <c r="P125" s="72"/>
      <c r="Q125" s="72"/>
      <c r="R125" s="72"/>
      <c r="S125" s="72"/>
    </row>
    <row r="126" spans="1:19">
      <c r="A126" s="66" t="s">
        <v>590</v>
      </c>
      <c r="B126" s="77" t="str">
        <f>'Summary Medians'!$G265</f>
        <v xml:space="preserve"> </v>
      </c>
      <c r="C126" s="77">
        <f>'Summary Medians'!$G266</f>
        <v>10622.9</v>
      </c>
      <c r="D126" s="77">
        <f>'Summary Medians'!$G267</f>
        <v>10622.9</v>
      </c>
      <c r="E126" s="77">
        <f>'Summary Medians'!$G268</f>
        <v>10622.9</v>
      </c>
      <c r="F126" s="119">
        <f>+'Summary Medians'!$G$269</f>
        <v>10622.9</v>
      </c>
      <c r="G126" s="79" t="str">
        <f>+'Summary Medians'!$G$270</f>
        <v xml:space="preserve"> </v>
      </c>
      <c r="H126" s="77" t="str">
        <f>+'Summary Medians'!$G$271</f>
        <v xml:space="preserve"> </v>
      </c>
      <c r="I126" s="98" t="str">
        <f>+'Summary Medians'!$G$272</f>
        <v xml:space="preserve"> </v>
      </c>
      <c r="J126" s="77" t="str">
        <f>+'Summary Medians'!$G$273</f>
        <v xml:space="preserve"> </v>
      </c>
      <c r="L126" s="72"/>
      <c r="M126" s="72"/>
      <c r="N126" s="72"/>
      <c r="O126" s="72"/>
      <c r="P126" s="72"/>
      <c r="Q126" s="72"/>
      <c r="R126" s="72"/>
      <c r="S126" s="72"/>
    </row>
    <row r="127" spans="1:19">
      <c r="A127" s="137" t="s">
        <v>582</v>
      </c>
      <c r="B127" s="138">
        <f>'Summary Medians'!$G282</f>
        <v>10238</v>
      </c>
      <c r="C127" s="138" t="str">
        <f>'Summary Medians'!$G283</f>
        <v xml:space="preserve"> </v>
      </c>
      <c r="D127" s="138">
        <f>'Summary Medians'!$G284</f>
        <v>7464</v>
      </c>
      <c r="E127" s="138">
        <f>'Summary Medians'!$G285</f>
        <v>10720</v>
      </c>
      <c r="F127" s="120">
        <f>+'Summary Medians'!$G$286</f>
        <v>9706</v>
      </c>
      <c r="G127" s="82" t="str">
        <f>+'Summary Medians'!$G$287</f>
        <v xml:space="preserve"> </v>
      </c>
      <c r="H127" s="138" t="str">
        <f>+'Summary Medians'!$G$288</f>
        <v xml:space="preserve"> </v>
      </c>
      <c r="I127" s="100">
        <f>+'Summary Medians'!$G$289</f>
        <v>0</v>
      </c>
      <c r="J127" s="138">
        <f>+'Summary Medians'!$G$290</f>
        <v>0</v>
      </c>
      <c r="L127" s="72"/>
      <c r="M127" s="72"/>
      <c r="N127" s="72"/>
      <c r="O127" s="72"/>
      <c r="P127" s="72"/>
      <c r="Q127" s="72"/>
      <c r="R127" s="72"/>
      <c r="S127" s="72"/>
    </row>
    <row r="128" spans="1:19" ht="16.5" customHeight="1">
      <c r="A128" s="101" t="s">
        <v>591</v>
      </c>
      <c r="B128" s="102"/>
      <c r="C128" s="102"/>
      <c r="D128" s="102"/>
      <c r="E128" s="102"/>
      <c r="F128" s="102"/>
      <c r="G128" s="102"/>
      <c r="H128" s="102"/>
      <c r="I128" s="102"/>
      <c r="J128" s="102"/>
      <c r="L128" s="72"/>
      <c r="M128" s="72"/>
      <c r="N128" s="72"/>
      <c r="O128" s="72"/>
      <c r="P128" s="72"/>
      <c r="Q128" s="72"/>
      <c r="R128" s="72"/>
      <c r="S128" s="72"/>
    </row>
    <row r="129" spans="1:19" ht="61.5" customHeight="1">
      <c r="A129" s="546" t="s">
        <v>596</v>
      </c>
      <c r="B129" s="546"/>
      <c r="C129" s="546"/>
      <c r="D129" s="546"/>
      <c r="E129" s="546"/>
      <c r="F129" s="546"/>
      <c r="G129" s="546"/>
      <c r="H129" s="546"/>
      <c r="I129" s="546"/>
      <c r="J129" s="546"/>
      <c r="L129" s="72"/>
      <c r="M129" s="72"/>
      <c r="N129" s="72"/>
      <c r="O129" s="72"/>
      <c r="P129" s="72"/>
      <c r="Q129" s="72"/>
      <c r="R129" s="72"/>
      <c r="S129" s="72"/>
    </row>
    <row r="130" spans="1:19">
      <c r="A130"/>
      <c r="B130"/>
      <c r="C130"/>
      <c r="D130"/>
      <c r="E130"/>
      <c r="F130"/>
      <c r="G130"/>
      <c r="H130"/>
      <c r="I130"/>
      <c r="J130" s="83" t="s">
        <v>1054</v>
      </c>
      <c r="L130" s="72"/>
      <c r="M130" s="72"/>
      <c r="N130" s="72"/>
      <c r="O130" s="72"/>
      <c r="P130" s="72"/>
      <c r="Q130" s="72"/>
      <c r="R130" s="72"/>
      <c r="S130" s="72"/>
    </row>
    <row r="131" spans="1:19" ht="18">
      <c r="A131" s="545" t="s">
        <v>597</v>
      </c>
      <c r="B131" s="545"/>
      <c r="C131" s="545"/>
      <c r="D131" s="545"/>
      <c r="E131" s="545"/>
      <c r="F131" s="545"/>
      <c r="G131" s="545"/>
      <c r="H131" s="545"/>
      <c r="L131" s="72"/>
      <c r="M131" s="72"/>
      <c r="N131" s="72"/>
      <c r="O131" s="72"/>
      <c r="P131" s="72"/>
      <c r="Q131" s="72"/>
      <c r="R131" s="72"/>
      <c r="S131" s="72"/>
    </row>
    <row r="132" spans="1:19" ht="18">
      <c r="A132" s="121"/>
      <c r="B132" s="121"/>
      <c r="C132" s="121"/>
      <c r="D132" s="121"/>
      <c r="E132" s="121"/>
      <c r="F132" s="121"/>
      <c r="G132" s="121"/>
      <c r="H132"/>
      <c r="L132" s="72"/>
      <c r="M132" s="72"/>
      <c r="N132" s="72"/>
      <c r="O132" s="72"/>
      <c r="P132" s="72"/>
      <c r="Q132" s="72"/>
      <c r="R132" s="72"/>
      <c r="S132" s="72"/>
    </row>
    <row r="133" spans="1:19" ht="15.75">
      <c r="A133" s="543" t="s">
        <v>562</v>
      </c>
      <c r="B133" s="543"/>
      <c r="C133" s="543"/>
      <c r="D133" s="543"/>
      <c r="E133" s="543"/>
      <c r="F133" s="543"/>
      <c r="G133" s="543"/>
      <c r="H133" s="543"/>
      <c r="L133" s="72"/>
      <c r="M133" s="72"/>
      <c r="N133" s="72"/>
      <c r="O133" s="72"/>
      <c r="P133" s="72"/>
      <c r="Q133" s="72"/>
      <c r="R133" s="72"/>
      <c r="S133" s="72"/>
    </row>
    <row r="134" spans="1:19" ht="15.75">
      <c r="A134" s="543" t="s">
        <v>598</v>
      </c>
      <c r="B134" s="543"/>
      <c r="C134" s="543"/>
      <c r="D134" s="543"/>
      <c r="E134" s="543"/>
      <c r="F134" s="543"/>
      <c r="G134" s="543"/>
      <c r="H134" s="543"/>
      <c r="L134" s="72"/>
      <c r="M134" s="72"/>
      <c r="N134" s="72"/>
      <c r="O134" s="72"/>
      <c r="P134" s="72"/>
      <c r="Q134" s="72"/>
      <c r="R134" s="72"/>
      <c r="S134" s="72"/>
    </row>
    <row r="135" spans="1:19" ht="15.75">
      <c r="A135" s="543" t="s">
        <v>995</v>
      </c>
      <c r="B135" s="543"/>
      <c r="C135" s="543"/>
      <c r="D135" s="543"/>
      <c r="E135" s="543"/>
      <c r="F135" s="543"/>
      <c r="G135" s="543"/>
      <c r="H135" s="543"/>
      <c r="L135" s="72"/>
      <c r="M135" s="72"/>
      <c r="N135" s="72"/>
      <c r="O135" s="72"/>
      <c r="P135" s="72"/>
      <c r="Q135" s="72"/>
      <c r="R135" s="72"/>
      <c r="S135" s="72"/>
    </row>
    <row r="136" spans="1:19">
      <c r="A136" s="66"/>
      <c r="B136" s="66"/>
      <c r="C136" s="66"/>
      <c r="D136" s="66"/>
      <c r="E136" s="66"/>
      <c r="F136" s="66"/>
      <c r="G136" s="66"/>
      <c r="H136"/>
      <c r="L136" s="72"/>
      <c r="M136" s="72"/>
      <c r="N136" s="72"/>
      <c r="O136" s="72"/>
      <c r="P136" s="72"/>
      <c r="Q136" s="72"/>
      <c r="R136" s="72"/>
      <c r="S136" s="72"/>
    </row>
    <row r="137" spans="1:19">
      <c r="A137" s="112"/>
      <c r="B137" s="112" t="s">
        <v>564</v>
      </c>
      <c r="C137" s="112"/>
      <c r="D137" s="112"/>
      <c r="E137" s="112"/>
      <c r="F137" s="112"/>
      <c r="G137" s="112"/>
      <c r="H137" s="168"/>
      <c r="L137" s="72"/>
      <c r="M137" s="72"/>
      <c r="N137" s="72"/>
      <c r="O137" s="72"/>
      <c r="P137" s="72"/>
      <c r="Q137" s="72"/>
      <c r="R137" s="72"/>
      <c r="S137" s="72"/>
    </row>
    <row r="138" spans="1:19">
      <c r="A138" s="169"/>
      <c r="B138" s="132">
        <v>1</v>
      </c>
      <c r="C138" s="132">
        <v>2</v>
      </c>
      <c r="D138" s="132">
        <v>3</v>
      </c>
      <c r="E138" s="132">
        <v>4</v>
      </c>
      <c r="F138" s="132">
        <v>5</v>
      </c>
      <c r="G138" s="132">
        <v>6</v>
      </c>
      <c r="H138" s="133" t="s">
        <v>565</v>
      </c>
    </row>
    <row r="139" spans="1:19">
      <c r="A139"/>
      <c r="B139" s="170"/>
      <c r="C139" s="170"/>
      <c r="D139" s="170"/>
      <c r="E139" s="170"/>
      <c r="F139" s="170"/>
      <c r="G139" s="171"/>
      <c r="H139"/>
    </row>
    <row r="140" spans="1:19">
      <c r="A140" s="66" t="s">
        <v>566</v>
      </c>
      <c r="B140" s="75">
        <f>+'Summary Medians'!$J$3</f>
        <v>12164</v>
      </c>
      <c r="C140" s="75">
        <f>+'Summary Medians'!$J$4</f>
        <v>11013.333333333299</v>
      </c>
      <c r="D140" s="75">
        <f>+'Summary Medians'!$J$5</f>
        <v>10233.333333333299</v>
      </c>
      <c r="E140" s="75">
        <f>+'Summary Medians'!$J$6</f>
        <v>8438</v>
      </c>
      <c r="F140" s="75">
        <f>+'Summary Medians'!$J$7</f>
        <v>9214.34</v>
      </c>
      <c r="G140" s="75">
        <f>+'Summary Medians'!$J$8</f>
        <v>8923</v>
      </c>
      <c r="H140" s="107">
        <f>+'Summary Medians'!$J$9</f>
        <v>10474</v>
      </c>
    </row>
    <row r="141" spans="1:19">
      <c r="A141" s="66"/>
      <c r="B141" s="149"/>
      <c r="C141" s="149"/>
      <c r="D141" s="149"/>
      <c r="E141" s="149"/>
      <c r="F141" s="149"/>
      <c r="G141" s="150"/>
      <c r="H141" s="172"/>
    </row>
    <row r="142" spans="1:19">
      <c r="A142" s="66" t="s">
        <v>567</v>
      </c>
      <c r="B142" s="77">
        <f>+'Summary Medians'!$J$20</f>
        <v>11470</v>
      </c>
      <c r="C142" s="77">
        <f>+'Summary Medians'!$J$21</f>
        <v>11560</v>
      </c>
      <c r="D142" s="77">
        <f>+'Summary Medians'!$J$22</f>
        <v>10930</v>
      </c>
      <c r="E142" s="77">
        <f>+'Summary Medians'!$J$23</f>
        <v>10996</v>
      </c>
      <c r="F142" s="77">
        <f>+'Summary Medians'!$J$24</f>
        <v>10782</v>
      </c>
      <c r="G142" s="77" t="str">
        <f>+'Summary Medians'!$J$25</f>
        <v xml:space="preserve"> </v>
      </c>
      <c r="H142" s="126">
        <f>+'Summary Medians'!$J$26</f>
        <v>11284</v>
      </c>
    </row>
    <row r="143" spans="1:19">
      <c r="A143" s="66" t="s">
        <v>568</v>
      </c>
      <c r="B143" s="77">
        <f>+'Summary Medians'!$J$37</f>
        <v>12024</v>
      </c>
      <c r="C143" s="77">
        <f>+'Summary Medians'!$J$38</f>
        <v>10119</v>
      </c>
      <c r="D143" s="77">
        <f>+'Summary Medians'!$J$39</f>
        <v>8944</v>
      </c>
      <c r="E143" s="77">
        <f>+'Summary Medians'!$J$40</f>
        <v>9223</v>
      </c>
      <c r="F143" s="77" t="str">
        <f>+'Summary Medians'!$J$41</f>
        <v xml:space="preserve"> </v>
      </c>
      <c r="G143" s="77">
        <f>+'Summary Medians'!$J$42</f>
        <v>8838</v>
      </c>
      <c r="H143" s="126">
        <f>+'Summary Medians'!$J$43</f>
        <v>9207.5</v>
      </c>
    </row>
    <row r="144" spans="1:19">
      <c r="A144" s="66" t="s">
        <v>569</v>
      </c>
      <c r="B144" s="77">
        <f>+'Summary Medians'!$J$54</f>
        <v>18128</v>
      </c>
      <c r="C144" s="77" t="str">
        <f>+'Summary Medians'!$J$55</f>
        <v xml:space="preserve"> </v>
      </c>
      <c r="D144" s="77">
        <f>+'Summary Medians'!$J$56</f>
        <v>5510</v>
      </c>
      <c r="E144" s="77" t="str">
        <f>+'Summary Medians'!$J$57</f>
        <v xml:space="preserve"> </v>
      </c>
      <c r="F144" s="77" t="str">
        <f>+'Summary Medians'!$J$58</f>
        <v xml:space="preserve"> </v>
      </c>
      <c r="G144" s="77" t="str">
        <f>+'Summary Medians'!$J$59</f>
        <v xml:space="preserve"> </v>
      </c>
      <c r="H144" s="126">
        <f>+'Summary Medians'!$J$60</f>
        <v>11819</v>
      </c>
    </row>
    <row r="145" spans="1:8">
      <c r="A145" s="66" t="s">
        <v>570</v>
      </c>
      <c r="B145" s="77" t="str">
        <f>+'Summary Medians'!$J$71</f>
        <v xml:space="preserve"> </v>
      </c>
      <c r="C145" s="77" t="str">
        <f>+'Summary Medians'!$J$72</f>
        <v xml:space="preserve"> </v>
      </c>
      <c r="D145" s="77" t="str">
        <f>+'Summary Medians'!$J$73</f>
        <v xml:space="preserve"> </v>
      </c>
      <c r="E145" s="77" t="str">
        <f>+'Summary Medians'!$J$74</f>
        <v xml:space="preserve"> </v>
      </c>
      <c r="F145" s="77" t="str">
        <f>+'Summary Medians'!$J$75</f>
        <v xml:space="preserve"> </v>
      </c>
      <c r="G145" s="77" t="str">
        <f>+'Summary Medians'!$J$76</f>
        <v xml:space="preserve"> </v>
      </c>
      <c r="H145" s="126" t="str">
        <f>+'Summary Medians'!$J$77</f>
        <v xml:space="preserve"> </v>
      </c>
    </row>
    <row r="146" spans="1:8">
      <c r="A146" s="66"/>
      <c r="B146" s="77"/>
      <c r="C146" s="77"/>
      <c r="D146" s="77"/>
      <c r="E146" s="77"/>
      <c r="F146" s="77"/>
      <c r="G146" s="77"/>
      <c r="H146" s="126"/>
    </row>
    <row r="147" spans="1:8">
      <c r="A147" s="66" t="s">
        <v>571</v>
      </c>
      <c r="B147" s="77">
        <f>+'Summary Medians'!$J$88</f>
        <v>11424</v>
      </c>
      <c r="C147" s="77">
        <f>+'Summary Medians'!$J$89</f>
        <v>17346</v>
      </c>
      <c r="D147" s="77">
        <f>+'Summary Medians'!$J$90</f>
        <v>8523</v>
      </c>
      <c r="E147" s="77">
        <f>+'Summary Medians'!$J$91</f>
        <v>6892</v>
      </c>
      <c r="F147" s="77">
        <f>+'Summary Medians'!$J$92</f>
        <v>6106</v>
      </c>
      <c r="G147" s="77">
        <f>+'Summary Medians'!$J$93</f>
        <v>0</v>
      </c>
      <c r="H147" s="126">
        <f>+'Summary Medians'!$J$94</f>
        <v>7634</v>
      </c>
    </row>
    <row r="148" spans="1:8">
      <c r="A148" s="66" t="s">
        <v>572</v>
      </c>
      <c r="B148" s="77">
        <f>+'Summary Medians'!$J$105</f>
        <v>13697</v>
      </c>
      <c r="C148" s="77" t="str">
        <f>+'Summary Medians'!$J$106</f>
        <v xml:space="preserve"> </v>
      </c>
      <c r="D148" s="77">
        <f>+'Summary Medians'!$J$107</f>
        <v>13740</v>
      </c>
      <c r="E148" s="77">
        <f>+'Summary Medians'!$J$108</f>
        <v>11180</v>
      </c>
      <c r="F148" s="77" t="str">
        <f>+'Summary Medians'!$J$109</f>
        <v xml:space="preserve"> </v>
      </c>
      <c r="G148" s="77" t="str">
        <f>+'Summary Medians'!$J$110</f>
        <v xml:space="preserve"> </v>
      </c>
      <c r="H148" s="126">
        <f>+'Summary Medians'!$J$111</f>
        <v>13697</v>
      </c>
    </row>
    <row r="149" spans="1:8">
      <c r="A149" s="66" t="s">
        <v>573</v>
      </c>
      <c r="B149" s="77">
        <f>+'Summary Medians'!$J$122</f>
        <v>13031</v>
      </c>
      <c r="C149" s="77">
        <f>+'Summary Medians'!$J$123</f>
        <v>10053</v>
      </c>
      <c r="D149" s="77">
        <f>+'Summary Medians'!$J$124</f>
        <v>9369</v>
      </c>
      <c r="E149" s="77">
        <f>+'Summary Medians'!$J$125</f>
        <v>8102</v>
      </c>
      <c r="F149" s="77">
        <f>+'Summary Medians'!$J$126</f>
        <v>9214.34</v>
      </c>
      <c r="G149" s="77">
        <f>+'Summary Medians'!$J$127</f>
        <v>0</v>
      </c>
      <c r="H149" s="126">
        <f>+'Summary Medians'!$J$128</f>
        <v>9648</v>
      </c>
    </row>
    <row r="150" spans="1:8">
      <c r="A150" s="66" t="s">
        <v>574</v>
      </c>
      <c r="B150" s="77">
        <f>+'Summary Medians'!$J$139</f>
        <v>20362</v>
      </c>
      <c r="C150" s="77">
        <f>+'Summary Medians'!$J$140</f>
        <v>16518</v>
      </c>
      <c r="D150" s="77">
        <f>+'Summary Medians'!$J$141</f>
        <v>19005.125</v>
      </c>
      <c r="E150" s="77">
        <f>+'Summary Medians'!$J$142</f>
        <v>12958</v>
      </c>
      <c r="F150" s="77">
        <f>+'Summary Medians'!$J$143</f>
        <v>10446</v>
      </c>
      <c r="G150" s="77">
        <f>+'Summary Medians'!$J$144</f>
        <v>0</v>
      </c>
      <c r="H150" s="126">
        <f>+'Summary Medians'!$J$145</f>
        <v>13679</v>
      </c>
    </row>
    <row r="151" spans="1:8">
      <c r="A151" s="66"/>
      <c r="B151" s="77"/>
      <c r="C151" s="77"/>
      <c r="D151" s="77"/>
      <c r="E151" s="77"/>
      <c r="F151" s="77"/>
      <c r="G151" s="77"/>
      <c r="H151" s="126"/>
    </row>
    <row r="152" spans="1:8">
      <c r="A152" s="66" t="s">
        <v>575</v>
      </c>
      <c r="B152" s="77">
        <f>+'Summary Medians'!$J$156</f>
        <v>9204</v>
      </c>
      <c r="C152" s="77">
        <f>+'Summary Medians'!$J$157</f>
        <v>8445</v>
      </c>
      <c r="D152" s="77" t="str">
        <f>+'Summary Medians'!$J$158</f>
        <v xml:space="preserve"> </v>
      </c>
      <c r="E152" s="77">
        <f>+'Summary Medians'!$J$159</f>
        <v>7966</v>
      </c>
      <c r="F152" s="77" t="str">
        <f>+'Summary Medians'!$J$160</f>
        <v xml:space="preserve"> </v>
      </c>
      <c r="G152" s="77" t="str">
        <f>+'Summary Medians'!$J$161</f>
        <v xml:space="preserve"> </v>
      </c>
      <c r="H152" s="126">
        <f>+'Summary Medians'!$J$162</f>
        <v>8402.5</v>
      </c>
    </row>
    <row r="153" spans="1:8">
      <c r="A153" s="66" t="s">
        <v>576</v>
      </c>
      <c r="B153" s="77">
        <f>+'Summary Medians'!$J$173</f>
        <v>9984</v>
      </c>
      <c r="C153" s="77">
        <f>+'Summary Medians'!$J$174</f>
        <v>7766</v>
      </c>
      <c r="D153" s="77">
        <f>+'Summary Medians'!$J$175</f>
        <v>7577.5</v>
      </c>
      <c r="E153" s="77">
        <f>+'Summary Medians'!$J$176</f>
        <v>5835</v>
      </c>
      <c r="F153" s="77">
        <f>+'Summary Medians'!$J$177</f>
        <v>6746.5</v>
      </c>
      <c r="G153" s="77">
        <f>+'Summary Medians'!$J$178</f>
        <v>6868.5</v>
      </c>
      <c r="H153" s="126">
        <f>+'Summary Medians'!$J$179</f>
        <v>7641</v>
      </c>
    </row>
    <row r="154" spans="1:8">
      <c r="A154" s="66" t="s">
        <v>577</v>
      </c>
      <c r="B154" s="77" t="str">
        <f>+'Summary Medians'!$J$190</f>
        <v xml:space="preserve"> </v>
      </c>
      <c r="C154" s="77" t="str">
        <f>+'Summary Medians'!$J$191</f>
        <v xml:space="preserve"> </v>
      </c>
      <c r="D154" s="77" t="str">
        <f>+'Summary Medians'!$J$192</f>
        <v xml:space="preserve"> </v>
      </c>
      <c r="E154" s="77" t="str">
        <f>+'Summary Medians'!$J$193</f>
        <v xml:space="preserve"> </v>
      </c>
      <c r="F154" s="77" t="str">
        <f>+'Summary Medians'!$J$194</f>
        <v xml:space="preserve"> </v>
      </c>
      <c r="G154" s="77" t="str">
        <f>+'Summary Medians'!$J$195</f>
        <v xml:space="preserve"> </v>
      </c>
      <c r="H154" s="126" t="str">
        <f>+'Summary Medians'!$J$196</f>
        <v xml:space="preserve"> </v>
      </c>
    </row>
    <row r="155" spans="1:8">
      <c r="A155" s="66" t="s">
        <v>578</v>
      </c>
      <c r="B155" s="77">
        <f>+'Summary Medians'!$J$207</f>
        <v>13171</v>
      </c>
      <c r="C155" s="77" t="str">
        <f>+'Summary Medians'!$J$208</f>
        <v xml:space="preserve"> </v>
      </c>
      <c r="D155" s="77">
        <f>+'Summary Medians'!$J$209</f>
        <v>11604</v>
      </c>
      <c r="E155" s="77">
        <f>+'Summary Medians'!$J$210</f>
        <v>10764</v>
      </c>
      <c r="F155" s="77">
        <f>+'Summary Medians'!$J$211</f>
        <v>11460</v>
      </c>
      <c r="G155" s="77">
        <f>+'Summary Medians'!$J$212</f>
        <v>11972</v>
      </c>
      <c r="H155" s="126">
        <f>+'Summary Medians'!$J$213</f>
        <v>11604</v>
      </c>
    </row>
    <row r="156" spans="1:8">
      <c r="A156" s="66"/>
      <c r="B156"/>
      <c r="C156"/>
      <c r="D156"/>
      <c r="E156"/>
      <c r="F156"/>
      <c r="G156"/>
      <c r="H156" s="161"/>
    </row>
    <row r="157" spans="1:8">
      <c r="A157" s="66" t="s">
        <v>579</v>
      </c>
      <c r="B157" s="77">
        <f>+'Summary Medians'!$J$224</f>
        <v>12750</v>
      </c>
      <c r="C157" s="77">
        <f>+'Summary Medians'!$J$225</f>
        <v>12104</v>
      </c>
      <c r="D157" s="77">
        <f>+'Summary Medians'!$J$226</f>
        <v>11107</v>
      </c>
      <c r="E157" s="77">
        <f>+'Summary Medians'!$J$227</f>
        <v>10798</v>
      </c>
      <c r="F157" s="77" t="str">
        <f>+'Summary Medians'!$J$228</f>
        <v xml:space="preserve"> </v>
      </c>
      <c r="G157" s="77" t="str">
        <f>+'Summary Medians'!$J$229</f>
        <v xml:space="preserve"> </v>
      </c>
      <c r="H157" s="126">
        <f>+'Summary Medians'!$J$230</f>
        <v>12104</v>
      </c>
    </row>
    <row r="158" spans="1:8">
      <c r="A158" s="66" t="s">
        <v>589</v>
      </c>
      <c r="B158" s="77">
        <f>+'Summary Medians'!$J$241</f>
        <v>12035.33333333335</v>
      </c>
      <c r="C158" s="77">
        <f>+'Summary Medians'!$J$242</f>
        <v>10368</v>
      </c>
      <c r="D158" s="77">
        <f>+'Summary Medians'!$J$243</f>
        <v>9782.6666666666697</v>
      </c>
      <c r="E158" s="77">
        <f>+'Summary Medians'!$J$244</f>
        <v>7658.6666666666697</v>
      </c>
      <c r="F158" s="77">
        <f>+'Summary Medians'!$J$245</f>
        <v>9914.6666666666497</v>
      </c>
      <c r="G158" s="77" t="str">
        <f>+'Summary Medians'!$J$246</f>
        <v xml:space="preserve"> </v>
      </c>
      <c r="H158" s="126">
        <f>+'Summary Medians'!$J$247</f>
        <v>10616</v>
      </c>
    </row>
    <row r="159" spans="1:8">
      <c r="A159" s="66" t="s">
        <v>581</v>
      </c>
      <c r="B159" s="77">
        <f>+'Summary Medians'!$J$258</f>
        <v>16522</v>
      </c>
      <c r="C159" s="77">
        <f>+'Summary Medians'!$J$259</f>
        <v>16618</v>
      </c>
      <c r="D159" s="77">
        <f>+'Summary Medians'!$J$260</f>
        <v>12312</v>
      </c>
      <c r="E159" s="77">
        <f>+'Summary Medians'!$J$261</f>
        <v>12690</v>
      </c>
      <c r="F159" s="77">
        <f>+'Summary Medians'!$J$262</f>
        <v>11793</v>
      </c>
      <c r="G159" s="77">
        <f>+'Summary Medians'!$J$263</f>
        <v>0</v>
      </c>
      <c r="H159" s="126">
        <f>+'Summary Medians'!$J$264</f>
        <v>13137</v>
      </c>
    </row>
    <row r="160" spans="1:8">
      <c r="A160" s="137" t="s">
        <v>582</v>
      </c>
      <c r="B160" s="138">
        <f>+'Summary Medians'!$J$275</f>
        <v>10332</v>
      </c>
      <c r="C160" s="138" t="str">
        <f>+'Summary Medians'!$J$276</f>
        <v xml:space="preserve"> </v>
      </c>
      <c r="D160" s="138">
        <f>+'Summary Medians'!$J$277</f>
        <v>8882</v>
      </c>
      <c r="E160" s="138">
        <f>+'Summary Medians'!$J$278</f>
        <v>8335</v>
      </c>
      <c r="F160" s="138">
        <f>+'Summary Medians'!$J$279</f>
        <v>8730</v>
      </c>
      <c r="G160" s="138">
        <f>+'Summary Medians'!$J$280</f>
        <v>0</v>
      </c>
      <c r="H160" s="111">
        <f>+'Summary Medians'!$J$281</f>
        <v>8730</v>
      </c>
    </row>
    <row r="161" spans="1:8" ht="39.75" customHeight="1">
      <c r="A161" s="544" t="s">
        <v>599</v>
      </c>
      <c r="B161" s="544"/>
      <c r="C161" s="544"/>
      <c r="D161" s="544"/>
      <c r="E161" s="544"/>
      <c r="F161" s="544"/>
      <c r="G161" s="544"/>
      <c r="H161" s="544"/>
    </row>
    <row r="162" spans="1:8">
      <c r="A162"/>
      <c r="B162"/>
      <c r="C162"/>
      <c r="D162"/>
      <c r="E162"/>
      <c r="F162"/>
      <c r="G162"/>
      <c r="H162" s="83" t="s">
        <v>1054</v>
      </c>
    </row>
    <row r="163" spans="1:8" ht="18">
      <c r="A163" s="545" t="s">
        <v>600</v>
      </c>
      <c r="B163" s="545"/>
      <c r="C163" s="545"/>
      <c r="D163" s="545"/>
      <c r="E163" s="545"/>
      <c r="F163" s="545"/>
      <c r="G163" s="545"/>
      <c r="H163" s="545"/>
    </row>
    <row r="164" spans="1:8">
      <c r="A164" s="84"/>
      <c r="B164" s="84"/>
      <c r="C164" s="84"/>
      <c r="D164" s="84"/>
      <c r="E164" s="84"/>
      <c r="F164" s="84"/>
      <c r="G164" s="84"/>
      <c r="H164" s="128"/>
    </row>
    <row r="165" spans="1:8" ht="15.75">
      <c r="A165" s="543" t="s">
        <v>562</v>
      </c>
      <c r="B165" s="543"/>
      <c r="C165" s="543"/>
      <c r="D165" s="543"/>
      <c r="E165" s="543"/>
      <c r="F165" s="543"/>
      <c r="G165" s="543"/>
      <c r="H165" s="543"/>
    </row>
    <row r="166" spans="1:8" ht="15.75">
      <c r="A166" s="543" t="s">
        <v>601</v>
      </c>
      <c r="B166" s="543"/>
      <c r="C166" s="543"/>
      <c r="D166" s="543"/>
      <c r="E166" s="543"/>
      <c r="F166" s="543"/>
      <c r="G166" s="543"/>
      <c r="H166" s="543"/>
    </row>
    <row r="167" spans="1:8" ht="15.75">
      <c r="A167" s="543" t="s">
        <v>995</v>
      </c>
      <c r="B167" s="543"/>
      <c r="C167" s="543"/>
      <c r="D167" s="543"/>
      <c r="E167" s="543"/>
      <c r="F167" s="543"/>
      <c r="G167" s="543"/>
      <c r="H167" s="543"/>
    </row>
    <row r="168" spans="1:8">
      <c r="A168" s="66"/>
      <c r="B168" s="66"/>
      <c r="C168" s="66"/>
      <c r="D168" s="66"/>
      <c r="E168" s="128"/>
      <c r="F168" s="128"/>
      <c r="G168" s="128"/>
      <c r="H168" s="173"/>
    </row>
    <row r="169" spans="1:8">
      <c r="A169" s="112"/>
      <c r="B169" s="112" t="s">
        <v>564</v>
      </c>
      <c r="C169" s="112"/>
      <c r="D169" s="112"/>
      <c r="E169" s="112"/>
      <c r="F169" s="112"/>
      <c r="G169" s="174"/>
      <c r="H169" s="131"/>
    </row>
    <row r="170" spans="1:8">
      <c r="A170" s="169"/>
      <c r="B170" s="132">
        <v>1</v>
      </c>
      <c r="C170" s="132">
        <v>2</v>
      </c>
      <c r="D170" s="132">
        <v>3</v>
      </c>
      <c r="E170" s="132">
        <v>4</v>
      </c>
      <c r="F170" s="132">
        <v>5</v>
      </c>
      <c r="G170" s="132">
        <v>6</v>
      </c>
      <c r="H170" s="133" t="s">
        <v>565</v>
      </c>
    </row>
    <row r="171" spans="1:8">
      <c r="A171"/>
      <c r="B171"/>
      <c r="C171"/>
      <c r="D171"/>
      <c r="E171"/>
      <c r="F171"/>
      <c r="G171" s="160"/>
      <c r="H171"/>
    </row>
    <row r="172" spans="1:8">
      <c r="A172" s="66" t="s">
        <v>566</v>
      </c>
      <c r="B172" s="75">
        <f>+'Summary Medians'!$M$3</f>
        <v>29618</v>
      </c>
      <c r="C172" s="75">
        <f>+'Summary Medians'!$M$4</f>
        <v>22144</v>
      </c>
      <c r="D172" s="75">
        <f>+'Summary Medians'!$M$5</f>
        <v>20773.333333333299</v>
      </c>
      <c r="E172" s="75">
        <f>+'Summary Medians'!$M$6</f>
        <v>18599</v>
      </c>
      <c r="F172" s="75">
        <f>+'Summary Medians'!$M$7</f>
        <v>19256</v>
      </c>
      <c r="G172" s="75">
        <f>+'Summary Medians'!$M$8</f>
        <v>17302.5</v>
      </c>
      <c r="H172" s="107">
        <f>+'Summary Medians'!$M$9</f>
        <v>20902.666666666701</v>
      </c>
    </row>
    <row r="173" spans="1:8">
      <c r="A173" s="66"/>
      <c r="B173" s="149"/>
      <c r="C173" s="149"/>
      <c r="D173" s="149"/>
      <c r="E173" s="149"/>
      <c r="F173" s="149"/>
      <c r="G173" s="150"/>
      <c r="H173" s="172"/>
    </row>
    <row r="174" spans="1:8">
      <c r="A174" s="66" t="s">
        <v>567</v>
      </c>
      <c r="B174" s="77">
        <f>+'Summary Medians'!$M$20</f>
        <v>30940</v>
      </c>
      <c r="C174" s="77">
        <f>+'Summary Medians'!$M$21</f>
        <v>23943</v>
      </c>
      <c r="D174" s="77">
        <f>+'Summary Medians'!$M$22</f>
        <v>21574</v>
      </c>
      <c r="E174" s="77">
        <f>+'Summary Medians'!$M$23</f>
        <v>20392</v>
      </c>
      <c r="F174" s="77">
        <f>+'Summary Medians'!$M$24</f>
        <v>20190</v>
      </c>
      <c r="G174" s="77" t="str">
        <f>+'Summary Medians'!$M$25</f>
        <v xml:space="preserve"> </v>
      </c>
      <c r="H174" s="126">
        <f>+'Summary Medians'!$M$26</f>
        <v>22708</v>
      </c>
    </row>
    <row r="175" spans="1:8">
      <c r="A175" s="66" t="s">
        <v>568</v>
      </c>
      <c r="B175" s="77">
        <f>+'Summary Medians'!$M$37</f>
        <v>30084</v>
      </c>
      <c r="C175" s="77">
        <f>+'Summary Medians'!$M$38</f>
        <v>19839</v>
      </c>
      <c r="D175" s="77">
        <f>+'Summary Medians'!$M$39</f>
        <v>15694</v>
      </c>
      <c r="E175" s="77">
        <f>+'Summary Medians'!$M$40</f>
        <v>13176</v>
      </c>
      <c r="F175" s="77" t="str">
        <f>+'Summary Medians'!$M$41</f>
        <v xml:space="preserve"> </v>
      </c>
      <c r="G175" s="77">
        <f>+'Summary Medians'!$M$42</f>
        <v>14994</v>
      </c>
      <c r="H175" s="126">
        <f>+'Summary Medians'!$M$43</f>
        <v>15444</v>
      </c>
    </row>
    <row r="176" spans="1:8">
      <c r="A176" s="66" t="s">
        <v>569</v>
      </c>
      <c r="B176" s="77">
        <f>+'Summary Medians'!$M$54</f>
        <v>18128</v>
      </c>
      <c r="C176" s="77" t="str">
        <f>+'Summary Medians'!$M$55</f>
        <v xml:space="preserve"> </v>
      </c>
      <c r="D176" s="77">
        <f>+'Summary Medians'!$M$56</f>
        <v>11726</v>
      </c>
      <c r="E176" s="77" t="str">
        <f>+'Summary Medians'!$M$57</f>
        <v xml:space="preserve"> </v>
      </c>
      <c r="F176" s="77" t="str">
        <f>+'Summary Medians'!$M$58</f>
        <v xml:space="preserve"> </v>
      </c>
      <c r="G176" s="77" t="str">
        <f>+'Summary Medians'!$M$59</f>
        <v xml:space="preserve"> </v>
      </c>
      <c r="H176" s="126">
        <f>+'Summary Medians'!$M$60</f>
        <v>14927</v>
      </c>
    </row>
    <row r="177" spans="1:8">
      <c r="A177" s="66" t="s">
        <v>570</v>
      </c>
      <c r="B177" s="77" t="str">
        <f>+'Summary Medians'!$M$71</f>
        <v xml:space="preserve"> </v>
      </c>
      <c r="C177" s="77" t="str">
        <f>+'Summary Medians'!$M$72</f>
        <v xml:space="preserve"> </v>
      </c>
      <c r="D177" s="77" t="str">
        <f>+'Summary Medians'!$M$73</f>
        <v xml:space="preserve"> </v>
      </c>
      <c r="E177" s="77" t="str">
        <f>+'Summary Medians'!$M$74</f>
        <v xml:space="preserve"> </v>
      </c>
      <c r="F177" s="77" t="str">
        <f>+'Summary Medians'!$M$75</f>
        <v xml:space="preserve"> </v>
      </c>
      <c r="G177" s="77" t="str">
        <f>+'Summary Medians'!$M$76</f>
        <v xml:space="preserve"> </v>
      </c>
      <c r="H177" s="126" t="str">
        <f>+'Summary Medians'!$M$77</f>
        <v xml:space="preserve"> </v>
      </c>
    </row>
    <row r="178" spans="1:8">
      <c r="A178" s="66"/>
      <c r="B178" s="77"/>
      <c r="C178" s="77"/>
      <c r="D178" s="77"/>
      <c r="E178" s="77"/>
      <c r="F178" s="77"/>
      <c r="G178" s="77"/>
      <c r="H178" s="126"/>
    </row>
    <row r="179" spans="1:8">
      <c r="A179" s="66" t="s">
        <v>571</v>
      </c>
      <c r="B179" s="77">
        <f>+'Summary Medians'!$M$88</f>
        <v>29910</v>
      </c>
      <c r="C179" s="77">
        <f>+'Summary Medians'!$M$89</f>
        <v>32422</v>
      </c>
      <c r="D179" s="77">
        <f>+'Summary Medians'!$M$90</f>
        <v>26079</v>
      </c>
      <c r="E179" s="77">
        <f>+'Summary Medians'!$M$91</f>
        <v>20902</v>
      </c>
      <c r="F179" s="77">
        <f>+'Summary Medians'!$M$92</f>
        <v>17978</v>
      </c>
      <c r="G179" s="77">
        <f>+'Summary Medians'!$M$93</f>
        <v>0</v>
      </c>
      <c r="H179" s="126">
        <f>+'Summary Medians'!$M$94</f>
        <v>23834</v>
      </c>
    </row>
    <row r="180" spans="1:8">
      <c r="A180" s="66" t="s">
        <v>572</v>
      </c>
      <c r="B180" s="77">
        <f>+'Summary Medians'!$M$105</f>
        <v>30691</v>
      </c>
      <c r="C180" s="77" t="str">
        <f>+'Summary Medians'!$M$106</f>
        <v xml:space="preserve"> </v>
      </c>
      <c r="D180" s="77">
        <f>+'Summary Medians'!$M$107</f>
        <v>19632</v>
      </c>
      <c r="E180" s="77">
        <f>+'Summary Medians'!$M$108</f>
        <v>16220</v>
      </c>
      <c r="F180" s="77" t="str">
        <f>+'Summary Medians'!$M$109</f>
        <v xml:space="preserve"> </v>
      </c>
      <c r="G180" s="77" t="str">
        <f>+'Summary Medians'!$M$110</f>
        <v xml:space="preserve"> </v>
      </c>
      <c r="H180" s="126">
        <f>+'Summary Medians'!$M$111</f>
        <v>20148</v>
      </c>
    </row>
    <row r="181" spans="1:8">
      <c r="A181" s="66" t="s">
        <v>573</v>
      </c>
      <c r="B181" s="77">
        <f>+'Summary Medians'!$M$122</f>
        <v>29966</v>
      </c>
      <c r="C181" s="77">
        <f>+'Summary Medians'!$M$123</f>
        <v>16794</v>
      </c>
      <c r="D181" s="77">
        <f>+'Summary Medians'!$M$124</f>
        <v>20667.34</v>
      </c>
      <c r="E181" s="77">
        <f>+'Summary Medians'!$M$125</f>
        <v>18278.95</v>
      </c>
      <c r="F181" s="77">
        <f>+'Summary Medians'!$M$126</f>
        <v>16156.34</v>
      </c>
      <c r="G181" s="77">
        <f>+'Summary Medians'!$M$127</f>
        <v>0</v>
      </c>
      <c r="H181" s="126">
        <f>+'Summary Medians'!$M$128</f>
        <v>19894.68</v>
      </c>
    </row>
    <row r="182" spans="1:8">
      <c r="A182" s="66" t="s">
        <v>574</v>
      </c>
      <c r="B182" s="77">
        <f>+'Summary Medians'!$M$139</f>
        <v>42585</v>
      </c>
      <c r="C182" s="77">
        <f>+'Summary Medians'!$M$140</f>
        <v>27426</v>
      </c>
      <c r="D182" s="77">
        <f>+'Summary Medians'!$M$141</f>
        <v>28030.2181818182</v>
      </c>
      <c r="E182" s="77">
        <f>+'Summary Medians'!$M$142</f>
        <v>18635</v>
      </c>
      <c r="F182" s="77">
        <f>+'Summary Medians'!$M$143</f>
        <v>17526</v>
      </c>
      <c r="G182" s="77">
        <f>+'Summary Medians'!$M$144</f>
        <v>0</v>
      </c>
      <c r="H182" s="126">
        <f>+'Summary Medians'!$M$145</f>
        <v>22122</v>
      </c>
    </row>
    <row r="183" spans="1:8">
      <c r="A183" s="66"/>
      <c r="B183" s="77"/>
      <c r="C183" s="77"/>
      <c r="D183" s="77"/>
      <c r="E183" s="77"/>
      <c r="F183" s="77"/>
      <c r="G183" s="77"/>
      <c r="H183" s="126"/>
    </row>
    <row r="184" spans="1:8">
      <c r="A184" s="66" t="s">
        <v>575</v>
      </c>
      <c r="B184" s="77">
        <f>+'Summary Medians'!$M$156</f>
        <v>24900</v>
      </c>
      <c r="C184" s="77">
        <f>+'Summary Medians'!$M$157</f>
        <v>9445</v>
      </c>
      <c r="D184" s="77" t="str">
        <f>+'Summary Medians'!$M$158</f>
        <v xml:space="preserve"> </v>
      </c>
      <c r="E184" s="77">
        <f>+'Summary Medians'!$M$159</f>
        <v>7966</v>
      </c>
      <c r="F184" s="77" t="str">
        <f>+'Summary Medians'!$M$160</f>
        <v xml:space="preserve"> </v>
      </c>
      <c r="G184" s="77" t="str">
        <f>+'Summary Medians'!$M$161</f>
        <v xml:space="preserve"> </v>
      </c>
      <c r="H184" s="126">
        <f>+'Summary Medians'!$M$162</f>
        <v>8902.5</v>
      </c>
    </row>
    <row r="185" spans="1:8">
      <c r="A185" s="66" t="s">
        <v>576</v>
      </c>
      <c r="B185" s="77">
        <f>+'Summary Medians'!$M$173</f>
        <v>25836.5</v>
      </c>
      <c r="C185" s="77">
        <f>+'Summary Medians'!$M$174</f>
        <v>20740.5</v>
      </c>
      <c r="D185" s="77">
        <f>+'Summary Medians'!$M$175</f>
        <v>20969</v>
      </c>
      <c r="E185" s="77">
        <f>+'Summary Medians'!$M$176</f>
        <v>16900</v>
      </c>
      <c r="F185" s="77">
        <f>+'Summary Medians'!$M$177</f>
        <v>18291</v>
      </c>
      <c r="G185" s="77">
        <f>+'Summary Medians'!$M$178</f>
        <v>21561</v>
      </c>
      <c r="H185" s="126">
        <f>+'Summary Medians'!$M$179</f>
        <v>20743</v>
      </c>
    </row>
    <row r="186" spans="1:8">
      <c r="A186" s="66" t="s">
        <v>577</v>
      </c>
      <c r="B186" s="77" t="str">
        <f>+'Summary Medians'!$M$190</f>
        <v xml:space="preserve"> </v>
      </c>
      <c r="C186" s="77" t="str">
        <f>+'Summary Medians'!$M$191</f>
        <v xml:space="preserve"> </v>
      </c>
      <c r="D186" s="77" t="str">
        <f>+'Summary Medians'!$M$192</f>
        <v xml:space="preserve"> </v>
      </c>
      <c r="E186" s="77" t="str">
        <f>+'Summary Medians'!$M$193</f>
        <v xml:space="preserve"> </v>
      </c>
      <c r="F186" s="77" t="str">
        <f>+'Summary Medians'!$M$194</f>
        <v xml:space="preserve"> </v>
      </c>
      <c r="G186" s="77" t="str">
        <f>+'Summary Medians'!$M$195</f>
        <v xml:space="preserve"> </v>
      </c>
      <c r="H186" s="126" t="str">
        <f>+'Summary Medians'!$M$196</f>
        <v xml:space="preserve"> </v>
      </c>
    </row>
    <row r="187" spans="1:8">
      <c r="A187" s="66" t="s">
        <v>578</v>
      </c>
      <c r="B187" s="77">
        <f>+'Summary Medians'!$M$207</f>
        <v>27270</v>
      </c>
      <c r="C187" s="77" t="str">
        <f>+'Summary Medians'!$M$208</f>
        <v xml:space="preserve"> </v>
      </c>
      <c r="D187" s="77">
        <f>+'Summary Medians'!$M$209</f>
        <v>22352</v>
      </c>
      <c r="E187" s="77">
        <f>+'Summary Medians'!$M$210</f>
        <v>19836</v>
      </c>
      <c r="F187" s="77">
        <f>+'Summary Medians'!$M$211</f>
        <v>22570</v>
      </c>
      <c r="G187" s="77">
        <f>+'Summary Medians'!$M$212</f>
        <v>19985</v>
      </c>
      <c r="H187" s="126">
        <f>+'Summary Medians'!$M$213</f>
        <v>22570</v>
      </c>
    </row>
    <row r="188" spans="1:8">
      <c r="A188" s="66"/>
      <c r="B188"/>
      <c r="C188"/>
      <c r="D188"/>
      <c r="E188"/>
      <c r="F188"/>
      <c r="G188"/>
      <c r="H188" s="161"/>
    </row>
    <row r="189" spans="1:8">
      <c r="A189" s="66" t="s">
        <v>579</v>
      </c>
      <c r="B189" s="77">
        <f>+'Summary Medians'!$M$224</f>
        <v>25310</v>
      </c>
      <c r="C189" s="77">
        <f>+'Summary Medians'!$M$225</f>
        <v>27242</v>
      </c>
      <c r="D189" s="77">
        <f>+'Summary Medians'!$M$226</f>
        <v>16647</v>
      </c>
      <c r="E189" s="77">
        <f>+'Summary Medians'!$M$227</f>
        <v>16838</v>
      </c>
      <c r="F189" s="77" t="str">
        <f>+'Summary Medians'!$M$228</f>
        <v xml:space="preserve"> </v>
      </c>
      <c r="G189" s="77" t="str">
        <f>+'Summary Medians'!$M$229</f>
        <v xml:space="preserve"> </v>
      </c>
      <c r="H189" s="126">
        <f>+'Summary Medians'!$M$230</f>
        <v>19052</v>
      </c>
    </row>
    <row r="190" spans="1:8">
      <c r="A190" s="66" t="s">
        <v>589</v>
      </c>
      <c r="B190" s="77">
        <f>+'Summary Medians'!$M$241</f>
        <v>24694.66666666665</v>
      </c>
      <c r="C190" s="77">
        <f>+'Summary Medians'!$M$242</f>
        <v>20800</v>
      </c>
      <c r="D190" s="77">
        <f>+'Summary Medians'!$M$243</f>
        <v>20562.666666666701</v>
      </c>
      <c r="E190" s="77">
        <f>+'Summary Medians'!$M$244</f>
        <v>19704</v>
      </c>
      <c r="F190" s="77">
        <f>+'Summary Medians'!$M$245</f>
        <v>21177.33333333335</v>
      </c>
      <c r="G190" s="77" t="str">
        <f>+'Summary Medians'!$M$246</f>
        <v xml:space="preserve"> </v>
      </c>
      <c r="H190" s="126">
        <f>+'Summary Medians'!$M$247</f>
        <v>20902.666666666701</v>
      </c>
    </row>
    <row r="191" spans="1:8">
      <c r="A191" s="66" t="s">
        <v>581</v>
      </c>
      <c r="B191" s="77">
        <f>+'Summary Medians'!$M$258</f>
        <v>33648</v>
      </c>
      <c r="C191" s="77">
        <f>+'Summary Medians'!$M$259</f>
        <v>34978</v>
      </c>
      <c r="D191" s="77">
        <f>+'Summary Medians'!$M$260</f>
        <v>22994</v>
      </c>
      <c r="E191" s="77">
        <f>+'Summary Medians'!$M$261</f>
        <v>25502</v>
      </c>
      <c r="F191" s="77">
        <f>+'Summary Medians'!$M$262</f>
        <v>24513</v>
      </c>
      <c r="G191" s="77">
        <f>+'Summary Medians'!$M$263</f>
        <v>0</v>
      </c>
      <c r="H191" s="126">
        <f>+'Summary Medians'!$M$264</f>
        <v>29545</v>
      </c>
    </row>
    <row r="192" spans="1:8">
      <c r="A192" s="137" t="s">
        <v>582</v>
      </c>
      <c r="B192" s="138">
        <f>+'Summary Medians'!$M$275</f>
        <v>26676</v>
      </c>
      <c r="C192" s="138" t="str">
        <f>+'Summary Medians'!$M$276</f>
        <v xml:space="preserve"> </v>
      </c>
      <c r="D192" s="138">
        <f>+'Summary Medians'!$M$277</f>
        <v>21434</v>
      </c>
      <c r="E192" s="138">
        <f>+'Summary Medians'!$M$278</f>
        <v>13738</v>
      </c>
      <c r="F192" s="138">
        <f>+'Summary Medians'!$M$279</f>
        <v>15230</v>
      </c>
      <c r="G192" s="138">
        <f>+'Summary Medians'!$M$280</f>
        <v>0</v>
      </c>
      <c r="H192" s="111">
        <f>+'Summary Medians'!$M$281</f>
        <v>19030</v>
      </c>
    </row>
    <row r="193" spans="1:8" ht="39.75" customHeight="1">
      <c r="A193" s="544" t="s">
        <v>599</v>
      </c>
      <c r="B193" s="544"/>
      <c r="C193" s="544"/>
      <c r="D193" s="544"/>
      <c r="E193" s="544"/>
      <c r="F193" s="544"/>
      <c r="G193" s="544"/>
      <c r="H193" s="544"/>
    </row>
    <row r="194" spans="1:8">
      <c r="A194"/>
      <c r="B194"/>
      <c r="C194"/>
      <c r="D194"/>
      <c r="E194"/>
      <c r="F194"/>
      <c r="G194"/>
      <c r="H194" s="83" t="s">
        <v>1054</v>
      </c>
    </row>
    <row r="195" spans="1:8" ht="18">
      <c r="A195" s="545" t="s">
        <v>602</v>
      </c>
      <c r="B195" s="545"/>
      <c r="C195" s="545"/>
      <c r="D195" s="545"/>
      <c r="E195" s="545"/>
      <c r="F195" s="545"/>
      <c r="G195" s="545"/>
      <c r="H195" s="545"/>
    </row>
    <row r="196" spans="1:8">
      <c r="A196" s="84"/>
      <c r="B196" s="84"/>
      <c r="C196" s="84"/>
      <c r="D196" s="84"/>
      <c r="E196" s="84"/>
      <c r="F196" s="84"/>
      <c r="G196" s="84"/>
      <c r="H196" s="128"/>
    </row>
    <row r="197" spans="1:8" ht="15.75">
      <c r="A197" s="543" t="s">
        <v>562</v>
      </c>
      <c r="B197" s="543"/>
      <c r="C197" s="543"/>
      <c r="D197" s="543"/>
      <c r="E197" s="543"/>
      <c r="F197" s="543"/>
      <c r="G197" s="543"/>
      <c r="H197" s="543"/>
    </row>
    <row r="198" spans="1:8" ht="15.75">
      <c r="A198" s="543" t="s">
        <v>603</v>
      </c>
      <c r="B198" s="543"/>
      <c r="C198" s="543"/>
      <c r="D198" s="543"/>
      <c r="E198" s="543"/>
      <c r="F198" s="543"/>
      <c r="G198" s="543"/>
      <c r="H198" s="543"/>
    </row>
    <row r="199" spans="1:8" ht="15.75">
      <c r="A199" s="543" t="s">
        <v>995</v>
      </c>
      <c r="B199" s="543"/>
      <c r="C199" s="543"/>
      <c r="D199" s="543"/>
      <c r="E199" s="543"/>
      <c r="F199" s="543"/>
      <c r="G199" s="543"/>
      <c r="H199" s="543"/>
    </row>
    <row r="200" spans="1:8">
      <c r="A200" s="66"/>
      <c r="B200" s="66"/>
      <c r="C200" s="66"/>
      <c r="D200" s="66"/>
      <c r="E200" s="128"/>
      <c r="F200" s="128"/>
      <c r="G200" s="128"/>
      <c r="H200" s="173"/>
    </row>
    <row r="201" spans="1:8">
      <c r="A201" s="112"/>
      <c r="B201" s="112"/>
      <c r="C201" s="112"/>
      <c r="D201" s="112"/>
      <c r="E201" s="112"/>
      <c r="F201" s="112"/>
      <c r="G201" s="68" t="s">
        <v>604</v>
      </c>
      <c r="H201" s="68" t="s">
        <v>605</v>
      </c>
    </row>
    <row r="202" spans="1:8">
      <c r="A202" s="169"/>
      <c r="B202" s="135" t="s">
        <v>2</v>
      </c>
      <c r="C202" s="135" t="s">
        <v>3</v>
      </c>
      <c r="D202" s="135" t="s">
        <v>4</v>
      </c>
      <c r="E202" s="135" t="s">
        <v>5</v>
      </c>
      <c r="F202" s="135" t="s">
        <v>6</v>
      </c>
      <c r="G202" s="135" t="s">
        <v>3</v>
      </c>
      <c r="H202" s="135" t="s">
        <v>3</v>
      </c>
    </row>
    <row r="203" spans="1:8">
      <c r="A203"/>
      <c r="B203"/>
      <c r="C203"/>
      <c r="D203"/>
      <c r="E203"/>
      <c r="F203"/>
      <c r="G203" s="175"/>
      <c r="H203"/>
    </row>
    <row r="204" spans="1:8">
      <c r="A204" s="66" t="s">
        <v>566</v>
      </c>
      <c r="B204" s="75">
        <f>+'Summary Medians'!$P$19</f>
        <v>22934.45</v>
      </c>
      <c r="C204" s="75">
        <f>+'Summary Medians'!$V$19</f>
        <v>32820</v>
      </c>
      <c r="D204" s="75">
        <f>+'Summary Medians'!$AB$19</f>
        <v>35170</v>
      </c>
      <c r="E204" s="75">
        <f>+'Summary Medians'!$AH$19</f>
        <v>24683.16666666665</v>
      </c>
      <c r="F204" s="75">
        <f>+'Summary Medians'!$AN$19</f>
        <v>22019.7</v>
      </c>
      <c r="G204" s="75">
        <f>+'Summary Medians'!$AT$19</f>
        <v>24881.33333333335</v>
      </c>
      <c r="H204" s="75">
        <f>+'Summary Medians'!$AZ$19</f>
        <v>26086</v>
      </c>
    </row>
    <row r="205" spans="1:8">
      <c r="A205" s="66"/>
      <c r="B205" s="149"/>
      <c r="C205" s="149"/>
      <c r="D205" s="149"/>
      <c r="E205" s="149"/>
      <c r="F205" s="149"/>
      <c r="G205" s="149"/>
      <c r="H205" s="149"/>
    </row>
    <row r="206" spans="1:8">
      <c r="A206" s="66" t="s">
        <v>567</v>
      </c>
      <c r="B206" s="77">
        <f>+'Summary Medians'!$P$36</f>
        <v>23910</v>
      </c>
      <c r="C206" s="77">
        <f>+'Summary Medians'!$V$36</f>
        <v>29998</v>
      </c>
      <c r="D206" s="77">
        <f>+'Summary Medians'!$AB$36</f>
        <v>29782</v>
      </c>
      <c r="E206" s="77">
        <f>+'Summary Medians'!$AH$36</f>
        <v>22392</v>
      </c>
      <c r="F206" s="77">
        <f>+'Summary Medians'!$AN$36</f>
        <v>27858</v>
      </c>
      <c r="G206" s="77">
        <f>+'Summary Medians'!$AT$36</f>
        <v>0</v>
      </c>
      <c r="H206" s="77">
        <f>+'Summary Medians'!$AZ$36</f>
        <v>24326</v>
      </c>
    </row>
    <row r="207" spans="1:8">
      <c r="A207" s="66" t="s">
        <v>568</v>
      </c>
      <c r="B207" s="77">
        <f>+'Summary Medians'!$P$53</f>
        <v>13700</v>
      </c>
      <c r="C207" s="77">
        <f>+'Summary Medians'!$V$53</f>
        <v>34538</v>
      </c>
      <c r="D207" s="77">
        <f>+'Summary Medians'!$AB$53</f>
        <v>0</v>
      </c>
      <c r="E207" s="77">
        <f>+'Summary Medians'!$AH$53</f>
        <v>20808</v>
      </c>
      <c r="F207" s="77">
        <f>+'Summary Medians'!$AN$53</f>
        <v>0</v>
      </c>
      <c r="G207" s="77">
        <f>+'Summary Medians'!$AT$53</f>
        <v>0</v>
      </c>
      <c r="H207" s="77">
        <f>+'Summary Medians'!$AZ$53</f>
        <v>0</v>
      </c>
    </row>
    <row r="208" spans="1:8">
      <c r="A208" s="66" t="s">
        <v>569</v>
      </c>
      <c r="B208" s="77">
        <f>+'Summary Medians'!$P$70</f>
        <v>0</v>
      </c>
      <c r="C208" s="77">
        <f>+'Summary Medians'!$V$70</f>
        <v>0</v>
      </c>
      <c r="D208" s="77">
        <f>+'Summary Medians'!$AB$70</f>
        <v>0</v>
      </c>
      <c r="E208" s="77">
        <f>+'Summary Medians'!$AH$70</f>
        <v>0</v>
      </c>
      <c r="F208" s="77">
        <f>+'Summary Medians'!$AN$70</f>
        <v>0</v>
      </c>
      <c r="G208" s="77">
        <f>+'Summary Medians'!$AT$70</f>
        <v>0</v>
      </c>
      <c r="H208" s="77">
        <f>+'Summary Medians'!$AZ$70</f>
        <v>0</v>
      </c>
    </row>
    <row r="209" spans="1:8">
      <c r="A209" s="66" t="s">
        <v>570</v>
      </c>
      <c r="B209" s="77">
        <f>+'Summary Medians'!$P$87</f>
        <v>0</v>
      </c>
      <c r="C209" s="77">
        <f>+'Summary Medians'!$V$87</f>
        <v>0</v>
      </c>
      <c r="D209" s="77">
        <f>+'Summary Medians'!$AB$87</f>
        <v>0</v>
      </c>
      <c r="E209" s="77">
        <f>+'Summary Medians'!$AH$87</f>
        <v>0</v>
      </c>
      <c r="F209" s="77">
        <f>+'Summary Medians'!$AN$87</f>
        <v>0</v>
      </c>
      <c r="G209" s="77">
        <f>+'Summary Medians'!$AT$87</f>
        <v>0</v>
      </c>
      <c r="H209" s="77">
        <f>+'Summary Medians'!$AZ$87</f>
        <v>0</v>
      </c>
    </row>
    <row r="210" spans="1:8">
      <c r="A210" s="66"/>
      <c r="B210" s="77"/>
      <c r="C210" s="77"/>
      <c r="D210" s="77"/>
      <c r="E210" s="77"/>
      <c r="F210" s="77"/>
      <c r="G210" s="77"/>
      <c r="H210" s="77"/>
    </row>
    <row r="211" spans="1:8">
      <c r="A211" s="66" t="s">
        <v>571</v>
      </c>
      <c r="B211" s="77">
        <f>+'Summary Medians'!$P$104</f>
        <v>21104</v>
      </c>
      <c r="C211" s="77">
        <f>+'Summary Medians'!$V$104</f>
        <v>33186</v>
      </c>
      <c r="D211" s="77">
        <f>+'Summary Medians'!$AB$104</f>
        <v>30604</v>
      </c>
      <c r="E211" s="77">
        <f>+'Summary Medians'!$AH$104</f>
        <v>20892</v>
      </c>
      <c r="F211" s="77">
        <f>+'Summary Medians'!$AN$104</f>
        <v>0</v>
      </c>
      <c r="G211" s="77">
        <f>+'Summary Medians'!$AT$104</f>
        <v>0</v>
      </c>
      <c r="H211" s="77">
        <f>+'Summary Medians'!$AZ$104</f>
        <v>21770</v>
      </c>
    </row>
    <row r="212" spans="1:8">
      <c r="A212" s="66" t="s">
        <v>572</v>
      </c>
      <c r="B212" s="77">
        <f>+'Summary Medians'!$P$121</f>
        <v>23798</v>
      </c>
      <c r="C212" s="77">
        <f>+'Summary Medians'!$V$121</f>
        <v>41738</v>
      </c>
      <c r="D212" s="77">
        <f>+'Summary Medians'!$AB$121</f>
        <v>36089.5</v>
      </c>
      <c r="E212" s="77">
        <f>+'Summary Medians'!$AH$121</f>
        <v>28907</v>
      </c>
      <c r="F212" s="77">
        <f>+'Summary Medians'!$AN$121</f>
        <v>0</v>
      </c>
      <c r="G212" s="77">
        <f>+'Summary Medians'!$AT$121</f>
        <v>0</v>
      </c>
      <c r="H212" s="77">
        <f>+'Summary Medians'!$AZ$121</f>
        <v>0</v>
      </c>
    </row>
    <row r="213" spans="1:8">
      <c r="A213" s="66" t="s">
        <v>573</v>
      </c>
      <c r="B213" s="77">
        <f>+'Summary Medians'!$P$138</f>
        <v>20551.45</v>
      </c>
      <c r="C213" s="77">
        <f>+'Summary Medians'!$V$138</f>
        <v>31140.1</v>
      </c>
      <c r="D213" s="77">
        <f>+'Summary Medians'!$AB$138</f>
        <v>34403</v>
      </c>
      <c r="E213" s="77">
        <f>+'Summary Medians'!$AH$138</f>
        <v>24481</v>
      </c>
      <c r="F213" s="77">
        <f>+'Summary Medians'!$AN$138</f>
        <v>0</v>
      </c>
      <c r="G213" s="77">
        <f>+'Summary Medians'!$AT$138</f>
        <v>0</v>
      </c>
      <c r="H213" s="77">
        <f>+'Summary Medians'!$AZ$138</f>
        <v>27395</v>
      </c>
    </row>
    <row r="214" spans="1:8">
      <c r="A214" s="66" t="s">
        <v>574</v>
      </c>
      <c r="B214" s="77">
        <f>+'Summary Medians'!$P$155</f>
        <v>34564</v>
      </c>
      <c r="C214" s="77">
        <f>+'Summary Medians'!$V$155</f>
        <v>39743</v>
      </c>
      <c r="D214" s="77">
        <f>+'Summary Medians'!$AB$155</f>
        <v>46082</v>
      </c>
      <c r="E214" s="77">
        <f>+'Summary Medians'!$AH$155</f>
        <v>30781</v>
      </c>
      <c r="F214" s="77">
        <f>+'Summary Medians'!$AN$155</f>
        <v>0</v>
      </c>
      <c r="G214" s="77">
        <f>+'Summary Medians'!$AT$155</f>
        <v>0</v>
      </c>
      <c r="H214" s="77">
        <f>+'Summary Medians'!$AZ$155</f>
        <v>26086</v>
      </c>
    </row>
    <row r="215" spans="1:8">
      <c r="A215" s="66"/>
      <c r="B215" s="77"/>
      <c r="C215" s="77"/>
      <c r="D215" s="77"/>
      <c r="E215" s="77"/>
      <c r="F215" s="77"/>
      <c r="G215" s="77"/>
      <c r="H215" s="77"/>
    </row>
    <row r="216" spans="1:8">
      <c r="A216" s="66" t="s">
        <v>575</v>
      </c>
      <c r="B216" s="77">
        <f>+'Summary Medians'!$P$172</f>
        <v>17450</v>
      </c>
      <c r="C216" s="77">
        <f>+'Summary Medians'!$V$172</f>
        <v>32133</v>
      </c>
      <c r="D216" s="77">
        <f>+'Summary Medians'!$AB$172</f>
        <v>32102</v>
      </c>
      <c r="E216" s="77">
        <f>+'Summary Medians'!$AH$172</f>
        <v>26798</v>
      </c>
      <c r="F216" s="77">
        <f>+'Summary Medians'!$AN$172</f>
        <v>0</v>
      </c>
      <c r="G216" s="77">
        <f>+'Summary Medians'!$AT$172</f>
        <v>0</v>
      </c>
      <c r="H216" s="77">
        <f>+'Summary Medians'!$AZ$172</f>
        <v>28158</v>
      </c>
    </row>
    <row r="217" spans="1:8">
      <c r="A217" s="66" t="s">
        <v>576</v>
      </c>
      <c r="B217" s="77">
        <f>+'Summary Medians'!$P$189</f>
        <v>20437.5</v>
      </c>
      <c r="C217" s="77">
        <f>+'Summary Medians'!$V$189</f>
        <v>28930.5</v>
      </c>
      <c r="D217" s="77">
        <f>+'Summary Medians'!$AB$189</f>
        <v>24860</v>
      </c>
      <c r="E217" s="77">
        <f>+'Summary Medians'!$AH$189</f>
        <v>24385</v>
      </c>
      <c r="F217" s="77">
        <f>+'Summary Medians'!$AN$189</f>
        <v>0</v>
      </c>
      <c r="G217" s="77">
        <f>+'Summary Medians'!$AT$189</f>
        <v>0</v>
      </c>
      <c r="H217" s="77">
        <f>+'Summary Medians'!$AZ$189</f>
        <v>19647</v>
      </c>
    </row>
    <row r="218" spans="1:8">
      <c r="A218" s="66" t="s">
        <v>577</v>
      </c>
      <c r="B218" s="77">
        <f>+'Summary Medians'!$P$206</f>
        <v>0</v>
      </c>
      <c r="C218" s="77">
        <f>+'Summary Medians'!$V$206</f>
        <v>0</v>
      </c>
      <c r="D218" s="77">
        <f>+'Summary Medians'!$AB$206</f>
        <v>0</v>
      </c>
      <c r="E218" s="77">
        <f>+'Summary Medians'!$AH$206</f>
        <v>0</v>
      </c>
      <c r="F218" s="77">
        <f>+'Summary Medians'!$AN$206</f>
        <v>0</v>
      </c>
      <c r="G218" s="77">
        <f>+'Summary Medians'!$AT$206</f>
        <v>0</v>
      </c>
      <c r="H218" s="77">
        <f>+'Summary Medians'!$AZ$206</f>
        <v>0</v>
      </c>
    </row>
    <row r="219" spans="1:8">
      <c r="A219" s="66" t="s">
        <v>578</v>
      </c>
      <c r="B219" s="77">
        <f>+'Summary Medians'!$P$223</f>
        <v>21472</v>
      </c>
      <c r="C219" s="77">
        <f>+'Summary Medians'!$V$223</f>
        <v>40258.5</v>
      </c>
      <c r="D219" s="77">
        <f>+'Summary Medians'!$AB$223</f>
        <v>34300</v>
      </c>
      <c r="E219" s="77">
        <f>+'Summary Medians'!$AH$223</f>
        <v>26725.5</v>
      </c>
      <c r="F219" s="77">
        <f>+'Summary Medians'!$AN$223</f>
        <v>0</v>
      </c>
      <c r="G219" s="77">
        <f>+'Summary Medians'!$AT$223</f>
        <v>0</v>
      </c>
      <c r="H219" s="77">
        <f>+'Summary Medians'!$AZ$223</f>
        <v>0</v>
      </c>
    </row>
    <row r="220" spans="1:8">
      <c r="A220" s="66"/>
      <c r="B220"/>
      <c r="C220"/>
      <c r="D220"/>
      <c r="E220"/>
      <c r="F220"/>
      <c r="G220"/>
      <c r="H220"/>
    </row>
    <row r="221" spans="1:8">
      <c r="A221" s="66" t="s">
        <v>579</v>
      </c>
      <c r="B221" s="77">
        <f>+'Summary Medians'!$P$240</f>
        <v>19753</v>
      </c>
      <c r="C221" s="77">
        <f>+'Summary Medians'!$V$240</f>
        <v>37394</v>
      </c>
      <c r="D221" s="77">
        <f>+'Summary Medians'!$AB$240</f>
        <v>40289</v>
      </c>
      <c r="E221" s="77">
        <f>+'Summary Medians'!$AH$240</f>
        <v>34926.5</v>
      </c>
      <c r="F221" s="77">
        <f>+'Summary Medians'!$AN$240</f>
        <v>0</v>
      </c>
      <c r="G221" s="77">
        <f>+'Summary Medians'!$AT$240</f>
        <v>0</v>
      </c>
      <c r="H221" s="77">
        <f>+'Summary Medians'!$AZ$240</f>
        <v>29886</v>
      </c>
    </row>
    <row r="222" spans="1:8">
      <c r="A222" s="66" t="s">
        <v>589</v>
      </c>
      <c r="B222" s="77">
        <f>+'Summary Medians'!$P$257</f>
        <v>23264.811428571447</v>
      </c>
      <c r="C222" s="77">
        <f>+'Summary Medians'!$V$257</f>
        <v>28998.666666666701</v>
      </c>
      <c r="D222" s="77">
        <f>+'Summary Medians'!$AB$257</f>
        <v>50912</v>
      </c>
      <c r="E222" s="77">
        <f>+'Summary Medians'!$AH$257</f>
        <v>23216.66666666665</v>
      </c>
      <c r="F222" s="77">
        <f>+'Summary Medians'!$AN$257</f>
        <v>16181.4</v>
      </c>
      <c r="G222" s="77">
        <f>+'Summary Medians'!$AT$257</f>
        <v>26290.666666666701</v>
      </c>
      <c r="H222" s="77">
        <f>+'Summary Medians'!$AZ$257</f>
        <v>35541.333333333299</v>
      </c>
    </row>
    <row r="223" spans="1:8">
      <c r="A223" s="66" t="s">
        <v>581</v>
      </c>
      <c r="B223" s="77">
        <f>+'Summary Medians'!$P$274</f>
        <v>36199</v>
      </c>
      <c r="C223" s="77">
        <f>+'Summary Medians'!$V$274</f>
        <v>48365</v>
      </c>
      <c r="D223" s="77">
        <f>+'Summary Medians'!$AB$274</f>
        <v>61010</v>
      </c>
      <c r="E223" s="77">
        <f>+'Summary Medians'!$AH$274</f>
        <v>31984</v>
      </c>
      <c r="F223" s="77">
        <f>+'Summary Medians'!$AN$274</f>
        <v>0</v>
      </c>
      <c r="G223" s="77">
        <f>+'Summary Medians'!$AT$274</f>
        <v>0</v>
      </c>
      <c r="H223" s="77">
        <f>+'Summary Medians'!$AZ$274</f>
        <v>26086</v>
      </c>
    </row>
    <row r="224" spans="1:8">
      <c r="A224" s="137" t="s">
        <v>582</v>
      </c>
      <c r="B224" s="138">
        <f>+'Summary Medians'!$P$291</f>
        <v>24714</v>
      </c>
      <c r="C224" s="138">
        <f>+'Summary Medians'!$V$291</f>
        <v>28119</v>
      </c>
      <c r="D224" s="138">
        <f>+'Summary Medians'!$AB$291</f>
        <v>26010</v>
      </c>
      <c r="E224" s="138">
        <f>+'Summary Medians'!$AH$291</f>
        <v>22748</v>
      </c>
      <c r="F224" s="138">
        <f>+'Summary Medians'!$AN$291</f>
        <v>0</v>
      </c>
      <c r="G224" s="138">
        <f>+'Summary Medians'!$AT$291</f>
        <v>23472</v>
      </c>
      <c r="H224" s="138">
        <f>+'Summary Medians'!$AZ$291</f>
        <v>0</v>
      </c>
    </row>
    <row r="225" spans="1:8" ht="33" customHeight="1">
      <c r="A225" s="544" t="s">
        <v>606</v>
      </c>
      <c r="B225" s="544"/>
      <c r="C225" s="544"/>
      <c r="D225" s="544"/>
      <c r="E225" s="544"/>
      <c r="F225" s="544"/>
      <c r="G225" s="544"/>
      <c r="H225" s="544"/>
    </row>
    <row r="226" spans="1:8">
      <c r="A226"/>
      <c r="B226"/>
      <c r="C226"/>
      <c r="D226"/>
      <c r="E226"/>
      <c r="F226"/>
      <c r="G226"/>
      <c r="H226" s="83" t="s">
        <v>1054</v>
      </c>
    </row>
    <row r="227" spans="1:8" ht="18">
      <c r="A227" s="62" t="s">
        <v>607</v>
      </c>
      <c r="B227" s="62"/>
      <c r="C227" s="62"/>
      <c r="D227" s="62"/>
      <c r="E227" s="62"/>
      <c r="F227" s="62"/>
      <c r="G227" s="62"/>
      <c r="H227" s="62"/>
    </row>
    <row r="228" spans="1:8">
      <c r="A228" s="64"/>
      <c r="B228" s="64"/>
      <c r="C228" s="64"/>
      <c r="D228" s="64"/>
      <c r="E228" s="64"/>
      <c r="F228" s="64"/>
      <c r="G228" s="64"/>
      <c r="H228" s="64"/>
    </row>
    <row r="229" spans="1:8" ht="15.75">
      <c r="A229" s="65" t="s">
        <v>562</v>
      </c>
      <c r="B229" s="65"/>
      <c r="C229" s="65"/>
      <c r="D229" s="65"/>
      <c r="E229" s="65"/>
      <c r="F229" s="65"/>
      <c r="G229" s="65"/>
      <c r="H229" s="65"/>
    </row>
    <row r="230" spans="1:8" ht="15.75">
      <c r="A230" s="65" t="s">
        <v>608</v>
      </c>
      <c r="B230" s="65"/>
      <c r="C230" s="65"/>
      <c r="D230" s="65"/>
      <c r="E230" s="65"/>
      <c r="F230" s="65"/>
      <c r="G230" s="65"/>
      <c r="H230" s="65"/>
    </row>
    <row r="231" spans="1:8" ht="15.75">
      <c r="A231" s="65" t="s">
        <v>995</v>
      </c>
      <c r="B231" s="65"/>
      <c r="C231" s="65"/>
      <c r="D231" s="65"/>
      <c r="E231" s="65"/>
      <c r="F231" s="65"/>
      <c r="G231" s="65"/>
      <c r="H231" s="65"/>
    </row>
    <row r="232" spans="1:8">
      <c r="A232" s="128"/>
      <c r="B232" s="128"/>
      <c r="C232" s="128"/>
      <c r="D232" s="128"/>
      <c r="E232" s="128"/>
      <c r="F232" s="128"/>
      <c r="G232" s="128"/>
      <c r="H232" s="128"/>
    </row>
    <row r="233" spans="1:8">
      <c r="A233" s="139"/>
      <c r="B233" s="140"/>
      <c r="C233" s="140"/>
      <c r="D233" s="140"/>
      <c r="E233" s="140"/>
      <c r="F233" s="140"/>
      <c r="G233" s="140" t="s">
        <v>604</v>
      </c>
      <c r="H233" s="140" t="s">
        <v>605</v>
      </c>
    </row>
    <row r="234" spans="1:8">
      <c r="A234" s="141"/>
      <c r="B234" s="142" t="s">
        <v>2</v>
      </c>
      <c r="C234" s="142" t="s">
        <v>3</v>
      </c>
      <c r="D234" s="142" t="s">
        <v>4</v>
      </c>
      <c r="E234" s="142" t="s">
        <v>5</v>
      </c>
      <c r="F234" s="142" t="s">
        <v>6</v>
      </c>
      <c r="G234" s="142" t="s">
        <v>3</v>
      </c>
      <c r="H234" s="142" t="s">
        <v>3</v>
      </c>
    </row>
    <row r="235" spans="1:8">
      <c r="A235" s="143"/>
      <c r="B235" s="176"/>
      <c r="C235" s="176"/>
      <c r="D235" s="176"/>
      <c r="E235" s="176"/>
      <c r="F235" s="176"/>
      <c r="G235" s="176"/>
      <c r="H235" s="176"/>
    </row>
    <row r="236" spans="1:8">
      <c r="A236" s="66" t="s">
        <v>566</v>
      </c>
      <c r="B236" s="75">
        <f>+'Summary Medians'!$S$19</f>
        <v>39350.449999999997</v>
      </c>
      <c r="C236" s="75">
        <f>+'Summary Medians'!$Y$19</f>
        <v>61114.29</v>
      </c>
      <c r="D236" s="75">
        <f>+'Summary Medians'!$AE$19</f>
        <v>69229</v>
      </c>
      <c r="E236" s="75">
        <f>+'Summary Medians'!$AK$19</f>
        <v>44211.5</v>
      </c>
      <c r="F236" s="75">
        <f>+'Summary Medians'!$AQ$19</f>
        <v>41192.699999999997</v>
      </c>
      <c r="G236" s="75">
        <f>+'Summary Medians'!$AW$19</f>
        <v>50959</v>
      </c>
      <c r="H236" s="75">
        <f>+'Summary Medians'!$BC$19</f>
        <v>55687</v>
      </c>
    </row>
    <row r="237" spans="1:8">
      <c r="A237" s="177"/>
      <c r="B237" s="149"/>
      <c r="C237" s="149"/>
      <c r="D237" s="149"/>
      <c r="E237" s="149"/>
      <c r="F237" s="149"/>
      <c r="G237" s="149"/>
      <c r="H237" s="149"/>
    </row>
    <row r="238" spans="1:8">
      <c r="A238" s="66" t="s">
        <v>567</v>
      </c>
      <c r="B238" s="77">
        <f>+'Summary Medians'!$S$36</f>
        <v>43360</v>
      </c>
      <c r="C238" s="77">
        <f>+'Summary Medians'!$Y$36</f>
        <v>62714</v>
      </c>
      <c r="D238" s="77">
        <f>+'Summary Medians'!$AE$36</f>
        <v>69420</v>
      </c>
      <c r="E238" s="77">
        <f>+'Summary Medians'!$AK$36</f>
        <v>42552</v>
      </c>
      <c r="F238" s="77">
        <f>+'Summary Medians'!$AQ$36</f>
        <v>54012</v>
      </c>
      <c r="G238" s="77">
        <f>+'Summary Medians'!$AW$36</f>
        <v>0</v>
      </c>
      <c r="H238" s="77">
        <f>+'Summary Medians'!$BC$36</f>
        <v>50486</v>
      </c>
    </row>
    <row r="239" spans="1:8">
      <c r="A239" s="66" t="s">
        <v>568</v>
      </c>
      <c r="B239" s="77">
        <f>+'Summary Medians'!$S$53</f>
        <v>28488</v>
      </c>
      <c r="C239" s="77">
        <f>+'Summary Medians'!$Y$53</f>
        <v>66708</v>
      </c>
      <c r="D239" s="77">
        <f>+'Summary Medians'!$AE$53</f>
        <v>0</v>
      </c>
      <c r="E239" s="77">
        <f>+'Summary Medians'!$AK$53</f>
        <v>40088</v>
      </c>
      <c r="F239" s="77">
        <f>+'Summary Medians'!$AQ$53</f>
        <v>0</v>
      </c>
      <c r="G239" s="77">
        <f>+'Summary Medians'!$AW$53</f>
        <v>0</v>
      </c>
      <c r="H239" s="77">
        <f>+'Summary Medians'!$BC$53</f>
        <v>0</v>
      </c>
    </row>
    <row r="240" spans="1:8">
      <c r="A240" s="66" t="s">
        <v>569</v>
      </c>
      <c r="B240" s="77">
        <f>+'Summary Medians'!$S$70</f>
        <v>0</v>
      </c>
      <c r="C240" s="77">
        <f>+'Summary Medians'!$Y$70</f>
        <v>0</v>
      </c>
      <c r="D240" s="77">
        <f>+'Summary Medians'!$AE$70</f>
        <v>0</v>
      </c>
      <c r="E240" s="77">
        <f>+'Summary Medians'!$AK$70</f>
        <v>0</v>
      </c>
      <c r="F240" s="77">
        <f>+'Summary Medians'!$AQ$70</f>
        <v>0</v>
      </c>
      <c r="G240" s="77">
        <f>+'Summary Medians'!$AW$70</f>
        <v>0</v>
      </c>
      <c r="H240" s="77">
        <f>+'Summary Medians'!$BC$70</f>
        <v>0</v>
      </c>
    </row>
    <row r="241" spans="1:8">
      <c r="A241" s="66" t="s">
        <v>570</v>
      </c>
      <c r="B241" s="77">
        <f>+'Summary Medians'!$S$87</f>
        <v>0</v>
      </c>
      <c r="C241" s="77">
        <f>+'Summary Medians'!$Y$87</f>
        <v>0</v>
      </c>
      <c r="D241" s="77">
        <f>+'Summary Medians'!$AE$87</f>
        <v>0</v>
      </c>
      <c r="E241" s="77">
        <f>+'Summary Medians'!$AK$87</f>
        <v>0</v>
      </c>
      <c r="F241" s="77">
        <f>+'Summary Medians'!$AQ$87</f>
        <v>0</v>
      </c>
      <c r="G241" s="77">
        <f>+'Summary Medians'!$AW$87</f>
        <v>0</v>
      </c>
      <c r="H241" s="77">
        <f>+'Summary Medians'!$BC$87</f>
        <v>0</v>
      </c>
    </row>
    <row r="242" spans="1:8">
      <c r="A242" s="66"/>
      <c r="B242" s="77"/>
      <c r="C242" s="77"/>
      <c r="D242" s="77"/>
      <c r="E242" s="77"/>
      <c r="F242" s="77"/>
      <c r="G242" s="77"/>
      <c r="H242" s="77"/>
    </row>
    <row r="243" spans="1:8">
      <c r="A243" s="66" t="s">
        <v>571</v>
      </c>
      <c r="B243" s="77">
        <f>+'Summary Medians'!$S$104</f>
        <v>40267</v>
      </c>
      <c r="C243" s="77">
        <f>+'Summary Medians'!$Y$104</f>
        <v>62110</v>
      </c>
      <c r="D243" s="77">
        <f>+'Summary Medians'!$AE$104</f>
        <v>69038</v>
      </c>
      <c r="E243" s="77">
        <f>+'Summary Medians'!$AK$104</f>
        <v>41600</v>
      </c>
      <c r="F243" s="77">
        <f>+'Summary Medians'!$AQ$104</f>
        <v>0</v>
      </c>
      <c r="G243" s="77">
        <f>+'Summary Medians'!$AW$104</f>
        <v>0</v>
      </c>
      <c r="H243" s="77">
        <f>+'Summary Medians'!$BC$104</f>
        <v>51432</v>
      </c>
    </row>
    <row r="244" spans="1:8">
      <c r="A244" s="66" t="s">
        <v>572</v>
      </c>
      <c r="B244" s="77">
        <f>+'Summary Medians'!$S$121</f>
        <v>35910</v>
      </c>
      <c r="C244" s="77">
        <f>+'Summary Medians'!$Y$121</f>
        <v>69695</v>
      </c>
      <c r="D244" s="77">
        <f>+'Summary Medians'!$AE$121</f>
        <v>76529</v>
      </c>
      <c r="E244" s="77">
        <f>+'Summary Medians'!$AK$121</f>
        <v>54222</v>
      </c>
      <c r="F244" s="77">
        <f>+'Summary Medians'!$AQ$121</f>
        <v>0</v>
      </c>
      <c r="G244" s="77">
        <f>+'Summary Medians'!$AW$121</f>
        <v>0</v>
      </c>
      <c r="H244" s="77">
        <f>+'Summary Medians'!$BC$121</f>
        <v>0</v>
      </c>
    </row>
    <row r="245" spans="1:8">
      <c r="A245" s="66" t="s">
        <v>573</v>
      </c>
      <c r="B245" s="77">
        <f>+'Summary Medians'!$S$138</f>
        <v>34571.449999999997</v>
      </c>
      <c r="C245" s="77">
        <f>+'Summary Medians'!$Y$138</f>
        <v>61139.770000000004</v>
      </c>
      <c r="D245" s="77">
        <f>+'Summary Medians'!$AE$138</f>
        <v>63869</v>
      </c>
      <c r="E245" s="77">
        <f>+'Summary Medians'!$AK$138</f>
        <v>44737</v>
      </c>
      <c r="F245" s="77">
        <f>+'Summary Medians'!$AQ$138</f>
        <v>0</v>
      </c>
      <c r="G245" s="77">
        <f>+'Summary Medians'!$AW$138</f>
        <v>0</v>
      </c>
      <c r="H245" s="77">
        <f>+'Summary Medians'!$BC$138</f>
        <v>56495</v>
      </c>
    </row>
    <row r="246" spans="1:8">
      <c r="A246" s="66" t="s">
        <v>574</v>
      </c>
      <c r="B246" s="77">
        <f>+'Summary Medians'!$S$155</f>
        <v>50274.5</v>
      </c>
      <c r="C246" s="77">
        <f>+'Summary Medians'!$Y$155</f>
        <v>68838</v>
      </c>
      <c r="D246" s="77">
        <f>+'Summary Medians'!$AE$155</f>
        <v>84047</v>
      </c>
      <c r="E246" s="77">
        <f>+'Summary Medians'!$AK$155</f>
        <v>54256</v>
      </c>
      <c r="F246" s="77">
        <f>+'Summary Medians'!$AQ$155</f>
        <v>0</v>
      </c>
      <c r="G246" s="77">
        <f>+'Summary Medians'!$AW$155</f>
        <v>0</v>
      </c>
      <c r="H246" s="77">
        <f>+'Summary Medians'!$BC$155</f>
        <v>55687</v>
      </c>
    </row>
    <row r="247" spans="1:8">
      <c r="A247" s="66"/>
      <c r="B247" s="77"/>
      <c r="C247" s="77"/>
      <c r="D247" s="77"/>
      <c r="E247" s="77"/>
      <c r="F247" s="77"/>
      <c r="G247" s="77"/>
      <c r="H247" s="77"/>
    </row>
    <row r="248" spans="1:8">
      <c r="A248" s="66" t="s">
        <v>575</v>
      </c>
      <c r="B248" s="77">
        <f>+'Summary Medians'!$S$172</f>
        <v>37515</v>
      </c>
      <c r="C248" s="77">
        <f>+'Summary Medians'!$Y$172</f>
        <v>75664</v>
      </c>
      <c r="D248" s="77">
        <f>+'Summary Medians'!$AE$172</f>
        <v>75417</v>
      </c>
      <c r="E248" s="77">
        <f>+'Summary Medians'!$AK$172</f>
        <v>54446</v>
      </c>
      <c r="F248" s="77">
        <f>+'Summary Medians'!$AQ$172</f>
        <v>0</v>
      </c>
      <c r="G248" s="77">
        <f>+'Summary Medians'!$AW$172</f>
        <v>0</v>
      </c>
      <c r="H248" s="77">
        <f>+'Summary Medians'!$BC$172</f>
        <v>49358</v>
      </c>
    </row>
    <row r="249" spans="1:8">
      <c r="A249" s="66" t="s">
        <v>576</v>
      </c>
      <c r="B249" s="77">
        <f>+'Summary Medians'!$S$189</f>
        <v>41879.5</v>
      </c>
      <c r="C249" s="77">
        <f>+'Summary Medians'!$Y$189</f>
        <v>42910.5</v>
      </c>
      <c r="D249" s="77">
        <f>+'Summary Medians'!$AE$189</f>
        <v>34066.5</v>
      </c>
      <c r="E249" s="77">
        <f>+'Summary Medians'!$AK$189</f>
        <v>47512</v>
      </c>
      <c r="F249" s="77">
        <f>+'Summary Medians'!$AQ$189</f>
        <v>0</v>
      </c>
      <c r="G249" s="77">
        <f>+'Summary Medians'!$AW$189</f>
        <v>0</v>
      </c>
      <c r="H249" s="77">
        <f>+'Summary Medians'!$BC$189</f>
        <v>48348</v>
      </c>
    </row>
    <row r="250" spans="1:8">
      <c r="A250" s="66" t="s">
        <v>577</v>
      </c>
      <c r="B250" s="77">
        <f>+'Summary Medians'!$S$206</f>
        <v>0</v>
      </c>
      <c r="C250" s="77">
        <f>+'Summary Medians'!$Y$206</f>
        <v>0</v>
      </c>
      <c r="D250" s="77">
        <f>+'Summary Medians'!$AE$206</f>
        <v>0</v>
      </c>
      <c r="E250" s="77">
        <f>+'Summary Medians'!$AK$206</f>
        <v>0</v>
      </c>
      <c r="F250" s="77">
        <f>+'Summary Medians'!$AQ$206</f>
        <v>0</v>
      </c>
      <c r="G250" s="77">
        <f>+'Summary Medians'!$AW$206</f>
        <v>0</v>
      </c>
      <c r="H250" s="77">
        <f>+'Summary Medians'!$BC$206</f>
        <v>0</v>
      </c>
    </row>
    <row r="251" spans="1:8">
      <c r="A251" s="66" t="s">
        <v>578</v>
      </c>
      <c r="B251" s="77">
        <f>+'Summary Medians'!$S$223</f>
        <v>52480</v>
      </c>
      <c r="C251" s="77">
        <f>+'Summary Medians'!$Y$223</f>
        <v>76227</v>
      </c>
      <c r="D251" s="77">
        <f>+'Summary Medians'!$AE$223</f>
        <v>60000</v>
      </c>
      <c r="E251" s="77">
        <f>+'Summary Medians'!$AK$223</f>
        <v>39374.5</v>
      </c>
      <c r="F251" s="77">
        <f>+'Summary Medians'!$AQ$223</f>
        <v>0</v>
      </c>
      <c r="G251" s="77">
        <f>+'Summary Medians'!$AW$223</f>
        <v>0</v>
      </c>
      <c r="H251" s="77">
        <f>+'Summary Medians'!$BC$223</f>
        <v>0</v>
      </c>
    </row>
    <row r="252" spans="1:8">
      <c r="A252" s="66"/>
      <c r="B252"/>
      <c r="C252"/>
      <c r="D252"/>
      <c r="E252"/>
      <c r="F252"/>
      <c r="G252"/>
      <c r="H252"/>
    </row>
    <row r="253" spans="1:8">
      <c r="A253" s="66" t="s">
        <v>579</v>
      </c>
      <c r="B253" s="77">
        <f>+'Summary Medians'!$S$240</f>
        <v>31373</v>
      </c>
      <c r="C253" s="77">
        <f>+'Summary Medians'!$Y$240</f>
        <v>50961</v>
      </c>
      <c r="D253" s="77">
        <f>+'Summary Medians'!$AE$240</f>
        <v>79049</v>
      </c>
      <c r="E253" s="77">
        <f>+'Summary Medians'!$AK$240</f>
        <v>37428.5</v>
      </c>
      <c r="F253" s="77">
        <f>+'Summary Medians'!$AQ$240</f>
        <v>0</v>
      </c>
      <c r="G253" s="77">
        <f>+'Summary Medians'!$AW$240</f>
        <v>0</v>
      </c>
      <c r="H253" s="77">
        <f>+'Summary Medians'!$BC$240</f>
        <v>56922</v>
      </c>
    </row>
    <row r="254" spans="1:8">
      <c r="A254" s="66" t="s">
        <v>589</v>
      </c>
      <c r="B254" s="77">
        <f>+'Summary Medians'!$S$257</f>
        <v>33704.811428571455</v>
      </c>
      <c r="C254" s="77">
        <f>+'Summary Medians'!$Y$257</f>
        <v>46986.666666666701</v>
      </c>
      <c r="D254" s="77">
        <f>+'Summary Medians'!$AE$257</f>
        <v>65312</v>
      </c>
      <c r="E254" s="77">
        <f>+'Summary Medians'!$AK$257</f>
        <v>47113.33333333335</v>
      </c>
      <c r="F254" s="77">
        <f>+'Summary Medians'!$AQ$257</f>
        <v>28373.4</v>
      </c>
      <c r="G254" s="77">
        <f>+'Summary Medians'!$AW$257</f>
        <v>47208</v>
      </c>
      <c r="H254" s="77">
        <f>+'Summary Medians'!$BC$257</f>
        <v>56477.333333333299</v>
      </c>
    </row>
    <row r="255" spans="1:8">
      <c r="A255" s="66" t="s">
        <v>581</v>
      </c>
      <c r="B255" s="77">
        <f>+'Summary Medians'!$S$274</f>
        <v>45520</v>
      </c>
      <c r="C255" s="77">
        <f>+'Summary Medians'!$Y$274</f>
        <v>59475</v>
      </c>
      <c r="D255" s="77">
        <f>+'Summary Medians'!$AE$274</f>
        <v>94679</v>
      </c>
      <c r="E255" s="77">
        <f>+'Summary Medians'!$AK$274</f>
        <v>45312</v>
      </c>
      <c r="F255" s="77">
        <f>+'Summary Medians'!$AQ$274</f>
        <v>0</v>
      </c>
      <c r="G255" s="77">
        <f>+'Summary Medians'!$AW$274</f>
        <v>0</v>
      </c>
      <c r="H255" s="77">
        <f>+'Summary Medians'!$BC$274</f>
        <v>55687</v>
      </c>
    </row>
    <row r="256" spans="1:8">
      <c r="A256" s="137" t="s">
        <v>582</v>
      </c>
      <c r="B256" s="138">
        <f>+'Summary Medians'!$S$291</f>
        <v>41058</v>
      </c>
      <c r="C256" s="138">
        <f>+'Summary Medians'!$Y$291</f>
        <v>60233</v>
      </c>
      <c r="D256" s="138">
        <f>+'Summary Medians'!$AE$291</f>
        <v>57708</v>
      </c>
      <c r="E256" s="138">
        <f>+'Summary Medians'!$AK$291</f>
        <v>41241</v>
      </c>
      <c r="F256" s="138">
        <f>+'Summary Medians'!$AQ$291</f>
        <v>0</v>
      </c>
      <c r="G256" s="138">
        <f>+'Summary Medians'!$AW$291</f>
        <v>54710</v>
      </c>
      <c r="H256" s="138">
        <f>+'Summary Medians'!$BC$291</f>
        <v>0</v>
      </c>
    </row>
    <row r="257" spans="1:8" ht="32.25" customHeight="1">
      <c r="A257" s="544" t="s">
        <v>609</v>
      </c>
      <c r="B257" s="544"/>
      <c r="C257" s="544"/>
      <c r="D257" s="544"/>
      <c r="E257" s="544"/>
      <c r="F257" s="544"/>
      <c r="G257" s="544"/>
      <c r="H257" s="544"/>
    </row>
    <row r="258" spans="1:8">
      <c r="A258"/>
      <c r="B258"/>
      <c r="C258"/>
      <c r="D258"/>
      <c r="E258"/>
      <c r="F258"/>
      <c r="G258"/>
      <c r="H258" s="83" t="s">
        <v>1054</v>
      </c>
    </row>
  </sheetData>
  <mergeCells count="28">
    <mergeCell ref="A64:J64"/>
    <mergeCell ref="A31:H31"/>
    <mergeCell ref="A33:J33"/>
    <mergeCell ref="A35:J35"/>
    <mergeCell ref="A36:J36"/>
    <mergeCell ref="A37:J37"/>
    <mergeCell ref="A163:H163"/>
    <mergeCell ref="A96:H96"/>
    <mergeCell ref="A98:J98"/>
    <mergeCell ref="A100:J100"/>
    <mergeCell ref="A101:J101"/>
    <mergeCell ref="A102:J102"/>
    <mergeCell ref="A129:J129"/>
    <mergeCell ref="A131:H131"/>
    <mergeCell ref="A133:H133"/>
    <mergeCell ref="A134:H134"/>
    <mergeCell ref="A135:H135"/>
    <mergeCell ref="A161:H161"/>
    <mergeCell ref="A198:H198"/>
    <mergeCell ref="A199:H199"/>
    <mergeCell ref="A225:H225"/>
    <mergeCell ref="A257:H257"/>
    <mergeCell ref="A165:H165"/>
    <mergeCell ref="A166:H166"/>
    <mergeCell ref="A167:H167"/>
    <mergeCell ref="A193:H193"/>
    <mergeCell ref="A195:H195"/>
    <mergeCell ref="A197:H197"/>
  </mergeCells>
  <pageMargins left="0.75" right="0.75" top="1" bottom="1" header="0.75" footer="0.5"/>
  <pageSetup scale="88" firstPageNumber="145" orientation="landscape" useFirstPageNumber="1" r:id="rId1"/>
  <headerFooter alignWithMargins="0">
    <oddHeader>&amp;R&amp;"Arial,Regular"&amp;8SREB-State Data Exchange</oddHeader>
    <oddFooter>&amp;C&amp;"Arial,Regular"&amp;10&amp;P</oddFooter>
  </headerFooter>
  <rowBreaks count="7" manualBreakCount="7">
    <brk id="32" max="9" man="1"/>
    <brk id="65" max="9" man="1"/>
    <brk id="97" max="9" man="1"/>
    <brk id="130" max="9" man="1"/>
    <brk id="162" max="9" man="1"/>
    <brk id="194" max="9" man="1"/>
    <brk id="226"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77F66-3B09-4C9C-AE49-13AD931B9F76}">
  <dimension ref="A1:AQ3"/>
  <sheetViews>
    <sheetView workbookViewId="0">
      <selection activeCell="A3" sqref="A3:AO3"/>
    </sheetView>
  </sheetViews>
  <sheetFormatPr defaultRowHeight="15"/>
  <sheetData>
    <row r="1" spans="1:43" s="53" customFormat="1" ht="30.75" customHeight="1">
      <c r="A1" s="195" t="s">
        <v>12</v>
      </c>
      <c r="B1" s="196" t="s">
        <v>17</v>
      </c>
      <c r="C1" s="196" t="s">
        <v>838</v>
      </c>
      <c r="D1" s="195" t="s">
        <v>18</v>
      </c>
      <c r="E1" s="195" t="s">
        <v>19</v>
      </c>
      <c r="F1" s="197" t="s">
        <v>20</v>
      </c>
      <c r="G1" s="197" t="s">
        <v>21</v>
      </c>
      <c r="H1" s="197" t="s">
        <v>22</v>
      </c>
      <c r="I1" s="197" t="s">
        <v>23</v>
      </c>
      <c r="J1" s="198" t="s">
        <v>24</v>
      </c>
      <c r="K1" s="197" t="s">
        <v>25</v>
      </c>
      <c r="L1" s="197" t="s">
        <v>26</v>
      </c>
      <c r="M1" s="197" t="s">
        <v>27</v>
      </c>
      <c r="N1" s="198" t="s">
        <v>28</v>
      </c>
      <c r="O1" s="197" t="s">
        <v>29</v>
      </c>
      <c r="P1" s="197" t="s">
        <v>30</v>
      </c>
      <c r="Q1" s="197" t="s">
        <v>31</v>
      </c>
      <c r="R1" s="198" t="s">
        <v>32</v>
      </c>
      <c r="S1" s="197" t="s">
        <v>33</v>
      </c>
      <c r="T1" s="197" t="s">
        <v>34</v>
      </c>
      <c r="U1" s="197" t="s">
        <v>35</v>
      </c>
      <c r="V1" s="198" t="s">
        <v>36</v>
      </c>
      <c r="W1" s="197" t="s">
        <v>37</v>
      </c>
      <c r="X1" s="197" t="s">
        <v>38</v>
      </c>
      <c r="Y1" s="197" t="s">
        <v>39</v>
      </c>
      <c r="Z1" s="198" t="s">
        <v>40</v>
      </c>
      <c r="AA1" s="197" t="s">
        <v>41</v>
      </c>
      <c r="AB1" s="197" t="s">
        <v>42</v>
      </c>
      <c r="AC1" s="197" t="s">
        <v>43</v>
      </c>
      <c r="AD1" s="198" t="s">
        <v>44</v>
      </c>
      <c r="AE1" s="197" t="s">
        <v>45</v>
      </c>
      <c r="AF1" s="197" t="s">
        <v>46</v>
      </c>
      <c r="AG1" s="197" t="s">
        <v>47</v>
      </c>
      <c r="AH1" s="198" t="s">
        <v>48</v>
      </c>
      <c r="AI1" s="197" t="s">
        <v>49</v>
      </c>
      <c r="AJ1" s="197" t="s">
        <v>50</v>
      </c>
      <c r="AK1" s="197" t="s">
        <v>51</v>
      </c>
      <c r="AL1" s="198" t="s">
        <v>52</v>
      </c>
      <c r="AM1" s="197" t="s">
        <v>53</v>
      </c>
      <c r="AN1" s="197" t="s">
        <v>54</v>
      </c>
      <c r="AO1" s="197" t="s">
        <v>55</v>
      </c>
      <c r="AP1" s="199"/>
      <c r="AQ1" s="200"/>
    </row>
    <row r="2" spans="1:43" s="53" customFormat="1" ht="30.75" customHeight="1">
      <c r="A2" s="195" t="s">
        <v>12</v>
      </c>
      <c r="B2" s="196" t="s">
        <v>17</v>
      </c>
      <c r="C2" s="196" t="s">
        <v>838</v>
      </c>
      <c r="D2" s="195" t="s">
        <v>18</v>
      </c>
      <c r="E2" s="195" t="s">
        <v>19</v>
      </c>
      <c r="F2" s="197" t="s">
        <v>20</v>
      </c>
      <c r="G2" s="197" t="s">
        <v>21</v>
      </c>
      <c r="H2" s="197" t="s">
        <v>22</v>
      </c>
      <c r="I2" s="197" t="s">
        <v>23</v>
      </c>
      <c r="J2" s="198" t="s">
        <v>24</v>
      </c>
      <c r="K2" s="197" t="s">
        <v>25</v>
      </c>
      <c r="L2" s="197" t="s">
        <v>26</v>
      </c>
      <c r="M2" s="197" t="s">
        <v>27</v>
      </c>
      <c r="N2" s="198" t="s">
        <v>28</v>
      </c>
      <c r="O2" s="197" t="s">
        <v>29</v>
      </c>
      <c r="P2" s="197" t="s">
        <v>30</v>
      </c>
      <c r="Q2" s="197" t="s">
        <v>31</v>
      </c>
      <c r="R2" s="198" t="s">
        <v>32</v>
      </c>
      <c r="S2" s="197" t="s">
        <v>33</v>
      </c>
      <c r="T2" s="197" t="s">
        <v>34</v>
      </c>
      <c r="U2" s="197" t="s">
        <v>35</v>
      </c>
      <c r="V2" s="198" t="s">
        <v>36</v>
      </c>
      <c r="W2" s="197" t="s">
        <v>37</v>
      </c>
      <c r="X2" s="197" t="s">
        <v>38</v>
      </c>
      <c r="Y2" s="197" t="s">
        <v>39</v>
      </c>
      <c r="Z2" s="198" t="s">
        <v>40</v>
      </c>
      <c r="AA2" s="197" t="s">
        <v>41</v>
      </c>
      <c r="AB2" s="197" t="s">
        <v>42</v>
      </c>
      <c r="AC2" s="197" t="s">
        <v>43</v>
      </c>
      <c r="AD2" s="198" t="s">
        <v>44</v>
      </c>
      <c r="AE2" s="197" t="s">
        <v>45</v>
      </c>
      <c r="AF2" s="197" t="s">
        <v>46</v>
      </c>
      <c r="AG2" s="197" t="s">
        <v>47</v>
      </c>
      <c r="AH2" s="198" t="s">
        <v>48</v>
      </c>
      <c r="AI2" s="197" t="s">
        <v>49</v>
      </c>
      <c r="AJ2" s="197" t="s">
        <v>50</v>
      </c>
      <c r="AK2" s="197" t="s">
        <v>51</v>
      </c>
      <c r="AL2" s="198" t="s">
        <v>52</v>
      </c>
      <c r="AM2" s="197" t="s">
        <v>53</v>
      </c>
      <c r="AN2" s="197" t="s">
        <v>54</v>
      </c>
      <c r="AO2" s="197" t="s">
        <v>55</v>
      </c>
      <c r="AP2" s="199"/>
      <c r="AQ2" s="200"/>
    </row>
    <row r="3" spans="1:43">
      <c r="A3" t="b">
        <f>A2=A1</f>
        <v>1</v>
      </c>
      <c r="B3" t="b">
        <f t="shared" ref="B3:AO3" si="0">B2=B1</f>
        <v>1</v>
      </c>
      <c r="C3" t="b">
        <f t="shared" si="0"/>
        <v>1</v>
      </c>
      <c r="D3" t="b">
        <f t="shared" si="0"/>
        <v>1</v>
      </c>
      <c r="E3" t="b">
        <f t="shared" si="0"/>
        <v>1</v>
      </c>
      <c r="F3" t="b">
        <f t="shared" si="0"/>
        <v>1</v>
      </c>
      <c r="G3" t="b">
        <f t="shared" si="0"/>
        <v>1</v>
      </c>
      <c r="H3" t="b">
        <f t="shared" si="0"/>
        <v>1</v>
      </c>
      <c r="I3" t="b">
        <f t="shared" si="0"/>
        <v>1</v>
      </c>
      <c r="J3" t="b">
        <f t="shared" si="0"/>
        <v>1</v>
      </c>
      <c r="K3" t="b">
        <f t="shared" si="0"/>
        <v>1</v>
      </c>
      <c r="L3" t="b">
        <f t="shared" si="0"/>
        <v>1</v>
      </c>
      <c r="M3" t="b">
        <f t="shared" si="0"/>
        <v>1</v>
      </c>
      <c r="N3" t="b">
        <f t="shared" si="0"/>
        <v>1</v>
      </c>
      <c r="O3" t="b">
        <f t="shared" si="0"/>
        <v>1</v>
      </c>
      <c r="P3" t="b">
        <f t="shared" si="0"/>
        <v>1</v>
      </c>
      <c r="Q3" t="b">
        <f t="shared" si="0"/>
        <v>1</v>
      </c>
      <c r="R3" t="b">
        <f t="shared" si="0"/>
        <v>1</v>
      </c>
      <c r="S3" t="b">
        <f t="shared" si="0"/>
        <v>1</v>
      </c>
      <c r="T3" t="b">
        <f t="shared" si="0"/>
        <v>1</v>
      </c>
      <c r="U3" t="b">
        <f t="shared" si="0"/>
        <v>1</v>
      </c>
      <c r="V3" t="b">
        <f t="shared" si="0"/>
        <v>1</v>
      </c>
      <c r="W3" t="b">
        <f t="shared" si="0"/>
        <v>1</v>
      </c>
      <c r="X3" t="b">
        <f t="shared" si="0"/>
        <v>1</v>
      </c>
      <c r="Y3" t="b">
        <f t="shared" si="0"/>
        <v>1</v>
      </c>
      <c r="Z3" t="b">
        <f t="shared" si="0"/>
        <v>1</v>
      </c>
      <c r="AA3" t="b">
        <f t="shared" si="0"/>
        <v>1</v>
      </c>
      <c r="AB3" t="b">
        <f t="shared" si="0"/>
        <v>1</v>
      </c>
      <c r="AC3" t="b">
        <f t="shared" si="0"/>
        <v>1</v>
      </c>
      <c r="AD3" t="b">
        <f t="shared" si="0"/>
        <v>1</v>
      </c>
      <c r="AE3" t="b">
        <f t="shared" si="0"/>
        <v>1</v>
      </c>
      <c r="AF3" t="b">
        <f t="shared" si="0"/>
        <v>1</v>
      </c>
      <c r="AG3" t="b">
        <f t="shared" si="0"/>
        <v>1</v>
      </c>
      <c r="AH3" t="b">
        <f t="shared" si="0"/>
        <v>1</v>
      </c>
      <c r="AI3" t="b">
        <f t="shared" si="0"/>
        <v>1</v>
      </c>
      <c r="AJ3" t="b">
        <f t="shared" si="0"/>
        <v>1</v>
      </c>
      <c r="AK3" t="b">
        <f t="shared" si="0"/>
        <v>1</v>
      </c>
      <c r="AL3" t="b">
        <f t="shared" si="0"/>
        <v>1</v>
      </c>
      <c r="AM3" t="b">
        <f t="shared" si="0"/>
        <v>1</v>
      </c>
      <c r="AN3" t="b">
        <f t="shared" si="0"/>
        <v>1</v>
      </c>
      <c r="AO3" t="b">
        <f t="shared" si="0"/>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55880-10D2-41EA-AAE2-0ED4511BEEDC}">
  <sheetPr codeName="Sheet10" filterMode="1"/>
  <dimension ref="A1:AR657"/>
  <sheetViews>
    <sheetView workbookViewId="0">
      <selection sqref="A1:XFD1"/>
    </sheetView>
  </sheetViews>
  <sheetFormatPr defaultRowHeight="15"/>
  <sheetData>
    <row r="1" spans="1:44" s="53" customFormat="1" ht="30.75" customHeight="1">
      <c r="A1" s="195" t="s">
        <v>12</v>
      </c>
      <c r="B1" s="196" t="s">
        <v>17</v>
      </c>
      <c r="C1" s="196" t="s">
        <v>838</v>
      </c>
      <c r="D1" s="195" t="s">
        <v>18</v>
      </c>
      <c r="E1" s="195" t="s">
        <v>19</v>
      </c>
      <c r="F1" s="197" t="s">
        <v>20</v>
      </c>
      <c r="G1" s="197" t="s">
        <v>21</v>
      </c>
      <c r="H1" s="197" t="s">
        <v>22</v>
      </c>
      <c r="I1" s="197" t="s">
        <v>23</v>
      </c>
      <c r="J1" s="198" t="s">
        <v>24</v>
      </c>
      <c r="K1" s="197" t="s">
        <v>25</v>
      </c>
      <c r="L1" s="197" t="s">
        <v>26</v>
      </c>
      <c r="M1" s="197" t="s">
        <v>27</v>
      </c>
      <c r="N1" s="198" t="s">
        <v>28</v>
      </c>
      <c r="O1" s="197" t="s">
        <v>29</v>
      </c>
      <c r="P1" s="197" t="s">
        <v>30</v>
      </c>
      <c r="Q1" s="197" t="s">
        <v>31</v>
      </c>
      <c r="R1" s="198" t="s">
        <v>32</v>
      </c>
      <c r="S1" s="197" t="s">
        <v>33</v>
      </c>
      <c r="T1" s="197" t="s">
        <v>34</v>
      </c>
      <c r="U1" s="197" t="s">
        <v>35</v>
      </c>
      <c r="V1" s="198" t="s">
        <v>36</v>
      </c>
      <c r="W1" s="197" t="s">
        <v>37</v>
      </c>
      <c r="X1" s="197" t="s">
        <v>38</v>
      </c>
      <c r="Y1" s="197" t="s">
        <v>39</v>
      </c>
      <c r="Z1" s="198" t="s">
        <v>40</v>
      </c>
      <c r="AA1" s="197" t="s">
        <v>41</v>
      </c>
      <c r="AB1" s="197" t="s">
        <v>42</v>
      </c>
      <c r="AC1" s="197" t="s">
        <v>43</v>
      </c>
      <c r="AD1" s="198" t="s">
        <v>44</v>
      </c>
      <c r="AE1" s="197" t="s">
        <v>45</v>
      </c>
      <c r="AF1" s="197" t="s">
        <v>46</v>
      </c>
      <c r="AG1" s="197" t="s">
        <v>47</v>
      </c>
      <c r="AH1" s="198" t="s">
        <v>48</v>
      </c>
      <c r="AI1" s="197" t="s">
        <v>49</v>
      </c>
      <c r="AJ1" s="197" t="s">
        <v>50</v>
      </c>
      <c r="AK1" s="197" t="s">
        <v>51</v>
      </c>
      <c r="AL1" s="198" t="s">
        <v>52</v>
      </c>
      <c r="AM1" s="197" t="s">
        <v>53</v>
      </c>
      <c r="AN1" s="197" t="s">
        <v>54</v>
      </c>
      <c r="AO1" s="197" t="s">
        <v>55</v>
      </c>
      <c r="AP1" s="199"/>
      <c r="AQ1" s="200"/>
    </row>
    <row r="2" spans="1:44" s="201" customFormat="1" hidden="1">
      <c r="A2" s="340" t="s">
        <v>56</v>
      </c>
      <c r="B2" s="341" t="s">
        <v>57</v>
      </c>
      <c r="C2" s="342"/>
      <c r="D2" s="343">
        <v>100858</v>
      </c>
      <c r="E2" s="343">
        <v>1</v>
      </c>
      <c r="F2" s="390">
        <v>11492</v>
      </c>
      <c r="G2" s="391">
        <v>11796</v>
      </c>
      <c r="H2" s="390">
        <v>31124</v>
      </c>
      <c r="I2" s="391">
        <v>31956</v>
      </c>
      <c r="J2" s="390">
        <v>11504</v>
      </c>
      <c r="K2" s="391">
        <v>11796</v>
      </c>
      <c r="L2" s="390">
        <v>31160</v>
      </c>
      <c r="M2" s="391">
        <v>31956</v>
      </c>
      <c r="N2" s="390"/>
      <c r="O2" s="391"/>
      <c r="P2" s="390"/>
      <c r="Q2" s="391"/>
      <c r="R2" s="390"/>
      <c r="S2" s="391"/>
      <c r="T2" s="390"/>
      <c r="U2" s="391"/>
      <c r="V2" s="390"/>
      <c r="W2" s="391"/>
      <c r="X2" s="390"/>
      <c r="Y2" s="391"/>
      <c r="Z2" s="390">
        <v>22070</v>
      </c>
      <c r="AA2" s="391">
        <v>22362</v>
      </c>
      <c r="AB2" s="390">
        <v>41726</v>
      </c>
      <c r="AC2" s="391">
        <v>42522</v>
      </c>
      <c r="AD2" s="390"/>
      <c r="AE2" s="391"/>
      <c r="AF2" s="390"/>
      <c r="AG2" s="391"/>
      <c r="AH2" s="390"/>
      <c r="AI2" s="391"/>
      <c r="AJ2" s="390"/>
      <c r="AK2" s="391"/>
      <c r="AL2" s="390">
        <v>20588</v>
      </c>
      <c r="AM2" s="391">
        <v>24296</v>
      </c>
      <c r="AN2" s="390">
        <v>48244</v>
      </c>
      <c r="AO2" s="391">
        <v>50456</v>
      </c>
      <c r="AP2" s="392"/>
      <c r="AQ2"/>
      <c r="AR2" s="53"/>
    </row>
    <row r="3" spans="1:44" s="201" customFormat="1" hidden="1">
      <c r="A3" s="340" t="s">
        <v>56</v>
      </c>
      <c r="B3" s="341" t="s">
        <v>58</v>
      </c>
      <c r="C3" s="342"/>
      <c r="D3" s="343">
        <v>100751</v>
      </c>
      <c r="E3" s="343">
        <v>1</v>
      </c>
      <c r="F3" s="390">
        <v>10780</v>
      </c>
      <c r="G3" s="391">
        <v>11620</v>
      </c>
      <c r="H3" s="390">
        <v>30250</v>
      </c>
      <c r="I3" s="391">
        <v>31090</v>
      </c>
      <c r="J3" s="390">
        <v>10780</v>
      </c>
      <c r="K3" s="391">
        <v>11470</v>
      </c>
      <c r="L3" s="390">
        <v>30250</v>
      </c>
      <c r="M3" s="391">
        <v>30940</v>
      </c>
      <c r="N3" s="390">
        <v>23610</v>
      </c>
      <c r="O3" s="391">
        <v>23910</v>
      </c>
      <c r="P3" s="390">
        <v>43060</v>
      </c>
      <c r="Q3" s="391">
        <v>43360</v>
      </c>
      <c r="R3" s="390">
        <v>28978</v>
      </c>
      <c r="S3" s="391">
        <v>29702</v>
      </c>
      <c r="T3" s="390">
        <v>62714</v>
      </c>
      <c r="U3" s="391">
        <v>62714</v>
      </c>
      <c r="V3" s="390"/>
      <c r="W3" s="391"/>
      <c r="X3" s="390"/>
      <c r="Y3" s="391"/>
      <c r="Z3" s="390"/>
      <c r="AA3" s="391"/>
      <c r="AB3" s="390"/>
      <c r="AC3" s="391"/>
      <c r="AD3" s="390"/>
      <c r="AE3" s="391"/>
      <c r="AF3" s="390"/>
      <c r="AG3" s="391"/>
      <c r="AH3" s="390"/>
      <c r="AI3" s="391"/>
      <c r="AJ3" s="390"/>
      <c r="AK3" s="391"/>
      <c r="AL3" s="390"/>
      <c r="AM3" s="391"/>
      <c r="AN3" s="390"/>
      <c r="AO3" s="391"/>
      <c r="AP3" s="392"/>
      <c r="AQ3"/>
      <c r="AR3" s="53"/>
    </row>
    <row r="4" spans="1:44" s="201" customFormat="1" hidden="1">
      <c r="A4" s="340" t="s">
        <v>56</v>
      </c>
      <c r="B4" s="341" t="s">
        <v>59</v>
      </c>
      <c r="C4" s="344"/>
      <c r="D4" s="343">
        <v>100663</v>
      </c>
      <c r="E4" s="343">
        <v>1</v>
      </c>
      <c r="F4" s="390">
        <v>10710</v>
      </c>
      <c r="G4" s="391">
        <v>10710</v>
      </c>
      <c r="H4" s="390">
        <v>25500</v>
      </c>
      <c r="I4" s="391">
        <v>25500</v>
      </c>
      <c r="J4" s="390">
        <v>10800</v>
      </c>
      <c r="K4" s="391">
        <v>10800</v>
      </c>
      <c r="L4" s="390">
        <v>25584</v>
      </c>
      <c r="M4" s="391">
        <v>25584</v>
      </c>
      <c r="N4" s="390"/>
      <c r="O4" s="391"/>
      <c r="P4" s="390"/>
      <c r="Q4" s="391"/>
      <c r="R4" s="390">
        <v>28978</v>
      </c>
      <c r="S4" s="391">
        <v>29702</v>
      </c>
      <c r="T4" s="390">
        <v>62714</v>
      </c>
      <c r="U4" s="391">
        <v>62714</v>
      </c>
      <c r="V4" s="390">
        <v>28576</v>
      </c>
      <c r="W4" s="391">
        <v>29484</v>
      </c>
      <c r="X4" s="390">
        <v>66192</v>
      </c>
      <c r="Y4" s="391">
        <v>68726</v>
      </c>
      <c r="Z4" s="390"/>
      <c r="AA4" s="391"/>
      <c r="AB4" s="390"/>
      <c r="AC4" s="391"/>
      <c r="AD4" s="390">
        <v>27039</v>
      </c>
      <c r="AE4" s="391">
        <v>27492</v>
      </c>
      <c r="AF4" s="390">
        <v>54012</v>
      </c>
      <c r="AG4" s="391">
        <v>54012</v>
      </c>
      <c r="AH4" s="390"/>
      <c r="AI4" s="391"/>
      <c r="AJ4" s="390"/>
      <c r="AK4" s="391"/>
      <c r="AL4" s="390"/>
      <c r="AM4" s="391"/>
      <c r="AN4" s="390"/>
      <c r="AO4" s="391"/>
      <c r="AP4" s="392"/>
      <c r="AQ4"/>
      <c r="AR4" s="53"/>
    </row>
    <row r="5" spans="1:44" s="201" customFormat="1" hidden="1">
      <c r="A5" s="340" t="s">
        <v>56</v>
      </c>
      <c r="B5" s="341" t="s">
        <v>60</v>
      </c>
      <c r="C5" s="345" t="s">
        <v>624</v>
      </c>
      <c r="D5" s="343">
        <v>100706</v>
      </c>
      <c r="E5" s="343">
        <v>2</v>
      </c>
      <c r="F5" s="390">
        <v>11122</v>
      </c>
      <c r="G5" s="391">
        <v>11338</v>
      </c>
      <c r="H5" s="390">
        <v>23518</v>
      </c>
      <c r="I5" s="391">
        <v>23734</v>
      </c>
      <c r="J5" s="390">
        <v>11458</v>
      </c>
      <c r="K5" s="391">
        <v>11918</v>
      </c>
      <c r="L5" s="390">
        <v>25256</v>
      </c>
      <c r="M5" s="391">
        <v>25716</v>
      </c>
      <c r="N5" s="390"/>
      <c r="O5" s="391"/>
      <c r="P5" s="390"/>
      <c r="Q5" s="391"/>
      <c r="R5" s="390"/>
      <c r="S5" s="391"/>
      <c r="T5" s="390"/>
      <c r="U5" s="391"/>
      <c r="V5" s="390"/>
      <c r="W5" s="391"/>
      <c r="X5" s="390"/>
      <c r="Y5" s="391"/>
      <c r="Z5" s="390"/>
      <c r="AA5" s="391"/>
      <c r="AB5" s="390"/>
      <c r="AC5" s="391"/>
      <c r="AD5" s="390"/>
      <c r="AE5" s="391"/>
      <c r="AF5" s="390"/>
      <c r="AG5" s="391"/>
      <c r="AH5" s="390"/>
      <c r="AI5" s="391"/>
      <c r="AJ5" s="390"/>
      <c r="AK5" s="391"/>
      <c r="AL5" s="390"/>
      <c r="AM5" s="391"/>
      <c r="AN5" s="390"/>
      <c r="AO5" s="391"/>
      <c r="AP5" s="392"/>
      <c r="AQ5"/>
      <c r="AR5" s="53"/>
    </row>
    <row r="6" spans="1:44" s="201" customFormat="1" hidden="1">
      <c r="A6" s="340" t="s">
        <v>56</v>
      </c>
      <c r="B6" s="341" t="s">
        <v>64</v>
      </c>
      <c r="C6" s="346"/>
      <c r="D6" s="343">
        <v>102094</v>
      </c>
      <c r="E6" s="343">
        <v>2</v>
      </c>
      <c r="F6" s="390">
        <v>10070</v>
      </c>
      <c r="G6" s="391">
        <v>10070</v>
      </c>
      <c r="H6" s="390">
        <v>19940</v>
      </c>
      <c r="I6" s="391">
        <v>19940</v>
      </c>
      <c r="J6" s="390">
        <v>10808</v>
      </c>
      <c r="K6" s="391">
        <v>10808</v>
      </c>
      <c r="L6" s="390">
        <v>21416</v>
      </c>
      <c r="M6" s="391">
        <v>21416</v>
      </c>
      <c r="N6" s="390"/>
      <c r="O6" s="391"/>
      <c r="P6" s="390"/>
      <c r="Q6" s="391"/>
      <c r="R6" s="390">
        <v>31488</v>
      </c>
      <c r="S6" s="391">
        <v>31378</v>
      </c>
      <c r="T6" s="390">
        <v>62492</v>
      </c>
      <c r="U6" s="391">
        <v>62382</v>
      </c>
      <c r="V6" s="390"/>
      <c r="W6" s="391"/>
      <c r="X6" s="390"/>
      <c r="Y6" s="391"/>
      <c r="Z6" s="390"/>
      <c r="AA6" s="391"/>
      <c r="AB6" s="390"/>
      <c r="AC6" s="391"/>
      <c r="AD6" s="390"/>
      <c r="AE6" s="391"/>
      <c r="AF6" s="390"/>
      <c r="AG6" s="391"/>
      <c r="AH6" s="390"/>
      <c r="AI6" s="391"/>
      <c r="AJ6" s="390"/>
      <c r="AK6" s="391"/>
      <c r="AL6" s="390"/>
      <c r="AM6" s="391"/>
      <c r="AN6" s="390"/>
      <c r="AO6" s="391"/>
      <c r="AP6" s="392"/>
      <c r="AQ6"/>
      <c r="AR6" s="53"/>
    </row>
    <row r="7" spans="1:44" s="201" customFormat="1" hidden="1">
      <c r="A7" s="340" t="s">
        <v>56</v>
      </c>
      <c r="B7" s="341" t="s">
        <v>61</v>
      </c>
      <c r="C7" s="342"/>
      <c r="D7" s="343">
        <v>100654</v>
      </c>
      <c r="E7" s="343">
        <v>3</v>
      </c>
      <c r="F7" s="390">
        <v>10024</v>
      </c>
      <c r="G7" s="391">
        <v>10024</v>
      </c>
      <c r="H7" s="390">
        <v>18634</v>
      </c>
      <c r="I7" s="391">
        <v>18634</v>
      </c>
      <c r="J7" s="390">
        <v>11542</v>
      </c>
      <c r="K7" s="391">
        <v>11542</v>
      </c>
      <c r="L7" s="390">
        <v>21574</v>
      </c>
      <c r="M7" s="391">
        <v>21574</v>
      </c>
      <c r="N7" s="390"/>
      <c r="O7" s="391"/>
      <c r="P7" s="390"/>
      <c r="Q7" s="391"/>
      <c r="R7" s="390"/>
      <c r="S7" s="391"/>
      <c r="T7" s="390"/>
      <c r="U7" s="391"/>
      <c r="V7" s="390"/>
      <c r="W7" s="391"/>
      <c r="X7" s="390"/>
      <c r="Y7" s="391"/>
      <c r="Z7" s="390"/>
      <c r="AA7" s="391"/>
      <c r="AB7" s="390"/>
      <c r="AC7" s="391"/>
      <c r="AD7" s="390"/>
      <c r="AE7" s="391"/>
      <c r="AF7" s="390"/>
      <c r="AG7" s="391"/>
      <c r="AH7" s="390"/>
      <c r="AI7" s="391"/>
      <c r="AJ7" s="390"/>
      <c r="AK7" s="391"/>
      <c r="AL7" s="390"/>
      <c r="AM7" s="391"/>
      <c r="AN7" s="390"/>
      <c r="AO7" s="391"/>
      <c r="AP7" s="392"/>
      <c r="AQ7"/>
      <c r="AR7" s="53"/>
    </row>
    <row r="8" spans="1:44" s="201" customFormat="1" hidden="1">
      <c r="A8" s="340" t="s">
        <v>56</v>
      </c>
      <c r="B8" s="341" t="s">
        <v>62</v>
      </c>
      <c r="C8" s="342"/>
      <c r="D8" s="343">
        <v>101480</v>
      </c>
      <c r="E8" s="343">
        <v>3</v>
      </c>
      <c r="F8" s="390">
        <v>11120</v>
      </c>
      <c r="G8" s="391">
        <v>11120</v>
      </c>
      <c r="H8" s="390">
        <v>20840</v>
      </c>
      <c r="I8" s="391">
        <v>20840</v>
      </c>
      <c r="J8" s="390">
        <v>10600</v>
      </c>
      <c r="K8" s="391">
        <v>10600</v>
      </c>
      <c r="L8" s="390">
        <v>20200</v>
      </c>
      <c r="M8" s="391">
        <v>20200</v>
      </c>
      <c r="N8" s="390"/>
      <c r="O8" s="391"/>
      <c r="P8" s="390"/>
      <c r="Q8" s="391"/>
      <c r="R8" s="390"/>
      <c r="S8" s="391"/>
      <c r="T8" s="390"/>
      <c r="U8" s="391"/>
      <c r="V8" s="390"/>
      <c r="W8" s="391"/>
      <c r="X8" s="390"/>
      <c r="Y8" s="391"/>
      <c r="Z8" s="390"/>
      <c r="AA8" s="391"/>
      <c r="AB8" s="390"/>
      <c r="AC8" s="391"/>
      <c r="AD8" s="390"/>
      <c r="AE8" s="391"/>
      <c r="AF8" s="390"/>
      <c r="AG8" s="391"/>
      <c r="AH8" s="390"/>
      <c r="AI8" s="391"/>
      <c r="AJ8" s="390"/>
      <c r="AK8" s="391"/>
      <c r="AL8" s="390"/>
      <c r="AM8" s="391"/>
      <c r="AN8" s="390"/>
      <c r="AO8" s="391"/>
      <c r="AP8" s="392"/>
      <c r="AQ8"/>
      <c r="AR8" s="53"/>
    </row>
    <row r="9" spans="1:44" s="201" customFormat="1" hidden="1">
      <c r="A9" s="340" t="s">
        <v>56</v>
      </c>
      <c r="B9" s="341" t="s">
        <v>63</v>
      </c>
      <c r="C9" s="342"/>
      <c r="D9" s="343">
        <v>102368</v>
      </c>
      <c r="E9" s="343">
        <v>3</v>
      </c>
      <c r="F9" s="390">
        <v>11110</v>
      </c>
      <c r="G9" s="391">
        <v>11110</v>
      </c>
      <c r="H9" s="390">
        <v>20860</v>
      </c>
      <c r="I9" s="391">
        <v>20860</v>
      </c>
      <c r="J9" s="390">
        <v>11308</v>
      </c>
      <c r="K9" s="391">
        <v>11308</v>
      </c>
      <c r="L9" s="390">
        <v>21508</v>
      </c>
      <c r="M9" s="391">
        <v>21508</v>
      </c>
      <c r="N9" s="390"/>
      <c r="O9" s="391"/>
      <c r="P9" s="390"/>
      <c r="Q9" s="391"/>
      <c r="R9" s="390"/>
      <c r="S9" s="391"/>
      <c r="T9" s="390"/>
      <c r="U9" s="391"/>
      <c r="V9" s="390"/>
      <c r="W9" s="391"/>
      <c r="X9" s="390"/>
      <c r="Y9" s="391"/>
      <c r="Z9" s="390"/>
      <c r="AA9" s="391"/>
      <c r="AB9" s="390"/>
      <c r="AC9" s="391"/>
      <c r="AD9" s="390"/>
      <c r="AE9" s="391"/>
      <c r="AF9" s="390"/>
      <c r="AG9" s="391"/>
      <c r="AH9" s="390"/>
      <c r="AI9" s="391"/>
      <c r="AJ9" s="390"/>
      <c r="AK9" s="391"/>
      <c r="AL9" s="390"/>
      <c r="AM9" s="391"/>
      <c r="AN9" s="390"/>
      <c r="AO9" s="391"/>
      <c r="AP9" s="392"/>
      <c r="AQ9"/>
      <c r="AR9" s="53"/>
    </row>
    <row r="10" spans="1:44" s="201" customFormat="1" hidden="1">
      <c r="A10" s="340" t="s">
        <v>56</v>
      </c>
      <c r="B10" s="341" t="s">
        <v>67</v>
      </c>
      <c r="C10" s="344"/>
      <c r="D10" s="343">
        <v>101879</v>
      </c>
      <c r="E10" s="343">
        <v>3</v>
      </c>
      <c r="F10" s="390">
        <v>10500</v>
      </c>
      <c r="G10" s="391">
        <v>10800</v>
      </c>
      <c r="H10" s="390">
        <v>20100</v>
      </c>
      <c r="I10" s="391">
        <v>20400</v>
      </c>
      <c r="J10" s="390">
        <v>9600</v>
      </c>
      <c r="K10" s="391">
        <v>9600</v>
      </c>
      <c r="L10" s="390">
        <v>18480</v>
      </c>
      <c r="M10" s="391">
        <v>18480</v>
      </c>
      <c r="N10" s="390"/>
      <c r="O10" s="391"/>
      <c r="P10" s="390"/>
      <c r="Q10" s="391"/>
      <c r="R10" s="390"/>
      <c r="S10" s="391"/>
      <c r="T10" s="390"/>
      <c r="U10" s="391"/>
      <c r="V10" s="390"/>
      <c r="W10" s="391"/>
      <c r="X10" s="390"/>
      <c r="Y10" s="391"/>
      <c r="Z10" s="390"/>
      <c r="AA10" s="391"/>
      <c r="AB10" s="390"/>
      <c r="AC10" s="391"/>
      <c r="AD10" s="390"/>
      <c r="AE10" s="391"/>
      <c r="AF10" s="390"/>
      <c r="AG10" s="391"/>
      <c r="AH10" s="390"/>
      <c r="AI10" s="391"/>
      <c r="AJ10" s="390"/>
      <c r="AK10" s="391"/>
      <c r="AL10" s="390"/>
      <c r="AM10" s="391"/>
      <c r="AN10" s="390"/>
      <c r="AO10" s="391"/>
      <c r="AP10" s="392"/>
      <c r="AQ10"/>
      <c r="AR10" s="53"/>
    </row>
    <row r="11" spans="1:44" s="201" customFormat="1" hidden="1">
      <c r="A11" s="340" t="s">
        <v>56</v>
      </c>
      <c r="B11" s="341" t="s">
        <v>65</v>
      </c>
      <c r="C11" s="342"/>
      <c r="D11" s="343">
        <v>100724</v>
      </c>
      <c r="E11" s="343">
        <v>4</v>
      </c>
      <c r="F11" s="390">
        <v>11068</v>
      </c>
      <c r="G11" s="391">
        <v>11068</v>
      </c>
      <c r="H11" s="390">
        <v>19396</v>
      </c>
      <c r="I11" s="391">
        <v>19396</v>
      </c>
      <c r="J11" s="390">
        <v>12628</v>
      </c>
      <c r="K11" s="391">
        <v>12628</v>
      </c>
      <c r="L11" s="390">
        <v>22516</v>
      </c>
      <c r="M11" s="391">
        <v>22516</v>
      </c>
      <c r="N11" s="390"/>
      <c r="O11" s="391"/>
      <c r="P11" s="390"/>
      <c r="Q11" s="391"/>
      <c r="R11" s="390"/>
      <c r="S11" s="391"/>
      <c r="T11" s="390"/>
      <c r="U11" s="391"/>
      <c r="V11" s="390"/>
      <c r="W11" s="391"/>
      <c r="X11" s="390"/>
      <c r="Y11" s="391"/>
      <c r="Z11" s="390"/>
      <c r="AA11" s="391"/>
      <c r="AB11" s="390"/>
      <c r="AC11" s="391"/>
      <c r="AD11" s="390"/>
      <c r="AE11" s="391"/>
      <c r="AF11" s="390"/>
      <c r="AG11" s="391"/>
      <c r="AH11" s="390"/>
      <c r="AI11" s="391"/>
      <c r="AJ11" s="390"/>
      <c r="AK11" s="391"/>
      <c r="AL11" s="390"/>
      <c r="AM11" s="391"/>
      <c r="AN11" s="390"/>
      <c r="AO11" s="391"/>
      <c r="AP11" s="392"/>
      <c r="AQ11"/>
      <c r="AR11" s="53"/>
    </row>
    <row r="12" spans="1:44" s="201" customFormat="1" ht="12.75" hidden="1">
      <c r="A12" s="340" t="s">
        <v>56</v>
      </c>
      <c r="B12" s="341" t="s">
        <v>66</v>
      </c>
      <c r="C12" s="347" t="s">
        <v>893</v>
      </c>
      <c r="D12" s="340">
        <v>100830</v>
      </c>
      <c r="E12" s="348">
        <v>3</v>
      </c>
      <c r="F12" s="390">
        <v>10660</v>
      </c>
      <c r="G12" s="391">
        <v>10918</v>
      </c>
      <c r="H12" s="390">
        <v>22750</v>
      </c>
      <c r="I12" s="391">
        <v>23368</v>
      </c>
      <c r="J12" s="390">
        <v>10684</v>
      </c>
      <c r="K12" s="391">
        <v>10930</v>
      </c>
      <c r="L12" s="390">
        <v>22924</v>
      </c>
      <c r="M12" s="391">
        <v>23554</v>
      </c>
      <c r="N12" s="390"/>
      <c r="O12" s="391"/>
      <c r="P12" s="390"/>
      <c r="Q12" s="391"/>
      <c r="R12" s="390"/>
      <c r="S12" s="391"/>
      <c r="T12" s="390"/>
      <c r="U12" s="391"/>
      <c r="V12" s="390"/>
      <c r="W12" s="391"/>
      <c r="X12" s="390"/>
      <c r="Y12" s="391"/>
      <c r="Z12" s="390"/>
      <c r="AA12" s="391"/>
      <c r="AB12" s="390"/>
      <c r="AC12" s="391"/>
      <c r="AD12" s="390"/>
      <c r="AE12" s="391"/>
      <c r="AF12" s="390"/>
      <c r="AG12" s="391"/>
      <c r="AH12" s="390"/>
      <c r="AI12" s="391"/>
      <c r="AJ12" s="390"/>
      <c r="AK12" s="391"/>
      <c r="AL12" s="390"/>
      <c r="AM12" s="391"/>
      <c r="AN12" s="390"/>
      <c r="AO12" s="391"/>
      <c r="AP12" s="392"/>
      <c r="AQ12" s="53"/>
      <c r="AR12" s="53"/>
    </row>
    <row r="13" spans="1:44" s="201" customFormat="1" ht="12.75" hidden="1">
      <c r="A13" s="340" t="s">
        <v>56</v>
      </c>
      <c r="B13" s="341" t="s">
        <v>68</v>
      </c>
      <c r="C13" s="342"/>
      <c r="D13" s="343">
        <v>101709</v>
      </c>
      <c r="E13" s="343">
        <v>5</v>
      </c>
      <c r="F13" s="390">
        <v>13708</v>
      </c>
      <c r="G13" s="391">
        <v>13708</v>
      </c>
      <c r="H13" s="390">
        <v>26728</v>
      </c>
      <c r="I13" s="391">
        <v>26728</v>
      </c>
      <c r="J13" s="390">
        <v>11916</v>
      </c>
      <c r="K13" s="391">
        <v>11916</v>
      </c>
      <c r="L13" s="390">
        <v>23868</v>
      </c>
      <c r="M13" s="391">
        <v>26532</v>
      </c>
      <c r="N13" s="390"/>
      <c r="O13" s="391"/>
      <c r="P13" s="390"/>
      <c r="Q13" s="391"/>
      <c r="R13" s="390"/>
      <c r="S13" s="391"/>
      <c r="T13" s="390"/>
      <c r="U13" s="391"/>
      <c r="V13" s="390"/>
      <c r="W13" s="391"/>
      <c r="X13" s="390"/>
      <c r="Y13" s="391"/>
      <c r="Z13" s="390"/>
      <c r="AA13" s="391"/>
      <c r="AB13" s="390"/>
      <c r="AC13" s="391"/>
      <c r="AD13" s="390"/>
      <c r="AE13" s="391"/>
      <c r="AF13" s="390"/>
      <c r="AG13" s="391"/>
      <c r="AH13" s="390"/>
      <c r="AI13" s="391"/>
      <c r="AJ13" s="390"/>
      <c r="AK13" s="391"/>
      <c r="AL13" s="390"/>
      <c r="AM13" s="391"/>
      <c r="AN13" s="390"/>
      <c r="AO13" s="391"/>
      <c r="AP13" s="392"/>
      <c r="AQ13" s="53"/>
      <c r="AR13" s="53"/>
    </row>
    <row r="14" spans="1:44" s="201" customFormat="1" ht="12.75" hidden="1">
      <c r="A14" s="340" t="s">
        <v>56</v>
      </c>
      <c r="B14" s="341" t="s">
        <v>69</v>
      </c>
      <c r="C14" s="347" t="s">
        <v>894</v>
      </c>
      <c r="D14" s="340">
        <v>101587</v>
      </c>
      <c r="E14" s="348">
        <v>4</v>
      </c>
      <c r="F14" s="390">
        <v>10990</v>
      </c>
      <c r="G14" s="391">
        <v>10990</v>
      </c>
      <c r="H14" s="390">
        <v>20090</v>
      </c>
      <c r="I14" s="391">
        <v>20090</v>
      </c>
      <c r="J14" s="390">
        <v>9284</v>
      </c>
      <c r="K14" s="391">
        <v>9264</v>
      </c>
      <c r="L14" s="390">
        <v>18188</v>
      </c>
      <c r="M14" s="391">
        <v>18168</v>
      </c>
      <c r="N14" s="390"/>
      <c r="O14" s="391"/>
      <c r="P14" s="390"/>
      <c r="Q14" s="391"/>
      <c r="R14" s="390"/>
      <c r="S14" s="391"/>
      <c r="T14" s="390"/>
      <c r="U14" s="391"/>
      <c r="V14" s="390"/>
      <c r="W14" s="391"/>
      <c r="X14" s="390"/>
      <c r="Y14" s="391"/>
      <c r="Z14" s="390"/>
      <c r="AA14" s="391"/>
      <c r="AB14" s="390"/>
      <c r="AC14" s="391"/>
      <c r="AD14" s="390"/>
      <c r="AE14" s="391"/>
      <c r="AF14" s="390"/>
      <c r="AG14" s="391"/>
      <c r="AH14" s="390"/>
      <c r="AI14" s="391"/>
      <c r="AJ14" s="390"/>
      <c r="AK14" s="391"/>
      <c r="AL14" s="390"/>
      <c r="AM14" s="391"/>
      <c r="AN14" s="390"/>
      <c r="AO14" s="391"/>
      <c r="AP14" s="392"/>
      <c r="AQ14" s="53"/>
      <c r="AR14" s="53"/>
    </row>
    <row r="15" spans="1:44" s="201" customFormat="1" ht="12.75">
      <c r="A15" s="340" t="s">
        <v>56</v>
      </c>
      <c r="B15" s="341" t="s">
        <v>70</v>
      </c>
      <c r="C15" s="345" t="s">
        <v>904</v>
      </c>
      <c r="D15" s="349">
        <v>100812</v>
      </c>
      <c r="E15" s="343">
        <v>6</v>
      </c>
      <c r="F15" s="390">
        <v>7710</v>
      </c>
      <c r="G15" s="391">
        <v>7710</v>
      </c>
      <c r="H15" s="390">
        <v>13890</v>
      </c>
      <c r="I15" s="391">
        <v>13890</v>
      </c>
      <c r="J15" s="390">
        <v>8160</v>
      </c>
      <c r="K15" s="391">
        <v>8160</v>
      </c>
      <c r="L15" s="390">
        <v>13224</v>
      </c>
      <c r="M15" s="391">
        <v>13224</v>
      </c>
      <c r="N15" s="390"/>
      <c r="O15" s="391"/>
      <c r="P15" s="390"/>
      <c r="Q15" s="391"/>
      <c r="R15" s="390"/>
      <c r="S15" s="391"/>
      <c r="T15" s="390"/>
      <c r="U15" s="391"/>
      <c r="V15" s="390"/>
      <c r="W15" s="391"/>
      <c r="X15" s="390"/>
      <c r="Y15" s="391"/>
      <c r="Z15" s="390"/>
      <c r="AA15" s="391"/>
      <c r="AB15" s="390"/>
      <c r="AC15" s="391"/>
      <c r="AD15" s="390"/>
      <c r="AE15" s="391"/>
      <c r="AF15" s="390"/>
      <c r="AG15" s="391"/>
      <c r="AH15" s="390"/>
      <c r="AI15" s="391"/>
      <c r="AJ15" s="390"/>
      <c r="AK15" s="391"/>
      <c r="AL15" s="390"/>
      <c r="AM15" s="391"/>
      <c r="AN15" s="390"/>
      <c r="AO15" s="391"/>
      <c r="AP15" s="392"/>
      <c r="AQ15" s="53"/>
      <c r="AR15" s="53"/>
    </row>
    <row r="16" spans="1:44" s="201" customFormat="1" ht="12.75" hidden="1">
      <c r="A16" s="340" t="s">
        <v>56</v>
      </c>
      <c r="B16" s="350" t="s">
        <v>71</v>
      </c>
      <c r="C16" s="342"/>
      <c r="D16" s="343">
        <v>101505</v>
      </c>
      <c r="E16" s="343">
        <v>8</v>
      </c>
      <c r="F16" s="390">
        <v>4860</v>
      </c>
      <c r="G16" s="391">
        <v>4920</v>
      </c>
      <c r="H16" s="390">
        <v>8790</v>
      </c>
      <c r="I16" s="391">
        <v>8910</v>
      </c>
      <c r="J16" s="390"/>
      <c r="K16" s="391"/>
      <c r="L16" s="390"/>
      <c r="M16" s="391"/>
      <c r="N16" s="390"/>
      <c r="O16" s="391"/>
      <c r="P16" s="390"/>
      <c r="Q16" s="391"/>
      <c r="R16" s="390"/>
      <c r="S16" s="391"/>
      <c r="T16" s="390"/>
      <c r="U16" s="391"/>
      <c r="V16" s="390"/>
      <c r="W16" s="391"/>
      <c r="X16" s="390"/>
      <c r="Y16" s="391"/>
      <c r="Z16" s="390"/>
      <c r="AA16" s="391"/>
      <c r="AB16" s="390"/>
      <c r="AC16" s="391"/>
      <c r="AD16" s="390"/>
      <c r="AE16" s="391"/>
      <c r="AF16" s="390"/>
      <c r="AG16" s="391"/>
      <c r="AH16" s="390"/>
      <c r="AI16" s="391"/>
      <c r="AJ16" s="390"/>
      <c r="AK16" s="391"/>
      <c r="AL16" s="390"/>
      <c r="AM16" s="391"/>
      <c r="AN16" s="390"/>
      <c r="AO16" s="391"/>
      <c r="AP16" s="392"/>
      <c r="AQ16" s="53"/>
      <c r="AR16" s="53"/>
    </row>
    <row r="17" spans="1:44" s="201" customFormat="1" ht="12.75" hidden="1">
      <c r="A17" s="340" t="s">
        <v>56</v>
      </c>
      <c r="B17" s="350" t="s">
        <v>611</v>
      </c>
      <c r="C17" s="342"/>
      <c r="D17" s="343">
        <v>101514</v>
      </c>
      <c r="E17" s="343">
        <v>8</v>
      </c>
      <c r="F17" s="390">
        <v>4880</v>
      </c>
      <c r="G17" s="391">
        <v>4940</v>
      </c>
      <c r="H17" s="390">
        <v>8790</v>
      </c>
      <c r="I17" s="391">
        <v>8930</v>
      </c>
      <c r="J17" s="390"/>
      <c r="K17" s="391"/>
      <c r="L17" s="390"/>
      <c r="M17" s="391"/>
      <c r="N17" s="390"/>
      <c r="O17" s="391"/>
      <c r="P17" s="390"/>
      <c r="Q17" s="391"/>
      <c r="R17" s="390"/>
      <c r="S17" s="391"/>
      <c r="T17" s="390"/>
      <c r="U17" s="391"/>
      <c r="V17" s="390"/>
      <c r="W17" s="391"/>
      <c r="X17" s="390"/>
      <c r="Y17" s="391"/>
      <c r="Z17" s="390"/>
      <c r="AA17" s="391"/>
      <c r="AB17" s="390"/>
      <c r="AC17" s="391"/>
      <c r="AD17" s="390"/>
      <c r="AE17" s="391"/>
      <c r="AF17" s="390"/>
      <c r="AG17" s="391"/>
      <c r="AH17" s="390"/>
      <c r="AI17" s="391"/>
      <c r="AJ17" s="390"/>
      <c r="AK17" s="391"/>
      <c r="AL17" s="390"/>
      <c r="AM17" s="391"/>
      <c r="AN17" s="390"/>
      <c r="AO17" s="391"/>
      <c r="AP17" s="392"/>
      <c r="AQ17" s="53"/>
      <c r="AR17" s="53"/>
    </row>
    <row r="18" spans="1:44" s="201" customFormat="1" ht="12.75" hidden="1">
      <c r="A18" s="340" t="s">
        <v>56</v>
      </c>
      <c r="B18" s="341" t="s">
        <v>72</v>
      </c>
      <c r="C18" s="351"/>
      <c r="D18" s="343">
        <v>102429</v>
      </c>
      <c r="E18" s="343">
        <v>9</v>
      </c>
      <c r="F18" s="390">
        <v>4840</v>
      </c>
      <c r="G18" s="391">
        <v>4930</v>
      </c>
      <c r="H18" s="390">
        <v>8730</v>
      </c>
      <c r="I18" s="391">
        <v>8920</v>
      </c>
      <c r="J18" s="390"/>
      <c r="K18" s="391"/>
      <c r="L18" s="390"/>
      <c r="M18" s="391"/>
      <c r="N18" s="390"/>
      <c r="O18" s="391"/>
      <c r="P18" s="390"/>
      <c r="Q18" s="391"/>
      <c r="R18" s="390"/>
      <c r="S18" s="391"/>
      <c r="T18" s="390"/>
      <c r="U18" s="391"/>
      <c r="V18" s="390"/>
      <c r="W18" s="391"/>
      <c r="X18" s="390"/>
      <c r="Y18" s="391"/>
      <c r="Z18" s="390"/>
      <c r="AA18" s="391"/>
      <c r="AB18" s="390"/>
      <c r="AC18" s="391"/>
      <c r="AD18" s="390"/>
      <c r="AE18" s="391"/>
      <c r="AF18" s="390"/>
      <c r="AG18" s="391"/>
      <c r="AH18" s="390"/>
      <c r="AI18" s="391"/>
      <c r="AJ18" s="390"/>
      <c r="AK18" s="391"/>
      <c r="AL18" s="390"/>
      <c r="AM18" s="391"/>
      <c r="AN18" s="390"/>
      <c r="AO18" s="391"/>
      <c r="AP18" s="392"/>
      <c r="AQ18" s="53"/>
      <c r="AR18" s="53"/>
    </row>
    <row r="19" spans="1:44" s="201" customFormat="1" ht="12.75" hidden="1">
      <c r="A19" s="340" t="s">
        <v>56</v>
      </c>
      <c r="B19" s="352" t="s">
        <v>73</v>
      </c>
      <c r="C19" s="345" t="s">
        <v>905</v>
      </c>
      <c r="D19" s="343">
        <v>102030</v>
      </c>
      <c r="E19" s="343">
        <v>9</v>
      </c>
      <c r="F19" s="390">
        <v>4800</v>
      </c>
      <c r="G19" s="391">
        <v>4860</v>
      </c>
      <c r="H19" s="390">
        <v>8730</v>
      </c>
      <c r="I19" s="391">
        <v>8850</v>
      </c>
      <c r="J19" s="390"/>
      <c r="K19" s="391"/>
      <c r="L19" s="390"/>
      <c r="M19" s="391"/>
      <c r="N19" s="390"/>
      <c r="O19" s="391"/>
      <c r="P19" s="390"/>
      <c r="Q19" s="391"/>
      <c r="R19" s="390"/>
      <c r="S19" s="391"/>
      <c r="T19" s="390"/>
      <c r="U19" s="391"/>
      <c r="V19" s="390"/>
      <c r="W19" s="391"/>
      <c r="X19" s="390"/>
      <c r="Y19" s="391"/>
      <c r="Z19" s="390"/>
      <c r="AA19" s="391"/>
      <c r="AB19" s="390"/>
      <c r="AC19" s="391"/>
      <c r="AD19" s="390"/>
      <c r="AE19" s="391"/>
      <c r="AF19" s="390"/>
      <c r="AG19" s="391"/>
      <c r="AH19" s="390"/>
      <c r="AI19" s="391"/>
      <c r="AJ19" s="390"/>
      <c r="AK19" s="391"/>
      <c r="AL19" s="390"/>
      <c r="AM19" s="391"/>
      <c r="AN19" s="390"/>
      <c r="AO19" s="391"/>
      <c r="AP19" s="392"/>
      <c r="AQ19" s="53"/>
      <c r="AR19" s="53"/>
    </row>
    <row r="20" spans="1:44" s="201" customFormat="1" ht="12.75" hidden="1">
      <c r="A20" s="340" t="s">
        <v>56</v>
      </c>
      <c r="B20" s="352" t="s">
        <v>626</v>
      </c>
      <c r="C20" s="347" t="s">
        <v>895</v>
      </c>
      <c r="D20" s="340">
        <v>101161</v>
      </c>
      <c r="E20" s="348">
        <v>8</v>
      </c>
      <c r="F20" s="390">
        <v>4800</v>
      </c>
      <c r="G20" s="391">
        <v>4860</v>
      </c>
      <c r="H20" s="390">
        <v>8730</v>
      </c>
      <c r="I20" s="391">
        <v>8850</v>
      </c>
      <c r="J20" s="390"/>
      <c r="K20" s="391"/>
      <c r="L20" s="390"/>
      <c r="M20" s="391"/>
      <c r="N20" s="390"/>
      <c r="O20" s="391"/>
      <c r="P20" s="390"/>
      <c r="Q20" s="391"/>
      <c r="R20" s="390"/>
      <c r="S20" s="391"/>
      <c r="T20" s="390"/>
      <c r="U20" s="391"/>
      <c r="V20" s="390"/>
      <c r="W20" s="391"/>
      <c r="X20" s="390"/>
      <c r="Y20" s="391"/>
      <c r="Z20" s="390"/>
      <c r="AA20" s="391"/>
      <c r="AB20" s="390"/>
      <c r="AC20" s="391"/>
      <c r="AD20" s="390"/>
      <c r="AE20" s="391"/>
      <c r="AF20" s="390"/>
      <c r="AG20" s="391"/>
      <c r="AH20" s="390"/>
      <c r="AI20" s="391"/>
      <c r="AJ20" s="390"/>
      <c r="AK20" s="391"/>
      <c r="AL20" s="390"/>
      <c r="AM20" s="391"/>
      <c r="AN20" s="390"/>
      <c r="AO20" s="391"/>
      <c r="AP20" s="392"/>
      <c r="AQ20" s="53"/>
      <c r="AR20" s="53"/>
    </row>
    <row r="21" spans="1:44" s="201" customFormat="1" ht="12.75" hidden="1">
      <c r="A21" s="340" t="s">
        <v>56</v>
      </c>
      <c r="B21" s="341" t="s">
        <v>74</v>
      </c>
      <c r="C21" s="351"/>
      <c r="D21" s="343">
        <v>101240</v>
      </c>
      <c r="E21" s="343">
        <v>9</v>
      </c>
      <c r="F21" s="390">
        <v>4800</v>
      </c>
      <c r="G21" s="391">
        <v>4920</v>
      </c>
      <c r="H21" s="390">
        <v>8730</v>
      </c>
      <c r="I21" s="391">
        <v>8910</v>
      </c>
      <c r="J21" s="390"/>
      <c r="K21" s="391"/>
      <c r="L21" s="390"/>
      <c r="M21" s="391"/>
      <c r="N21" s="390"/>
      <c r="O21" s="391"/>
      <c r="P21" s="390"/>
      <c r="Q21" s="391"/>
      <c r="R21" s="390"/>
      <c r="S21" s="391"/>
      <c r="T21" s="390"/>
      <c r="U21" s="391"/>
      <c r="V21" s="390"/>
      <c r="W21" s="391"/>
      <c r="X21" s="390"/>
      <c r="Y21" s="391"/>
      <c r="Z21" s="390"/>
      <c r="AA21" s="391"/>
      <c r="AB21" s="390"/>
      <c r="AC21" s="391"/>
      <c r="AD21" s="390"/>
      <c r="AE21" s="391"/>
      <c r="AF21" s="390"/>
      <c r="AG21" s="391"/>
      <c r="AH21" s="390"/>
      <c r="AI21" s="391"/>
      <c r="AJ21" s="390"/>
      <c r="AK21" s="391"/>
      <c r="AL21" s="390"/>
      <c r="AM21" s="391"/>
      <c r="AN21" s="390"/>
      <c r="AO21" s="391"/>
      <c r="AP21" s="392"/>
      <c r="AQ21" s="53"/>
      <c r="AR21" s="53"/>
    </row>
    <row r="22" spans="1:44" s="201" customFormat="1" ht="12.75" hidden="1">
      <c r="A22" s="340" t="s">
        <v>56</v>
      </c>
      <c r="B22" s="350" t="s">
        <v>612</v>
      </c>
      <c r="C22" s="342"/>
      <c r="D22" s="343">
        <v>101286</v>
      </c>
      <c r="E22" s="343">
        <v>9</v>
      </c>
      <c r="F22" s="390">
        <v>4860</v>
      </c>
      <c r="G22" s="391">
        <v>4800</v>
      </c>
      <c r="H22" s="390">
        <v>8790</v>
      </c>
      <c r="I22" s="391">
        <v>8790</v>
      </c>
      <c r="J22" s="390"/>
      <c r="K22" s="391"/>
      <c r="L22" s="390"/>
      <c r="M22" s="391"/>
      <c r="N22" s="390"/>
      <c r="O22" s="391"/>
      <c r="P22" s="390"/>
      <c r="Q22" s="391"/>
      <c r="R22" s="390"/>
      <c r="S22" s="391"/>
      <c r="T22" s="390"/>
      <c r="U22" s="391"/>
      <c r="V22" s="390"/>
      <c r="W22" s="391"/>
      <c r="X22" s="390"/>
      <c r="Y22" s="391"/>
      <c r="Z22" s="390"/>
      <c r="AA22" s="391"/>
      <c r="AB22" s="390"/>
      <c r="AC22" s="391"/>
      <c r="AD22" s="390"/>
      <c r="AE22" s="391"/>
      <c r="AF22" s="390"/>
      <c r="AG22" s="391"/>
      <c r="AH22" s="390"/>
      <c r="AI22" s="391"/>
      <c r="AJ22" s="390"/>
      <c r="AK22" s="391"/>
      <c r="AL22" s="390"/>
      <c r="AM22" s="391"/>
      <c r="AN22" s="390"/>
      <c r="AO22" s="391"/>
      <c r="AP22" s="392"/>
      <c r="AQ22" s="53"/>
      <c r="AR22" s="53"/>
    </row>
    <row r="23" spans="1:44" s="201" customFormat="1" ht="12.75" hidden="1">
      <c r="A23" s="340" t="s">
        <v>56</v>
      </c>
      <c r="B23" s="350" t="s">
        <v>613</v>
      </c>
      <c r="C23" s="344"/>
      <c r="D23" s="343">
        <v>101295</v>
      </c>
      <c r="E23" s="343">
        <v>9</v>
      </c>
      <c r="F23" s="390">
        <v>4740</v>
      </c>
      <c r="G23" s="391">
        <v>4860</v>
      </c>
      <c r="H23" s="390">
        <v>8670</v>
      </c>
      <c r="I23" s="391">
        <v>8850</v>
      </c>
      <c r="J23" s="390"/>
      <c r="K23" s="391"/>
      <c r="L23" s="390"/>
      <c r="M23" s="391"/>
      <c r="N23" s="390"/>
      <c r="O23" s="391"/>
      <c r="P23" s="390"/>
      <c r="Q23" s="391"/>
      <c r="R23" s="390"/>
      <c r="S23" s="391"/>
      <c r="T23" s="390"/>
      <c r="U23" s="391"/>
      <c r="V23" s="390"/>
      <c r="W23" s="391"/>
      <c r="X23" s="390"/>
      <c r="Y23" s="391"/>
      <c r="Z23" s="390"/>
      <c r="AA23" s="391"/>
      <c r="AB23" s="390"/>
      <c r="AC23" s="391"/>
      <c r="AD23" s="390"/>
      <c r="AE23" s="391"/>
      <c r="AF23" s="390"/>
      <c r="AG23" s="391"/>
      <c r="AH23" s="390"/>
      <c r="AI23" s="391"/>
      <c r="AJ23" s="390"/>
      <c r="AK23" s="391"/>
      <c r="AL23" s="390"/>
      <c r="AM23" s="391"/>
      <c r="AN23" s="390"/>
      <c r="AO23" s="391"/>
      <c r="AP23" s="392"/>
      <c r="AQ23" s="53"/>
      <c r="AR23" s="53"/>
    </row>
    <row r="24" spans="1:44" s="201" customFormat="1" ht="12.75" hidden="1">
      <c r="A24" s="340" t="s">
        <v>56</v>
      </c>
      <c r="B24" s="341" t="s">
        <v>75</v>
      </c>
      <c r="C24" s="342"/>
      <c r="D24" s="343">
        <v>101569</v>
      </c>
      <c r="E24" s="343">
        <v>9</v>
      </c>
      <c r="F24" s="390">
        <v>4820</v>
      </c>
      <c r="G24" s="391">
        <v>4880</v>
      </c>
      <c r="H24" s="390">
        <v>8730</v>
      </c>
      <c r="I24" s="391">
        <v>8870</v>
      </c>
      <c r="J24" s="390"/>
      <c r="K24" s="391"/>
      <c r="L24" s="390"/>
      <c r="M24" s="391"/>
      <c r="N24" s="390"/>
      <c r="O24" s="391"/>
      <c r="P24" s="390"/>
      <c r="Q24" s="391"/>
      <c r="R24" s="390"/>
      <c r="S24" s="391"/>
      <c r="T24" s="390"/>
      <c r="U24" s="391"/>
      <c r="V24" s="390"/>
      <c r="W24" s="391"/>
      <c r="X24" s="390"/>
      <c r="Y24" s="391"/>
      <c r="Z24" s="390"/>
      <c r="AA24" s="391"/>
      <c r="AB24" s="390"/>
      <c r="AC24" s="391"/>
      <c r="AD24" s="390"/>
      <c r="AE24" s="391"/>
      <c r="AF24" s="390"/>
      <c r="AG24" s="391"/>
      <c r="AH24" s="390"/>
      <c r="AI24" s="391"/>
      <c r="AJ24" s="390"/>
      <c r="AK24" s="391"/>
      <c r="AL24" s="390"/>
      <c r="AM24" s="391"/>
      <c r="AN24" s="390"/>
      <c r="AO24" s="391"/>
      <c r="AP24" s="392"/>
      <c r="AQ24" s="53"/>
      <c r="AR24" s="53"/>
    </row>
    <row r="25" spans="1:44" s="201" customFormat="1" ht="12.75" hidden="1">
      <c r="A25" s="340" t="s">
        <v>56</v>
      </c>
      <c r="B25" s="341" t="s">
        <v>76</v>
      </c>
      <c r="C25" s="342"/>
      <c r="D25" s="343">
        <v>101736</v>
      </c>
      <c r="E25" s="343">
        <v>9</v>
      </c>
      <c r="F25" s="390">
        <v>4771</v>
      </c>
      <c r="G25" s="391">
        <v>4815</v>
      </c>
      <c r="H25" s="390">
        <v>8670</v>
      </c>
      <c r="I25" s="391">
        <v>8805</v>
      </c>
      <c r="J25" s="390"/>
      <c r="K25" s="391"/>
      <c r="L25" s="390"/>
      <c r="M25" s="391"/>
      <c r="N25" s="390"/>
      <c r="O25" s="391"/>
      <c r="P25" s="390"/>
      <c r="Q25" s="391"/>
      <c r="R25" s="390"/>
      <c r="S25" s="391"/>
      <c r="T25" s="390"/>
      <c r="U25" s="391"/>
      <c r="V25" s="390"/>
      <c r="W25" s="391"/>
      <c r="X25" s="390"/>
      <c r="Y25" s="391"/>
      <c r="Z25" s="390"/>
      <c r="AA25" s="391"/>
      <c r="AB25" s="390"/>
      <c r="AC25" s="391"/>
      <c r="AD25" s="390"/>
      <c r="AE25" s="391"/>
      <c r="AF25" s="390"/>
      <c r="AG25" s="391"/>
      <c r="AH25" s="390"/>
      <c r="AI25" s="391"/>
      <c r="AJ25" s="390"/>
      <c r="AK25" s="391"/>
      <c r="AL25" s="390"/>
      <c r="AM25" s="391"/>
      <c r="AN25" s="390"/>
      <c r="AO25" s="391"/>
      <c r="AP25" s="392"/>
      <c r="AQ25" s="53"/>
      <c r="AR25" s="53"/>
    </row>
    <row r="26" spans="1:44" s="201" customFormat="1" ht="12.75" hidden="1">
      <c r="A26" s="340" t="s">
        <v>56</v>
      </c>
      <c r="B26" s="341" t="s">
        <v>77</v>
      </c>
      <c r="C26" s="342"/>
      <c r="D26" s="343">
        <v>102067</v>
      </c>
      <c r="E26" s="343">
        <v>9</v>
      </c>
      <c r="F26" s="390">
        <v>4527</v>
      </c>
      <c r="G26" s="391">
        <v>4587</v>
      </c>
      <c r="H26" s="390">
        <v>8430</v>
      </c>
      <c r="I26" s="391">
        <v>8577</v>
      </c>
      <c r="J26" s="390"/>
      <c r="K26" s="391"/>
      <c r="L26" s="390"/>
      <c r="M26" s="391"/>
      <c r="N26" s="390"/>
      <c r="O26" s="391"/>
      <c r="P26" s="390"/>
      <c r="Q26" s="391"/>
      <c r="R26" s="390"/>
      <c r="S26" s="391"/>
      <c r="T26" s="390"/>
      <c r="U26" s="391"/>
      <c r="V26" s="390"/>
      <c r="W26" s="391"/>
      <c r="X26" s="390"/>
      <c r="Y26" s="391"/>
      <c r="Z26" s="390"/>
      <c r="AA26" s="391"/>
      <c r="AB26" s="390"/>
      <c r="AC26" s="391"/>
      <c r="AD26" s="390"/>
      <c r="AE26" s="391"/>
      <c r="AF26" s="390"/>
      <c r="AG26" s="391"/>
      <c r="AH26" s="390"/>
      <c r="AI26" s="391"/>
      <c r="AJ26" s="390"/>
      <c r="AK26" s="391"/>
      <c r="AL26" s="390"/>
      <c r="AM26" s="391"/>
      <c r="AN26" s="390"/>
      <c r="AO26" s="391"/>
      <c r="AP26" s="392"/>
      <c r="AQ26" s="53"/>
      <c r="AR26" s="53"/>
    </row>
    <row r="27" spans="1:44" s="201" customFormat="1" ht="12.75" hidden="1">
      <c r="A27" s="340" t="s">
        <v>56</v>
      </c>
      <c r="B27" s="341" t="s">
        <v>78</v>
      </c>
      <c r="C27" s="342"/>
      <c r="D27" s="343">
        <v>251260</v>
      </c>
      <c r="E27" s="343">
        <v>9</v>
      </c>
      <c r="F27" s="390">
        <v>4800</v>
      </c>
      <c r="G27" s="391">
        <v>4860</v>
      </c>
      <c r="H27" s="390">
        <v>8730</v>
      </c>
      <c r="I27" s="391">
        <v>8850</v>
      </c>
      <c r="J27" s="390"/>
      <c r="K27" s="391"/>
      <c r="L27" s="390"/>
      <c r="M27" s="391"/>
      <c r="N27" s="390"/>
      <c r="O27" s="391"/>
      <c r="P27" s="390"/>
      <c r="Q27" s="391"/>
      <c r="R27" s="390"/>
      <c r="S27" s="391"/>
      <c r="T27" s="390"/>
      <c r="U27" s="391"/>
      <c r="V27" s="390"/>
      <c r="W27" s="391"/>
      <c r="X27" s="390"/>
      <c r="Y27" s="391"/>
      <c r="Z27" s="390"/>
      <c r="AA27" s="391"/>
      <c r="AB27" s="390"/>
      <c r="AC27" s="391"/>
      <c r="AD27" s="390"/>
      <c r="AE27" s="391"/>
      <c r="AF27" s="390"/>
      <c r="AG27" s="391"/>
      <c r="AH27" s="390"/>
      <c r="AI27" s="391"/>
      <c r="AJ27" s="390"/>
      <c r="AK27" s="391"/>
      <c r="AL27" s="390"/>
      <c r="AM27" s="391"/>
      <c r="AN27" s="390"/>
      <c r="AO27" s="391"/>
      <c r="AP27" s="392"/>
      <c r="AQ27" s="53"/>
      <c r="AR27" s="53"/>
    </row>
    <row r="28" spans="1:44" s="201" customFormat="1" ht="12.75" hidden="1">
      <c r="A28" s="340" t="s">
        <v>56</v>
      </c>
      <c r="B28" s="341" t="s">
        <v>79</v>
      </c>
      <c r="C28" s="351"/>
      <c r="D28" s="343">
        <v>100760</v>
      </c>
      <c r="E28" s="343">
        <v>10</v>
      </c>
      <c r="F28" s="390">
        <v>4860</v>
      </c>
      <c r="G28" s="391">
        <v>4930</v>
      </c>
      <c r="H28" s="390">
        <v>8790</v>
      </c>
      <c r="I28" s="391">
        <v>8920</v>
      </c>
      <c r="J28" s="390"/>
      <c r="K28" s="391"/>
      <c r="L28" s="390"/>
      <c r="M28" s="391"/>
      <c r="N28" s="390"/>
      <c r="O28" s="391"/>
      <c r="P28" s="390"/>
      <c r="Q28" s="391"/>
      <c r="R28" s="390"/>
      <c r="S28" s="391"/>
      <c r="T28" s="390"/>
      <c r="U28" s="391"/>
      <c r="V28" s="390"/>
      <c r="W28" s="391"/>
      <c r="X28" s="390"/>
      <c r="Y28" s="391"/>
      <c r="Z28" s="390"/>
      <c r="AA28" s="391"/>
      <c r="AB28" s="390"/>
      <c r="AC28" s="391"/>
      <c r="AD28" s="390"/>
      <c r="AE28" s="391"/>
      <c r="AF28" s="390"/>
      <c r="AG28" s="391"/>
      <c r="AH28" s="390"/>
      <c r="AI28" s="391"/>
      <c r="AJ28" s="390"/>
      <c r="AK28" s="391"/>
      <c r="AL28" s="390"/>
      <c r="AM28" s="391"/>
      <c r="AN28" s="390"/>
      <c r="AO28" s="391"/>
      <c r="AP28" s="392"/>
      <c r="AQ28" s="53"/>
      <c r="AR28" s="53"/>
    </row>
    <row r="29" spans="1:44" s="201" customFormat="1" ht="12.75" hidden="1">
      <c r="A29" s="340" t="s">
        <v>56</v>
      </c>
      <c r="B29" s="350" t="s">
        <v>614</v>
      </c>
      <c r="C29" s="342"/>
      <c r="D29" s="343">
        <v>101028</v>
      </c>
      <c r="E29" s="343">
        <v>10</v>
      </c>
      <c r="F29" s="390">
        <v>4860</v>
      </c>
      <c r="G29" s="391">
        <v>4920</v>
      </c>
      <c r="H29" s="390">
        <v>8790</v>
      </c>
      <c r="I29" s="391">
        <v>8910</v>
      </c>
      <c r="J29" s="390"/>
      <c r="K29" s="391"/>
      <c r="L29" s="390"/>
      <c r="M29" s="391"/>
      <c r="N29" s="390"/>
      <c r="O29" s="391"/>
      <c r="P29" s="390"/>
      <c r="Q29" s="391"/>
      <c r="R29" s="390"/>
      <c r="S29" s="391"/>
      <c r="T29" s="390"/>
      <c r="U29" s="391"/>
      <c r="V29" s="390"/>
      <c r="W29" s="391"/>
      <c r="X29" s="390"/>
      <c r="Y29" s="391"/>
      <c r="Z29" s="390"/>
      <c r="AA29" s="391"/>
      <c r="AB29" s="390"/>
      <c r="AC29" s="391"/>
      <c r="AD29" s="390"/>
      <c r="AE29" s="391"/>
      <c r="AF29" s="390"/>
      <c r="AG29" s="391"/>
      <c r="AH29" s="390"/>
      <c r="AI29" s="391"/>
      <c r="AJ29" s="390"/>
      <c r="AK29" s="391"/>
      <c r="AL29" s="390"/>
      <c r="AM29" s="391"/>
      <c r="AN29" s="390"/>
      <c r="AO29" s="391"/>
      <c r="AP29" s="392"/>
      <c r="AQ29" s="53"/>
      <c r="AR29" s="53"/>
    </row>
    <row r="30" spans="1:44" s="201" customFormat="1" ht="12.75" hidden="1">
      <c r="A30" s="340" t="s">
        <v>56</v>
      </c>
      <c r="B30" s="353" t="s">
        <v>615</v>
      </c>
      <c r="C30" s="344"/>
      <c r="D30" s="343">
        <v>101143</v>
      </c>
      <c r="E30" s="343">
        <v>10</v>
      </c>
      <c r="F30" s="390">
        <v>4800</v>
      </c>
      <c r="G30" s="391">
        <v>4860</v>
      </c>
      <c r="H30" s="390">
        <v>8730</v>
      </c>
      <c r="I30" s="391">
        <v>8850</v>
      </c>
      <c r="J30" s="390"/>
      <c r="K30" s="391"/>
      <c r="L30" s="390"/>
      <c r="M30" s="391"/>
      <c r="N30" s="390"/>
      <c r="O30" s="391"/>
      <c r="P30" s="390"/>
      <c r="Q30" s="391"/>
      <c r="R30" s="390"/>
      <c r="S30" s="391"/>
      <c r="T30" s="390"/>
      <c r="U30" s="391"/>
      <c r="V30" s="390"/>
      <c r="W30" s="391"/>
      <c r="X30" s="390"/>
      <c r="Y30" s="391"/>
      <c r="Z30" s="390"/>
      <c r="AA30" s="391"/>
      <c r="AB30" s="390"/>
      <c r="AC30" s="391"/>
      <c r="AD30" s="390"/>
      <c r="AE30" s="391"/>
      <c r="AF30" s="390"/>
      <c r="AG30" s="391"/>
      <c r="AH30" s="390"/>
      <c r="AI30" s="391"/>
      <c r="AJ30" s="390"/>
      <c r="AK30" s="391"/>
      <c r="AL30" s="390"/>
      <c r="AM30" s="391"/>
      <c r="AN30" s="390"/>
      <c r="AO30" s="391"/>
      <c r="AP30" s="392"/>
      <c r="AQ30" s="53"/>
      <c r="AR30" s="53"/>
    </row>
    <row r="31" spans="1:44" s="201" customFormat="1" ht="12.75" hidden="1">
      <c r="A31" s="340" t="s">
        <v>56</v>
      </c>
      <c r="B31" s="341" t="s">
        <v>80</v>
      </c>
      <c r="C31" s="342"/>
      <c r="D31" s="343">
        <v>101301</v>
      </c>
      <c r="E31" s="343">
        <v>10</v>
      </c>
      <c r="F31" s="390">
        <v>4500</v>
      </c>
      <c r="G31" s="391">
        <v>4560</v>
      </c>
      <c r="H31" s="390">
        <v>8430</v>
      </c>
      <c r="I31" s="391">
        <v>8550</v>
      </c>
      <c r="J31" s="390"/>
      <c r="K31" s="391"/>
      <c r="L31" s="390"/>
      <c r="M31" s="391"/>
      <c r="N31" s="390"/>
      <c r="O31" s="391"/>
      <c r="P31" s="390"/>
      <c r="Q31" s="391"/>
      <c r="R31" s="390"/>
      <c r="S31" s="391"/>
      <c r="T31" s="390"/>
      <c r="U31" s="391"/>
      <c r="V31" s="390"/>
      <c r="W31" s="391"/>
      <c r="X31" s="390"/>
      <c r="Y31" s="391"/>
      <c r="Z31" s="390"/>
      <c r="AA31" s="391"/>
      <c r="AB31" s="390"/>
      <c r="AC31" s="391"/>
      <c r="AD31" s="390"/>
      <c r="AE31" s="391"/>
      <c r="AF31" s="390"/>
      <c r="AG31" s="391"/>
      <c r="AH31" s="390"/>
      <c r="AI31" s="391"/>
      <c r="AJ31" s="390"/>
      <c r="AK31" s="391"/>
      <c r="AL31" s="390"/>
      <c r="AM31" s="391"/>
      <c r="AN31" s="390"/>
      <c r="AO31" s="391"/>
      <c r="AP31" s="392"/>
      <c r="AQ31" s="53"/>
      <c r="AR31" s="53"/>
    </row>
    <row r="32" spans="1:44" s="201" customFormat="1" ht="12.75" hidden="1">
      <c r="A32" s="340" t="s">
        <v>56</v>
      </c>
      <c r="B32" s="341" t="s">
        <v>81</v>
      </c>
      <c r="C32" s="342"/>
      <c r="D32" s="343">
        <v>101602</v>
      </c>
      <c r="E32" s="343">
        <v>10</v>
      </c>
      <c r="F32" s="390">
        <v>4800</v>
      </c>
      <c r="G32" s="391">
        <v>4860</v>
      </c>
      <c r="H32" s="390">
        <v>8730</v>
      </c>
      <c r="I32" s="391">
        <v>8850</v>
      </c>
      <c r="J32" s="390"/>
      <c r="K32" s="391"/>
      <c r="L32" s="390"/>
      <c r="M32" s="391"/>
      <c r="N32" s="390"/>
      <c r="O32" s="391"/>
      <c r="P32" s="390"/>
      <c r="Q32" s="391"/>
      <c r="R32" s="390"/>
      <c r="S32" s="391"/>
      <c r="T32" s="390"/>
      <c r="U32" s="391"/>
      <c r="V32" s="390"/>
      <c r="W32" s="391"/>
      <c r="X32" s="390"/>
      <c r="Y32" s="391"/>
      <c r="Z32" s="390"/>
      <c r="AA32" s="391"/>
      <c r="AB32" s="390"/>
      <c r="AC32" s="391"/>
      <c r="AD32" s="390"/>
      <c r="AE32" s="391"/>
      <c r="AF32" s="390"/>
      <c r="AG32" s="391"/>
      <c r="AH32" s="390"/>
      <c r="AI32" s="391"/>
      <c r="AJ32" s="390"/>
      <c r="AK32" s="391"/>
      <c r="AL32" s="390"/>
      <c r="AM32" s="391"/>
      <c r="AN32" s="390"/>
      <c r="AO32" s="391"/>
      <c r="AP32" s="392"/>
      <c r="AQ32" s="53"/>
      <c r="AR32" s="53"/>
    </row>
    <row r="33" spans="1:44" s="201" customFormat="1" ht="12.75" hidden="1">
      <c r="A33" s="340" t="s">
        <v>56</v>
      </c>
      <c r="B33" s="354" t="s">
        <v>616</v>
      </c>
      <c r="C33" s="218" t="s">
        <v>627</v>
      </c>
      <c r="D33" s="343">
        <v>101897</v>
      </c>
      <c r="E33" s="343">
        <v>10</v>
      </c>
      <c r="F33" s="390">
        <v>4800</v>
      </c>
      <c r="G33" s="391">
        <v>4860</v>
      </c>
      <c r="H33" s="390">
        <v>8730</v>
      </c>
      <c r="I33" s="391">
        <v>8850</v>
      </c>
      <c r="J33" s="390"/>
      <c r="K33" s="391"/>
      <c r="L33" s="390"/>
      <c r="M33" s="391"/>
      <c r="N33" s="390"/>
      <c r="O33" s="391"/>
      <c r="P33" s="390"/>
      <c r="Q33" s="391"/>
      <c r="R33" s="390"/>
      <c r="S33" s="391"/>
      <c r="T33" s="390"/>
      <c r="U33" s="391"/>
      <c r="V33" s="390"/>
      <c r="W33" s="391"/>
      <c r="X33" s="390"/>
      <c r="Y33" s="391"/>
      <c r="Z33" s="390"/>
      <c r="AA33" s="391"/>
      <c r="AB33" s="390"/>
      <c r="AC33" s="391"/>
      <c r="AD33" s="390"/>
      <c r="AE33" s="391"/>
      <c r="AF33" s="390"/>
      <c r="AG33" s="391"/>
      <c r="AH33" s="390"/>
      <c r="AI33" s="391"/>
      <c r="AJ33" s="390"/>
      <c r="AK33" s="391"/>
      <c r="AL33" s="390"/>
      <c r="AM33" s="391"/>
      <c r="AN33" s="390"/>
      <c r="AO33" s="391"/>
      <c r="AP33" s="392"/>
      <c r="AQ33" s="53"/>
      <c r="AR33" s="53"/>
    </row>
    <row r="34" spans="1:44" s="201" customFormat="1" ht="12.75" hidden="1">
      <c r="A34" s="340" t="s">
        <v>56</v>
      </c>
      <c r="B34" s="341" t="s">
        <v>82</v>
      </c>
      <c r="C34" s="218" t="s">
        <v>627</v>
      </c>
      <c r="D34" s="343">
        <v>102076</v>
      </c>
      <c r="E34" s="343">
        <v>10</v>
      </c>
      <c r="F34" s="390">
        <v>4950</v>
      </c>
      <c r="G34" s="391">
        <v>5010</v>
      </c>
      <c r="H34" s="390">
        <v>8880</v>
      </c>
      <c r="I34" s="391">
        <v>9000</v>
      </c>
      <c r="J34" s="390"/>
      <c r="K34" s="391"/>
      <c r="L34" s="390"/>
      <c r="M34" s="391"/>
      <c r="N34" s="390"/>
      <c r="O34" s="391"/>
      <c r="P34" s="390"/>
      <c r="Q34" s="391"/>
      <c r="R34" s="390"/>
      <c r="S34" s="391"/>
      <c r="T34" s="390"/>
      <c r="U34" s="391"/>
      <c r="V34" s="390"/>
      <c r="W34" s="391"/>
      <c r="X34" s="390"/>
      <c r="Y34" s="391"/>
      <c r="Z34" s="390"/>
      <c r="AA34" s="391"/>
      <c r="AB34" s="390"/>
      <c r="AC34" s="391"/>
      <c r="AD34" s="390"/>
      <c r="AE34" s="391"/>
      <c r="AF34" s="390"/>
      <c r="AG34" s="391"/>
      <c r="AH34" s="390"/>
      <c r="AI34" s="391"/>
      <c r="AJ34" s="390"/>
      <c r="AK34" s="391"/>
      <c r="AL34" s="390"/>
      <c r="AM34" s="391"/>
      <c r="AN34" s="390"/>
      <c r="AO34" s="391"/>
      <c r="AP34" s="392"/>
      <c r="AQ34" s="53"/>
      <c r="AR34" s="53"/>
    </row>
    <row r="35" spans="1:44" s="201" customFormat="1" ht="12.75" hidden="1">
      <c r="A35" s="340" t="s">
        <v>56</v>
      </c>
      <c r="B35" s="350" t="s">
        <v>617</v>
      </c>
      <c r="C35" s="351"/>
      <c r="D35" s="343">
        <v>102313</v>
      </c>
      <c r="E35" s="343">
        <v>12</v>
      </c>
      <c r="F35" s="390">
        <v>4710</v>
      </c>
      <c r="G35" s="391">
        <v>4770</v>
      </c>
      <c r="H35" s="390">
        <v>8640</v>
      </c>
      <c r="I35" s="391">
        <v>8760</v>
      </c>
      <c r="J35" s="390"/>
      <c r="K35" s="391"/>
      <c r="L35" s="390"/>
      <c r="M35" s="391"/>
      <c r="N35" s="390"/>
      <c r="O35" s="391"/>
      <c r="P35" s="390"/>
      <c r="Q35" s="391"/>
      <c r="R35" s="390"/>
      <c r="S35" s="391"/>
      <c r="T35" s="390"/>
      <c r="U35" s="391"/>
      <c r="V35" s="390"/>
      <c r="W35" s="391"/>
      <c r="X35" s="390"/>
      <c r="Y35" s="391"/>
      <c r="Z35" s="390"/>
      <c r="AA35" s="391"/>
      <c r="AB35" s="390"/>
      <c r="AC35" s="391"/>
      <c r="AD35" s="390"/>
      <c r="AE35" s="391"/>
      <c r="AF35" s="390"/>
      <c r="AG35" s="391"/>
      <c r="AH35" s="390"/>
      <c r="AI35" s="391"/>
      <c r="AJ35" s="390"/>
      <c r="AK35" s="391"/>
      <c r="AL35" s="390"/>
      <c r="AM35" s="391"/>
      <c r="AN35" s="390"/>
      <c r="AO35" s="391"/>
      <c r="AP35" s="392"/>
      <c r="AQ35" s="53"/>
      <c r="AR35" s="53"/>
    </row>
    <row r="36" spans="1:44" s="201" customFormat="1" ht="12.75" hidden="1">
      <c r="A36" s="340" t="s">
        <v>56</v>
      </c>
      <c r="B36" s="350" t="s">
        <v>618</v>
      </c>
      <c r="C36" s="342"/>
      <c r="D36" s="343">
        <v>101462</v>
      </c>
      <c r="E36" s="343">
        <v>13</v>
      </c>
      <c r="F36" s="390">
        <v>4770</v>
      </c>
      <c r="G36" s="391">
        <v>4830</v>
      </c>
      <c r="H36" s="390">
        <v>8700</v>
      </c>
      <c r="I36" s="391">
        <v>8820</v>
      </c>
      <c r="J36" s="390"/>
      <c r="K36" s="391"/>
      <c r="L36" s="390"/>
      <c r="M36" s="391"/>
      <c r="N36" s="390"/>
      <c r="O36" s="391"/>
      <c r="P36" s="390"/>
      <c r="Q36" s="391"/>
      <c r="R36" s="390"/>
      <c r="S36" s="391"/>
      <c r="T36" s="390"/>
      <c r="U36" s="391"/>
      <c r="V36" s="390"/>
      <c r="W36" s="391"/>
      <c r="X36" s="390"/>
      <c r="Y36" s="391"/>
      <c r="Z36" s="390"/>
      <c r="AA36" s="391"/>
      <c r="AB36" s="390"/>
      <c r="AC36" s="391"/>
      <c r="AD36" s="390"/>
      <c r="AE36" s="391"/>
      <c r="AF36" s="390"/>
      <c r="AG36" s="391"/>
      <c r="AH36" s="390"/>
      <c r="AI36" s="391"/>
      <c r="AJ36" s="390"/>
      <c r="AK36" s="391"/>
      <c r="AL36" s="390"/>
      <c r="AM36" s="391"/>
      <c r="AN36" s="390"/>
      <c r="AO36" s="391"/>
      <c r="AP36" s="392"/>
      <c r="AQ36" s="53"/>
      <c r="AR36" s="53"/>
    </row>
    <row r="37" spans="1:44" s="201" customFormat="1" ht="12.75" hidden="1">
      <c r="A37" s="340" t="s">
        <v>56</v>
      </c>
      <c r="B37" s="341" t="s">
        <v>83</v>
      </c>
      <c r="C37" s="342"/>
      <c r="D37" s="343">
        <v>101471</v>
      </c>
      <c r="E37" s="343">
        <v>13</v>
      </c>
      <c r="F37" s="390">
        <v>4500</v>
      </c>
      <c r="G37" s="391">
        <v>5070</v>
      </c>
      <c r="H37" s="390"/>
      <c r="I37" s="391">
        <v>0</v>
      </c>
      <c r="J37" s="390"/>
      <c r="K37" s="391"/>
      <c r="L37" s="390"/>
      <c r="M37" s="391"/>
      <c r="N37" s="390"/>
      <c r="O37" s="391"/>
      <c r="P37" s="390"/>
      <c r="Q37" s="391"/>
      <c r="R37" s="390"/>
      <c r="S37" s="391"/>
      <c r="T37" s="390"/>
      <c r="U37" s="391"/>
      <c r="V37" s="390"/>
      <c r="W37" s="391"/>
      <c r="X37" s="390"/>
      <c r="Y37" s="391"/>
      <c r="Z37" s="390"/>
      <c r="AA37" s="391"/>
      <c r="AB37" s="390"/>
      <c r="AC37" s="391"/>
      <c r="AD37" s="390"/>
      <c r="AE37" s="391"/>
      <c r="AF37" s="390"/>
      <c r="AG37" s="391"/>
      <c r="AH37" s="390"/>
      <c r="AI37" s="391"/>
      <c r="AJ37" s="390"/>
      <c r="AK37" s="391"/>
      <c r="AL37" s="390"/>
      <c r="AM37" s="391"/>
      <c r="AN37" s="390"/>
      <c r="AO37" s="391"/>
      <c r="AP37" s="392"/>
      <c r="AQ37" s="53"/>
      <c r="AR37" s="53"/>
    </row>
    <row r="38" spans="1:44" s="201" customFormat="1" ht="12.75" hidden="1">
      <c r="A38" s="340" t="s">
        <v>56</v>
      </c>
      <c r="B38" s="341" t="s">
        <v>85</v>
      </c>
      <c r="C38" s="342"/>
      <c r="D38" s="343">
        <v>101994</v>
      </c>
      <c r="E38" s="343">
        <v>13</v>
      </c>
      <c r="F38" s="390">
        <v>4840</v>
      </c>
      <c r="G38" s="391">
        <v>4900</v>
      </c>
      <c r="H38" s="390">
        <v>8770</v>
      </c>
      <c r="I38" s="391">
        <v>8890</v>
      </c>
      <c r="J38" s="390"/>
      <c r="K38" s="391"/>
      <c r="L38" s="390"/>
      <c r="M38" s="391"/>
      <c r="N38" s="390"/>
      <c r="O38" s="391"/>
      <c r="P38" s="390"/>
      <c r="Q38" s="391"/>
      <c r="R38" s="390"/>
      <c r="S38" s="391"/>
      <c r="T38" s="390"/>
      <c r="U38" s="391"/>
      <c r="V38" s="390"/>
      <c r="W38" s="391"/>
      <c r="X38" s="390"/>
      <c r="Y38" s="391"/>
      <c r="Z38" s="390"/>
      <c r="AA38" s="391"/>
      <c r="AB38" s="390"/>
      <c r="AC38" s="391"/>
      <c r="AD38" s="390"/>
      <c r="AE38" s="391"/>
      <c r="AF38" s="390"/>
      <c r="AG38" s="391"/>
      <c r="AH38" s="390"/>
      <c r="AI38" s="391"/>
      <c r="AJ38" s="390"/>
      <c r="AK38" s="391"/>
      <c r="AL38" s="390"/>
      <c r="AM38" s="391"/>
      <c r="AN38" s="390"/>
      <c r="AO38" s="391"/>
      <c r="AP38" s="392"/>
      <c r="AQ38" s="53"/>
      <c r="AR38" s="53"/>
    </row>
    <row r="39" spans="1:44" s="201" customFormat="1" ht="12.75" hidden="1">
      <c r="A39" s="340" t="s">
        <v>56</v>
      </c>
      <c r="B39" s="341" t="s">
        <v>86</v>
      </c>
      <c r="C39" s="342"/>
      <c r="D39" s="343">
        <v>101648</v>
      </c>
      <c r="E39" s="343">
        <v>15</v>
      </c>
      <c r="F39" s="390">
        <v>9190</v>
      </c>
      <c r="G39" s="391">
        <v>9190</v>
      </c>
      <c r="H39" s="390">
        <v>15190</v>
      </c>
      <c r="I39" s="391">
        <v>15190</v>
      </c>
      <c r="J39" s="390"/>
      <c r="K39" s="391"/>
      <c r="L39" s="390"/>
      <c r="M39" s="391"/>
      <c r="N39" s="390"/>
      <c r="O39" s="391"/>
      <c r="P39" s="390"/>
      <c r="Q39" s="391"/>
      <c r="R39" s="390"/>
      <c r="S39" s="391"/>
      <c r="T39" s="390"/>
      <c r="U39" s="391"/>
      <c r="V39" s="390"/>
      <c r="W39" s="391"/>
      <c r="X39" s="390"/>
      <c r="Y39" s="391"/>
      <c r="Z39" s="390"/>
      <c r="AA39" s="391"/>
      <c r="AB39" s="390"/>
      <c r="AC39" s="391"/>
      <c r="AD39" s="390"/>
      <c r="AE39" s="391"/>
      <c r="AF39" s="390"/>
      <c r="AG39" s="391"/>
      <c r="AH39" s="390"/>
      <c r="AI39" s="391"/>
      <c r="AJ39" s="390"/>
      <c r="AK39" s="391"/>
      <c r="AL39" s="390"/>
      <c r="AM39" s="391"/>
      <c r="AN39" s="390"/>
      <c r="AO39" s="391"/>
      <c r="AP39" s="392"/>
      <c r="AQ39" s="53"/>
      <c r="AR39" s="53"/>
    </row>
    <row r="40" spans="1:44" s="201" customFormat="1" ht="12.75" hidden="1">
      <c r="A40" s="219" t="s">
        <v>87</v>
      </c>
      <c r="B40" s="220" t="s">
        <v>90</v>
      </c>
      <c r="C40" s="221"/>
      <c r="D40" s="222">
        <v>106458</v>
      </c>
      <c r="E40" s="222">
        <v>3</v>
      </c>
      <c r="F40" s="390">
        <v>8608</v>
      </c>
      <c r="G40" s="391">
        <v>8900</v>
      </c>
      <c r="H40" s="390">
        <v>15298</v>
      </c>
      <c r="I40" s="391">
        <v>15860</v>
      </c>
      <c r="J40" s="390">
        <v>8264</v>
      </c>
      <c r="K40" s="391">
        <v>8546</v>
      </c>
      <c r="L40" s="390">
        <v>14672</v>
      </c>
      <c r="M40" s="391">
        <v>15194</v>
      </c>
      <c r="N40" s="390"/>
      <c r="O40" s="391"/>
      <c r="P40" s="390"/>
      <c r="Q40" s="391"/>
      <c r="R40" s="390"/>
      <c r="S40" s="391"/>
      <c r="T40" s="390"/>
      <c r="U40" s="391"/>
      <c r="V40" s="390"/>
      <c r="W40" s="391"/>
      <c r="X40" s="390"/>
      <c r="Y40" s="391"/>
      <c r="Z40" s="390"/>
      <c r="AA40" s="391"/>
      <c r="AB40" s="390"/>
      <c r="AC40" s="391"/>
      <c r="AD40" s="390"/>
      <c r="AE40" s="391"/>
      <c r="AF40" s="390"/>
      <c r="AG40" s="391"/>
      <c r="AH40" s="390"/>
      <c r="AI40" s="391"/>
      <c r="AJ40" s="390"/>
      <c r="AK40" s="391"/>
      <c r="AL40" s="390"/>
      <c r="AM40" s="391"/>
      <c r="AN40" s="390"/>
      <c r="AO40" s="391"/>
    </row>
    <row r="41" spans="1:44" s="201" customFormat="1" ht="12.75" hidden="1">
      <c r="A41" s="219" t="s">
        <v>87</v>
      </c>
      <c r="B41" s="220" t="s">
        <v>91</v>
      </c>
      <c r="C41" s="223"/>
      <c r="D41" s="222">
        <v>106467</v>
      </c>
      <c r="E41" s="222">
        <v>3</v>
      </c>
      <c r="F41" s="390">
        <v>9068</v>
      </c>
      <c r="G41" s="391">
        <v>9255</v>
      </c>
      <c r="H41" s="390">
        <v>15848</v>
      </c>
      <c r="I41" s="391">
        <v>16215</v>
      </c>
      <c r="J41" s="390">
        <v>8646</v>
      </c>
      <c r="K41" s="391">
        <v>8844</v>
      </c>
      <c r="L41" s="390">
        <v>15462</v>
      </c>
      <c r="M41" s="391">
        <v>15852</v>
      </c>
      <c r="N41" s="390"/>
      <c r="O41" s="391"/>
      <c r="P41" s="390"/>
      <c r="Q41" s="391"/>
      <c r="R41" s="390"/>
      <c r="S41" s="391"/>
      <c r="T41" s="390"/>
      <c r="U41" s="391"/>
      <c r="V41" s="390"/>
      <c r="W41" s="391"/>
      <c r="X41" s="390"/>
      <c r="Y41" s="391"/>
      <c r="Z41" s="390"/>
      <c r="AA41" s="391"/>
      <c r="AB41" s="390"/>
      <c r="AC41" s="391"/>
      <c r="AD41" s="390"/>
      <c r="AE41" s="391"/>
      <c r="AF41" s="390"/>
      <c r="AG41" s="391"/>
      <c r="AH41" s="390"/>
      <c r="AI41" s="391"/>
      <c r="AJ41" s="390"/>
      <c r="AK41" s="391"/>
      <c r="AL41" s="390"/>
      <c r="AM41" s="391"/>
      <c r="AN41" s="390"/>
      <c r="AO41" s="391"/>
    </row>
    <row r="42" spans="1:44" s="201" customFormat="1" ht="12.75" hidden="1">
      <c r="A42" s="219" t="s">
        <v>87</v>
      </c>
      <c r="B42" s="220" t="s">
        <v>93</v>
      </c>
      <c r="C42" s="221"/>
      <c r="D42" s="222">
        <v>107071</v>
      </c>
      <c r="E42" s="222">
        <v>4</v>
      </c>
      <c r="F42" s="390">
        <v>8436</v>
      </c>
      <c r="G42" s="391">
        <v>8811</v>
      </c>
      <c r="H42" s="390">
        <v>10086</v>
      </c>
      <c r="I42" s="391">
        <v>10521</v>
      </c>
      <c r="J42" s="390">
        <v>8001</v>
      </c>
      <c r="K42" s="391">
        <v>8349</v>
      </c>
      <c r="L42" s="390">
        <v>9609</v>
      </c>
      <c r="M42" s="391">
        <v>10029</v>
      </c>
      <c r="N42" s="390"/>
      <c r="O42" s="391"/>
      <c r="P42" s="390"/>
      <c r="Q42" s="391"/>
      <c r="R42" s="390"/>
      <c r="S42" s="391"/>
      <c r="T42" s="390"/>
      <c r="U42" s="391"/>
      <c r="V42" s="390"/>
      <c r="W42" s="391"/>
      <c r="X42" s="390"/>
      <c r="Y42" s="391"/>
      <c r="Z42" s="390"/>
      <c r="AA42" s="391"/>
      <c r="AB42" s="390"/>
      <c r="AC42" s="391"/>
      <c r="AD42" s="390"/>
      <c r="AE42" s="391"/>
      <c r="AF42" s="390"/>
      <c r="AG42" s="391"/>
      <c r="AH42" s="390"/>
      <c r="AI42" s="391"/>
      <c r="AJ42" s="390"/>
      <c r="AK42" s="391"/>
      <c r="AL42" s="390"/>
      <c r="AM42" s="391"/>
      <c r="AN42" s="390"/>
      <c r="AO42" s="391"/>
    </row>
    <row r="43" spans="1:44" s="201" customFormat="1" ht="12.75" hidden="1">
      <c r="A43" s="219" t="s">
        <v>87</v>
      </c>
      <c r="B43" s="220" t="s">
        <v>94</v>
      </c>
      <c r="C43" s="223"/>
      <c r="D43" s="222">
        <v>107983</v>
      </c>
      <c r="E43" s="222">
        <v>4</v>
      </c>
      <c r="F43" s="390">
        <v>8676</v>
      </c>
      <c r="G43" s="391">
        <v>8980</v>
      </c>
      <c r="H43" s="390">
        <v>12786</v>
      </c>
      <c r="I43" s="391">
        <v>13480</v>
      </c>
      <c r="J43" s="390">
        <v>8316</v>
      </c>
      <c r="K43" s="391">
        <v>8766</v>
      </c>
      <c r="L43" s="390">
        <v>11964</v>
      </c>
      <c r="M43" s="391">
        <v>12606</v>
      </c>
      <c r="N43" s="390"/>
      <c r="O43" s="391"/>
      <c r="P43" s="390"/>
      <c r="Q43" s="391"/>
      <c r="R43" s="390"/>
      <c r="S43" s="391"/>
      <c r="T43" s="390"/>
      <c r="U43" s="391"/>
      <c r="V43" s="390"/>
      <c r="W43" s="391"/>
      <c r="X43" s="390"/>
      <c r="Y43" s="391"/>
      <c r="Z43" s="390"/>
      <c r="AA43" s="391"/>
      <c r="AB43" s="390"/>
      <c r="AC43" s="391"/>
      <c r="AD43" s="390"/>
      <c r="AE43" s="391"/>
      <c r="AF43" s="390"/>
      <c r="AG43" s="391"/>
      <c r="AH43" s="390"/>
      <c r="AI43" s="391"/>
      <c r="AJ43" s="390"/>
      <c r="AK43" s="391"/>
      <c r="AL43" s="390"/>
      <c r="AM43" s="391"/>
      <c r="AN43" s="390"/>
      <c r="AO43" s="391"/>
    </row>
    <row r="44" spans="1:44" s="201" customFormat="1" ht="12.75" hidden="1">
      <c r="A44" s="219" t="s">
        <v>87</v>
      </c>
      <c r="B44" s="220" t="s">
        <v>88</v>
      </c>
      <c r="C44" s="221"/>
      <c r="D44" s="222">
        <v>106397</v>
      </c>
      <c r="E44" s="222">
        <v>1</v>
      </c>
      <c r="F44" s="390">
        <v>9129</v>
      </c>
      <c r="G44" s="391">
        <v>9385</v>
      </c>
      <c r="H44" s="390">
        <v>25167</v>
      </c>
      <c r="I44" s="391">
        <v>25873</v>
      </c>
      <c r="J44" s="390">
        <v>11482</v>
      </c>
      <c r="K44" s="391">
        <v>11789</v>
      </c>
      <c r="L44" s="390">
        <v>28699</v>
      </c>
      <c r="M44" s="391">
        <v>29494</v>
      </c>
      <c r="N44" s="390">
        <v>12950</v>
      </c>
      <c r="O44" s="391">
        <v>13283</v>
      </c>
      <c r="P44" s="390">
        <v>29000</v>
      </c>
      <c r="Q44" s="391">
        <v>29791</v>
      </c>
      <c r="R44" s="390"/>
      <c r="S44" s="391"/>
      <c r="T44" s="390"/>
      <c r="U44" s="391"/>
      <c r="V44" s="390"/>
      <c r="W44" s="391"/>
      <c r="X44" s="390"/>
      <c r="Y44" s="391"/>
      <c r="Z44" s="390"/>
      <c r="AA44" s="391"/>
      <c r="AB44" s="390"/>
      <c r="AC44" s="391"/>
      <c r="AD44" s="390"/>
      <c r="AE44" s="391"/>
      <c r="AF44" s="390"/>
      <c r="AG44" s="391"/>
      <c r="AH44" s="390"/>
      <c r="AI44" s="391"/>
      <c r="AJ44" s="390"/>
      <c r="AK44" s="391"/>
      <c r="AL44" s="390"/>
      <c r="AM44" s="391"/>
      <c r="AN44" s="390"/>
      <c r="AO44" s="391"/>
    </row>
    <row r="45" spans="1:44" s="201" customFormat="1" ht="12.75">
      <c r="A45" s="219" t="s">
        <v>87</v>
      </c>
      <c r="B45" s="220" t="s">
        <v>96</v>
      </c>
      <c r="C45" s="221"/>
      <c r="D45" s="222">
        <v>108092</v>
      </c>
      <c r="E45" s="222">
        <v>6</v>
      </c>
      <c r="F45" s="390">
        <v>7128</v>
      </c>
      <c r="G45" s="391">
        <v>7339</v>
      </c>
      <c r="H45" s="390">
        <v>15969</v>
      </c>
      <c r="I45" s="391">
        <v>16429</v>
      </c>
      <c r="J45" s="390">
        <v>9768</v>
      </c>
      <c r="K45" s="391">
        <v>10106</v>
      </c>
      <c r="L45" s="390">
        <v>15768</v>
      </c>
      <c r="M45" s="391">
        <v>15842</v>
      </c>
      <c r="N45" s="390"/>
      <c r="O45" s="391"/>
      <c r="P45" s="390"/>
      <c r="Q45" s="391"/>
      <c r="R45" s="390"/>
      <c r="S45" s="391"/>
      <c r="T45" s="390"/>
      <c r="U45" s="391"/>
      <c r="V45" s="390"/>
      <c r="W45" s="391"/>
      <c r="X45" s="390"/>
      <c r="Y45" s="391"/>
      <c r="Z45" s="390"/>
      <c r="AA45" s="391"/>
      <c r="AB45" s="390"/>
      <c r="AC45" s="391"/>
      <c r="AD45" s="390"/>
      <c r="AE45" s="391"/>
      <c r="AF45" s="390"/>
      <c r="AG45" s="391"/>
      <c r="AH45" s="390"/>
      <c r="AI45" s="391"/>
      <c r="AJ45" s="390"/>
      <c r="AK45" s="391"/>
      <c r="AL45" s="390"/>
      <c r="AM45" s="391"/>
      <c r="AN45" s="390"/>
      <c r="AO45" s="391"/>
    </row>
    <row r="46" spans="1:44" s="201" customFormat="1" ht="12.75" hidden="1">
      <c r="A46" s="219" t="s">
        <v>87</v>
      </c>
      <c r="B46" s="220" t="s">
        <v>89</v>
      </c>
      <c r="C46" s="221"/>
      <c r="D46" s="222">
        <v>106245</v>
      </c>
      <c r="E46" s="222">
        <v>2</v>
      </c>
      <c r="F46" s="390">
        <v>9439</v>
      </c>
      <c r="G46" s="391">
        <v>9529</v>
      </c>
      <c r="H46" s="390">
        <v>21694</v>
      </c>
      <c r="I46" s="391">
        <v>21784</v>
      </c>
      <c r="J46" s="390">
        <v>10047</v>
      </c>
      <c r="K46" s="391">
        <v>10119</v>
      </c>
      <c r="L46" s="390">
        <v>19767</v>
      </c>
      <c r="M46" s="391">
        <v>19839</v>
      </c>
      <c r="N46" s="390">
        <v>13125</v>
      </c>
      <c r="O46" s="391">
        <v>13693</v>
      </c>
      <c r="P46" s="390">
        <v>25880</v>
      </c>
      <c r="Q46" s="391">
        <v>26448</v>
      </c>
      <c r="R46" s="390"/>
      <c r="S46" s="391"/>
      <c r="T46" s="390"/>
      <c r="U46" s="391"/>
      <c r="V46" s="390"/>
      <c r="W46" s="391"/>
      <c r="X46" s="390"/>
      <c r="Y46" s="391"/>
      <c r="Z46" s="390"/>
      <c r="AA46" s="391"/>
      <c r="AB46" s="390"/>
      <c r="AC46" s="391"/>
      <c r="AD46" s="390"/>
      <c r="AE46" s="391"/>
      <c r="AF46" s="390"/>
      <c r="AG46" s="391"/>
      <c r="AH46" s="390"/>
      <c r="AI46" s="391"/>
      <c r="AJ46" s="390"/>
      <c r="AK46" s="391"/>
      <c r="AL46" s="390"/>
      <c r="AM46" s="391"/>
      <c r="AN46" s="390"/>
      <c r="AO46" s="391"/>
    </row>
    <row r="47" spans="1:44" s="201" customFormat="1" ht="12.75" hidden="1">
      <c r="A47" s="219" t="s">
        <v>87</v>
      </c>
      <c r="B47" s="220" t="s">
        <v>95</v>
      </c>
      <c r="C47" s="221"/>
      <c r="D47" s="222">
        <v>106485</v>
      </c>
      <c r="E47" s="222">
        <v>4</v>
      </c>
      <c r="F47" s="390">
        <v>7696</v>
      </c>
      <c r="G47" s="391">
        <v>7909</v>
      </c>
      <c r="H47" s="390">
        <v>13546</v>
      </c>
      <c r="I47" s="391">
        <v>13759</v>
      </c>
      <c r="J47" s="390">
        <v>8881</v>
      </c>
      <c r="K47" s="391">
        <v>9127</v>
      </c>
      <c r="L47" s="390">
        <v>14761</v>
      </c>
      <c r="M47" s="391">
        <v>15007</v>
      </c>
      <c r="N47" s="390"/>
      <c r="O47" s="391"/>
      <c r="P47" s="390"/>
      <c r="Q47" s="391"/>
      <c r="R47" s="390"/>
      <c r="S47" s="391"/>
      <c r="T47" s="390"/>
      <c r="U47" s="391"/>
      <c r="V47" s="390"/>
      <c r="W47" s="391"/>
      <c r="X47" s="390"/>
      <c r="Y47" s="391"/>
      <c r="Z47" s="390"/>
      <c r="AA47" s="391"/>
      <c r="AB47" s="390"/>
      <c r="AC47" s="391"/>
      <c r="AD47" s="390"/>
      <c r="AE47" s="391"/>
      <c r="AF47" s="390"/>
      <c r="AG47" s="391"/>
      <c r="AH47" s="390"/>
      <c r="AI47" s="391"/>
      <c r="AJ47" s="390"/>
      <c r="AK47" s="391"/>
      <c r="AL47" s="390"/>
      <c r="AM47" s="391"/>
      <c r="AN47" s="390"/>
      <c r="AO47" s="391"/>
    </row>
    <row r="48" spans="1:44" s="201" customFormat="1" ht="12.75" hidden="1">
      <c r="A48" s="219" t="s">
        <v>87</v>
      </c>
      <c r="B48" s="220" t="s">
        <v>116</v>
      </c>
      <c r="C48" s="221"/>
      <c r="D48" s="222">
        <v>106263</v>
      </c>
      <c r="E48" s="222">
        <v>15</v>
      </c>
      <c r="F48" s="390">
        <v>7537</v>
      </c>
      <c r="G48" s="391">
        <v>7658</v>
      </c>
      <c r="H48" s="390">
        <v>15121</v>
      </c>
      <c r="I48" s="391">
        <v>15386</v>
      </c>
      <c r="J48" s="390">
        <v>8605</v>
      </c>
      <c r="K48" s="391">
        <v>8606</v>
      </c>
      <c r="L48" s="390">
        <v>16687</v>
      </c>
      <c r="M48" s="391">
        <v>16688</v>
      </c>
      <c r="N48" s="390"/>
      <c r="O48" s="391"/>
      <c r="P48" s="390"/>
      <c r="Q48" s="391"/>
      <c r="R48" s="390">
        <v>34667</v>
      </c>
      <c r="S48" s="391">
        <v>34668</v>
      </c>
      <c r="T48" s="390">
        <v>66837</v>
      </c>
      <c r="U48" s="391">
        <v>66838</v>
      </c>
      <c r="V48" s="390"/>
      <c r="W48" s="391"/>
      <c r="X48" s="390"/>
      <c r="Y48" s="391"/>
      <c r="Z48" s="390">
        <v>20937</v>
      </c>
      <c r="AA48" s="391">
        <v>20938</v>
      </c>
      <c r="AB48" s="390">
        <v>40217</v>
      </c>
      <c r="AC48" s="391">
        <v>40218</v>
      </c>
      <c r="AD48" s="390"/>
      <c r="AE48" s="391"/>
      <c r="AF48" s="390"/>
      <c r="AG48" s="391"/>
      <c r="AH48" s="390"/>
      <c r="AI48" s="391"/>
      <c r="AJ48" s="390"/>
      <c r="AK48" s="391"/>
      <c r="AL48" s="390"/>
      <c r="AM48" s="391"/>
      <c r="AN48" s="390"/>
      <c r="AO48" s="391"/>
    </row>
    <row r="49" spans="1:41" s="201" customFormat="1" ht="12.75">
      <c r="A49" s="219" t="s">
        <v>87</v>
      </c>
      <c r="B49" s="220" t="s">
        <v>97</v>
      </c>
      <c r="C49" s="375" t="s">
        <v>906</v>
      </c>
      <c r="D49" s="222">
        <v>106412</v>
      </c>
      <c r="E49" s="222">
        <v>6</v>
      </c>
      <c r="F49" s="390">
        <v>7842</v>
      </c>
      <c r="G49" s="391">
        <v>8064</v>
      </c>
      <c r="H49" s="390">
        <v>14094</v>
      </c>
      <c r="I49" s="391">
        <v>14574</v>
      </c>
      <c r="J49" s="390">
        <v>7210</v>
      </c>
      <c r="K49" s="391">
        <v>7570</v>
      </c>
      <c r="L49" s="390">
        <v>13642</v>
      </c>
      <c r="M49" s="391">
        <v>14146</v>
      </c>
      <c r="N49" s="390"/>
      <c r="O49" s="391"/>
      <c r="P49" s="390"/>
      <c r="Q49" s="391"/>
      <c r="R49" s="390"/>
      <c r="S49" s="391"/>
      <c r="T49" s="390"/>
      <c r="U49" s="391"/>
      <c r="V49" s="390"/>
      <c r="W49" s="391"/>
      <c r="X49" s="390"/>
      <c r="Y49" s="391"/>
      <c r="Z49" s="390"/>
      <c r="AA49" s="391"/>
      <c r="AB49" s="390"/>
      <c r="AC49" s="391"/>
      <c r="AD49" s="390"/>
      <c r="AE49" s="391"/>
      <c r="AF49" s="390"/>
      <c r="AG49" s="391"/>
      <c r="AH49" s="390"/>
      <c r="AI49" s="391"/>
      <c r="AJ49" s="390"/>
      <c r="AK49" s="391"/>
      <c r="AL49" s="390"/>
      <c r="AM49" s="391"/>
      <c r="AN49" s="390"/>
      <c r="AO49" s="391"/>
    </row>
    <row r="50" spans="1:41" s="201" customFormat="1" ht="12.75" hidden="1">
      <c r="A50" s="219" t="s">
        <v>87</v>
      </c>
      <c r="B50" s="220" t="s">
        <v>92</v>
      </c>
      <c r="C50" s="221"/>
      <c r="D50" s="222">
        <v>106704</v>
      </c>
      <c r="E50" s="222">
        <v>3</v>
      </c>
      <c r="F50" s="390">
        <v>8751</v>
      </c>
      <c r="G50" s="391">
        <v>9188</v>
      </c>
      <c r="H50" s="390">
        <v>15274</v>
      </c>
      <c r="I50" s="391">
        <v>15998</v>
      </c>
      <c r="J50" s="390">
        <v>8231</v>
      </c>
      <c r="K50" s="391">
        <v>8633</v>
      </c>
      <c r="L50" s="390">
        <v>14640</v>
      </c>
      <c r="M50" s="391">
        <v>15324</v>
      </c>
      <c r="N50" s="390"/>
      <c r="O50" s="391"/>
      <c r="P50" s="390"/>
      <c r="Q50" s="391"/>
      <c r="R50" s="390"/>
      <c r="S50" s="391"/>
      <c r="T50" s="390"/>
      <c r="U50" s="391"/>
      <c r="V50" s="390"/>
      <c r="W50" s="391"/>
      <c r="X50" s="390"/>
      <c r="Y50" s="391"/>
      <c r="Z50" s="390"/>
      <c r="AA50" s="391"/>
      <c r="AB50" s="390"/>
      <c r="AC50" s="391"/>
      <c r="AD50" s="390"/>
      <c r="AE50" s="391"/>
      <c r="AF50" s="390"/>
      <c r="AG50" s="391"/>
      <c r="AH50" s="390"/>
      <c r="AI50" s="391"/>
      <c r="AJ50" s="390"/>
      <c r="AK50" s="391"/>
      <c r="AL50" s="390"/>
      <c r="AM50" s="391"/>
      <c r="AN50" s="390"/>
      <c r="AO50" s="391"/>
    </row>
    <row r="51" spans="1:41" s="201" customFormat="1" ht="12.75" hidden="1">
      <c r="A51" s="219" t="s">
        <v>87</v>
      </c>
      <c r="B51" s="220" t="s">
        <v>101</v>
      </c>
      <c r="C51" s="221"/>
      <c r="D51" s="222">
        <v>107327</v>
      </c>
      <c r="E51" s="222">
        <v>10</v>
      </c>
      <c r="F51" s="390">
        <v>2480</v>
      </c>
      <c r="G51" s="391">
        <v>2510</v>
      </c>
      <c r="H51" s="390">
        <v>4280</v>
      </c>
      <c r="I51" s="391">
        <v>4310</v>
      </c>
      <c r="J51" s="390"/>
      <c r="K51" s="391"/>
      <c r="L51" s="390"/>
      <c r="M51" s="391"/>
      <c r="N51" s="390"/>
      <c r="O51" s="391"/>
      <c r="P51" s="390"/>
      <c r="Q51" s="391"/>
      <c r="R51" s="390"/>
      <c r="S51" s="391"/>
      <c r="T51" s="390"/>
      <c r="U51" s="391"/>
      <c r="V51" s="390"/>
      <c r="W51" s="391"/>
      <c r="X51" s="390"/>
      <c r="Y51" s="391"/>
      <c r="Z51" s="390"/>
      <c r="AA51" s="391"/>
      <c r="AB51" s="390"/>
      <c r="AC51" s="391"/>
      <c r="AD51" s="390"/>
      <c r="AE51" s="391"/>
      <c r="AF51" s="390"/>
      <c r="AG51" s="391"/>
      <c r="AH51" s="390"/>
      <c r="AI51" s="391"/>
      <c r="AJ51" s="390"/>
      <c r="AK51" s="391"/>
      <c r="AL51" s="390"/>
      <c r="AM51" s="391"/>
      <c r="AN51" s="390"/>
      <c r="AO51" s="391"/>
    </row>
    <row r="52" spans="1:41" s="201" customFormat="1" ht="12.75" hidden="1">
      <c r="A52" s="219" t="s">
        <v>87</v>
      </c>
      <c r="B52" s="220" t="s">
        <v>99</v>
      </c>
      <c r="C52" s="221"/>
      <c r="D52" s="222">
        <v>106449</v>
      </c>
      <c r="E52" s="222">
        <v>9</v>
      </c>
      <c r="F52" s="390">
        <v>3600</v>
      </c>
      <c r="G52" s="391">
        <v>3660</v>
      </c>
      <c r="H52" s="390">
        <v>5760</v>
      </c>
      <c r="I52" s="391">
        <v>5820</v>
      </c>
      <c r="J52" s="390"/>
      <c r="K52" s="391"/>
      <c r="L52" s="390"/>
      <c r="M52" s="391"/>
      <c r="N52" s="390"/>
      <c r="O52" s="391"/>
      <c r="P52" s="390"/>
      <c r="Q52" s="391"/>
      <c r="R52" s="390"/>
      <c r="S52" s="391"/>
      <c r="T52" s="390"/>
      <c r="U52" s="391"/>
      <c r="V52" s="390"/>
      <c r="W52" s="391"/>
      <c r="X52" s="390"/>
      <c r="Y52" s="391"/>
      <c r="Z52" s="390"/>
      <c r="AA52" s="391"/>
      <c r="AB52" s="390"/>
      <c r="AC52" s="391"/>
      <c r="AD52" s="390"/>
      <c r="AE52" s="391"/>
      <c r="AF52" s="390"/>
      <c r="AG52" s="391"/>
      <c r="AH52" s="390"/>
      <c r="AI52" s="391"/>
      <c r="AJ52" s="390"/>
      <c r="AK52" s="391"/>
      <c r="AL52" s="390"/>
      <c r="AM52" s="391"/>
      <c r="AN52" s="390"/>
      <c r="AO52" s="391"/>
    </row>
    <row r="53" spans="1:41" s="201" customFormat="1" ht="12.75" hidden="1">
      <c r="A53" s="219" t="s">
        <v>87</v>
      </c>
      <c r="B53" s="220" t="s">
        <v>103</v>
      </c>
      <c r="C53" s="221"/>
      <c r="D53" s="222">
        <v>420538</v>
      </c>
      <c r="E53" s="222">
        <v>10</v>
      </c>
      <c r="F53" s="390">
        <v>3570</v>
      </c>
      <c r="G53" s="391">
        <v>3630</v>
      </c>
      <c r="H53" s="390">
        <v>5580</v>
      </c>
      <c r="I53" s="391">
        <v>5640</v>
      </c>
      <c r="J53" s="390"/>
      <c r="K53" s="391"/>
      <c r="L53" s="390"/>
      <c r="M53" s="391"/>
      <c r="N53" s="390"/>
      <c r="O53" s="391"/>
      <c r="P53" s="390"/>
      <c r="Q53" s="391"/>
      <c r="R53" s="390"/>
      <c r="S53" s="391"/>
      <c r="T53" s="390"/>
      <c r="U53" s="391"/>
      <c r="V53" s="390"/>
      <c r="W53" s="391"/>
      <c r="X53" s="390"/>
      <c r="Y53" s="391"/>
      <c r="Z53" s="390"/>
      <c r="AA53" s="391"/>
      <c r="AB53" s="390"/>
      <c r="AC53" s="391"/>
      <c r="AD53" s="390"/>
      <c r="AE53" s="391"/>
      <c r="AF53" s="390"/>
      <c r="AG53" s="391"/>
      <c r="AH53" s="390"/>
      <c r="AI53" s="391"/>
      <c r="AJ53" s="390"/>
      <c r="AK53" s="391"/>
      <c r="AL53" s="390"/>
      <c r="AM53" s="391"/>
      <c r="AN53" s="390"/>
      <c r="AO53" s="391"/>
    </row>
    <row r="54" spans="1:41" s="201" customFormat="1" ht="12.75" hidden="1">
      <c r="A54" s="219" t="s">
        <v>87</v>
      </c>
      <c r="B54" s="224" t="s">
        <v>102</v>
      </c>
      <c r="C54" s="221"/>
      <c r="D54" s="222">
        <v>107318</v>
      </c>
      <c r="E54" s="222">
        <v>10</v>
      </c>
      <c r="F54" s="390">
        <v>3400</v>
      </c>
      <c r="G54" s="391">
        <v>3490</v>
      </c>
      <c r="H54" s="390">
        <v>5200</v>
      </c>
      <c r="I54" s="391">
        <v>5290</v>
      </c>
      <c r="J54" s="390"/>
      <c r="K54" s="391"/>
      <c r="L54" s="390"/>
      <c r="M54" s="391"/>
      <c r="N54" s="390"/>
      <c r="O54" s="391"/>
      <c r="P54" s="390"/>
      <c r="Q54" s="391"/>
      <c r="R54" s="390"/>
      <c r="S54" s="391"/>
      <c r="T54" s="390"/>
      <c r="U54" s="391"/>
      <c r="V54" s="390"/>
      <c r="W54" s="391"/>
      <c r="X54" s="390"/>
      <c r="Y54" s="391"/>
      <c r="Z54" s="390"/>
      <c r="AA54" s="391"/>
      <c r="AB54" s="390"/>
      <c r="AC54" s="391"/>
      <c r="AD54" s="390"/>
      <c r="AE54" s="391"/>
      <c r="AF54" s="390"/>
      <c r="AG54" s="391"/>
      <c r="AH54" s="390"/>
      <c r="AI54" s="391"/>
      <c r="AJ54" s="390"/>
      <c r="AK54" s="391"/>
      <c r="AL54" s="390"/>
      <c r="AM54" s="391"/>
      <c r="AN54" s="390"/>
      <c r="AO54" s="391"/>
    </row>
    <row r="55" spans="1:41" s="201" customFormat="1" ht="12.75" hidden="1">
      <c r="A55" s="219" t="s">
        <v>87</v>
      </c>
      <c r="B55" s="220" t="s">
        <v>104</v>
      </c>
      <c r="C55" s="221"/>
      <c r="D55" s="222">
        <v>440402</v>
      </c>
      <c r="E55" s="222">
        <v>10</v>
      </c>
      <c r="F55" s="390">
        <v>3480</v>
      </c>
      <c r="G55" s="391">
        <v>3570</v>
      </c>
      <c r="H55" s="390">
        <v>5310</v>
      </c>
      <c r="I55" s="391">
        <v>5400</v>
      </c>
      <c r="J55" s="390"/>
      <c r="K55" s="391"/>
      <c r="L55" s="390"/>
      <c r="M55" s="391"/>
      <c r="N55" s="390"/>
      <c r="O55" s="391"/>
      <c r="P55" s="390"/>
      <c r="Q55" s="391"/>
      <c r="R55" s="390"/>
      <c r="S55" s="391"/>
      <c r="T55" s="390"/>
      <c r="U55" s="391"/>
      <c r="V55" s="390"/>
      <c r="W55" s="391"/>
      <c r="X55" s="390"/>
      <c r="Y55" s="391"/>
      <c r="Z55" s="390"/>
      <c r="AA55" s="391"/>
      <c r="AB55" s="390"/>
      <c r="AC55" s="391"/>
      <c r="AD55" s="390"/>
      <c r="AE55" s="391"/>
      <c r="AF55" s="390"/>
      <c r="AG55" s="391"/>
      <c r="AH55" s="390"/>
      <c r="AI55" s="391"/>
      <c r="AJ55" s="390"/>
      <c r="AK55" s="391"/>
      <c r="AL55" s="390"/>
      <c r="AM55" s="391"/>
      <c r="AN55" s="390"/>
      <c r="AO55" s="391"/>
    </row>
    <row r="56" spans="1:41" s="201" customFormat="1" ht="12.75" hidden="1">
      <c r="A56" s="219" t="s">
        <v>87</v>
      </c>
      <c r="B56" s="220" t="s">
        <v>628</v>
      </c>
      <c r="C56" s="221" t="s">
        <v>629</v>
      </c>
      <c r="D56" s="222">
        <v>107521</v>
      </c>
      <c r="E56" s="222">
        <v>10</v>
      </c>
      <c r="F56" s="390">
        <v>3890</v>
      </c>
      <c r="G56" s="391">
        <v>4070</v>
      </c>
      <c r="H56" s="390">
        <v>6800</v>
      </c>
      <c r="I56" s="391">
        <v>7100</v>
      </c>
      <c r="J56" s="390"/>
      <c r="K56" s="391"/>
      <c r="L56" s="390"/>
      <c r="M56" s="391"/>
      <c r="N56" s="390"/>
      <c r="O56" s="391"/>
      <c r="P56" s="390"/>
      <c r="Q56" s="391"/>
      <c r="R56" s="390"/>
      <c r="S56" s="391"/>
      <c r="T56" s="390"/>
      <c r="U56" s="391"/>
      <c r="V56" s="390"/>
      <c r="W56" s="391"/>
      <c r="X56" s="390"/>
      <c r="Y56" s="391"/>
      <c r="Z56" s="390"/>
      <c r="AA56" s="391"/>
      <c r="AB56" s="390"/>
      <c r="AC56" s="391"/>
      <c r="AD56" s="390"/>
      <c r="AE56" s="391"/>
      <c r="AF56" s="390"/>
      <c r="AG56" s="391"/>
      <c r="AH56" s="390"/>
      <c r="AI56" s="391"/>
      <c r="AJ56" s="390"/>
      <c r="AK56" s="391"/>
      <c r="AL56" s="390"/>
      <c r="AM56" s="391"/>
      <c r="AN56" s="390"/>
      <c r="AO56" s="391"/>
    </row>
    <row r="57" spans="1:41" s="201" customFormat="1" ht="12.75" hidden="1">
      <c r="A57" s="219" t="s">
        <v>87</v>
      </c>
      <c r="B57" s="220" t="s">
        <v>105</v>
      </c>
      <c r="C57" s="221"/>
      <c r="D57" s="222">
        <v>106625</v>
      </c>
      <c r="E57" s="222">
        <v>10</v>
      </c>
      <c r="F57" s="390">
        <v>3660</v>
      </c>
      <c r="G57" s="391">
        <v>4050</v>
      </c>
      <c r="H57" s="390">
        <v>6510</v>
      </c>
      <c r="I57" s="391">
        <v>6840</v>
      </c>
      <c r="J57" s="390"/>
      <c r="K57" s="391"/>
      <c r="L57" s="390"/>
      <c r="M57" s="391"/>
      <c r="N57" s="390"/>
      <c r="O57" s="391"/>
      <c r="P57" s="390"/>
      <c r="Q57" s="391"/>
      <c r="R57" s="390"/>
      <c r="S57" s="391"/>
      <c r="T57" s="390"/>
      <c r="U57" s="391"/>
      <c r="V57" s="390"/>
      <c r="W57" s="391"/>
      <c r="X57" s="390"/>
      <c r="Y57" s="391"/>
      <c r="Z57" s="390"/>
      <c r="AA57" s="391"/>
      <c r="AB57" s="390"/>
      <c r="AC57" s="391"/>
      <c r="AD57" s="390"/>
      <c r="AE57" s="391"/>
      <c r="AF57" s="390"/>
      <c r="AG57" s="391"/>
      <c r="AH57" s="390"/>
      <c r="AI57" s="391"/>
      <c r="AJ57" s="390"/>
      <c r="AK57" s="391"/>
      <c r="AL57" s="390"/>
      <c r="AM57" s="391"/>
      <c r="AN57" s="390"/>
      <c r="AO57" s="391"/>
    </row>
    <row r="58" spans="1:41" s="201" customFormat="1" ht="12.75" hidden="1">
      <c r="A58" s="219" t="s">
        <v>87</v>
      </c>
      <c r="B58" s="220" t="s">
        <v>106</v>
      </c>
      <c r="C58" s="221"/>
      <c r="D58" s="222">
        <v>106795</v>
      </c>
      <c r="E58" s="222">
        <v>10</v>
      </c>
      <c r="F58" s="390">
        <v>3450</v>
      </c>
      <c r="G58" s="391">
        <v>3570</v>
      </c>
      <c r="H58" s="390">
        <v>4290</v>
      </c>
      <c r="I58" s="391">
        <v>4410</v>
      </c>
      <c r="J58" s="390"/>
      <c r="K58" s="391"/>
      <c r="L58" s="390"/>
      <c r="M58" s="391"/>
      <c r="N58" s="390"/>
      <c r="O58" s="391"/>
      <c r="P58" s="390"/>
      <c r="Q58" s="391"/>
      <c r="R58" s="390"/>
      <c r="S58" s="391"/>
      <c r="T58" s="390"/>
      <c r="U58" s="391"/>
      <c r="V58" s="390"/>
      <c r="W58" s="391"/>
      <c r="X58" s="390"/>
      <c r="Y58" s="391"/>
      <c r="Z58" s="390"/>
      <c r="AA58" s="391"/>
      <c r="AB58" s="390"/>
      <c r="AC58" s="391"/>
      <c r="AD58" s="390"/>
      <c r="AE58" s="391"/>
      <c r="AF58" s="390"/>
      <c r="AG58" s="391"/>
      <c r="AH58" s="390"/>
      <c r="AI58" s="391"/>
      <c r="AJ58" s="390"/>
      <c r="AK58" s="391"/>
      <c r="AL58" s="390"/>
      <c r="AM58" s="391"/>
      <c r="AN58" s="390"/>
      <c r="AO58" s="391"/>
    </row>
    <row r="59" spans="1:41" s="201" customFormat="1" ht="12.75" hidden="1">
      <c r="A59" s="222" t="s">
        <v>87</v>
      </c>
      <c r="B59" s="220" t="s">
        <v>107</v>
      </c>
      <c r="C59" s="221"/>
      <c r="D59" s="222">
        <v>106883</v>
      </c>
      <c r="E59" s="222">
        <v>10</v>
      </c>
      <c r="F59" s="390">
        <v>2880</v>
      </c>
      <c r="G59" s="391">
        <v>2934</v>
      </c>
      <c r="H59" s="390">
        <v>3720</v>
      </c>
      <c r="I59" s="391">
        <v>3804</v>
      </c>
      <c r="J59" s="390"/>
      <c r="K59" s="391"/>
      <c r="L59" s="390"/>
      <c r="M59" s="391"/>
      <c r="N59" s="390"/>
      <c r="O59" s="391"/>
      <c r="P59" s="390"/>
      <c r="Q59" s="391"/>
      <c r="R59" s="390"/>
      <c r="S59" s="391"/>
      <c r="T59" s="390"/>
      <c r="U59" s="391"/>
      <c r="V59" s="390"/>
      <c r="W59" s="391"/>
      <c r="X59" s="390"/>
      <c r="Y59" s="391"/>
      <c r="Z59" s="390"/>
      <c r="AA59" s="391"/>
      <c r="AB59" s="390"/>
      <c r="AC59" s="391"/>
      <c r="AD59" s="390"/>
      <c r="AE59" s="391"/>
      <c r="AF59" s="390"/>
      <c r="AG59" s="391"/>
      <c r="AH59" s="390"/>
      <c r="AI59" s="391"/>
      <c r="AJ59" s="390"/>
      <c r="AK59" s="391"/>
      <c r="AL59" s="390"/>
      <c r="AM59" s="391"/>
      <c r="AN59" s="390"/>
      <c r="AO59" s="391"/>
    </row>
    <row r="60" spans="1:41" s="201" customFormat="1" ht="12.75" hidden="1">
      <c r="A60" s="219" t="s">
        <v>87</v>
      </c>
      <c r="B60" s="220" t="s">
        <v>108</v>
      </c>
      <c r="C60" s="221"/>
      <c r="D60" s="222">
        <v>107460</v>
      </c>
      <c r="E60" s="222">
        <v>10</v>
      </c>
      <c r="F60" s="390">
        <v>2850</v>
      </c>
      <c r="G60" s="391">
        <v>2940</v>
      </c>
      <c r="H60" s="390">
        <v>5790</v>
      </c>
      <c r="I60" s="391">
        <v>5790</v>
      </c>
      <c r="J60" s="390"/>
      <c r="K60" s="391"/>
      <c r="L60" s="390"/>
      <c r="M60" s="391"/>
      <c r="N60" s="390"/>
      <c r="O60" s="391"/>
      <c r="P60" s="390"/>
      <c r="Q60" s="391"/>
      <c r="R60" s="390"/>
      <c r="S60" s="391"/>
      <c r="T60" s="390"/>
      <c r="U60" s="391"/>
      <c r="V60" s="390"/>
      <c r="W60" s="391"/>
      <c r="X60" s="390"/>
      <c r="Y60" s="391"/>
      <c r="Z60" s="390"/>
      <c r="AA60" s="391"/>
      <c r="AB60" s="390"/>
      <c r="AC60" s="391"/>
      <c r="AD60" s="390"/>
      <c r="AE60" s="391"/>
      <c r="AF60" s="390"/>
      <c r="AG60" s="391"/>
      <c r="AH60" s="390"/>
      <c r="AI60" s="391"/>
      <c r="AJ60" s="390"/>
      <c r="AK60" s="391"/>
      <c r="AL60" s="390"/>
      <c r="AM60" s="391"/>
      <c r="AN60" s="390"/>
      <c r="AO60" s="391"/>
    </row>
    <row r="61" spans="1:41" s="201" customFormat="1" ht="12.75" hidden="1">
      <c r="A61" s="222" t="s">
        <v>87</v>
      </c>
      <c r="B61" s="224" t="s">
        <v>100</v>
      </c>
      <c r="C61" s="223"/>
      <c r="D61" s="222">
        <v>106980</v>
      </c>
      <c r="E61" s="222">
        <v>10</v>
      </c>
      <c r="F61" s="390">
        <v>3750</v>
      </c>
      <c r="G61" s="391">
        <v>4050</v>
      </c>
      <c r="H61" s="390">
        <v>5340</v>
      </c>
      <c r="I61" s="391">
        <v>5730</v>
      </c>
      <c r="J61" s="390"/>
      <c r="K61" s="391"/>
      <c r="L61" s="390"/>
      <c r="M61" s="391"/>
      <c r="N61" s="390"/>
      <c r="O61" s="391"/>
      <c r="P61" s="390"/>
      <c r="Q61" s="391"/>
      <c r="R61" s="390"/>
      <c r="S61" s="391"/>
      <c r="T61" s="390"/>
      <c r="U61" s="391"/>
      <c r="V61" s="390"/>
      <c r="W61" s="391"/>
      <c r="X61" s="390"/>
      <c r="Y61" s="391"/>
      <c r="Z61" s="390"/>
      <c r="AA61" s="391"/>
      <c r="AB61" s="390"/>
      <c r="AC61" s="391"/>
      <c r="AD61" s="390"/>
      <c r="AE61" s="391"/>
      <c r="AF61" s="390"/>
      <c r="AG61" s="391"/>
      <c r="AH61" s="390"/>
      <c r="AI61" s="391"/>
      <c r="AJ61" s="390"/>
      <c r="AK61" s="391"/>
      <c r="AL61" s="390"/>
      <c r="AM61" s="391"/>
      <c r="AN61" s="390"/>
      <c r="AO61" s="391"/>
    </row>
    <row r="62" spans="1:41" s="201" customFormat="1" ht="12.75" hidden="1">
      <c r="A62" s="219" t="s">
        <v>87</v>
      </c>
      <c r="B62" s="220" t="s">
        <v>98</v>
      </c>
      <c r="C62" s="375" t="s">
        <v>907</v>
      </c>
      <c r="D62" s="222">
        <v>367459</v>
      </c>
      <c r="E62" s="222">
        <v>8</v>
      </c>
      <c r="F62" s="390">
        <v>3258</v>
      </c>
      <c r="G62" s="391">
        <v>3258</v>
      </c>
      <c r="H62" s="390">
        <v>4758</v>
      </c>
      <c r="I62" s="391">
        <v>5508</v>
      </c>
      <c r="J62" s="390"/>
      <c r="K62" s="391"/>
      <c r="L62" s="390"/>
      <c r="M62" s="391"/>
      <c r="N62" s="390"/>
      <c r="O62" s="391"/>
      <c r="P62" s="390"/>
      <c r="Q62" s="391"/>
      <c r="R62" s="390"/>
      <c r="S62" s="391"/>
      <c r="T62" s="390"/>
      <c r="U62" s="391"/>
      <c r="V62" s="390"/>
      <c r="W62" s="391"/>
      <c r="X62" s="390"/>
      <c r="Y62" s="391"/>
      <c r="Z62" s="390"/>
      <c r="AA62" s="391"/>
      <c r="AB62" s="390"/>
      <c r="AC62" s="391"/>
      <c r="AD62" s="390"/>
      <c r="AE62" s="391"/>
      <c r="AF62" s="390"/>
      <c r="AG62" s="391"/>
      <c r="AH62" s="390"/>
      <c r="AI62" s="391"/>
      <c r="AJ62" s="390"/>
      <c r="AK62" s="391"/>
      <c r="AL62" s="390"/>
      <c r="AM62" s="391"/>
      <c r="AN62" s="390"/>
      <c r="AO62" s="391"/>
    </row>
    <row r="63" spans="1:41" s="201" customFormat="1" ht="12.75" hidden="1">
      <c r="A63" s="219" t="s">
        <v>87</v>
      </c>
      <c r="B63" s="220" t="s">
        <v>109</v>
      </c>
      <c r="C63" s="221"/>
      <c r="D63" s="222">
        <v>107549</v>
      </c>
      <c r="E63" s="222">
        <v>10</v>
      </c>
      <c r="F63" s="390">
        <v>3730</v>
      </c>
      <c r="G63" s="391">
        <v>3730</v>
      </c>
      <c r="H63" s="390">
        <v>6670</v>
      </c>
      <c r="I63" s="391">
        <v>6670</v>
      </c>
      <c r="J63" s="390"/>
      <c r="K63" s="391"/>
      <c r="L63" s="390"/>
      <c r="M63" s="391"/>
      <c r="N63" s="390"/>
      <c r="O63" s="391"/>
      <c r="P63" s="390"/>
      <c r="Q63" s="391"/>
      <c r="R63" s="390"/>
      <c r="S63" s="391"/>
      <c r="T63" s="390"/>
      <c r="U63" s="391"/>
      <c r="V63" s="390"/>
      <c r="W63" s="391"/>
      <c r="X63" s="390"/>
      <c r="Y63" s="391"/>
      <c r="Z63" s="390"/>
      <c r="AA63" s="391"/>
      <c r="AB63" s="390"/>
      <c r="AC63" s="391"/>
      <c r="AD63" s="390"/>
      <c r="AE63" s="391"/>
      <c r="AF63" s="390"/>
      <c r="AG63" s="391"/>
      <c r="AH63" s="390"/>
      <c r="AI63" s="391"/>
      <c r="AJ63" s="390"/>
      <c r="AK63" s="391"/>
      <c r="AL63" s="390"/>
      <c r="AM63" s="391"/>
      <c r="AN63" s="390"/>
      <c r="AO63" s="391"/>
    </row>
    <row r="64" spans="1:41" s="201" customFormat="1" ht="12.75" hidden="1">
      <c r="A64" s="219" t="s">
        <v>87</v>
      </c>
      <c r="B64" s="220" t="s">
        <v>110</v>
      </c>
      <c r="C64" s="221"/>
      <c r="D64" s="222">
        <v>107619</v>
      </c>
      <c r="E64" s="222">
        <v>10</v>
      </c>
      <c r="F64" s="390">
        <v>2930</v>
      </c>
      <c r="G64" s="391">
        <v>3020</v>
      </c>
      <c r="H64" s="390">
        <v>4760</v>
      </c>
      <c r="I64" s="391">
        <v>4910</v>
      </c>
      <c r="J64" s="390"/>
      <c r="K64" s="391"/>
      <c r="L64" s="390"/>
      <c r="M64" s="391"/>
      <c r="N64" s="390"/>
      <c r="O64" s="391"/>
      <c r="P64" s="390"/>
      <c r="Q64" s="391"/>
      <c r="R64" s="390"/>
      <c r="S64" s="391"/>
      <c r="T64" s="390"/>
      <c r="U64" s="391"/>
      <c r="V64" s="390"/>
      <c r="W64" s="391"/>
      <c r="X64" s="390"/>
      <c r="Y64" s="391"/>
      <c r="Z64" s="390"/>
      <c r="AA64" s="391"/>
      <c r="AB64" s="390"/>
      <c r="AC64" s="391"/>
      <c r="AD64" s="390"/>
      <c r="AE64" s="391"/>
      <c r="AF64" s="390"/>
      <c r="AG64" s="391"/>
      <c r="AH64" s="390"/>
      <c r="AI64" s="391"/>
      <c r="AJ64" s="390"/>
      <c r="AK64" s="391"/>
      <c r="AL64" s="390"/>
      <c r="AM64" s="391"/>
      <c r="AN64" s="390"/>
      <c r="AO64" s="391"/>
    </row>
    <row r="65" spans="1:41" s="201" customFormat="1" ht="12.75" hidden="1">
      <c r="A65" s="219" t="s">
        <v>87</v>
      </c>
      <c r="B65" s="220" t="s">
        <v>111</v>
      </c>
      <c r="C65" s="221"/>
      <c r="D65" s="222">
        <v>107974</v>
      </c>
      <c r="E65" s="222">
        <v>10</v>
      </c>
      <c r="F65" s="390">
        <v>3360</v>
      </c>
      <c r="G65" s="391">
        <v>3360</v>
      </c>
      <c r="H65" s="390">
        <v>6000</v>
      </c>
      <c r="I65" s="391">
        <v>6000</v>
      </c>
      <c r="J65" s="390"/>
      <c r="K65" s="391"/>
      <c r="L65" s="390"/>
      <c r="M65" s="391"/>
      <c r="N65" s="390"/>
      <c r="O65" s="391"/>
      <c r="P65" s="390"/>
      <c r="Q65" s="391"/>
      <c r="R65" s="390"/>
      <c r="S65" s="391"/>
      <c r="T65" s="390"/>
      <c r="U65" s="391"/>
      <c r="V65" s="390"/>
      <c r="W65" s="391"/>
      <c r="X65" s="390"/>
      <c r="Y65" s="391"/>
      <c r="Z65" s="390"/>
      <c r="AA65" s="391"/>
      <c r="AB65" s="390"/>
      <c r="AC65" s="391"/>
      <c r="AD65" s="390"/>
      <c r="AE65" s="391"/>
      <c r="AF65" s="390"/>
      <c r="AG65" s="391"/>
      <c r="AH65" s="390"/>
      <c r="AI65" s="391"/>
      <c r="AJ65" s="390"/>
      <c r="AK65" s="391"/>
      <c r="AL65" s="390"/>
      <c r="AM65" s="391"/>
      <c r="AN65" s="390"/>
      <c r="AO65" s="391"/>
    </row>
    <row r="66" spans="1:41" s="201" customFormat="1" ht="12.75" hidden="1">
      <c r="A66" s="222" t="s">
        <v>87</v>
      </c>
      <c r="B66" s="220" t="s">
        <v>113</v>
      </c>
      <c r="C66" s="221"/>
      <c r="D66" s="222">
        <v>107992</v>
      </c>
      <c r="E66" s="222">
        <v>10</v>
      </c>
      <c r="F66" s="390">
        <v>4500</v>
      </c>
      <c r="G66" s="391">
        <v>4590</v>
      </c>
      <c r="H66" s="390">
        <v>5940</v>
      </c>
      <c r="I66" s="391">
        <v>6030</v>
      </c>
      <c r="J66" s="390"/>
      <c r="K66" s="391"/>
      <c r="L66" s="390"/>
      <c r="M66" s="391"/>
      <c r="N66" s="390"/>
      <c r="O66" s="391"/>
      <c r="P66" s="390"/>
      <c r="Q66" s="391"/>
      <c r="R66" s="390"/>
      <c r="S66" s="391"/>
      <c r="T66" s="390"/>
      <c r="U66" s="391"/>
      <c r="V66" s="390"/>
      <c r="W66" s="391"/>
      <c r="X66" s="390"/>
      <c r="Y66" s="391"/>
      <c r="Z66" s="390"/>
      <c r="AA66" s="391"/>
      <c r="AB66" s="390"/>
      <c r="AC66" s="391"/>
      <c r="AD66" s="390"/>
      <c r="AE66" s="391"/>
      <c r="AF66" s="390"/>
      <c r="AG66" s="391"/>
      <c r="AH66" s="390"/>
      <c r="AI66" s="391"/>
      <c r="AJ66" s="390"/>
      <c r="AK66" s="391"/>
      <c r="AL66" s="390"/>
      <c r="AM66" s="391"/>
      <c r="AN66" s="390"/>
      <c r="AO66" s="391"/>
    </row>
    <row r="67" spans="1:41" s="201" customFormat="1" ht="12.75" hidden="1">
      <c r="A67" s="219" t="s">
        <v>87</v>
      </c>
      <c r="B67" s="220" t="s">
        <v>112</v>
      </c>
      <c r="C67" s="221"/>
      <c r="D67" s="222">
        <v>107637</v>
      </c>
      <c r="E67" s="222">
        <v>10</v>
      </c>
      <c r="F67" s="390">
        <v>3850</v>
      </c>
      <c r="G67" s="391">
        <v>3850</v>
      </c>
      <c r="H67" s="390">
        <v>6730</v>
      </c>
      <c r="I67" s="391">
        <v>6730</v>
      </c>
      <c r="J67" s="390"/>
      <c r="K67" s="391"/>
      <c r="L67" s="390"/>
      <c r="M67" s="391"/>
      <c r="N67" s="390"/>
      <c r="O67" s="391"/>
      <c r="P67" s="390"/>
      <c r="Q67" s="391"/>
      <c r="R67" s="390"/>
      <c r="S67" s="391"/>
      <c r="T67" s="390"/>
      <c r="U67" s="391"/>
      <c r="V67" s="390"/>
      <c r="W67" s="391"/>
      <c r="X67" s="390"/>
      <c r="Y67" s="391"/>
      <c r="Z67" s="390"/>
      <c r="AA67" s="391"/>
      <c r="AB67" s="390"/>
      <c r="AC67" s="391"/>
      <c r="AD67" s="390"/>
      <c r="AE67" s="391"/>
      <c r="AF67" s="390"/>
      <c r="AG67" s="391"/>
      <c r="AH67" s="390"/>
      <c r="AI67" s="391"/>
      <c r="AJ67" s="390"/>
      <c r="AK67" s="391"/>
      <c r="AL67" s="390"/>
      <c r="AM67" s="391"/>
      <c r="AN67" s="390"/>
      <c r="AO67" s="391"/>
    </row>
    <row r="68" spans="1:41" s="201" customFormat="1" ht="12.75" hidden="1">
      <c r="A68" s="222" t="s">
        <v>87</v>
      </c>
      <c r="B68" s="220" t="s">
        <v>114</v>
      </c>
      <c r="C68" s="221"/>
      <c r="D68" s="222">
        <v>106999</v>
      </c>
      <c r="E68" s="222">
        <v>10</v>
      </c>
      <c r="F68" s="390">
        <v>3150</v>
      </c>
      <c r="G68" s="391">
        <v>3150</v>
      </c>
      <c r="H68" s="390">
        <v>4140</v>
      </c>
      <c r="I68" s="391">
        <v>4290</v>
      </c>
      <c r="J68" s="390"/>
      <c r="K68" s="391"/>
      <c r="L68" s="390"/>
      <c r="M68" s="391"/>
      <c r="N68" s="390"/>
      <c r="O68" s="391"/>
      <c r="P68" s="390"/>
      <c r="Q68" s="391"/>
      <c r="R68" s="390"/>
      <c r="S68" s="391"/>
      <c r="T68" s="390"/>
      <c r="U68" s="391"/>
      <c r="V68" s="390"/>
      <c r="W68" s="391"/>
      <c r="X68" s="390"/>
      <c r="Y68" s="391"/>
      <c r="Z68" s="390"/>
      <c r="AA68" s="391"/>
      <c r="AB68" s="390"/>
      <c r="AC68" s="391"/>
      <c r="AD68" s="390"/>
      <c r="AE68" s="391"/>
      <c r="AF68" s="390"/>
      <c r="AG68" s="391"/>
      <c r="AH68" s="390"/>
      <c r="AI68" s="391"/>
      <c r="AJ68" s="390"/>
      <c r="AK68" s="391"/>
      <c r="AL68" s="390"/>
      <c r="AM68" s="391"/>
      <c r="AN68" s="390"/>
      <c r="AO68" s="391"/>
    </row>
    <row r="69" spans="1:41" s="201" customFormat="1" ht="12.75" hidden="1">
      <c r="A69" s="219" t="s">
        <v>87</v>
      </c>
      <c r="B69" s="220" t="s">
        <v>630</v>
      </c>
      <c r="C69" s="221"/>
      <c r="D69" s="222">
        <v>107725</v>
      </c>
      <c r="E69" s="222">
        <v>10</v>
      </c>
      <c r="F69" s="390">
        <v>2830</v>
      </c>
      <c r="G69" s="391">
        <v>2980</v>
      </c>
      <c r="H69" s="390">
        <v>4090</v>
      </c>
      <c r="I69" s="391">
        <v>4300</v>
      </c>
      <c r="J69" s="390"/>
      <c r="K69" s="391"/>
      <c r="L69" s="390"/>
      <c r="M69" s="391"/>
      <c r="N69" s="390"/>
      <c r="O69" s="391"/>
      <c r="P69" s="390"/>
      <c r="Q69" s="391"/>
      <c r="R69" s="390"/>
      <c r="S69" s="391"/>
      <c r="T69" s="390"/>
      <c r="U69" s="391"/>
      <c r="V69" s="390"/>
      <c r="W69" s="391"/>
      <c r="X69" s="390"/>
      <c r="Y69" s="391"/>
      <c r="Z69" s="390"/>
      <c r="AA69" s="391"/>
      <c r="AB69" s="390"/>
      <c r="AC69" s="391"/>
      <c r="AD69" s="390"/>
      <c r="AE69" s="391"/>
      <c r="AF69" s="390"/>
      <c r="AG69" s="391"/>
      <c r="AH69" s="390"/>
      <c r="AI69" s="391"/>
      <c r="AJ69" s="390"/>
      <c r="AK69" s="391"/>
      <c r="AL69" s="390"/>
      <c r="AM69" s="391"/>
      <c r="AN69" s="390"/>
      <c r="AO69" s="391"/>
    </row>
    <row r="70" spans="1:41" s="201" customFormat="1" ht="12.75" hidden="1">
      <c r="A70" s="222" t="s">
        <v>87</v>
      </c>
      <c r="B70" s="220" t="s">
        <v>115</v>
      </c>
      <c r="C70" s="221"/>
      <c r="D70" s="222">
        <v>107585</v>
      </c>
      <c r="E70" s="222">
        <v>10</v>
      </c>
      <c r="F70" s="390">
        <v>3920</v>
      </c>
      <c r="G70" s="391">
        <v>4020</v>
      </c>
      <c r="H70" s="390">
        <v>5090</v>
      </c>
      <c r="I70" s="391">
        <v>5160</v>
      </c>
      <c r="J70" s="390"/>
      <c r="K70" s="391"/>
      <c r="L70" s="390"/>
      <c r="M70" s="391"/>
      <c r="N70" s="390"/>
      <c r="O70" s="391"/>
      <c r="P70" s="390"/>
      <c r="Q70" s="391"/>
      <c r="R70" s="390"/>
      <c r="S70" s="391"/>
      <c r="T70" s="390"/>
      <c r="U70" s="391"/>
      <c r="V70" s="390"/>
      <c r="W70" s="391"/>
      <c r="X70" s="390"/>
      <c r="Y70" s="391"/>
      <c r="Z70" s="390"/>
      <c r="AA70" s="391"/>
      <c r="AB70" s="390"/>
      <c r="AC70" s="391"/>
      <c r="AD70" s="390"/>
      <c r="AE70" s="391"/>
      <c r="AF70" s="390"/>
      <c r="AG70" s="391"/>
      <c r="AH70" s="390"/>
      <c r="AI70" s="391"/>
      <c r="AJ70" s="390"/>
      <c r="AK70" s="391"/>
      <c r="AL70" s="390"/>
      <c r="AM70" s="391"/>
      <c r="AN70" s="390"/>
      <c r="AO70" s="391"/>
    </row>
    <row r="71" spans="1:41" s="201" customFormat="1" ht="12.75" hidden="1">
      <c r="A71" s="219" t="s">
        <v>87</v>
      </c>
      <c r="B71" s="220" t="s">
        <v>620</v>
      </c>
      <c r="C71" s="221"/>
      <c r="D71" s="222">
        <v>107743</v>
      </c>
      <c r="E71" s="222">
        <v>10</v>
      </c>
      <c r="F71" s="390">
        <v>3600</v>
      </c>
      <c r="G71" s="391">
        <v>3840</v>
      </c>
      <c r="H71" s="390">
        <v>4920</v>
      </c>
      <c r="I71" s="391">
        <v>4560</v>
      </c>
      <c r="J71" s="390"/>
      <c r="K71" s="391"/>
      <c r="L71" s="390"/>
      <c r="M71" s="391"/>
      <c r="N71" s="390"/>
      <c r="O71" s="391"/>
      <c r="P71" s="390"/>
      <c r="Q71" s="391"/>
      <c r="R71" s="390"/>
      <c r="S71" s="391"/>
      <c r="T71" s="390"/>
      <c r="U71" s="391"/>
      <c r="V71" s="390"/>
      <c r="W71" s="391"/>
      <c r="X71" s="390"/>
      <c r="Y71" s="391"/>
      <c r="Z71" s="390"/>
      <c r="AA71" s="391"/>
      <c r="AB71" s="390"/>
      <c r="AC71" s="391"/>
      <c r="AD71" s="390"/>
      <c r="AE71" s="391"/>
      <c r="AF71" s="390"/>
      <c r="AG71" s="391"/>
      <c r="AH71" s="390"/>
      <c r="AI71" s="391"/>
      <c r="AJ71" s="390"/>
      <c r="AK71" s="391"/>
      <c r="AL71" s="390"/>
      <c r="AM71" s="391"/>
      <c r="AN71" s="390"/>
      <c r="AO71" s="391"/>
    </row>
    <row r="72" spans="1:41" s="201" customFormat="1" ht="12.75" hidden="1">
      <c r="A72" s="222" t="s">
        <v>87</v>
      </c>
      <c r="B72" s="220" t="s">
        <v>619</v>
      </c>
      <c r="C72" s="223"/>
      <c r="D72" s="222">
        <v>107664</v>
      </c>
      <c r="E72" s="222">
        <v>9</v>
      </c>
      <c r="F72" s="390">
        <v>5632</v>
      </c>
      <c r="G72" s="391">
        <v>5670</v>
      </c>
      <c r="H72" s="390">
        <v>6827</v>
      </c>
      <c r="I72" s="391">
        <v>6900</v>
      </c>
      <c r="J72" s="390"/>
      <c r="K72" s="391"/>
      <c r="L72" s="390"/>
      <c r="M72" s="391"/>
      <c r="N72" s="390"/>
      <c r="O72" s="391"/>
      <c r="P72" s="390"/>
      <c r="Q72" s="391"/>
      <c r="R72" s="390"/>
      <c r="S72" s="391"/>
      <c r="T72" s="390"/>
      <c r="U72" s="391"/>
      <c r="V72" s="390"/>
      <c r="W72" s="391"/>
      <c r="X72" s="390"/>
      <c r="Y72" s="391"/>
      <c r="Z72" s="390"/>
      <c r="AA72" s="391"/>
      <c r="AB72" s="390"/>
      <c r="AC72" s="391"/>
      <c r="AD72" s="390"/>
      <c r="AE72" s="391"/>
      <c r="AF72" s="390"/>
      <c r="AG72" s="391"/>
      <c r="AH72" s="390"/>
      <c r="AI72" s="391"/>
      <c r="AJ72" s="390"/>
      <c r="AK72" s="391"/>
      <c r="AL72" s="390"/>
      <c r="AM72" s="391"/>
      <c r="AN72" s="390"/>
      <c r="AO72" s="391"/>
    </row>
    <row r="73" spans="1:41" s="201" customFormat="1" ht="12.75" hidden="1">
      <c r="A73" s="225" t="s">
        <v>117</v>
      </c>
      <c r="B73" s="226" t="s">
        <v>118</v>
      </c>
      <c r="C73" s="227"/>
      <c r="D73" s="225">
        <v>130943</v>
      </c>
      <c r="E73" s="225">
        <v>1</v>
      </c>
      <c r="F73" s="390">
        <v>14280</v>
      </c>
      <c r="G73" s="391">
        <v>14660</v>
      </c>
      <c r="H73" s="390">
        <v>35710</v>
      </c>
      <c r="I73" s="391">
        <v>36090</v>
      </c>
      <c r="J73" s="390">
        <v>34956</v>
      </c>
      <c r="K73" s="391">
        <v>35192</v>
      </c>
      <c r="L73" s="393">
        <v>34956</v>
      </c>
      <c r="M73" s="391">
        <v>35192</v>
      </c>
      <c r="N73" s="390"/>
      <c r="O73" s="391"/>
      <c r="P73" s="390"/>
      <c r="Q73" s="391"/>
      <c r="R73" s="390"/>
      <c r="S73" s="391"/>
      <c r="T73" s="390"/>
      <c r="U73" s="391"/>
      <c r="V73" s="390"/>
      <c r="W73" s="391"/>
      <c r="X73" s="390"/>
      <c r="Y73" s="391"/>
      <c r="Z73" s="390"/>
      <c r="AA73" s="391"/>
      <c r="AB73" s="390"/>
      <c r="AC73" s="391"/>
      <c r="AD73" s="390"/>
      <c r="AE73" s="391"/>
      <c r="AF73" s="390"/>
      <c r="AG73" s="391"/>
      <c r="AH73" s="390"/>
      <c r="AI73" s="391"/>
      <c r="AJ73" s="390"/>
      <c r="AK73" s="391"/>
      <c r="AL73" s="390"/>
      <c r="AM73" s="391"/>
      <c r="AN73" s="390"/>
      <c r="AO73" s="391"/>
    </row>
    <row r="74" spans="1:41" s="201" customFormat="1" ht="12.75" hidden="1">
      <c r="A74" s="225" t="s">
        <v>117</v>
      </c>
      <c r="B74" s="226" t="s">
        <v>119</v>
      </c>
      <c r="C74" s="228"/>
      <c r="D74" s="225">
        <v>130934</v>
      </c>
      <c r="E74" s="225">
        <v>3</v>
      </c>
      <c r="F74" s="390">
        <v>8258</v>
      </c>
      <c r="G74" s="391">
        <v>8358</v>
      </c>
      <c r="H74" s="390">
        <v>17294</v>
      </c>
      <c r="I74" s="391">
        <v>18280</v>
      </c>
      <c r="J74" s="390">
        <v>5510</v>
      </c>
      <c r="K74" s="391">
        <v>5510</v>
      </c>
      <c r="L74" s="390">
        <v>11726</v>
      </c>
      <c r="M74" s="391">
        <v>11726</v>
      </c>
      <c r="N74" s="390"/>
      <c r="O74" s="391"/>
      <c r="P74" s="390"/>
      <c r="Q74" s="391"/>
      <c r="R74" s="390"/>
      <c r="S74" s="391"/>
      <c r="T74" s="390"/>
      <c r="U74" s="391"/>
      <c r="V74" s="390"/>
      <c r="W74" s="391"/>
      <c r="X74" s="390"/>
      <c r="Y74" s="391"/>
      <c r="Z74" s="390"/>
      <c r="AA74" s="391"/>
      <c r="AB74" s="390"/>
      <c r="AC74" s="391"/>
      <c r="AD74" s="390"/>
      <c r="AE74" s="391"/>
      <c r="AF74" s="390"/>
      <c r="AG74" s="391"/>
      <c r="AH74" s="390"/>
      <c r="AI74" s="391"/>
      <c r="AJ74" s="390"/>
      <c r="AK74" s="391"/>
      <c r="AL74" s="390"/>
      <c r="AM74" s="391"/>
      <c r="AN74" s="390"/>
      <c r="AO74" s="391"/>
    </row>
    <row r="75" spans="1:41" s="201" customFormat="1" ht="12.75" hidden="1">
      <c r="A75" s="225" t="s">
        <v>117</v>
      </c>
      <c r="B75" s="226" t="s">
        <v>120</v>
      </c>
      <c r="C75" s="376" t="s">
        <v>908</v>
      </c>
      <c r="D75" s="225">
        <v>130907</v>
      </c>
      <c r="E75" s="225">
        <v>9</v>
      </c>
      <c r="F75" s="390">
        <v>4945</v>
      </c>
      <c r="G75" s="391">
        <v>4945</v>
      </c>
      <c r="H75" s="390">
        <v>11808</v>
      </c>
      <c r="I75" s="391">
        <v>11808</v>
      </c>
      <c r="J75" s="390"/>
      <c r="K75" s="391"/>
      <c r="L75" s="390"/>
      <c r="M75" s="391"/>
      <c r="N75" s="390"/>
      <c r="O75" s="391"/>
      <c r="P75" s="390"/>
      <c r="Q75" s="391"/>
      <c r="R75" s="390"/>
      <c r="S75" s="391"/>
      <c r="T75" s="390"/>
      <c r="U75" s="391"/>
      <c r="V75" s="390"/>
      <c r="W75" s="391"/>
      <c r="X75" s="390"/>
      <c r="Y75" s="391"/>
      <c r="Z75" s="390"/>
      <c r="AA75" s="391"/>
      <c r="AB75" s="390"/>
      <c r="AC75" s="391"/>
      <c r="AD75" s="390"/>
      <c r="AE75" s="391"/>
      <c r="AF75" s="390"/>
      <c r="AG75" s="391"/>
      <c r="AH75" s="390"/>
      <c r="AI75" s="391"/>
      <c r="AJ75" s="390"/>
      <c r="AK75" s="391"/>
      <c r="AL75" s="390"/>
      <c r="AM75" s="391"/>
      <c r="AN75" s="390"/>
      <c r="AO75" s="391"/>
    </row>
    <row r="76" spans="1:41" s="201" customFormat="1" ht="12.75" hidden="1">
      <c r="A76" s="204" t="s">
        <v>121</v>
      </c>
      <c r="B76" s="1"/>
      <c r="C76" s="215"/>
      <c r="D76" s="2"/>
      <c r="E76" s="2"/>
      <c r="F76" s="385"/>
      <c r="G76" s="386"/>
      <c r="H76" s="385"/>
      <c r="I76" s="386"/>
      <c r="J76" s="385"/>
      <c r="K76" s="387"/>
      <c r="L76" s="385"/>
      <c r="M76" s="387"/>
      <c r="N76" s="385"/>
      <c r="O76" s="387"/>
      <c r="P76" s="385"/>
      <c r="Q76" s="387"/>
      <c r="R76" s="385"/>
      <c r="S76" s="387"/>
      <c r="T76" s="385"/>
      <c r="U76" s="387"/>
      <c r="V76" s="385"/>
      <c r="W76" s="387"/>
      <c r="X76" s="385"/>
      <c r="Y76" s="387"/>
      <c r="Z76" s="385"/>
      <c r="AA76" s="387"/>
      <c r="AB76" s="385"/>
      <c r="AC76" s="387"/>
      <c r="AD76" s="385"/>
      <c r="AE76" s="387"/>
      <c r="AF76" s="385"/>
      <c r="AG76" s="387"/>
      <c r="AH76" s="385"/>
      <c r="AI76" s="387"/>
      <c r="AJ76" s="385"/>
      <c r="AK76" s="387"/>
      <c r="AL76" s="385"/>
      <c r="AM76" s="387"/>
      <c r="AN76" s="385"/>
      <c r="AO76" s="387"/>
    </row>
    <row r="77" spans="1:41" s="201" customFormat="1" ht="12.75" hidden="1">
      <c r="A77" s="229" t="s">
        <v>121</v>
      </c>
      <c r="B77" s="230" t="s">
        <v>141</v>
      </c>
      <c r="C77" s="231"/>
      <c r="D77" s="229">
        <v>132693</v>
      </c>
      <c r="E77" s="229">
        <v>7</v>
      </c>
      <c r="F77" s="390">
        <v>3120</v>
      </c>
      <c r="G77" s="394">
        <v>3120</v>
      </c>
      <c r="H77" s="390">
        <v>12172.8</v>
      </c>
      <c r="I77" s="394">
        <v>12172.8</v>
      </c>
      <c r="J77" s="390"/>
      <c r="K77" s="391"/>
      <c r="L77" s="390"/>
      <c r="M77" s="391"/>
      <c r="N77" s="390"/>
      <c r="O77" s="391"/>
      <c r="P77" s="390"/>
      <c r="Q77" s="391"/>
      <c r="R77" s="390"/>
      <c r="S77" s="391"/>
      <c r="T77" s="390"/>
      <c r="U77" s="391"/>
      <c r="V77" s="390"/>
      <c r="W77" s="391"/>
      <c r="X77" s="390"/>
      <c r="Y77" s="391"/>
      <c r="Z77" s="390"/>
      <c r="AA77" s="391"/>
      <c r="AB77" s="390"/>
      <c r="AC77" s="391"/>
      <c r="AD77" s="390"/>
      <c r="AE77" s="391"/>
      <c r="AF77" s="390"/>
      <c r="AG77" s="391"/>
      <c r="AH77" s="390"/>
      <c r="AI77" s="391"/>
      <c r="AJ77" s="390"/>
      <c r="AK77" s="391"/>
      <c r="AL77" s="390"/>
      <c r="AM77" s="391"/>
      <c r="AN77" s="390"/>
      <c r="AO77" s="391"/>
    </row>
    <row r="78" spans="1:41" s="201" customFormat="1" ht="12.75" hidden="1">
      <c r="A78" s="229" t="s">
        <v>121</v>
      </c>
      <c r="B78" s="230" t="s">
        <v>122</v>
      </c>
      <c r="C78" s="231"/>
      <c r="D78" s="229">
        <v>132709</v>
      </c>
      <c r="E78" s="229">
        <v>7</v>
      </c>
      <c r="F78" s="390">
        <v>3357</v>
      </c>
      <c r="G78" s="395">
        <v>3357</v>
      </c>
      <c r="H78" s="390">
        <v>11010</v>
      </c>
      <c r="I78" s="395">
        <v>11010</v>
      </c>
      <c r="J78" s="390"/>
      <c r="K78" s="391"/>
      <c r="L78" s="390"/>
      <c r="M78" s="391"/>
      <c r="N78" s="390"/>
      <c r="O78" s="391"/>
      <c r="P78" s="390"/>
      <c r="Q78" s="391"/>
      <c r="R78" s="390"/>
      <c r="S78" s="391"/>
      <c r="T78" s="390"/>
      <c r="U78" s="391"/>
      <c r="V78" s="390"/>
      <c r="W78" s="391"/>
      <c r="X78" s="390"/>
      <c r="Y78" s="391"/>
      <c r="Z78" s="390"/>
      <c r="AA78" s="391"/>
      <c r="AB78" s="390"/>
      <c r="AC78" s="391"/>
      <c r="AD78" s="390"/>
      <c r="AE78" s="391"/>
      <c r="AF78" s="390"/>
      <c r="AG78" s="391"/>
      <c r="AH78" s="390"/>
      <c r="AI78" s="391"/>
      <c r="AJ78" s="390"/>
      <c r="AK78" s="391"/>
      <c r="AL78" s="390"/>
      <c r="AM78" s="391"/>
      <c r="AN78" s="390"/>
      <c r="AO78" s="391"/>
    </row>
    <row r="79" spans="1:41" s="201" customFormat="1" ht="12.75" hidden="1">
      <c r="A79" s="229" t="s">
        <v>121</v>
      </c>
      <c r="B79" s="230" t="s">
        <v>124</v>
      </c>
      <c r="C79" s="231"/>
      <c r="D79" s="229">
        <v>132851</v>
      </c>
      <c r="E79" s="229">
        <v>7</v>
      </c>
      <c r="F79" s="390">
        <v>3387.6</v>
      </c>
      <c r="G79" s="395">
        <v>3387.6</v>
      </c>
      <c r="H79" s="390">
        <v>13146</v>
      </c>
      <c r="I79" s="395">
        <v>13146</v>
      </c>
      <c r="J79" s="390"/>
      <c r="K79" s="391"/>
      <c r="L79" s="390"/>
      <c r="M79" s="391"/>
      <c r="N79" s="390"/>
      <c r="O79" s="391"/>
      <c r="P79" s="390"/>
      <c r="Q79" s="391"/>
      <c r="R79" s="390"/>
      <c r="S79" s="391"/>
      <c r="T79" s="390"/>
      <c r="U79" s="391"/>
      <c r="V79" s="390"/>
      <c r="W79" s="391"/>
      <c r="X79" s="390"/>
      <c r="Y79" s="391"/>
      <c r="Z79" s="390"/>
      <c r="AA79" s="391"/>
      <c r="AB79" s="390"/>
      <c r="AC79" s="391"/>
      <c r="AD79" s="390"/>
      <c r="AE79" s="391"/>
      <c r="AF79" s="390"/>
      <c r="AG79" s="391"/>
      <c r="AH79" s="390"/>
      <c r="AI79" s="391"/>
      <c r="AJ79" s="390"/>
      <c r="AK79" s="391"/>
      <c r="AL79" s="390"/>
      <c r="AM79" s="391"/>
      <c r="AN79" s="390"/>
      <c r="AO79" s="391"/>
    </row>
    <row r="80" spans="1:41" s="201" customFormat="1" ht="12.75" hidden="1">
      <c r="A80" s="229" t="s">
        <v>121</v>
      </c>
      <c r="B80" s="230" t="s">
        <v>123</v>
      </c>
      <c r="C80" s="232"/>
      <c r="D80" s="229">
        <v>133021</v>
      </c>
      <c r="E80" s="229">
        <v>7</v>
      </c>
      <c r="F80" s="390">
        <v>3060</v>
      </c>
      <c r="G80" s="395">
        <v>3060</v>
      </c>
      <c r="H80" s="390">
        <v>8890.5</v>
      </c>
      <c r="I80" s="395">
        <v>8890.5</v>
      </c>
      <c r="J80" s="390"/>
      <c r="K80" s="391"/>
      <c r="L80" s="390"/>
      <c r="M80" s="391"/>
      <c r="N80" s="390"/>
      <c r="O80" s="391"/>
      <c r="P80" s="390"/>
      <c r="Q80" s="391"/>
      <c r="R80" s="390"/>
      <c r="S80" s="391"/>
      <c r="T80" s="390"/>
      <c r="U80" s="391"/>
      <c r="V80" s="390"/>
      <c r="W80" s="391"/>
      <c r="X80" s="390"/>
      <c r="Y80" s="391"/>
      <c r="Z80" s="390"/>
      <c r="AA80" s="391"/>
      <c r="AB80" s="390"/>
      <c r="AC80" s="391"/>
      <c r="AD80" s="390"/>
      <c r="AE80" s="391"/>
      <c r="AF80" s="390"/>
      <c r="AG80" s="391"/>
      <c r="AH80" s="390"/>
      <c r="AI80" s="391"/>
      <c r="AJ80" s="390"/>
      <c r="AK80" s="391"/>
      <c r="AL80" s="390"/>
      <c r="AM80" s="391"/>
      <c r="AN80" s="390"/>
      <c r="AO80" s="391"/>
    </row>
    <row r="81" spans="1:41" s="201" customFormat="1" ht="12.75" hidden="1">
      <c r="A81" s="229" t="s">
        <v>121</v>
      </c>
      <c r="B81" s="230" t="s">
        <v>125</v>
      </c>
      <c r="C81" s="232"/>
      <c r="D81" s="229">
        <v>133386</v>
      </c>
      <c r="E81" s="229">
        <v>7</v>
      </c>
      <c r="F81" s="390">
        <v>3071.4</v>
      </c>
      <c r="G81" s="395">
        <v>3071.4</v>
      </c>
      <c r="H81" s="390">
        <v>11959.5</v>
      </c>
      <c r="I81" s="395">
        <v>11959.5</v>
      </c>
      <c r="J81" s="390"/>
      <c r="K81" s="391"/>
      <c r="L81" s="390"/>
      <c r="M81" s="391"/>
      <c r="N81" s="390"/>
      <c r="O81" s="391"/>
      <c r="P81" s="390"/>
      <c r="Q81" s="391"/>
      <c r="R81" s="390"/>
      <c r="S81" s="391"/>
      <c r="T81" s="390"/>
      <c r="U81" s="391"/>
      <c r="V81" s="390"/>
      <c r="W81" s="391"/>
      <c r="X81" s="390"/>
      <c r="Y81" s="391"/>
      <c r="Z81" s="390"/>
      <c r="AA81" s="391"/>
      <c r="AB81" s="390"/>
      <c r="AC81" s="391"/>
      <c r="AD81" s="390"/>
      <c r="AE81" s="391"/>
      <c r="AF81" s="390"/>
      <c r="AG81" s="391"/>
      <c r="AH81" s="390"/>
      <c r="AI81" s="391"/>
      <c r="AJ81" s="390"/>
      <c r="AK81" s="391"/>
      <c r="AL81" s="390"/>
      <c r="AM81" s="391"/>
      <c r="AN81" s="390"/>
      <c r="AO81" s="391"/>
    </row>
    <row r="82" spans="1:41" s="201" customFormat="1" ht="12.75" hidden="1">
      <c r="A82" s="229" t="s">
        <v>121</v>
      </c>
      <c r="B82" s="230" t="s">
        <v>126</v>
      </c>
      <c r="C82" s="232"/>
      <c r="D82" s="229">
        <v>133508</v>
      </c>
      <c r="E82" s="229">
        <v>7</v>
      </c>
      <c r="F82" s="390">
        <v>3340.8</v>
      </c>
      <c r="G82" s="395">
        <v>3340.8</v>
      </c>
      <c r="H82" s="390">
        <v>12918.9</v>
      </c>
      <c r="I82" s="395">
        <v>12918.9</v>
      </c>
      <c r="J82" s="390"/>
      <c r="K82" s="391"/>
      <c r="L82" s="390"/>
      <c r="M82" s="391"/>
      <c r="N82" s="390"/>
      <c r="O82" s="391"/>
      <c r="P82" s="390"/>
      <c r="Q82" s="391"/>
      <c r="R82" s="390"/>
      <c r="S82" s="391"/>
      <c r="T82" s="390"/>
      <c r="U82" s="391"/>
      <c r="V82" s="390"/>
      <c r="W82" s="391"/>
      <c r="X82" s="390"/>
      <c r="Y82" s="391"/>
      <c r="Z82" s="390"/>
      <c r="AA82" s="391"/>
      <c r="AB82" s="390"/>
      <c r="AC82" s="391"/>
      <c r="AD82" s="390"/>
      <c r="AE82" s="391"/>
      <c r="AF82" s="390"/>
      <c r="AG82" s="391"/>
      <c r="AH82" s="390"/>
      <c r="AI82" s="391"/>
      <c r="AJ82" s="390"/>
      <c r="AK82" s="391"/>
      <c r="AL82" s="390"/>
      <c r="AM82" s="391"/>
      <c r="AN82" s="390"/>
      <c r="AO82" s="391"/>
    </row>
    <row r="83" spans="1:41" s="201" customFormat="1" ht="12.75" hidden="1">
      <c r="A83" s="229" t="s">
        <v>121</v>
      </c>
      <c r="B83" s="230" t="s">
        <v>127</v>
      </c>
      <c r="C83" s="233"/>
      <c r="D83" s="229">
        <v>133702</v>
      </c>
      <c r="E83" s="229">
        <v>7</v>
      </c>
      <c r="F83" s="390">
        <v>3146.4</v>
      </c>
      <c r="G83" s="395">
        <v>3146.4</v>
      </c>
      <c r="H83" s="390">
        <v>12038.1</v>
      </c>
      <c r="I83" s="395">
        <v>12038.1</v>
      </c>
      <c r="J83" s="390"/>
      <c r="K83" s="391"/>
      <c r="L83" s="390"/>
      <c r="M83" s="391"/>
      <c r="N83" s="390"/>
      <c r="O83" s="391"/>
      <c r="P83" s="390"/>
      <c r="Q83" s="391"/>
      <c r="R83" s="390"/>
      <c r="S83" s="391"/>
      <c r="T83" s="390"/>
      <c r="U83" s="391"/>
      <c r="V83" s="390"/>
      <c r="W83" s="391"/>
      <c r="X83" s="390"/>
      <c r="Y83" s="391"/>
      <c r="Z83" s="390"/>
      <c r="AA83" s="391"/>
      <c r="AB83" s="390"/>
      <c r="AC83" s="391"/>
      <c r="AD83" s="390"/>
      <c r="AE83" s="391"/>
      <c r="AF83" s="390"/>
      <c r="AG83" s="391"/>
      <c r="AH83" s="390"/>
      <c r="AI83" s="391"/>
      <c r="AJ83" s="390"/>
      <c r="AK83" s="391"/>
      <c r="AL83" s="390"/>
      <c r="AM83" s="391"/>
      <c r="AN83" s="390"/>
      <c r="AO83" s="391"/>
    </row>
    <row r="84" spans="1:41" s="201" customFormat="1" ht="12.75" hidden="1">
      <c r="A84" s="229" t="s">
        <v>121</v>
      </c>
      <c r="B84" s="230" t="s">
        <v>632</v>
      </c>
      <c r="C84" s="232" t="s">
        <v>633</v>
      </c>
      <c r="D84" s="229">
        <v>133960</v>
      </c>
      <c r="E84" s="229">
        <v>10</v>
      </c>
      <c r="F84" s="390">
        <v>3276.6</v>
      </c>
      <c r="G84" s="395">
        <v>3276.6</v>
      </c>
      <c r="H84" s="390">
        <v>13161.9</v>
      </c>
      <c r="I84" s="395">
        <v>13161.9</v>
      </c>
      <c r="J84" s="390"/>
      <c r="K84" s="391"/>
      <c r="L84" s="390"/>
      <c r="M84" s="391"/>
      <c r="N84" s="390"/>
      <c r="O84" s="391"/>
      <c r="P84" s="390"/>
      <c r="Q84" s="391"/>
      <c r="R84" s="390"/>
      <c r="S84" s="391"/>
      <c r="T84" s="390"/>
      <c r="U84" s="391"/>
      <c r="V84" s="390"/>
      <c r="W84" s="391"/>
      <c r="X84" s="390"/>
      <c r="Y84" s="391"/>
      <c r="Z84" s="390"/>
      <c r="AA84" s="391"/>
      <c r="AB84" s="390"/>
      <c r="AC84" s="391"/>
      <c r="AD84" s="390"/>
      <c r="AE84" s="391"/>
      <c r="AF84" s="390"/>
      <c r="AG84" s="391"/>
      <c r="AH84" s="390"/>
      <c r="AI84" s="391"/>
      <c r="AJ84" s="390"/>
      <c r="AK84" s="391"/>
      <c r="AL84" s="390"/>
      <c r="AM84" s="391"/>
      <c r="AN84" s="390"/>
      <c r="AO84" s="391"/>
    </row>
    <row r="85" spans="1:41" s="201" customFormat="1" ht="12.75" hidden="1">
      <c r="A85" s="229" t="s">
        <v>121</v>
      </c>
      <c r="B85" s="230" t="s">
        <v>128</v>
      </c>
      <c r="C85" s="231"/>
      <c r="D85" s="229">
        <v>134343</v>
      </c>
      <c r="E85" s="229">
        <v>7</v>
      </c>
      <c r="F85" s="390">
        <v>2844</v>
      </c>
      <c r="G85" s="395">
        <v>2844</v>
      </c>
      <c r="H85" s="390">
        <v>10672.8</v>
      </c>
      <c r="I85" s="395">
        <v>10672.8</v>
      </c>
      <c r="J85" s="390"/>
      <c r="K85" s="391"/>
      <c r="L85" s="390"/>
      <c r="M85" s="391"/>
      <c r="N85" s="390"/>
      <c r="O85" s="391"/>
      <c r="P85" s="390"/>
      <c r="Q85" s="391"/>
      <c r="R85" s="390"/>
      <c r="S85" s="391"/>
      <c r="T85" s="390"/>
      <c r="U85" s="391"/>
      <c r="V85" s="390"/>
      <c r="W85" s="391"/>
      <c r="X85" s="390"/>
      <c r="Y85" s="391"/>
      <c r="Z85" s="390"/>
      <c r="AA85" s="391"/>
      <c r="AB85" s="390"/>
      <c r="AC85" s="391"/>
      <c r="AD85" s="390"/>
      <c r="AE85" s="391"/>
      <c r="AF85" s="390"/>
      <c r="AG85" s="391"/>
      <c r="AH85" s="390"/>
      <c r="AI85" s="391"/>
      <c r="AJ85" s="390"/>
      <c r="AK85" s="391"/>
      <c r="AL85" s="390"/>
      <c r="AM85" s="391"/>
      <c r="AN85" s="390"/>
      <c r="AO85" s="391"/>
    </row>
    <row r="86" spans="1:41" s="201" customFormat="1" ht="12.75" hidden="1">
      <c r="A86" s="229" t="s">
        <v>121</v>
      </c>
      <c r="B86" s="230" t="s">
        <v>142</v>
      </c>
      <c r="C86" s="232"/>
      <c r="D86" s="229">
        <v>134495</v>
      </c>
      <c r="E86" s="229">
        <v>8</v>
      </c>
      <c r="F86" s="390">
        <v>3115.5</v>
      </c>
      <c r="G86" s="395">
        <v>3115.5</v>
      </c>
      <c r="H86" s="390">
        <v>11372.1</v>
      </c>
      <c r="I86" s="395">
        <v>11372.1</v>
      </c>
      <c r="J86" s="390"/>
      <c r="K86" s="391"/>
      <c r="L86" s="390"/>
      <c r="M86" s="391"/>
      <c r="N86" s="390"/>
      <c r="O86" s="391"/>
      <c r="P86" s="390"/>
      <c r="Q86" s="391"/>
      <c r="R86" s="390"/>
      <c r="S86" s="391"/>
      <c r="T86" s="390"/>
      <c r="U86" s="391"/>
      <c r="V86" s="390"/>
      <c r="W86" s="391"/>
      <c r="X86" s="390"/>
      <c r="Y86" s="391"/>
      <c r="Z86" s="390"/>
      <c r="AA86" s="391"/>
      <c r="AB86" s="390"/>
      <c r="AC86" s="391"/>
      <c r="AD86" s="390"/>
      <c r="AE86" s="391"/>
      <c r="AF86" s="390"/>
      <c r="AG86" s="391"/>
      <c r="AH86" s="390"/>
      <c r="AI86" s="391"/>
      <c r="AJ86" s="390"/>
      <c r="AK86" s="391"/>
      <c r="AL86" s="390"/>
      <c r="AM86" s="391"/>
      <c r="AN86" s="390"/>
      <c r="AO86" s="391"/>
    </row>
    <row r="87" spans="1:41" s="201" customFormat="1" ht="12.75" hidden="1">
      <c r="A87" s="229" t="s">
        <v>121</v>
      </c>
      <c r="B87" s="230" t="s">
        <v>129</v>
      </c>
      <c r="C87" s="233"/>
      <c r="D87" s="229">
        <v>134608</v>
      </c>
      <c r="E87" s="229">
        <v>7</v>
      </c>
      <c r="F87" s="390">
        <v>3114.9</v>
      </c>
      <c r="G87" s="395">
        <v>3114.9</v>
      </c>
      <c r="H87" s="390">
        <v>11714.7</v>
      </c>
      <c r="I87" s="395">
        <v>11714.7</v>
      </c>
      <c r="J87" s="390"/>
      <c r="K87" s="391"/>
      <c r="L87" s="390"/>
      <c r="M87" s="391"/>
      <c r="N87" s="390"/>
      <c r="O87" s="391"/>
      <c r="P87" s="390"/>
      <c r="Q87" s="391"/>
      <c r="R87" s="390"/>
      <c r="S87" s="391"/>
      <c r="T87" s="390"/>
      <c r="U87" s="391"/>
      <c r="V87" s="390"/>
      <c r="W87" s="391"/>
      <c r="X87" s="390"/>
      <c r="Y87" s="391"/>
      <c r="Z87" s="390"/>
      <c r="AA87" s="391"/>
      <c r="AB87" s="390"/>
      <c r="AC87" s="391"/>
      <c r="AD87" s="390"/>
      <c r="AE87" s="391"/>
      <c r="AF87" s="390"/>
      <c r="AG87" s="391"/>
      <c r="AH87" s="390"/>
      <c r="AI87" s="391"/>
      <c r="AJ87" s="390"/>
      <c r="AK87" s="391"/>
      <c r="AL87" s="390"/>
      <c r="AM87" s="391"/>
      <c r="AN87" s="390"/>
      <c r="AO87" s="391"/>
    </row>
    <row r="88" spans="1:41" s="201" customFormat="1" ht="12.75" hidden="1">
      <c r="A88" s="229" t="s">
        <v>121</v>
      </c>
      <c r="B88" s="230" t="s">
        <v>145</v>
      </c>
      <c r="C88" s="231"/>
      <c r="D88" s="229">
        <v>135160</v>
      </c>
      <c r="E88" s="229">
        <v>7</v>
      </c>
      <c r="F88" s="390">
        <v>3069.6</v>
      </c>
      <c r="G88" s="395">
        <v>3069.6</v>
      </c>
      <c r="H88" s="390">
        <v>11717.1</v>
      </c>
      <c r="I88" s="395">
        <v>11717.1</v>
      </c>
      <c r="J88" s="390"/>
      <c r="K88" s="391"/>
      <c r="L88" s="390"/>
      <c r="M88" s="391"/>
      <c r="N88" s="390"/>
      <c r="O88" s="391"/>
      <c r="P88" s="390"/>
      <c r="Q88" s="391"/>
      <c r="R88" s="390"/>
      <c r="S88" s="391"/>
      <c r="T88" s="390"/>
      <c r="U88" s="391"/>
      <c r="V88" s="390"/>
      <c r="W88" s="391"/>
      <c r="X88" s="390"/>
      <c r="Y88" s="391"/>
      <c r="Z88" s="390"/>
      <c r="AA88" s="391"/>
      <c r="AB88" s="390"/>
      <c r="AC88" s="391"/>
      <c r="AD88" s="390"/>
      <c r="AE88" s="391"/>
      <c r="AF88" s="390"/>
      <c r="AG88" s="391"/>
      <c r="AH88" s="390"/>
      <c r="AI88" s="391"/>
      <c r="AJ88" s="390"/>
      <c r="AK88" s="391"/>
      <c r="AL88" s="390"/>
      <c r="AM88" s="391"/>
      <c r="AN88" s="390"/>
      <c r="AO88" s="391"/>
    </row>
    <row r="89" spans="1:41" s="201" customFormat="1" ht="12.75" hidden="1">
      <c r="A89" s="229" t="s">
        <v>121</v>
      </c>
      <c r="B89" s="230" t="s">
        <v>146</v>
      </c>
      <c r="C89" s="231"/>
      <c r="D89" s="229">
        <v>135188</v>
      </c>
      <c r="E89" s="229">
        <v>7</v>
      </c>
      <c r="F89" s="390">
        <v>3231.9</v>
      </c>
      <c r="G89" s="395">
        <v>3291.9</v>
      </c>
      <c r="H89" s="390">
        <v>13336.2</v>
      </c>
      <c r="I89" s="395">
        <v>13276.2</v>
      </c>
      <c r="J89" s="390"/>
      <c r="K89" s="391"/>
      <c r="L89" s="390"/>
      <c r="M89" s="391"/>
      <c r="N89" s="390"/>
      <c r="O89" s="391"/>
      <c r="P89" s="390"/>
      <c r="Q89" s="391"/>
      <c r="R89" s="390"/>
      <c r="S89" s="391"/>
      <c r="T89" s="390"/>
      <c r="U89" s="391"/>
      <c r="V89" s="390"/>
      <c r="W89" s="391"/>
      <c r="X89" s="390"/>
      <c r="Y89" s="391"/>
      <c r="Z89" s="390"/>
      <c r="AA89" s="391"/>
      <c r="AB89" s="390"/>
      <c r="AC89" s="391"/>
      <c r="AD89" s="390"/>
      <c r="AE89" s="391"/>
      <c r="AF89" s="390"/>
      <c r="AG89" s="391"/>
      <c r="AH89" s="390"/>
      <c r="AI89" s="391"/>
      <c r="AJ89" s="390"/>
      <c r="AK89" s="391"/>
      <c r="AL89" s="390"/>
      <c r="AM89" s="391"/>
      <c r="AN89" s="390"/>
      <c r="AO89" s="391"/>
    </row>
    <row r="90" spans="1:41" s="201" customFormat="1" ht="12.75" hidden="1">
      <c r="A90" s="229" t="s">
        <v>121</v>
      </c>
      <c r="B90" s="230" t="s">
        <v>139</v>
      </c>
      <c r="C90" s="231"/>
      <c r="D90" s="229">
        <v>135391</v>
      </c>
      <c r="E90" s="229">
        <v>7</v>
      </c>
      <c r="F90" s="390">
        <v>3074.4</v>
      </c>
      <c r="G90" s="395">
        <v>3074.4</v>
      </c>
      <c r="H90" s="390">
        <v>11595.6</v>
      </c>
      <c r="I90" s="395">
        <v>11595.6</v>
      </c>
      <c r="J90" s="390"/>
      <c r="K90" s="391"/>
      <c r="L90" s="390"/>
      <c r="M90" s="391"/>
      <c r="N90" s="390"/>
      <c r="O90" s="391"/>
      <c r="P90" s="390"/>
      <c r="Q90" s="391"/>
      <c r="R90" s="390"/>
      <c r="S90" s="391"/>
      <c r="T90" s="390"/>
      <c r="U90" s="391"/>
      <c r="V90" s="390"/>
      <c r="W90" s="391"/>
      <c r="X90" s="390"/>
      <c r="Y90" s="391"/>
      <c r="Z90" s="390"/>
      <c r="AA90" s="391"/>
      <c r="AB90" s="390"/>
      <c r="AC90" s="391"/>
      <c r="AD90" s="390"/>
      <c r="AE90" s="391"/>
      <c r="AF90" s="390"/>
      <c r="AG90" s="391"/>
      <c r="AH90" s="390"/>
      <c r="AI90" s="391"/>
      <c r="AJ90" s="390"/>
      <c r="AK90" s="391"/>
      <c r="AL90" s="390"/>
      <c r="AM90" s="391"/>
      <c r="AN90" s="390"/>
      <c r="AO90" s="391"/>
    </row>
    <row r="91" spans="1:41" s="201" customFormat="1" ht="12.75" hidden="1">
      <c r="A91" s="229" t="s">
        <v>121</v>
      </c>
      <c r="B91" s="230" t="s">
        <v>130</v>
      </c>
      <c r="C91" s="232"/>
      <c r="D91" s="229">
        <v>135717</v>
      </c>
      <c r="E91" s="229">
        <v>7</v>
      </c>
      <c r="F91" s="390">
        <v>3456.6</v>
      </c>
      <c r="G91" s="395">
        <v>3456.6</v>
      </c>
      <c r="H91" s="390">
        <v>11985.3</v>
      </c>
      <c r="I91" s="395">
        <v>11985.3</v>
      </c>
      <c r="J91" s="390"/>
      <c r="K91" s="391"/>
      <c r="L91" s="390"/>
      <c r="M91" s="391"/>
      <c r="N91" s="390"/>
      <c r="O91" s="391"/>
      <c r="P91" s="390"/>
      <c r="Q91" s="391"/>
      <c r="R91" s="390"/>
      <c r="S91" s="391"/>
      <c r="T91" s="390"/>
      <c r="U91" s="391"/>
      <c r="V91" s="390"/>
      <c r="W91" s="391"/>
      <c r="X91" s="390"/>
      <c r="Y91" s="391"/>
      <c r="Z91" s="390"/>
      <c r="AA91" s="391"/>
      <c r="AB91" s="390"/>
      <c r="AC91" s="391"/>
      <c r="AD91" s="390"/>
      <c r="AE91" s="391"/>
      <c r="AF91" s="390"/>
      <c r="AG91" s="391"/>
      <c r="AH91" s="390"/>
      <c r="AI91" s="391"/>
      <c r="AJ91" s="390"/>
      <c r="AK91" s="391"/>
      <c r="AL91" s="390"/>
      <c r="AM91" s="391"/>
      <c r="AN91" s="390"/>
      <c r="AO91" s="391"/>
    </row>
    <row r="92" spans="1:41" s="201" customFormat="1" ht="12.75" hidden="1">
      <c r="A92" s="229" t="s">
        <v>121</v>
      </c>
      <c r="B92" s="230" t="s">
        <v>634</v>
      </c>
      <c r="C92" s="232" t="s">
        <v>631</v>
      </c>
      <c r="D92" s="229">
        <v>136145</v>
      </c>
      <c r="E92" s="229">
        <v>10</v>
      </c>
      <c r="F92" s="390">
        <v>2994</v>
      </c>
      <c r="G92" s="395">
        <v>2553</v>
      </c>
      <c r="H92" s="390">
        <v>11889</v>
      </c>
      <c r="I92" s="395">
        <v>9984</v>
      </c>
      <c r="J92" s="390"/>
      <c r="K92" s="391"/>
      <c r="L92" s="390"/>
      <c r="M92" s="391"/>
      <c r="N92" s="390"/>
      <c r="O92" s="391"/>
      <c r="P92" s="390"/>
      <c r="Q92" s="391"/>
      <c r="R92" s="390"/>
      <c r="S92" s="391"/>
      <c r="T92" s="390"/>
      <c r="U92" s="391"/>
      <c r="V92" s="390"/>
      <c r="W92" s="391"/>
      <c r="X92" s="390"/>
      <c r="Y92" s="391"/>
      <c r="Z92" s="390"/>
      <c r="AA92" s="391"/>
      <c r="AB92" s="390"/>
      <c r="AC92" s="391"/>
      <c r="AD92" s="390"/>
      <c r="AE92" s="391"/>
      <c r="AF92" s="390"/>
      <c r="AG92" s="391"/>
      <c r="AH92" s="390"/>
      <c r="AI92" s="391"/>
      <c r="AJ92" s="390"/>
      <c r="AK92" s="391"/>
      <c r="AL92" s="390"/>
      <c r="AM92" s="391"/>
      <c r="AN92" s="390"/>
      <c r="AO92" s="391"/>
    </row>
    <row r="93" spans="1:41" s="201" customFormat="1" ht="12.75" hidden="1">
      <c r="A93" s="234" t="s">
        <v>121</v>
      </c>
      <c r="B93" s="230" t="s">
        <v>131</v>
      </c>
      <c r="C93" s="232"/>
      <c r="D93" s="229">
        <v>136233</v>
      </c>
      <c r="E93" s="229">
        <v>7</v>
      </c>
      <c r="F93" s="390">
        <v>3120.3</v>
      </c>
      <c r="G93" s="395">
        <v>3120.3</v>
      </c>
      <c r="H93" s="390">
        <v>11940.6</v>
      </c>
      <c r="I93" s="395">
        <v>11940.6</v>
      </c>
      <c r="J93" s="390"/>
      <c r="K93" s="391"/>
      <c r="L93" s="390"/>
      <c r="M93" s="391"/>
      <c r="N93" s="390"/>
      <c r="O93" s="391"/>
      <c r="P93" s="390"/>
      <c r="Q93" s="391"/>
      <c r="R93" s="390"/>
      <c r="S93" s="391"/>
      <c r="T93" s="390"/>
      <c r="U93" s="391"/>
      <c r="V93" s="390"/>
      <c r="W93" s="391"/>
      <c r="X93" s="390"/>
      <c r="Y93" s="391"/>
      <c r="Z93" s="390"/>
      <c r="AA93" s="391"/>
      <c r="AB93" s="390"/>
      <c r="AC93" s="391"/>
      <c r="AD93" s="390"/>
      <c r="AE93" s="391"/>
      <c r="AF93" s="390"/>
      <c r="AG93" s="391"/>
      <c r="AH93" s="390"/>
      <c r="AI93" s="391"/>
      <c r="AJ93" s="390"/>
      <c r="AK93" s="391"/>
      <c r="AL93" s="390"/>
      <c r="AM93" s="391"/>
      <c r="AN93" s="390"/>
      <c r="AO93" s="391"/>
    </row>
    <row r="94" spans="1:41" s="201" customFormat="1" ht="12.75" hidden="1">
      <c r="A94" s="234" t="s">
        <v>121</v>
      </c>
      <c r="B94" s="230" t="s">
        <v>132</v>
      </c>
      <c r="C94" s="231"/>
      <c r="D94" s="229">
        <v>136358</v>
      </c>
      <c r="E94" s="229">
        <v>7</v>
      </c>
      <c r="F94" s="390">
        <v>3030</v>
      </c>
      <c r="G94" s="395">
        <v>3030</v>
      </c>
      <c r="H94" s="390">
        <v>10890</v>
      </c>
      <c r="I94" s="395">
        <v>10890</v>
      </c>
      <c r="J94" s="390"/>
      <c r="K94" s="391"/>
      <c r="L94" s="390"/>
      <c r="M94" s="391"/>
      <c r="N94" s="390"/>
      <c r="O94" s="391"/>
      <c r="P94" s="390"/>
      <c r="Q94" s="391"/>
      <c r="R94" s="390"/>
      <c r="S94" s="391"/>
      <c r="T94" s="390"/>
      <c r="U94" s="391"/>
      <c r="V94" s="390"/>
      <c r="W94" s="391"/>
      <c r="X94" s="390"/>
      <c r="Y94" s="391"/>
      <c r="Z94" s="390"/>
      <c r="AA94" s="391"/>
      <c r="AB94" s="390"/>
      <c r="AC94" s="391"/>
      <c r="AD94" s="390"/>
      <c r="AE94" s="391"/>
      <c r="AF94" s="390"/>
      <c r="AG94" s="391"/>
      <c r="AH94" s="390"/>
      <c r="AI94" s="391"/>
      <c r="AJ94" s="390"/>
      <c r="AK94" s="391"/>
      <c r="AL94" s="390"/>
      <c r="AM94" s="391"/>
      <c r="AN94" s="390"/>
      <c r="AO94" s="391"/>
    </row>
    <row r="95" spans="1:41" s="201" customFormat="1" ht="12.75" hidden="1">
      <c r="A95" s="234" t="s">
        <v>121</v>
      </c>
      <c r="B95" s="230" t="s">
        <v>143</v>
      </c>
      <c r="C95" s="231"/>
      <c r="D95" s="229">
        <v>136400</v>
      </c>
      <c r="E95" s="229">
        <v>7</v>
      </c>
      <c r="F95" s="390">
        <v>3155.4</v>
      </c>
      <c r="G95" s="395">
        <v>3155.4</v>
      </c>
      <c r="H95" s="390">
        <v>12031.5</v>
      </c>
      <c r="I95" s="395">
        <v>12031.5</v>
      </c>
      <c r="J95" s="390"/>
      <c r="K95" s="391"/>
      <c r="L95" s="390"/>
      <c r="M95" s="391"/>
      <c r="N95" s="390"/>
      <c r="O95" s="391"/>
      <c r="P95" s="390"/>
      <c r="Q95" s="391"/>
      <c r="R95" s="390"/>
      <c r="S95" s="391"/>
      <c r="T95" s="390"/>
      <c r="U95" s="391"/>
      <c r="V95" s="390"/>
      <c r="W95" s="391"/>
      <c r="X95" s="390"/>
      <c r="Y95" s="391"/>
      <c r="Z95" s="390"/>
      <c r="AA95" s="391"/>
      <c r="AB95" s="390"/>
      <c r="AC95" s="391"/>
      <c r="AD95" s="390"/>
      <c r="AE95" s="391"/>
      <c r="AF95" s="390"/>
      <c r="AG95" s="391"/>
      <c r="AH95" s="390"/>
      <c r="AI95" s="391"/>
      <c r="AJ95" s="390"/>
      <c r="AK95" s="391"/>
      <c r="AL95" s="390"/>
      <c r="AM95" s="391"/>
      <c r="AN95" s="390"/>
      <c r="AO95" s="391"/>
    </row>
    <row r="96" spans="1:41" s="201" customFormat="1" ht="12.75" hidden="1">
      <c r="A96" s="235" t="s">
        <v>121</v>
      </c>
      <c r="B96" s="230" t="s">
        <v>133</v>
      </c>
      <c r="C96" s="231"/>
      <c r="D96" s="229">
        <v>136473</v>
      </c>
      <c r="E96" s="229">
        <v>7</v>
      </c>
      <c r="F96" s="390">
        <v>3137.4</v>
      </c>
      <c r="G96" s="395">
        <v>3137.4</v>
      </c>
      <c r="H96" s="390">
        <v>12592.8</v>
      </c>
      <c r="I96" s="395">
        <v>12592.8</v>
      </c>
      <c r="J96" s="390"/>
      <c r="K96" s="391"/>
      <c r="L96" s="390"/>
      <c r="M96" s="391"/>
      <c r="N96" s="390"/>
      <c r="O96" s="391"/>
      <c r="P96" s="390"/>
      <c r="Q96" s="391"/>
      <c r="R96" s="390"/>
      <c r="S96" s="391"/>
      <c r="T96" s="390"/>
      <c r="U96" s="391"/>
      <c r="V96" s="390"/>
      <c r="W96" s="391"/>
      <c r="X96" s="390"/>
      <c r="Y96" s="391"/>
      <c r="Z96" s="390"/>
      <c r="AA96" s="391"/>
      <c r="AB96" s="390"/>
      <c r="AC96" s="391"/>
      <c r="AD96" s="390"/>
      <c r="AE96" s="391"/>
      <c r="AF96" s="390"/>
      <c r="AG96" s="391"/>
      <c r="AH96" s="390"/>
      <c r="AI96" s="391"/>
      <c r="AJ96" s="390"/>
      <c r="AK96" s="391"/>
      <c r="AL96" s="390"/>
      <c r="AM96" s="391"/>
      <c r="AN96" s="390"/>
      <c r="AO96" s="391"/>
    </row>
    <row r="97" spans="1:41" s="201" customFormat="1" ht="12.75" hidden="1">
      <c r="A97" s="235" t="s">
        <v>121</v>
      </c>
      <c r="B97" s="230" t="s">
        <v>134</v>
      </c>
      <c r="C97" s="231"/>
      <c r="D97" s="229">
        <v>136516</v>
      </c>
      <c r="E97" s="229">
        <v>7</v>
      </c>
      <c r="F97" s="390">
        <v>3336.6</v>
      </c>
      <c r="G97" s="395">
        <v>3336.6</v>
      </c>
      <c r="H97" s="390">
        <v>12241.8</v>
      </c>
      <c r="I97" s="395">
        <v>12241.8</v>
      </c>
      <c r="J97" s="390"/>
      <c r="K97" s="391"/>
      <c r="L97" s="390"/>
      <c r="M97" s="391"/>
      <c r="N97" s="390"/>
      <c r="O97" s="391"/>
      <c r="P97" s="390"/>
      <c r="Q97" s="391"/>
      <c r="R97" s="390"/>
      <c r="S97" s="391"/>
      <c r="T97" s="390"/>
      <c r="U97" s="391"/>
      <c r="V97" s="390"/>
      <c r="W97" s="391"/>
      <c r="X97" s="390"/>
      <c r="Y97" s="391"/>
      <c r="Z97" s="390"/>
      <c r="AA97" s="391"/>
      <c r="AB97" s="390"/>
      <c r="AC97" s="391"/>
      <c r="AD97" s="390"/>
      <c r="AE97" s="391"/>
      <c r="AF97" s="390"/>
      <c r="AG97" s="391"/>
      <c r="AH97" s="390"/>
      <c r="AI97" s="391"/>
      <c r="AJ97" s="390"/>
      <c r="AK97" s="391"/>
      <c r="AL97" s="390"/>
      <c r="AM97" s="391"/>
      <c r="AN97" s="390"/>
      <c r="AO97" s="391"/>
    </row>
    <row r="98" spans="1:41" s="201" customFormat="1" ht="12.75" hidden="1">
      <c r="A98" s="235" t="s">
        <v>121</v>
      </c>
      <c r="B98" s="230" t="s">
        <v>137</v>
      </c>
      <c r="C98" s="231"/>
      <c r="D98" s="229">
        <v>137281</v>
      </c>
      <c r="E98" s="229">
        <v>7</v>
      </c>
      <c r="F98" s="390">
        <v>3180</v>
      </c>
      <c r="G98" s="395">
        <v>3180</v>
      </c>
      <c r="H98" s="390">
        <v>11608.2</v>
      </c>
      <c r="I98" s="395">
        <v>11608.2</v>
      </c>
      <c r="J98" s="390"/>
      <c r="K98" s="391"/>
      <c r="L98" s="390"/>
      <c r="M98" s="391"/>
      <c r="N98" s="390"/>
      <c r="O98" s="391"/>
      <c r="P98" s="390"/>
      <c r="Q98" s="391"/>
      <c r="R98" s="390"/>
      <c r="S98" s="391"/>
      <c r="T98" s="390"/>
      <c r="U98" s="391"/>
      <c r="V98" s="390"/>
      <c r="W98" s="391"/>
      <c r="X98" s="390"/>
      <c r="Y98" s="391"/>
      <c r="Z98" s="390"/>
      <c r="AA98" s="391"/>
      <c r="AB98" s="390"/>
      <c r="AC98" s="391"/>
      <c r="AD98" s="390"/>
      <c r="AE98" s="391"/>
      <c r="AF98" s="390"/>
      <c r="AG98" s="391"/>
      <c r="AH98" s="390"/>
      <c r="AI98" s="391"/>
      <c r="AJ98" s="390"/>
      <c r="AK98" s="391"/>
      <c r="AL98" s="390"/>
      <c r="AM98" s="391"/>
      <c r="AN98" s="390"/>
      <c r="AO98" s="391"/>
    </row>
    <row r="99" spans="1:41" s="201" customFormat="1" ht="12.75" hidden="1">
      <c r="A99" s="235" t="s">
        <v>121</v>
      </c>
      <c r="B99" s="230" t="s">
        <v>138</v>
      </c>
      <c r="C99" s="232"/>
      <c r="D99" s="229">
        <v>137078</v>
      </c>
      <c r="E99" s="229">
        <v>7</v>
      </c>
      <c r="F99" s="390">
        <v>3352.5</v>
      </c>
      <c r="G99" s="395">
        <v>3352.5</v>
      </c>
      <c r="H99" s="390">
        <v>11607</v>
      </c>
      <c r="I99" s="395">
        <v>11607</v>
      </c>
      <c r="J99" s="390"/>
      <c r="K99" s="391"/>
      <c r="L99" s="390"/>
      <c r="M99" s="391"/>
      <c r="N99" s="390"/>
      <c r="O99" s="391"/>
      <c r="P99" s="390"/>
      <c r="Q99" s="391"/>
      <c r="R99" s="390"/>
      <c r="S99" s="391"/>
      <c r="T99" s="390"/>
      <c r="U99" s="391"/>
      <c r="V99" s="390"/>
      <c r="W99" s="391"/>
      <c r="X99" s="390"/>
      <c r="Y99" s="391"/>
      <c r="Z99" s="390"/>
      <c r="AA99" s="391"/>
      <c r="AB99" s="390"/>
      <c r="AC99" s="391"/>
      <c r="AD99" s="390"/>
      <c r="AE99" s="391"/>
      <c r="AF99" s="390"/>
      <c r="AG99" s="391"/>
      <c r="AH99" s="390"/>
      <c r="AI99" s="391"/>
      <c r="AJ99" s="390"/>
      <c r="AK99" s="391"/>
      <c r="AL99" s="390"/>
      <c r="AM99" s="391"/>
      <c r="AN99" s="390"/>
      <c r="AO99" s="391"/>
    </row>
    <row r="100" spans="1:41" s="201" customFormat="1" ht="12.75" hidden="1">
      <c r="A100" s="229" t="s">
        <v>121</v>
      </c>
      <c r="B100" s="230" t="s">
        <v>135</v>
      </c>
      <c r="C100" s="231"/>
      <c r="D100" s="229">
        <v>137096</v>
      </c>
      <c r="E100" s="229">
        <v>7</v>
      </c>
      <c r="F100" s="390">
        <v>3053.1</v>
      </c>
      <c r="G100" s="395">
        <v>3053.1</v>
      </c>
      <c r="H100" s="390">
        <v>11337</v>
      </c>
      <c r="I100" s="395">
        <v>11337</v>
      </c>
      <c r="J100" s="390"/>
      <c r="K100" s="391"/>
      <c r="L100" s="390"/>
      <c r="M100" s="391"/>
      <c r="N100" s="390"/>
      <c r="O100" s="391"/>
      <c r="P100" s="390"/>
      <c r="Q100" s="391"/>
      <c r="R100" s="390"/>
      <c r="S100" s="391"/>
      <c r="T100" s="390"/>
      <c r="U100" s="391"/>
      <c r="V100" s="390"/>
      <c r="W100" s="391"/>
      <c r="X100" s="390"/>
      <c r="Y100" s="391"/>
      <c r="Z100" s="390"/>
      <c r="AA100" s="391"/>
      <c r="AB100" s="390"/>
      <c r="AC100" s="391"/>
      <c r="AD100" s="390"/>
      <c r="AE100" s="391"/>
      <c r="AF100" s="390"/>
      <c r="AG100" s="391"/>
      <c r="AH100" s="390"/>
      <c r="AI100" s="391"/>
      <c r="AJ100" s="390"/>
      <c r="AK100" s="391"/>
      <c r="AL100" s="390"/>
      <c r="AM100" s="391"/>
      <c r="AN100" s="390"/>
      <c r="AO100" s="391"/>
    </row>
    <row r="101" spans="1:41" s="201" customFormat="1" ht="12.75" hidden="1">
      <c r="A101" s="235" t="s">
        <v>121</v>
      </c>
      <c r="B101" s="230" t="s">
        <v>136</v>
      </c>
      <c r="C101" s="231"/>
      <c r="D101" s="229">
        <v>137209</v>
      </c>
      <c r="E101" s="229">
        <v>7</v>
      </c>
      <c r="F101" s="390">
        <v>3122.4</v>
      </c>
      <c r="G101" s="395">
        <v>3122.4</v>
      </c>
      <c r="H101" s="390">
        <v>11447.1</v>
      </c>
      <c r="I101" s="395">
        <v>11447.1</v>
      </c>
      <c r="J101" s="390"/>
      <c r="K101" s="391"/>
      <c r="L101" s="390"/>
      <c r="M101" s="391"/>
      <c r="N101" s="390"/>
      <c r="O101" s="391"/>
      <c r="P101" s="390"/>
      <c r="Q101" s="391"/>
      <c r="R101" s="390"/>
      <c r="S101" s="391"/>
      <c r="T101" s="390"/>
      <c r="U101" s="391"/>
      <c r="V101" s="390"/>
      <c r="W101" s="391"/>
      <c r="X101" s="390"/>
      <c r="Y101" s="391"/>
      <c r="Z101" s="390"/>
      <c r="AA101" s="391"/>
      <c r="AB101" s="390"/>
      <c r="AC101" s="391"/>
      <c r="AD101" s="390"/>
      <c r="AE101" s="391"/>
      <c r="AF101" s="390"/>
      <c r="AG101" s="391"/>
      <c r="AH101" s="390"/>
      <c r="AI101" s="391"/>
      <c r="AJ101" s="390"/>
      <c r="AK101" s="391"/>
      <c r="AL101" s="390"/>
      <c r="AM101" s="391"/>
      <c r="AN101" s="390"/>
      <c r="AO101" s="391"/>
    </row>
    <row r="102" spans="1:41" s="201" customFormat="1" ht="12.75" hidden="1">
      <c r="A102" s="235" t="s">
        <v>121</v>
      </c>
      <c r="B102" s="230" t="s">
        <v>147</v>
      </c>
      <c r="C102" s="231"/>
      <c r="D102" s="229">
        <v>137315</v>
      </c>
      <c r="E102" s="229">
        <v>7</v>
      </c>
      <c r="F102" s="390">
        <v>3135.6</v>
      </c>
      <c r="G102" s="395">
        <v>3135.6</v>
      </c>
      <c r="H102" s="390">
        <v>11829.3</v>
      </c>
      <c r="I102" s="395">
        <v>11829.3</v>
      </c>
      <c r="J102" s="390"/>
      <c r="K102" s="391"/>
      <c r="L102" s="390"/>
      <c r="M102" s="391"/>
      <c r="N102" s="390"/>
      <c r="O102" s="391"/>
      <c r="P102" s="390"/>
      <c r="Q102" s="391"/>
      <c r="R102" s="390"/>
      <c r="S102" s="391"/>
      <c r="T102" s="390"/>
      <c r="U102" s="391"/>
      <c r="V102" s="390"/>
      <c r="W102" s="391"/>
      <c r="X102" s="390"/>
      <c r="Y102" s="391"/>
      <c r="Z102" s="390"/>
      <c r="AA102" s="391"/>
      <c r="AB102" s="390"/>
      <c r="AC102" s="391"/>
      <c r="AD102" s="390"/>
      <c r="AE102" s="391"/>
      <c r="AF102" s="390"/>
      <c r="AG102" s="391"/>
      <c r="AH102" s="390"/>
      <c r="AI102" s="391"/>
      <c r="AJ102" s="390"/>
      <c r="AK102" s="391"/>
      <c r="AL102" s="390"/>
      <c r="AM102" s="391"/>
      <c r="AN102" s="390"/>
      <c r="AO102" s="391"/>
    </row>
    <row r="103" spans="1:41" s="201" customFormat="1" ht="12.75" hidden="1">
      <c r="A103" s="229" t="s">
        <v>121</v>
      </c>
      <c r="B103" s="230" t="s">
        <v>144</v>
      </c>
      <c r="C103" s="232" t="s">
        <v>631</v>
      </c>
      <c r="D103" s="229">
        <v>137759</v>
      </c>
      <c r="E103" s="229">
        <v>8</v>
      </c>
      <c r="F103" s="390">
        <v>3024.9</v>
      </c>
      <c r="G103" s="395">
        <v>3024.9</v>
      </c>
      <c r="H103" s="390">
        <v>11618.1</v>
      </c>
      <c r="I103" s="395">
        <v>11618.1</v>
      </c>
      <c r="J103" s="390"/>
      <c r="K103" s="391"/>
      <c r="L103" s="390"/>
      <c r="M103" s="391"/>
      <c r="N103" s="390"/>
      <c r="O103" s="391"/>
      <c r="P103" s="390"/>
      <c r="Q103" s="391"/>
      <c r="R103" s="390"/>
      <c r="S103" s="391"/>
      <c r="T103" s="390"/>
      <c r="U103" s="391"/>
      <c r="V103" s="390"/>
      <c r="W103" s="391"/>
      <c r="X103" s="390"/>
      <c r="Y103" s="391"/>
      <c r="Z103" s="390"/>
      <c r="AA103" s="391"/>
      <c r="AB103" s="390"/>
      <c r="AC103" s="391"/>
      <c r="AD103" s="390"/>
      <c r="AE103" s="391"/>
      <c r="AF103" s="390"/>
      <c r="AG103" s="391"/>
      <c r="AH103" s="390"/>
      <c r="AI103" s="391"/>
      <c r="AJ103" s="390"/>
      <c r="AK103" s="391"/>
      <c r="AL103" s="390"/>
      <c r="AM103" s="391"/>
      <c r="AN103" s="390"/>
      <c r="AO103" s="391"/>
    </row>
    <row r="104" spans="1:41" ht="13.9" hidden="1" customHeight="1" thickBot="1">
      <c r="A104" s="235" t="s">
        <v>121</v>
      </c>
      <c r="B104" s="230" t="s">
        <v>140</v>
      </c>
      <c r="C104" s="231"/>
      <c r="D104" s="229">
        <v>138187</v>
      </c>
      <c r="E104" s="229">
        <v>7</v>
      </c>
      <c r="F104" s="390">
        <v>3091.8</v>
      </c>
      <c r="G104" s="396">
        <v>3091.8</v>
      </c>
      <c r="H104" s="390">
        <v>11728.8</v>
      </c>
      <c r="I104" s="396">
        <v>11728.8</v>
      </c>
      <c r="J104" s="390"/>
      <c r="K104" s="391"/>
      <c r="L104" s="390"/>
      <c r="M104" s="391"/>
      <c r="N104" s="390"/>
      <c r="O104" s="391"/>
      <c r="P104" s="390"/>
      <c r="Q104" s="391"/>
      <c r="R104" s="390"/>
      <c r="S104" s="391"/>
      <c r="T104" s="390"/>
      <c r="U104" s="391"/>
      <c r="V104" s="390"/>
      <c r="W104" s="391"/>
      <c r="X104" s="390"/>
      <c r="Y104" s="391"/>
      <c r="Z104" s="390"/>
      <c r="AA104" s="391"/>
      <c r="AB104" s="390"/>
      <c r="AC104" s="391"/>
      <c r="AD104" s="390"/>
      <c r="AE104" s="391"/>
      <c r="AF104" s="390"/>
      <c r="AG104" s="391"/>
      <c r="AH104" s="390"/>
      <c r="AI104" s="391"/>
      <c r="AJ104" s="390"/>
      <c r="AK104" s="391"/>
      <c r="AL104" s="390"/>
      <c r="AM104" s="391"/>
      <c r="AN104" s="390"/>
      <c r="AO104" s="391"/>
    </row>
    <row r="105" spans="1:41" s="201" customFormat="1" ht="12.75" hidden="1">
      <c r="A105" s="236" t="s">
        <v>148</v>
      </c>
      <c r="B105" s="237" t="s">
        <v>149</v>
      </c>
      <c r="C105" s="238"/>
      <c r="D105" s="239">
        <v>139940</v>
      </c>
      <c r="E105" s="239">
        <v>1</v>
      </c>
      <c r="F105" s="390">
        <v>11076.1</v>
      </c>
      <c r="G105" s="397">
        <f>(4474+1064)*2</f>
        <v>11076</v>
      </c>
      <c r="H105" s="390">
        <v>30114.1</v>
      </c>
      <c r="I105" s="397">
        <f>(13993+1064)*2</f>
        <v>30114</v>
      </c>
      <c r="J105" s="390">
        <v>11680</v>
      </c>
      <c r="K105" s="397">
        <f>(4776+1064)*2</f>
        <v>11680</v>
      </c>
      <c r="L105" s="390">
        <v>32344</v>
      </c>
      <c r="M105" s="397">
        <f>(15108+1064)*2</f>
        <v>32344</v>
      </c>
      <c r="N105" s="390">
        <v>17896</v>
      </c>
      <c r="O105" s="397">
        <f>(7884+1064)*2</f>
        <v>17896</v>
      </c>
      <c r="P105" s="390">
        <v>37504</v>
      </c>
      <c r="Q105" s="397">
        <f>(1064+17688)*2</f>
        <v>37504</v>
      </c>
      <c r="R105" s="390"/>
      <c r="S105" s="391"/>
      <c r="T105" s="390"/>
      <c r="U105" s="391"/>
      <c r="V105" s="390"/>
      <c r="W105" s="391"/>
      <c r="X105" s="390"/>
      <c r="Y105" s="391"/>
      <c r="Z105" s="390"/>
      <c r="AA105" s="391"/>
      <c r="AB105" s="390"/>
      <c r="AC105" s="391"/>
      <c r="AD105" s="390"/>
      <c r="AE105" s="391"/>
      <c r="AF105" s="390"/>
      <c r="AG105" s="391"/>
      <c r="AH105" s="390"/>
      <c r="AI105" s="391"/>
      <c r="AJ105" s="390"/>
      <c r="AK105" s="391"/>
      <c r="AL105" s="390"/>
      <c r="AM105" s="391"/>
      <c r="AN105" s="390"/>
      <c r="AO105" s="391"/>
    </row>
    <row r="106" spans="1:41" s="201" customFormat="1" ht="12.75" hidden="1">
      <c r="A106" s="236" t="s">
        <v>148</v>
      </c>
      <c r="B106" s="237" t="s">
        <v>150</v>
      </c>
      <c r="C106" s="238"/>
      <c r="D106" s="239">
        <v>139959</v>
      </c>
      <c r="E106" s="239">
        <v>1</v>
      </c>
      <c r="F106" s="390">
        <v>12080</v>
      </c>
      <c r="G106" s="397">
        <f>(1145+4895)*2</f>
        <v>12080</v>
      </c>
      <c r="H106" s="390">
        <v>31120</v>
      </c>
      <c r="I106" s="397">
        <f>(14415+1145)*2</f>
        <v>31120</v>
      </c>
      <c r="J106" s="390">
        <v>11168</v>
      </c>
      <c r="K106" s="397">
        <f>(4439+1145)*2</f>
        <v>11168</v>
      </c>
      <c r="L106" s="390">
        <v>27476</v>
      </c>
      <c r="M106" s="397">
        <f>(1145+12593)*2</f>
        <v>27476</v>
      </c>
      <c r="N106" s="390">
        <v>19894</v>
      </c>
      <c r="O106" s="397">
        <f>(8802+1145)*2</f>
        <v>19894</v>
      </c>
      <c r="P106" s="390">
        <v>38652</v>
      </c>
      <c r="Q106" s="397">
        <v>38652</v>
      </c>
      <c r="R106" s="390"/>
      <c r="S106" s="391"/>
      <c r="T106" s="390"/>
      <c r="U106" s="391"/>
      <c r="V106" s="390"/>
      <c r="W106" s="391"/>
      <c r="X106" s="390"/>
      <c r="Y106" s="391"/>
      <c r="Z106" s="390">
        <v>18926</v>
      </c>
      <c r="AA106" s="391">
        <v>18926</v>
      </c>
      <c r="AB106" s="390">
        <v>39634</v>
      </c>
      <c r="AC106" s="391">
        <v>39634</v>
      </c>
      <c r="AD106" s="390"/>
      <c r="AE106" s="391"/>
      <c r="AF106" s="390"/>
      <c r="AG106" s="391"/>
      <c r="AH106" s="390"/>
      <c r="AI106" s="391"/>
      <c r="AJ106" s="390"/>
      <c r="AK106" s="391"/>
      <c r="AL106" s="390">
        <v>19804</v>
      </c>
      <c r="AM106" s="391">
        <v>19804</v>
      </c>
      <c r="AN106" s="390">
        <v>49466</v>
      </c>
      <c r="AO106" s="391">
        <v>49466</v>
      </c>
    </row>
    <row r="107" spans="1:41" s="201" customFormat="1" ht="12.75" hidden="1">
      <c r="A107" s="236" t="s">
        <v>148</v>
      </c>
      <c r="B107" s="237" t="s">
        <v>151</v>
      </c>
      <c r="C107" s="238"/>
      <c r="D107" s="239">
        <v>139755</v>
      </c>
      <c r="E107" s="239">
        <v>2</v>
      </c>
      <c r="F107" s="390">
        <v>12682</v>
      </c>
      <c r="G107" s="397">
        <f>(5129+1297)*2</f>
        <v>12852</v>
      </c>
      <c r="H107" s="390">
        <v>33794</v>
      </c>
      <c r="I107" s="397">
        <f>(1297+15685)*2</f>
        <v>33964</v>
      </c>
      <c r="J107" s="390">
        <f>(1212+344-544+7032)*2</f>
        <v>16088</v>
      </c>
      <c r="K107" s="397">
        <f>(1297+344+7032-544)*2</f>
        <v>16258</v>
      </c>
      <c r="L107" s="390">
        <f>(1212+344-544+14570)*2</f>
        <v>31164</v>
      </c>
      <c r="M107" s="397">
        <f>(14570+1297+344-544)*2</f>
        <v>31334</v>
      </c>
      <c r="N107" s="390"/>
      <c r="O107" s="397"/>
      <c r="P107" s="390"/>
      <c r="Q107" s="397"/>
      <c r="R107" s="390"/>
      <c r="S107" s="391"/>
      <c r="T107" s="390"/>
      <c r="U107" s="391"/>
      <c r="V107" s="390"/>
      <c r="W107" s="391"/>
      <c r="X107" s="390"/>
      <c r="Y107" s="391"/>
      <c r="Z107" s="390"/>
      <c r="AA107" s="391"/>
      <c r="AB107" s="390"/>
      <c r="AC107" s="391"/>
      <c r="AD107" s="390"/>
      <c r="AE107" s="391"/>
      <c r="AF107" s="390"/>
      <c r="AG107" s="391"/>
      <c r="AH107" s="390"/>
      <c r="AI107" s="391"/>
      <c r="AJ107" s="390"/>
      <c r="AK107" s="391"/>
      <c r="AL107" s="390"/>
      <c r="AM107" s="391"/>
      <c r="AN107" s="390"/>
      <c r="AO107" s="391"/>
    </row>
    <row r="108" spans="1:41" s="201" customFormat="1" ht="12.75" hidden="1">
      <c r="A108" s="236" t="s">
        <v>148</v>
      </c>
      <c r="B108" s="237" t="s">
        <v>152</v>
      </c>
      <c r="C108" s="238"/>
      <c r="D108" s="239">
        <v>139931</v>
      </c>
      <c r="E108" s="239">
        <v>3</v>
      </c>
      <c r="F108" s="390">
        <v>7555.9</v>
      </c>
      <c r="G108" s="397">
        <f>(2732+1057)*2</f>
        <v>7578</v>
      </c>
      <c r="H108" s="390">
        <v>21395.9</v>
      </c>
      <c r="I108" s="397">
        <f>(9641+1057)*2</f>
        <v>21396</v>
      </c>
      <c r="J108" s="390">
        <v>8728</v>
      </c>
      <c r="K108" s="397">
        <f>(3318+1057)*2</f>
        <v>8750</v>
      </c>
      <c r="L108" s="390">
        <v>28610</v>
      </c>
      <c r="M108" s="397">
        <f>(13259+1057)*2</f>
        <v>28632</v>
      </c>
      <c r="N108" s="390"/>
      <c r="O108" s="397"/>
      <c r="P108" s="390"/>
      <c r="Q108" s="397"/>
      <c r="R108" s="390"/>
      <c r="S108" s="391"/>
      <c r="T108" s="390"/>
      <c r="U108" s="391"/>
      <c r="V108" s="390"/>
      <c r="W108" s="391"/>
      <c r="X108" s="390"/>
      <c r="Y108" s="391"/>
      <c r="Z108" s="390"/>
      <c r="AA108" s="391"/>
      <c r="AB108" s="390"/>
      <c r="AC108" s="391"/>
      <c r="AD108" s="390"/>
      <c r="AE108" s="391"/>
      <c r="AF108" s="390"/>
      <c r="AG108" s="391"/>
      <c r="AH108" s="390"/>
      <c r="AI108" s="391"/>
      <c r="AJ108" s="390"/>
      <c r="AK108" s="391"/>
      <c r="AL108" s="390"/>
      <c r="AM108" s="391"/>
      <c r="AN108" s="390"/>
      <c r="AO108" s="391"/>
    </row>
    <row r="109" spans="1:41" s="201" customFormat="1" ht="12.75" hidden="1">
      <c r="A109" s="236" t="s">
        <v>148</v>
      </c>
      <c r="B109" s="237" t="s">
        <v>153</v>
      </c>
      <c r="C109" s="240"/>
      <c r="D109" s="239">
        <v>486840</v>
      </c>
      <c r="E109" s="239">
        <v>3</v>
      </c>
      <c r="F109" s="390">
        <v>7568</v>
      </c>
      <c r="G109" s="397">
        <f>(993+2781)*2</f>
        <v>7548</v>
      </c>
      <c r="H109" s="390">
        <v>21615.9</v>
      </c>
      <c r="I109" s="397">
        <f>(9815+993)*2</f>
        <v>21616</v>
      </c>
      <c r="J109" s="390">
        <v>9096</v>
      </c>
      <c r="K109" s="397">
        <f>(993+3545)*2</f>
        <v>9076</v>
      </c>
      <c r="L109" s="390">
        <v>27590</v>
      </c>
      <c r="M109" s="397">
        <f>(993+12792)*2</f>
        <v>27570</v>
      </c>
      <c r="N109" s="390"/>
      <c r="O109" s="397"/>
      <c r="P109" s="390"/>
      <c r="Q109" s="397"/>
      <c r="R109" s="390"/>
      <c r="S109" s="391"/>
      <c r="T109" s="390"/>
      <c r="U109" s="391"/>
      <c r="V109" s="390"/>
      <c r="W109" s="391"/>
      <c r="X109" s="390"/>
      <c r="Y109" s="391"/>
      <c r="Z109" s="390"/>
      <c r="AA109" s="391"/>
      <c r="AB109" s="390"/>
      <c r="AC109" s="391"/>
      <c r="AD109" s="390"/>
      <c r="AE109" s="391"/>
      <c r="AF109" s="390"/>
      <c r="AG109" s="391"/>
      <c r="AH109" s="390"/>
      <c r="AI109" s="391"/>
      <c r="AJ109" s="390"/>
      <c r="AK109" s="391"/>
      <c r="AL109" s="390"/>
      <c r="AM109" s="391"/>
      <c r="AN109" s="390"/>
      <c r="AO109" s="391"/>
    </row>
    <row r="110" spans="1:41" s="201" customFormat="1" ht="12.75" hidden="1">
      <c r="A110" s="236" t="s">
        <v>148</v>
      </c>
      <c r="B110" s="237" t="s">
        <v>154</v>
      </c>
      <c r="C110" s="238"/>
      <c r="D110" s="239">
        <v>141334</v>
      </c>
      <c r="E110" s="239">
        <v>3</v>
      </c>
      <c r="F110" s="390">
        <v>7487.9</v>
      </c>
      <c r="G110" s="397">
        <f>(2732+1075)*2</f>
        <v>7614</v>
      </c>
      <c r="H110" s="390">
        <v>21431.9</v>
      </c>
      <c r="I110" s="397">
        <f>(1075+9641)*2</f>
        <v>21432</v>
      </c>
      <c r="J110" s="390">
        <v>7808</v>
      </c>
      <c r="K110" s="397">
        <f>(1075+2892)*2</f>
        <v>7934</v>
      </c>
      <c r="L110" s="390">
        <v>24462</v>
      </c>
      <c r="M110" s="397">
        <f>(11219+1075)*2</f>
        <v>24588</v>
      </c>
      <c r="N110" s="390"/>
      <c r="O110" s="397"/>
      <c r="P110" s="390"/>
      <c r="Q110" s="397"/>
      <c r="R110" s="390"/>
      <c r="S110" s="391"/>
      <c r="T110" s="390"/>
      <c r="U110" s="391"/>
      <c r="V110" s="390"/>
      <c r="W110" s="391"/>
      <c r="X110" s="390"/>
      <c r="Y110" s="391"/>
      <c r="Z110" s="390"/>
      <c r="AA110" s="391"/>
      <c r="AB110" s="390"/>
      <c r="AC110" s="391"/>
      <c r="AD110" s="390"/>
      <c r="AE110" s="391"/>
      <c r="AF110" s="390"/>
      <c r="AG110" s="391"/>
      <c r="AH110" s="390"/>
      <c r="AI110" s="391"/>
      <c r="AJ110" s="390"/>
      <c r="AK110" s="391"/>
      <c r="AL110" s="390"/>
      <c r="AM110" s="391"/>
      <c r="AN110" s="390"/>
      <c r="AO110" s="391"/>
    </row>
    <row r="111" spans="1:41" s="201" customFormat="1" ht="12.75" hidden="1">
      <c r="A111" s="236" t="s">
        <v>148</v>
      </c>
      <c r="B111" s="237" t="s">
        <v>155</v>
      </c>
      <c r="C111" s="238"/>
      <c r="D111" s="239">
        <v>141264</v>
      </c>
      <c r="E111" s="239">
        <v>3</v>
      </c>
      <c r="F111" s="390">
        <v>7675.9</v>
      </c>
      <c r="G111" s="397">
        <f>(1106+2732)*2</f>
        <v>7676</v>
      </c>
      <c r="H111" s="390">
        <v>21493.9</v>
      </c>
      <c r="I111" s="397">
        <f>(9641+1106)*2</f>
        <v>21494</v>
      </c>
      <c r="J111" s="390">
        <v>8296</v>
      </c>
      <c r="K111" s="397">
        <f>(1106+3042)*2</f>
        <v>8296</v>
      </c>
      <c r="L111" s="390">
        <v>24168</v>
      </c>
      <c r="M111" s="397">
        <f>(1106+10978)*2</f>
        <v>24168</v>
      </c>
      <c r="N111" s="390"/>
      <c r="O111" s="397"/>
      <c r="P111" s="390"/>
      <c r="Q111" s="397"/>
      <c r="R111" s="390"/>
      <c r="S111" s="391"/>
      <c r="T111" s="390"/>
      <c r="U111" s="391"/>
      <c r="V111" s="390"/>
      <c r="W111" s="391"/>
      <c r="X111" s="390"/>
      <c r="Y111" s="391"/>
      <c r="Z111" s="390"/>
      <c r="AA111" s="391"/>
      <c r="AB111" s="390"/>
      <c r="AC111" s="391"/>
      <c r="AD111" s="390"/>
      <c r="AE111" s="391"/>
      <c r="AF111" s="390"/>
      <c r="AG111" s="391"/>
      <c r="AH111" s="390"/>
      <c r="AI111" s="391"/>
      <c r="AJ111" s="390"/>
      <c r="AK111" s="391"/>
      <c r="AL111" s="390"/>
      <c r="AM111" s="391"/>
      <c r="AN111" s="390"/>
      <c r="AO111" s="391"/>
    </row>
    <row r="112" spans="1:41" s="201" customFormat="1" ht="12.75" hidden="1">
      <c r="A112" s="236" t="s">
        <v>148</v>
      </c>
      <c r="B112" s="237" t="s">
        <v>156</v>
      </c>
      <c r="C112" s="238"/>
      <c r="D112" s="239">
        <v>138716</v>
      </c>
      <c r="E112" s="239">
        <v>4</v>
      </c>
      <c r="F112" s="390">
        <v>6949.9</v>
      </c>
      <c r="G112" s="397">
        <f>(2540+935)*2</f>
        <v>6950</v>
      </c>
      <c r="H112" s="390">
        <v>20352.099999999999</v>
      </c>
      <c r="I112" s="397">
        <f>(935+9241)*2</f>
        <v>20352</v>
      </c>
      <c r="J112" s="390">
        <v>6444</v>
      </c>
      <c r="K112" s="397">
        <f>(2287+935)*2</f>
        <v>6444</v>
      </c>
      <c r="L112" s="390">
        <v>20158</v>
      </c>
      <c r="M112" s="397">
        <f>(9144+935)*2</f>
        <v>20158</v>
      </c>
      <c r="N112" s="390"/>
      <c r="O112" s="397"/>
      <c r="P112" s="390"/>
      <c r="Q112" s="397"/>
      <c r="R112" s="390"/>
      <c r="S112" s="391"/>
      <c r="T112" s="390"/>
      <c r="U112" s="391"/>
      <c r="V112" s="390"/>
      <c r="W112" s="391"/>
      <c r="X112" s="390"/>
      <c r="Y112" s="391"/>
      <c r="Z112" s="390"/>
      <c r="AA112" s="391"/>
      <c r="AB112" s="390"/>
      <c r="AC112" s="391"/>
      <c r="AD112" s="390"/>
      <c r="AE112" s="391"/>
      <c r="AF112" s="390"/>
      <c r="AG112" s="391"/>
      <c r="AH112" s="390"/>
      <c r="AI112" s="391"/>
      <c r="AJ112" s="390"/>
      <c r="AK112" s="391"/>
      <c r="AL112" s="390"/>
      <c r="AM112" s="391"/>
      <c r="AN112" s="390"/>
      <c r="AO112" s="391"/>
    </row>
    <row r="113" spans="1:41" s="201" customFormat="1" ht="12.75" hidden="1">
      <c r="A113" s="236" t="s">
        <v>148</v>
      </c>
      <c r="B113" s="241" t="s">
        <v>621</v>
      </c>
      <c r="C113" s="238"/>
      <c r="D113" s="239">
        <v>482149</v>
      </c>
      <c r="E113" s="239">
        <v>4</v>
      </c>
      <c r="F113" s="390">
        <v>8832</v>
      </c>
      <c r="G113" s="397">
        <f>(3446+1065+355-450)*2</f>
        <v>8832</v>
      </c>
      <c r="H113" s="390">
        <v>24210</v>
      </c>
      <c r="I113" s="397">
        <f>(11135+1065+355-450)*2</f>
        <v>24210</v>
      </c>
      <c r="J113" s="390">
        <v>11498</v>
      </c>
      <c r="K113" s="397">
        <f>(1065+4684)*2</f>
        <v>11498</v>
      </c>
      <c r="L113" s="390">
        <v>28054</v>
      </c>
      <c r="M113" s="397">
        <f>(1065+12962)*2</f>
        <v>28054</v>
      </c>
      <c r="N113" s="390"/>
      <c r="O113" s="397"/>
      <c r="P113" s="390"/>
      <c r="Q113" s="397"/>
      <c r="R113" s="390">
        <v>31056</v>
      </c>
      <c r="S113" s="391">
        <f>(1065+14463)*2</f>
        <v>31056</v>
      </c>
      <c r="T113" s="390">
        <v>59980</v>
      </c>
      <c r="U113" s="391">
        <f>(28925+1065)*2</f>
        <v>59980</v>
      </c>
      <c r="V113" s="390">
        <v>28474</v>
      </c>
      <c r="W113" s="391">
        <f>(1065+12772)*2</f>
        <v>27674</v>
      </c>
      <c r="X113" s="390">
        <v>66908</v>
      </c>
      <c r="Y113" s="391">
        <f>(31405+1065)*2</f>
        <v>64940</v>
      </c>
      <c r="Z113" s="390"/>
      <c r="AA113" s="391"/>
      <c r="AB113" s="390"/>
      <c r="AC113" s="391"/>
      <c r="AD113" s="390"/>
      <c r="AE113" s="391"/>
      <c r="AF113" s="390"/>
      <c r="AG113" s="391"/>
      <c r="AH113" s="390"/>
      <c r="AI113" s="391"/>
      <c r="AJ113" s="390"/>
      <c r="AK113" s="391"/>
      <c r="AL113" s="390"/>
      <c r="AM113" s="391"/>
      <c r="AN113" s="390"/>
      <c r="AO113" s="391"/>
    </row>
    <row r="114" spans="1:41" s="201" customFormat="1" ht="12.75" hidden="1">
      <c r="A114" s="236" t="s">
        <v>148</v>
      </c>
      <c r="B114" s="237" t="s">
        <v>157</v>
      </c>
      <c r="C114" s="240"/>
      <c r="D114" s="239">
        <v>139311</v>
      </c>
      <c r="E114" s="239">
        <v>4</v>
      </c>
      <c r="F114" s="390">
        <v>6553.9</v>
      </c>
      <c r="G114" s="397">
        <f>(752+2540)*2</f>
        <v>6584</v>
      </c>
      <c r="H114" s="390">
        <v>19986.099999999999</v>
      </c>
      <c r="I114" s="397">
        <f>(752+9241)*2</f>
        <v>19986</v>
      </c>
      <c r="J114" s="390">
        <f>(2397+737)*2</f>
        <v>6268</v>
      </c>
      <c r="K114" s="397">
        <f>(2397+752)*2</f>
        <v>6298</v>
      </c>
      <c r="L114" s="390">
        <v>19030</v>
      </c>
      <c r="M114" s="397">
        <f>(752+8778)*2</f>
        <v>19060</v>
      </c>
      <c r="N114" s="390"/>
      <c r="O114" s="397"/>
      <c r="P114" s="390"/>
      <c r="Q114" s="397"/>
      <c r="R114" s="390"/>
      <c r="S114" s="391"/>
      <c r="T114" s="390"/>
      <c r="U114" s="391"/>
      <c r="V114" s="390"/>
      <c r="W114" s="391"/>
      <c r="X114" s="390"/>
      <c r="Y114" s="391"/>
      <c r="Z114" s="390"/>
      <c r="AA114" s="391"/>
      <c r="AB114" s="390"/>
      <c r="AC114" s="391"/>
      <c r="AD114" s="390"/>
      <c r="AE114" s="391"/>
      <c r="AF114" s="390"/>
      <c r="AG114" s="391"/>
      <c r="AH114" s="390"/>
      <c r="AI114" s="391"/>
      <c r="AJ114" s="390"/>
      <c r="AK114" s="391"/>
      <c r="AL114" s="390"/>
      <c r="AM114" s="391"/>
      <c r="AN114" s="390"/>
      <c r="AO114" s="391"/>
    </row>
    <row r="115" spans="1:41" s="201" customFormat="1" ht="12.75" hidden="1">
      <c r="A115" s="236" t="s">
        <v>148</v>
      </c>
      <c r="B115" s="237" t="s">
        <v>158</v>
      </c>
      <c r="C115" s="238" t="s">
        <v>656</v>
      </c>
      <c r="D115" s="239">
        <v>139366</v>
      </c>
      <c r="E115" s="239">
        <v>4</v>
      </c>
      <c r="F115" s="390">
        <v>7333.9</v>
      </c>
      <c r="G115" s="397">
        <f>(935+2732)*2</f>
        <v>7334</v>
      </c>
      <c r="H115" s="390">
        <v>21151.9</v>
      </c>
      <c r="I115" s="397">
        <f>(9641+935)*2</f>
        <v>21152</v>
      </c>
      <c r="J115" s="390">
        <v>6892</v>
      </c>
      <c r="K115" s="397">
        <f>(935+2511)*2</f>
        <v>6892</v>
      </c>
      <c r="L115" s="390">
        <v>21472</v>
      </c>
      <c r="M115" s="397">
        <f>(9801+935)*2</f>
        <v>21472</v>
      </c>
      <c r="N115" s="390"/>
      <c r="O115" s="397"/>
      <c r="P115" s="390"/>
      <c r="Q115" s="397"/>
      <c r="R115" s="390"/>
      <c r="S115" s="391"/>
      <c r="T115" s="390"/>
      <c r="U115" s="391"/>
      <c r="V115" s="390"/>
      <c r="W115" s="391"/>
      <c r="X115" s="390"/>
      <c r="Y115" s="391"/>
      <c r="Z115" s="390"/>
      <c r="AA115" s="391"/>
      <c r="AB115" s="390"/>
      <c r="AC115" s="391"/>
      <c r="AD115" s="390"/>
      <c r="AE115" s="391"/>
      <c r="AF115" s="390"/>
      <c r="AG115" s="391"/>
      <c r="AH115" s="390"/>
      <c r="AI115" s="391"/>
      <c r="AJ115" s="390"/>
      <c r="AK115" s="391"/>
      <c r="AL115" s="390"/>
      <c r="AM115" s="391"/>
      <c r="AN115" s="390"/>
      <c r="AO115" s="391"/>
    </row>
    <row r="116" spans="1:41" s="201" customFormat="1" ht="12.75" hidden="1">
      <c r="A116" s="236" t="s">
        <v>148</v>
      </c>
      <c r="B116" s="237" t="s">
        <v>159</v>
      </c>
      <c r="C116" s="355" t="s">
        <v>896</v>
      </c>
      <c r="D116" s="356">
        <v>139719</v>
      </c>
      <c r="E116" s="357">
        <v>5</v>
      </c>
      <c r="F116" s="390">
        <v>6847.9</v>
      </c>
      <c r="G116" s="397">
        <f>(2540+884)*2</f>
        <v>6848</v>
      </c>
      <c r="H116" s="390">
        <v>20250.099999999999</v>
      </c>
      <c r="I116" s="397">
        <f>(884+9241)*2</f>
        <v>20250</v>
      </c>
      <c r="J116" s="390">
        <f>(884+2166)*2</f>
        <v>6100</v>
      </c>
      <c r="K116" s="397">
        <f>(2166+884)*2</f>
        <v>6100</v>
      </c>
      <c r="L116" s="390">
        <v>17880</v>
      </c>
      <c r="M116" s="397">
        <f>(884+8056)*2</f>
        <v>17880</v>
      </c>
      <c r="N116" s="390"/>
      <c r="O116" s="397"/>
      <c r="P116" s="390"/>
      <c r="Q116" s="397"/>
      <c r="R116" s="390"/>
      <c r="S116" s="391"/>
      <c r="T116" s="390"/>
      <c r="U116" s="391"/>
      <c r="V116" s="390"/>
      <c r="W116" s="391"/>
      <c r="X116" s="390"/>
      <c r="Y116" s="391"/>
      <c r="Z116" s="390"/>
      <c r="AA116" s="391"/>
      <c r="AB116" s="390"/>
      <c r="AC116" s="391"/>
      <c r="AD116" s="390"/>
      <c r="AE116" s="391"/>
      <c r="AF116" s="390"/>
      <c r="AG116" s="391"/>
      <c r="AH116" s="390"/>
      <c r="AI116" s="391"/>
      <c r="AJ116" s="390"/>
      <c r="AK116" s="391"/>
      <c r="AL116" s="390"/>
      <c r="AM116" s="391"/>
      <c r="AN116" s="390"/>
      <c r="AO116" s="391"/>
    </row>
    <row r="117" spans="1:41" s="201" customFormat="1" ht="12.75" hidden="1">
      <c r="A117" s="236" t="s">
        <v>148</v>
      </c>
      <c r="B117" s="237" t="s">
        <v>160</v>
      </c>
      <c r="C117" s="238"/>
      <c r="D117" s="239">
        <v>139861</v>
      </c>
      <c r="E117" s="239">
        <v>4</v>
      </c>
      <c r="F117" s="390">
        <v>9530</v>
      </c>
      <c r="G117" s="397">
        <f>(1008+3754)*2</f>
        <v>9524</v>
      </c>
      <c r="H117" s="390">
        <f>(1011+13344)*2</f>
        <v>28710</v>
      </c>
      <c r="I117" s="397">
        <f>(13344+1008)*2</f>
        <v>28704</v>
      </c>
      <c r="J117" s="390">
        <v>9072</v>
      </c>
      <c r="K117" s="397">
        <f>(3525+1008)*2</f>
        <v>9066</v>
      </c>
      <c r="L117" s="390">
        <v>27146</v>
      </c>
      <c r="M117" s="397">
        <f>(12562+1008)*2</f>
        <v>27140</v>
      </c>
      <c r="N117" s="390"/>
      <c r="O117" s="397"/>
      <c r="P117" s="390"/>
      <c r="Q117" s="397"/>
      <c r="R117" s="390"/>
      <c r="S117" s="391"/>
      <c r="T117" s="390"/>
      <c r="U117" s="391"/>
      <c r="V117" s="390"/>
      <c r="W117" s="391"/>
      <c r="X117" s="390"/>
      <c r="Y117" s="391"/>
      <c r="Z117" s="390"/>
      <c r="AA117" s="391"/>
      <c r="AB117" s="390"/>
      <c r="AC117" s="391"/>
      <c r="AD117" s="390"/>
      <c r="AE117" s="391"/>
      <c r="AF117" s="390"/>
      <c r="AG117" s="391"/>
      <c r="AH117" s="390"/>
      <c r="AI117" s="391"/>
      <c r="AJ117" s="390"/>
      <c r="AK117" s="391"/>
      <c r="AL117" s="390"/>
      <c r="AM117" s="391"/>
      <c r="AN117" s="390"/>
      <c r="AO117" s="391"/>
    </row>
    <row r="118" spans="1:41" s="201" customFormat="1" ht="12.75" hidden="1">
      <c r="A118" s="236" t="s">
        <v>148</v>
      </c>
      <c r="B118" s="237" t="s">
        <v>162</v>
      </c>
      <c r="C118" s="240"/>
      <c r="D118" s="239">
        <v>139764</v>
      </c>
      <c r="E118" s="239">
        <v>4</v>
      </c>
      <c r="F118" s="390">
        <v>6515.9</v>
      </c>
      <c r="G118" s="397">
        <f>(700+2540)*2</f>
        <v>6480</v>
      </c>
      <c r="H118" s="390">
        <v>19882.099999999999</v>
      </c>
      <c r="I118" s="397">
        <f>(700+9241)*2</f>
        <v>19882</v>
      </c>
      <c r="J118" s="390">
        <v>6080</v>
      </c>
      <c r="K118" s="397">
        <f>(700+2322)*2</f>
        <v>6044</v>
      </c>
      <c r="L118" s="390">
        <v>19844</v>
      </c>
      <c r="M118" s="397">
        <f>(700+9204)*2</f>
        <v>19808</v>
      </c>
      <c r="N118" s="390"/>
      <c r="O118" s="397"/>
      <c r="P118" s="390"/>
      <c r="Q118" s="397"/>
      <c r="R118" s="390"/>
      <c r="S118" s="391"/>
      <c r="T118" s="390"/>
      <c r="U118" s="391"/>
      <c r="V118" s="390"/>
      <c r="W118" s="391"/>
      <c r="X118" s="390"/>
      <c r="Y118" s="391"/>
      <c r="Z118" s="390"/>
      <c r="AA118" s="391"/>
      <c r="AB118" s="390"/>
      <c r="AC118" s="391"/>
      <c r="AD118" s="390"/>
      <c r="AE118" s="391"/>
      <c r="AF118" s="390"/>
      <c r="AG118" s="391"/>
      <c r="AH118" s="390"/>
      <c r="AI118" s="391"/>
      <c r="AJ118" s="390"/>
      <c r="AK118" s="391"/>
      <c r="AL118" s="390"/>
      <c r="AM118" s="391"/>
      <c r="AN118" s="390"/>
      <c r="AO118" s="391"/>
    </row>
    <row r="119" spans="1:41" s="201" customFormat="1" ht="12.75" hidden="1">
      <c r="A119" s="236" t="s">
        <v>148</v>
      </c>
      <c r="B119" s="237" t="s">
        <v>161</v>
      </c>
      <c r="C119" s="238"/>
      <c r="D119" s="239">
        <v>482680</v>
      </c>
      <c r="E119" s="239">
        <v>4</v>
      </c>
      <c r="F119" s="390">
        <v>7461.9</v>
      </c>
      <c r="G119" s="397">
        <f>(2798+933)*2</f>
        <v>7462</v>
      </c>
      <c r="H119" s="390">
        <v>21620.1</v>
      </c>
      <c r="I119" s="397">
        <f>(9877+933)*2</f>
        <v>21620</v>
      </c>
      <c r="J119" s="390">
        <v>7374</v>
      </c>
      <c r="K119" s="397">
        <f>(2754+933)*2</f>
        <v>7374</v>
      </c>
      <c r="L119" s="390">
        <v>23834</v>
      </c>
      <c r="M119" s="397">
        <f>(10984+933)*2</f>
        <v>23834</v>
      </c>
      <c r="N119" s="390"/>
      <c r="O119" s="397"/>
      <c r="P119" s="390"/>
      <c r="Q119" s="397"/>
      <c r="R119" s="390"/>
      <c r="S119" s="391"/>
      <c r="T119" s="390"/>
      <c r="U119" s="391"/>
      <c r="V119" s="390"/>
      <c r="W119" s="391"/>
      <c r="X119" s="390"/>
      <c r="Y119" s="391"/>
      <c r="Z119" s="390"/>
      <c r="AA119" s="391"/>
      <c r="AB119" s="390"/>
      <c r="AC119" s="391"/>
      <c r="AD119" s="390"/>
      <c r="AE119" s="391"/>
      <c r="AF119" s="390"/>
      <c r="AG119" s="391"/>
      <c r="AH119" s="390"/>
      <c r="AI119" s="391"/>
      <c r="AJ119" s="390"/>
      <c r="AK119" s="391"/>
      <c r="AL119" s="390"/>
      <c r="AM119" s="391"/>
      <c r="AN119" s="390"/>
      <c r="AO119" s="391"/>
    </row>
    <row r="120" spans="1:41" s="201" customFormat="1" ht="12.75" hidden="1">
      <c r="A120" s="236" t="s">
        <v>148</v>
      </c>
      <c r="B120" s="237" t="s">
        <v>163</v>
      </c>
      <c r="C120" s="377" t="s">
        <v>906</v>
      </c>
      <c r="D120" s="239">
        <v>140960</v>
      </c>
      <c r="E120" s="239">
        <v>5</v>
      </c>
      <c r="F120" s="390">
        <v>6917.9</v>
      </c>
      <c r="G120" s="397">
        <f>(919+2540)*2</f>
        <v>6918</v>
      </c>
      <c r="H120" s="390">
        <v>20320.099999999999</v>
      </c>
      <c r="I120" s="397">
        <f>(919+9241)*2</f>
        <v>20320</v>
      </c>
      <c r="J120" s="390">
        <v>6524</v>
      </c>
      <c r="K120" s="397">
        <f>(919+2343)*2</f>
        <v>6524</v>
      </c>
      <c r="L120" s="390">
        <v>19256</v>
      </c>
      <c r="M120" s="397">
        <f>(919+8709)*2</f>
        <v>19256</v>
      </c>
      <c r="N120" s="390"/>
      <c r="O120" s="397"/>
      <c r="P120" s="390"/>
      <c r="Q120" s="397"/>
      <c r="R120" s="390"/>
      <c r="S120" s="391"/>
      <c r="T120" s="390"/>
      <c r="U120" s="391"/>
      <c r="V120" s="390"/>
      <c r="W120" s="391"/>
      <c r="X120" s="390"/>
      <c r="Y120" s="391"/>
      <c r="Z120" s="390"/>
      <c r="AA120" s="391"/>
      <c r="AB120" s="390"/>
      <c r="AC120" s="391"/>
      <c r="AD120" s="390"/>
      <c r="AE120" s="391"/>
      <c r="AF120" s="390"/>
      <c r="AG120" s="391"/>
      <c r="AH120" s="390"/>
      <c r="AI120" s="391"/>
      <c r="AJ120" s="390"/>
      <c r="AK120" s="391"/>
      <c r="AL120" s="390"/>
      <c r="AM120" s="391"/>
      <c r="AN120" s="390"/>
      <c r="AO120" s="391"/>
    </row>
    <row r="121" spans="1:41" s="201" customFormat="1" ht="12.75">
      <c r="A121" s="236" t="s">
        <v>148</v>
      </c>
      <c r="B121" s="237" t="s">
        <v>168</v>
      </c>
      <c r="C121" s="240"/>
      <c r="D121" s="239">
        <v>139250</v>
      </c>
      <c r="E121" s="239">
        <v>6</v>
      </c>
      <c r="F121" s="390">
        <v>4574</v>
      </c>
      <c r="G121" s="397">
        <f>(1602+685)*2</f>
        <v>4574</v>
      </c>
      <c r="H121" s="390">
        <v>13205.9</v>
      </c>
      <c r="I121" s="397">
        <f>(5918+685)*2</f>
        <v>13206</v>
      </c>
      <c r="J121" s="390"/>
      <c r="K121" s="397"/>
      <c r="L121" s="390"/>
      <c r="M121" s="397"/>
      <c r="N121" s="390"/>
      <c r="O121" s="397"/>
      <c r="P121" s="390"/>
      <c r="Q121" s="397"/>
      <c r="R121" s="390"/>
      <c r="S121" s="391"/>
      <c r="T121" s="390"/>
      <c r="U121" s="391"/>
      <c r="V121" s="390"/>
      <c r="W121" s="391"/>
      <c r="X121" s="390"/>
      <c r="Y121" s="391"/>
      <c r="Z121" s="390"/>
      <c r="AA121" s="391"/>
      <c r="AB121" s="390"/>
      <c r="AC121" s="391"/>
      <c r="AD121" s="390"/>
      <c r="AE121" s="391"/>
      <c r="AF121" s="390"/>
      <c r="AG121" s="391"/>
      <c r="AH121" s="390"/>
      <c r="AI121" s="391"/>
      <c r="AJ121" s="390"/>
      <c r="AK121" s="391"/>
      <c r="AL121" s="390"/>
      <c r="AM121" s="391"/>
      <c r="AN121" s="390"/>
      <c r="AO121" s="391"/>
    </row>
    <row r="122" spans="1:41" s="201" customFormat="1" ht="12.75">
      <c r="A122" s="236" t="s">
        <v>148</v>
      </c>
      <c r="B122" s="237" t="s">
        <v>164</v>
      </c>
      <c r="C122" s="240"/>
      <c r="D122" s="239">
        <v>139463</v>
      </c>
      <c r="E122" s="239">
        <v>6</v>
      </c>
      <c r="F122" s="390">
        <v>4324</v>
      </c>
      <c r="G122" s="397">
        <f>(560+1602)*2</f>
        <v>4324</v>
      </c>
      <c r="H122" s="390">
        <v>12955.9</v>
      </c>
      <c r="I122" s="397">
        <f>(560+5918)*2</f>
        <v>12956</v>
      </c>
      <c r="J122" s="390"/>
      <c r="K122" s="397"/>
      <c r="L122" s="390"/>
      <c r="M122" s="397"/>
      <c r="N122" s="390"/>
      <c r="O122" s="397"/>
      <c r="P122" s="390"/>
      <c r="Q122" s="397"/>
      <c r="R122" s="390"/>
      <c r="S122" s="391"/>
      <c r="T122" s="390"/>
      <c r="U122" s="391"/>
      <c r="V122" s="390"/>
      <c r="W122" s="391"/>
      <c r="X122" s="390"/>
      <c r="Y122" s="391"/>
      <c r="Z122" s="390"/>
      <c r="AA122" s="391"/>
      <c r="AB122" s="390"/>
      <c r="AC122" s="391"/>
      <c r="AD122" s="390"/>
      <c r="AE122" s="391"/>
      <c r="AF122" s="390"/>
      <c r="AG122" s="391"/>
      <c r="AH122" s="390"/>
      <c r="AI122" s="391"/>
      <c r="AJ122" s="390"/>
      <c r="AK122" s="391"/>
      <c r="AL122" s="390"/>
      <c r="AM122" s="391"/>
      <c r="AN122" s="390"/>
      <c r="AO122" s="391"/>
    </row>
    <row r="123" spans="1:41" s="201" customFormat="1" ht="12.75">
      <c r="A123" s="236" t="s">
        <v>148</v>
      </c>
      <c r="B123" s="237" t="s">
        <v>165</v>
      </c>
      <c r="C123" s="240"/>
      <c r="D123" s="239">
        <v>447689</v>
      </c>
      <c r="E123" s="239">
        <v>6</v>
      </c>
      <c r="F123" s="390">
        <v>5751.9</v>
      </c>
      <c r="G123" s="397">
        <f>(2009+867)*2</f>
        <v>5752</v>
      </c>
      <c r="H123" s="390">
        <v>16734</v>
      </c>
      <c r="I123" s="397">
        <f>(7500+867)*2</f>
        <v>16734</v>
      </c>
      <c r="J123" s="390"/>
      <c r="K123" s="397"/>
      <c r="L123" s="390"/>
      <c r="M123" s="397"/>
      <c r="N123" s="390"/>
      <c r="O123" s="397"/>
      <c r="P123" s="390"/>
      <c r="Q123" s="397"/>
      <c r="R123" s="390"/>
      <c r="S123" s="391"/>
      <c r="T123" s="390"/>
      <c r="U123" s="391"/>
      <c r="V123" s="390"/>
      <c r="W123" s="391"/>
      <c r="X123" s="390"/>
      <c r="Y123" s="391"/>
      <c r="Z123" s="390"/>
      <c r="AA123" s="391"/>
      <c r="AB123" s="390"/>
      <c r="AC123" s="391"/>
      <c r="AD123" s="390"/>
      <c r="AE123" s="391"/>
      <c r="AF123" s="390"/>
      <c r="AG123" s="391"/>
      <c r="AH123" s="390"/>
      <c r="AI123" s="391"/>
      <c r="AJ123" s="390"/>
      <c r="AK123" s="391"/>
      <c r="AL123" s="390"/>
      <c r="AM123" s="391"/>
      <c r="AN123" s="390"/>
      <c r="AO123" s="391"/>
    </row>
    <row r="124" spans="1:41" s="201" customFormat="1" ht="12.75" hidden="1">
      <c r="A124" s="236" t="s">
        <v>148</v>
      </c>
      <c r="B124" s="237" t="s">
        <v>166</v>
      </c>
      <c r="C124" s="355" t="s">
        <v>896</v>
      </c>
      <c r="D124" s="358">
        <v>482158</v>
      </c>
      <c r="E124" s="357">
        <v>5</v>
      </c>
      <c r="F124" s="390">
        <v>4742.1000000000004</v>
      </c>
      <c r="G124" s="397">
        <f>(666+1705)*2</f>
        <v>4742</v>
      </c>
      <c r="H124" s="390">
        <v>13926</v>
      </c>
      <c r="I124" s="397">
        <f>(666+6297)*2</f>
        <v>13926</v>
      </c>
      <c r="J124" s="390">
        <v>6106</v>
      </c>
      <c r="K124" s="397">
        <f>(2387+666)*2</f>
        <v>6106</v>
      </c>
      <c r="L124" s="390">
        <v>17978</v>
      </c>
      <c r="M124" s="397">
        <f>(8323+666)*2</f>
        <v>17978</v>
      </c>
      <c r="N124" s="390"/>
      <c r="O124" s="397"/>
      <c r="P124" s="390"/>
      <c r="Q124" s="397"/>
      <c r="R124" s="390"/>
      <c r="S124" s="391"/>
      <c r="T124" s="390"/>
      <c r="U124" s="391"/>
      <c r="V124" s="390"/>
      <c r="W124" s="391"/>
      <c r="X124" s="390"/>
      <c r="Y124" s="391"/>
      <c r="Z124" s="390"/>
      <c r="AA124" s="391"/>
      <c r="AB124" s="390"/>
      <c r="AC124" s="391"/>
      <c r="AD124" s="390"/>
      <c r="AE124" s="391"/>
      <c r="AF124" s="390"/>
      <c r="AG124" s="391"/>
      <c r="AH124" s="390"/>
      <c r="AI124" s="391"/>
      <c r="AJ124" s="390"/>
      <c r="AK124" s="391"/>
      <c r="AL124" s="390"/>
      <c r="AM124" s="391"/>
      <c r="AN124" s="390"/>
      <c r="AO124" s="391"/>
    </row>
    <row r="125" spans="1:41" s="201" customFormat="1" ht="12.75" hidden="1">
      <c r="A125" s="236" t="s">
        <v>148</v>
      </c>
      <c r="B125" s="237" t="s">
        <v>167</v>
      </c>
      <c r="C125" s="238" t="s">
        <v>657</v>
      </c>
      <c r="D125" s="239">
        <v>138558</v>
      </c>
      <c r="E125" s="239">
        <v>7</v>
      </c>
      <c r="F125" s="390">
        <v>4206</v>
      </c>
      <c r="G125" s="397">
        <f>(1602+501)*2</f>
        <v>4206</v>
      </c>
      <c r="H125" s="390">
        <v>12837.9</v>
      </c>
      <c r="I125" s="397">
        <f>(5918+501)*2</f>
        <v>12838</v>
      </c>
      <c r="J125" s="390"/>
      <c r="K125" s="397"/>
      <c r="L125" s="390"/>
      <c r="M125" s="397"/>
      <c r="N125" s="390"/>
      <c r="O125" s="397"/>
      <c r="P125" s="390"/>
      <c r="Q125" s="397"/>
      <c r="R125" s="390"/>
      <c r="S125" s="391"/>
      <c r="T125" s="390"/>
      <c r="U125" s="391"/>
      <c r="V125" s="390"/>
      <c r="W125" s="391"/>
      <c r="X125" s="390"/>
      <c r="Y125" s="391"/>
      <c r="Z125" s="390"/>
      <c r="AA125" s="391"/>
      <c r="AB125" s="390"/>
      <c r="AC125" s="391"/>
      <c r="AD125" s="390"/>
      <c r="AE125" s="391"/>
      <c r="AF125" s="390"/>
      <c r="AG125" s="391"/>
      <c r="AH125" s="390"/>
      <c r="AI125" s="391"/>
      <c r="AJ125" s="390"/>
      <c r="AK125" s="391"/>
      <c r="AL125" s="390"/>
      <c r="AM125" s="391"/>
      <c r="AN125" s="390"/>
      <c r="AO125" s="391"/>
    </row>
    <row r="126" spans="1:41" s="201" customFormat="1" ht="12.75" hidden="1">
      <c r="A126" s="236" t="s">
        <v>148</v>
      </c>
      <c r="B126" s="237" t="s">
        <v>171</v>
      </c>
      <c r="C126" s="240"/>
      <c r="D126" s="239">
        <v>138901</v>
      </c>
      <c r="E126" s="239">
        <v>7</v>
      </c>
      <c r="F126" s="390">
        <v>4112.1000000000004</v>
      </c>
      <c r="G126" s="397">
        <f>(540+1516)*2</f>
        <v>4112</v>
      </c>
      <c r="H126" s="390">
        <v>12393.9</v>
      </c>
      <c r="I126" s="397">
        <f>(540+5657)*2</f>
        <v>12394</v>
      </c>
      <c r="J126" s="390"/>
      <c r="K126" s="397"/>
      <c r="L126" s="390"/>
      <c r="M126" s="397"/>
      <c r="N126" s="390"/>
      <c r="O126" s="397"/>
      <c r="P126" s="390"/>
      <c r="Q126" s="397"/>
      <c r="R126" s="390"/>
      <c r="S126" s="391"/>
      <c r="T126" s="390"/>
      <c r="U126" s="391"/>
      <c r="V126" s="390"/>
      <c r="W126" s="391"/>
      <c r="X126" s="390"/>
      <c r="Y126" s="391"/>
      <c r="Z126" s="390"/>
      <c r="AA126" s="391"/>
      <c r="AB126" s="390"/>
      <c r="AC126" s="391"/>
      <c r="AD126" s="390"/>
      <c r="AE126" s="391"/>
      <c r="AF126" s="390"/>
      <c r="AG126" s="391"/>
      <c r="AH126" s="390"/>
      <c r="AI126" s="391"/>
      <c r="AJ126" s="390"/>
      <c r="AK126" s="391"/>
      <c r="AL126" s="390"/>
      <c r="AM126" s="391"/>
      <c r="AN126" s="390"/>
      <c r="AO126" s="391"/>
    </row>
    <row r="127" spans="1:41" s="201" customFormat="1" ht="12.75" hidden="1">
      <c r="A127" s="236" t="s">
        <v>148</v>
      </c>
      <c r="B127" s="237" t="s">
        <v>172</v>
      </c>
      <c r="C127" s="240"/>
      <c r="D127" s="239">
        <v>139621</v>
      </c>
      <c r="E127" s="239">
        <v>7</v>
      </c>
      <c r="F127" s="390">
        <v>3856</v>
      </c>
      <c r="G127" s="397">
        <f>(1425+478)*2</f>
        <v>3806</v>
      </c>
      <c r="H127" s="390">
        <f>(503+5395)*2</f>
        <v>11796</v>
      </c>
      <c r="I127" s="397">
        <f>(5395+478)*2</f>
        <v>11746</v>
      </c>
      <c r="J127" s="390"/>
      <c r="K127" s="397"/>
      <c r="L127" s="390"/>
      <c r="M127" s="397"/>
      <c r="N127" s="390"/>
      <c r="O127" s="397"/>
      <c r="P127" s="390"/>
      <c r="Q127" s="397"/>
      <c r="R127" s="390"/>
      <c r="S127" s="391"/>
      <c r="T127" s="390"/>
      <c r="U127" s="391"/>
      <c r="V127" s="390"/>
      <c r="W127" s="391"/>
      <c r="X127" s="390"/>
      <c r="Y127" s="391"/>
      <c r="Z127" s="390"/>
      <c r="AA127" s="391"/>
      <c r="AB127" s="390"/>
      <c r="AC127" s="391"/>
      <c r="AD127" s="390"/>
      <c r="AE127" s="391"/>
      <c r="AF127" s="390"/>
      <c r="AG127" s="391"/>
      <c r="AH127" s="390"/>
      <c r="AI127" s="391"/>
      <c r="AJ127" s="390"/>
      <c r="AK127" s="391"/>
      <c r="AL127" s="390"/>
      <c r="AM127" s="391"/>
      <c r="AN127" s="390"/>
      <c r="AO127" s="391"/>
    </row>
    <row r="128" spans="1:41" s="201" customFormat="1" ht="12.75" hidden="1">
      <c r="A128" s="236" t="s">
        <v>148</v>
      </c>
      <c r="B128" s="237" t="s">
        <v>173</v>
      </c>
      <c r="C128" s="240"/>
      <c r="D128" s="239">
        <v>139700</v>
      </c>
      <c r="E128" s="239">
        <v>7</v>
      </c>
      <c r="F128" s="390">
        <v>3914</v>
      </c>
      <c r="G128" s="397">
        <f>(532+1425)*2</f>
        <v>3914</v>
      </c>
      <c r="H128" s="390">
        <v>11854.1</v>
      </c>
      <c r="I128" s="397">
        <f>(5395+532)*2</f>
        <v>11854</v>
      </c>
      <c r="J128" s="390"/>
      <c r="K128" s="397"/>
      <c r="L128" s="390"/>
      <c r="M128" s="397"/>
      <c r="N128" s="390"/>
      <c r="O128" s="397"/>
      <c r="P128" s="390"/>
      <c r="Q128" s="397"/>
      <c r="R128" s="390"/>
      <c r="S128" s="391"/>
      <c r="T128" s="390"/>
      <c r="U128" s="391"/>
      <c r="V128" s="390"/>
      <c r="W128" s="391"/>
      <c r="X128" s="390"/>
      <c r="Y128" s="391"/>
      <c r="Z128" s="390"/>
      <c r="AA128" s="391"/>
      <c r="AB128" s="390"/>
      <c r="AC128" s="391"/>
      <c r="AD128" s="390"/>
      <c r="AE128" s="391"/>
      <c r="AF128" s="390"/>
      <c r="AG128" s="391"/>
      <c r="AH128" s="390"/>
      <c r="AI128" s="391"/>
      <c r="AJ128" s="390"/>
      <c r="AK128" s="391"/>
      <c r="AL128" s="390"/>
      <c r="AM128" s="391"/>
      <c r="AN128" s="390"/>
      <c r="AO128" s="391"/>
    </row>
    <row r="129" spans="1:41" s="201" customFormat="1" ht="12.75" hidden="1">
      <c r="A129" s="236" t="s">
        <v>148</v>
      </c>
      <c r="B129" s="237" t="s">
        <v>169</v>
      </c>
      <c r="C129" s="238" t="s">
        <v>657</v>
      </c>
      <c r="D129" s="239">
        <v>139968</v>
      </c>
      <c r="E129" s="239">
        <v>7</v>
      </c>
      <c r="F129" s="390">
        <v>4430</v>
      </c>
      <c r="G129" s="397">
        <f>(1602+613)*2</f>
        <v>4430</v>
      </c>
      <c r="H129" s="390">
        <v>13061.9</v>
      </c>
      <c r="I129" s="397">
        <f>(613+5918)*2</f>
        <v>13062</v>
      </c>
      <c r="J129" s="390"/>
      <c r="K129" s="397"/>
      <c r="L129" s="390"/>
      <c r="M129" s="397"/>
      <c r="N129" s="390"/>
      <c r="O129" s="397"/>
      <c r="P129" s="390"/>
      <c r="Q129" s="397"/>
      <c r="R129" s="390"/>
      <c r="S129" s="391"/>
      <c r="T129" s="390"/>
      <c r="U129" s="391"/>
      <c r="V129" s="390"/>
      <c r="W129" s="391"/>
      <c r="X129" s="390"/>
      <c r="Y129" s="391"/>
      <c r="Z129" s="390"/>
      <c r="AA129" s="391"/>
      <c r="AB129" s="390"/>
      <c r="AC129" s="391"/>
      <c r="AD129" s="390"/>
      <c r="AE129" s="391"/>
      <c r="AF129" s="390"/>
      <c r="AG129" s="391"/>
      <c r="AH129" s="390"/>
      <c r="AI129" s="391"/>
      <c r="AJ129" s="390"/>
      <c r="AK129" s="391"/>
      <c r="AL129" s="390"/>
      <c r="AM129" s="391"/>
      <c r="AN129" s="390"/>
      <c r="AO129" s="391"/>
    </row>
    <row r="130" spans="1:41" s="201" customFormat="1" ht="12.75" hidden="1">
      <c r="A130" s="236" t="s">
        <v>148</v>
      </c>
      <c r="B130" s="237" t="s">
        <v>174</v>
      </c>
      <c r="C130" s="240"/>
      <c r="D130" s="239">
        <v>482699</v>
      </c>
      <c r="E130" s="239">
        <v>7</v>
      </c>
      <c r="F130" s="390">
        <v>3880</v>
      </c>
      <c r="G130" s="397">
        <f>(515+1425)*2</f>
        <v>3880</v>
      </c>
      <c r="H130" s="390">
        <v>11820.1</v>
      </c>
      <c r="I130" s="397">
        <f>(5395+515)*2</f>
        <v>11820</v>
      </c>
      <c r="J130" s="390"/>
      <c r="K130" s="397"/>
      <c r="L130" s="390"/>
      <c r="M130" s="397"/>
      <c r="N130" s="390"/>
      <c r="O130" s="397"/>
      <c r="P130" s="390"/>
      <c r="Q130" s="397"/>
      <c r="R130" s="390"/>
      <c r="S130" s="391"/>
      <c r="T130" s="390"/>
      <c r="U130" s="391"/>
      <c r="V130" s="390"/>
      <c r="W130" s="391"/>
      <c r="X130" s="390"/>
      <c r="Y130" s="391"/>
      <c r="Z130" s="390"/>
      <c r="AA130" s="391"/>
      <c r="AB130" s="390"/>
      <c r="AC130" s="391"/>
      <c r="AD130" s="390"/>
      <c r="AE130" s="391"/>
      <c r="AF130" s="390"/>
      <c r="AG130" s="391"/>
      <c r="AH130" s="390"/>
      <c r="AI130" s="391"/>
      <c r="AJ130" s="390"/>
      <c r="AK130" s="391"/>
      <c r="AL130" s="390"/>
      <c r="AM130" s="391"/>
      <c r="AN130" s="390"/>
      <c r="AO130" s="391"/>
    </row>
    <row r="131" spans="1:41" s="201" customFormat="1" ht="12.75" hidden="1">
      <c r="A131" s="236" t="s">
        <v>148</v>
      </c>
      <c r="B131" s="241" t="s">
        <v>170</v>
      </c>
      <c r="C131" s="240"/>
      <c r="D131" s="243">
        <v>244437</v>
      </c>
      <c r="E131" s="239">
        <v>8</v>
      </c>
      <c r="F131" s="390">
        <v>3930</v>
      </c>
      <c r="G131" s="397">
        <f>(1425+540)*2</f>
        <v>3930</v>
      </c>
      <c r="H131" s="390">
        <v>11870.1</v>
      </c>
      <c r="I131" s="397">
        <f>(540+5395)*2</f>
        <v>11870</v>
      </c>
      <c r="J131" s="390"/>
      <c r="K131" s="397"/>
      <c r="L131" s="390"/>
      <c r="M131" s="397"/>
      <c r="N131" s="390"/>
      <c r="O131" s="397"/>
      <c r="P131" s="390"/>
      <c r="Q131" s="397"/>
      <c r="R131" s="390"/>
      <c r="S131" s="391"/>
      <c r="T131" s="390"/>
      <c r="U131" s="391"/>
      <c r="V131" s="390"/>
      <c r="W131" s="391"/>
      <c r="X131" s="390"/>
      <c r="Y131" s="391"/>
      <c r="Z131" s="390"/>
      <c r="AA131" s="391"/>
      <c r="AB131" s="390"/>
      <c r="AC131" s="391"/>
      <c r="AD131" s="390"/>
      <c r="AE131" s="391"/>
      <c r="AF131" s="390"/>
      <c r="AG131" s="391"/>
      <c r="AH131" s="390"/>
      <c r="AI131" s="391"/>
      <c r="AJ131" s="390"/>
      <c r="AK131" s="391"/>
      <c r="AL131" s="390"/>
      <c r="AM131" s="391"/>
      <c r="AN131" s="390"/>
      <c r="AO131" s="391"/>
    </row>
    <row r="132" spans="1:41" s="201" customFormat="1" ht="12.75" hidden="1">
      <c r="A132" s="244" t="s">
        <v>148</v>
      </c>
      <c r="B132" s="217" t="s">
        <v>175</v>
      </c>
      <c r="C132" s="218"/>
      <c r="D132" s="216">
        <v>138682</v>
      </c>
      <c r="E132" s="216">
        <v>12</v>
      </c>
      <c r="F132" s="390">
        <v>3596</v>
      </c>
      <c r="G132" s="391">
        <v>3596</v>
      </c>
      <c r="H132" s="390">
        <v>6596</v>
      </c>
      <c r="I132" s="391">
        <v>6596</v>
      </c>
      <c r="J132" s="390"/>
      <c r="K132" s="391"/>
      <c r="L132" s="390"/>
      <c r="M132" s="391"/>
      <c r="N132" s="390"/>
      <c r="O132" s="391"/>
      <c r="P132" s="390"/>
      <c r="Q132" s="391"/>
      <c r="R132" s="390"/>
      <c r="S132" s="391"/>
      <c r="T132" s="390"/>
      <c r="U132" s="391"/>
      <c r="V132" s="390"/>
      <c r="W132" s="391"/>
      <c r="X132" s="390"/>
      <c r="Y132" s="391"/>
      <c r="Z132" s="390"/>
      <c r="AA132" s="391"/>
      <c r="AB132" s="390"/>
      <c r="AC132" s="391"/>
      <c r="AD132" s="390"/>
      <c r="AE132" s="391"/>
      <c r="AF132" s="390"/>
      <c r="AG132" s="391"/>
      <c r="AH132" s="390"/>
      <c r="AI132" s="391"/>
      <c r="AJ132" s="390"/>
      <c r="AK132" s="391"/>
      <c r="AL132" s="390"/>
      <c r="AM132" s="391"/>
      <c r="AN132" s="390"/>
      <c r="AO132" s="391"/>
    </row>
    <row r="133" spans="1:41" s="201" customFormat="1" ht="12.75" hidden="1">
      <c r="A133" s="244" t="s">
        <v>148</v>
      </c>
      <c r="B133" s="217" t="s">
        <v>176</v>
      </c>
      <c r="C133" s="218"/>
      <c r="D133" s="216">
        <v>246813</v>
      </c>
      <c r="E133" s="216">
        <v>12</v>
      </c>
      <c r="F133" s="390">
        <v>3662</v>
      </c>
      <c r="G133" s="391">
        <v>3662</v>
      </c>
      <c r="H133" s="390">
        <v>6662</v>
      </c>
      <c r="I133" s="391">
        <v>6662</v>
      </c>
      <c r="J133" s="390"/>
      <c r="K133" s="391"/>
      <c r="L133" s="390"/>
      <c r="M133" s="391"/>
      <c r="N133" s="390"/>
      <c r="O133" s="391"/>
      <c r="P133" s="390"/>
      <c r="Q133" s="391"/>
      <c r="R133" s="390"/>
      <c r="S133" s="391"/>
      <c r="T133" s="390"/>
      <c r="U133" s="391"/>
      <c r="V133" s="390"/>
      <c r="W133" s="391"/>
      <c r="X133" s="390"/>
      <c r="Y133" s="391"/>
      <c r="Z133" s="390"/>
      <c r="AA133" s="391"/>
      <c r="AB133" s="390"/>
      <c r="AC133" s="391"/>
      <c r="AD133" s="390"/>
      <c r="AE133" s="391"/>
      <c r="AF133" s="390"/>
      <c r="AG133" s="391"/>
      <c r="AH133" s="390"/>
      <c r="AI133" s="391"/>
      <c r="AJ133" s="390"/>
      <c r="AK133" s="391"/>
      <c r="AL133" s="390"/>
      <c r="AM133" s="391"/>
      <c r="AN133" s="390"/>
      <c r="AO133" s="391"/>
    </row>
    <row r="134" spans="1:41" s="201" customFormat="1" ht="12.75" hidden="1">
      <c r="A134" s="244" t="s">
        <v>148</v>
      </c>
      <c r="B134" s="217" t="s">
        <v>177</v>
      </c>
      <c r="C134" s="218"/>
      <c r="D134" s="216">
        <v>138840</v>
      </c>
      <c r="E134" s="216">
        <v>12</v>
      </c>
      <c r="F134" s="390">
        <v>3684</v>
      </c>
      <c r="G134" s="391">
        <v>3684</v>
      </c>
      <c r="H134" s="390">
        <v>6684</v>
      </c>
      <c r="I134" s="391">
        <v>6684</v>
      </c>
      <c r="J134" s="390"/>
      <c r="K134" s="391"/>
      <c r="L134" s="390"/>
      <c r="M134" s="391"/>
      <c r="N134" s="390"/>
      <c r="O134" s="391"/>
      <c r="P134" s="390"/>
      <c r="Q134" s="391"/>
      <c r="R134" s="390"/>
      <c r="S134" s="391"/>
      <c r="T134" s="390"/>
      <c r="U134" s="391"/>
      <c r="V134" s="390"/>
      <c r="W134" s="391"/>
      <c r="X134" s="390"/>
      <c r="Y134" s="391"/>
      <c r="Z134" s="390"/>
      <c r="AA134" s="391"/>
      <c r="AB134" s="390"/>
      <c r="AC134" s="391"/>
      <c r="AD134" s="390"/>
      <c r="AE134" s="391"/>
      <c r="AF134" s="390"/>
      <c r="AG134" s="391"/>
      <c r="AH134" s="390"/>
      <c r="AI134" s="391"/>
      <c r="AJ134" s="390"/>
      <c r="AK134" s="391"/>
      <c r="AL134" s="390"/>
      <c r="AM134" s="391"/>
      <c r="AN134" s="390"/>
      <c r="AO134" s="391"/>
    </row>
    <row r="135" spans="1:41" s="201" customFormat="1" ht="12.75" hidden="1">
      <c r="A135" s="244" t="s">
        <v>148</v>
      </c>
      <c r="B135" s="217" t="s">
        <v>178</v>
      </c>
      <c r="C135" s="217"/>
      <c r="D135" s="216">
        <v>138956</v>
      </c>
      <c r="E135" s="216">
        <v>12</v>
      </c>
      <c r="F135" s="390">
        <v>3832</v>
      </c>
      <c r="G135" s="391">
        <v>3832</v>
      </c>
      <c r="H135" s="390">
        <v>6832</v>
      </c>
      <c r="I135" s="391">
        <v>6832</v>
      </c>
      <c r="J135" s="390"/>
      <c r="K135" s="391"/>
      <c r="L135" s="390"/>
      <c r="M135" s="391"/>
      <c r="N135" s="390"/>
      <c r="O135" s="391"/>
      <c r="P135" s="390"/>
      <c r="Q135" s="391"/>
      <c r="R135" s="390"/>
      <c r="S135" s="391"/>
      <c r="T135" s="390"/>
      <c r="U135" s="391"/>
      <c r="V135" s="390"/>
      <c r="W135" s="391"/>
      <c r="X135" s="390"/>
      <c r="Y135" s="391"/>
      <c r="Z135" s="390"/>
      <c r="AA135" s="391"/>
      <c r="AB135" s="390"/>
      <c r="AC135" s="391"/>
      <c r="AD135" s="390"/>
      <c r="AE135" s="391"/>
      <c r="AF135" s="390"/>
      <c r="AG135" s="391"/>
      <c r="AH135" s="390"/>
      <c r="AI135" s="391"/>
      <c r="AJ135" s="390"/>
      <c r="AK135" s="391"/>
      <c r="AL135" s="390"/>
      <c r="AM135" s="391"/>
      <c r="AN135" s="390"/>
      <c r="AO135" s="391"/>
    </row>
    <row r="136" spans="1:41" s="201" customFormat="1" ht="12.75" hidden="1">
      <c r="A136" s="244" t="s">
        <v>148</v>
      </c>
      <c r="B136" s="217" t="s">
        <v>179</v>
      </c>
      <c r="C136" s="217"/>
      <c r="D136" s="216">
        <v>483045</v>
      </c>
      <c r="E136" s="216">
        <v>12</v>
      </c>
      <c r="F136" s="390">
        <v>3642</v>
      </c>
      <c r="G136" s="391">
        <v>3642</v>
      </c>
      <c r="H136" s="390">
        <v>6642</v>
      </c>
      <c r="I136" s="391">
        <v>6642</v>
      </c>
      <c r="J136" s="390"/>
      <c r="K136" s="391"/>
      <c r="L136" s="390"/>
      <c r="M136" s="391"/>
      <c r="N136" s="390"/>
      <c r="O136" s="391"/>
      <c r="P136" s="390"/>
      <c r="Q136" s="391"/>
      <c r="R136" s="390"/>
      <c r="S136" s="391"/>
      <c r="T136" s="390"/>
      <c r="U136" s="391"/>
      <c r="V136" s="390"/>
      <c r="W136" s="391"/>
      <c r="X136" s="390"/>
      <c r="Y136" s="391"/>
      <c r="Z136" s="390"/>
      <c r="AA136" s="391"/>
      <c r="AB136" s="390"/>
      <c r="AC136" s="391"/>
      <c r="AD136" s="390"/>
      <c r="AE136" s="391"/>
      <c r="AF136" s="390"/>
      <c r="AG136" s="391"/>
      <c r="AH136" s="390"/>
      <c r="AI136" s="391"/>
      <c r="AJ136" s="390"/>
      <c r="AK136" s="391"/>
      <c r="AL136" s="390"/>
      <c r="AM136" s="391"/>
      <c r="AN136" s="390"/>
      <c r="AO136" s="391"/>
    </row>
    <row r="137" spans="1:41" s="201" customFormat="1" ht="12.75" hidden="1">
      <c r="A137" s="244" t="s">
        <v>148</v>
      </c>
      <c r="B137" s="217" t="s">
        <v>180</v>
      </c>
      <c r="C137" s="217"/>
      <c r="D137" s="216">
        <v>140331</v>
      </c>
      <c r="E137" s="216">
        <v>12</v>
      </c>
      <c r="F137" s="390">
        <v>3720</v>
      </c>
      <c r="G137" s="391">
        <v>3720</v>
      </c>
      <c r="H137" s="390">
        <v>6720</v>
      </c>
      <c r="I137" s="391">
        <v>6720</v>
      </c>
      <c r="J137" s="390"/>
      <c r="K137" s="391"/>
      <c r="L137" s="390"/>
      <c r="M137" s="391"/>
      <c r="N137" s="390"/>
      <c r="O137" s="391"/>
      <c r="P137" s="390"/>
      <c r="Q137" s="391"/>
      <c r="R137" s="390"/>
      <c r="S137" s="391"/>
      <c r="T137" s="390"/>
      <c r="U137" s="391"/>
      <c r="V137" s="390"/>
      <c r="W137" s="391"/>
      <c r="X137" s="390"/>
      <c r="Y137" s="391"/>
      <c r="Z137" s="390"/>
      <c r="AA137" s="391"/>
      <c r="AB137" s="390"/>
      <c r="AC137" s="391"/>
      <c r="AD137" s="390"/>
      <c r="AE137" s="391"/>
      <c r="AF137" s="390"/>
      <c r="AG137" s="391"/>
      <c r="AH137" s="390"/>
      <c r="AI137" s="391"/>
      <c r="AJ137" s="390"/>
      <c r="AK137" s="391"/>
      <c r="AL137" s="390"/>
      <c r="AM137" s="391"/>
      <c r="AN137" s="390"/>
      <c r="AO137" s="391"/>
    </row>
    <row r="138" spans="1:41" s="201" customFormat="1" ht="12.75" hidden="1">
      <c r="A138" s="244" t="s">
        <v>148</v>
      </c>
      <c r="B138" s="245" t="s">
        <v>181</v>
      </c>
      <c r="C138" s="217"/>
      <c r="D138" s="246">
        <v>485458</v>
      </c>
      <c r="E138" s="216">
        <v>12</v>
      </c>
      <c r="F138" s="390">
        <v>3612</v>
      </c>
      <c r="G138" s="391">
        <v>3612</v>
      </c>
      <c r="H138" s="390">
        <v>6612</v>
      </c>
      <c r="I138" s="391">
        <v>6612</v>
      </c>
      <c r="J138" s="390"/>
      <c r="K138" s="391"/>
      <c r="L138" s="390"/>
      <c r="M138" s="391"/>
      <c r="N138" s="390"/>
      <c r="O138" s="391"/>
      <c r="P138" s="390"/>
      <c r="Q138" s="391"/>
      <c r="R138" s="390"/>
      <c r="S138" s="391"/>
      <c r="T138" s="390"/>
      <c r="U138" s="391"/>
      <c r="V138" s="390"/>
      <c r="W138" s="391"/>
      <c r="X138" s="390"/>
      <c r="Y138" s="391"/>
      <c r="Z138" s="390"/>
      <c r="AA138" s="391"/>
      <c r="AB138" s="390"/>
      <c r="AC138" s="391"/>
      <c r="AD138" s="390"/>
      <c r="AE138" s="391"/>
      <c r="AF138" s="390"/>
      <c r="AG138" s="391"/>
      <c r="AH138" s="390"/>
      <c r="AI138" s="391"/>
      <c r="AJ138" s="390"/>
      <c r="AK138" s="391"/>
      <c r="AL138" s="390"/>
      <c r="AM138" s="391"/>
      <c r="AN138" s="390"/>
      <c r="AO138" s="391"/>
    </row>
    <row r="139" spans="1:41" s="201" customFormat="1" ht="12.75" hidden="1">
      <c r="A139" s="244" t="s">
        <v>148</v>
      </c>
      <c r="B139" s="217" t="s">
        <v>182</v>
      </c>
      <c r="C139" s="217"/>
      <c r="D139" s="216">
        <v>139357</v>
      </c>
      <c r="E139" s="216">
        <v>12</v>
      </c>
      <c r="F139" s="390">
        <v>3642</v>
      </c>
      <c r="G139" s="391">
        <v>3642</v>
      </c>
      <c r="H139" s="390">
        <v>6642</v>
      </c>
      <c r="I139" s="391">
        <v>6642</v>
      </c>
      <c r="J139" s="390"/>
      <c r="K139" s="391"/>
      <c r="L139" s="390"/>
      <c r="M139" s="391"/>
      <c r="N139" s="390"/>
      <c r="O139" s="391"/>
      <c r="P139" s="390"/>
      <c r="Q139" s="391"/>
      <c r="R139" s="390"/>
      <c r="S139" s="391"/>
      <c r="T139" s="390"/>
      <c r="U139" s="391"/>
      <c r="V139" s="390"/>
      <c r="W139" s="391"/>
      <c r="X139" s="390"/>
      <c r="Y139" s="391"/>
      <c r="Z139" s="390"/>
      <c r="AA139" s="391"/>
      <c r="AB139" s="390"/>
      <c r="AC139" s="391"/>
      <c r="AD139" s="390"/>
      <c r="AE139" s="391"/>
      <c r="AF139" s="390"/>
      <c r="AG139" s="391"/>
      <c r="AH139" s="390"/>
      <c r="AI139" s="391"/>
      <c r="AJ139" s="390"/>
      <c r="AK139" s="391"/>
      <c r="AL139" s="390"/>
      <c r="AM139" s="391"/>
      <c r="AN139" s="390"/>
      <c r="AO139" s="391"/>
    </row>
    <row r="140" spans="1:41" s="201" customFormat="1" ht="12.75" hidden="1">
      <c r="A140" s="244" t="s">
        <v>148</v>
      </c>
      <c r="B140" s="217" t="s">
        <v>183</v>
      </c>
      <c r="C140" s="217"/>
      <c r="D140" s="216">
        <v>139384</v>
      </c>
      <c r="E140" s="216">
        <v>12</v>
      </c>
      <c r="F140" s="390">
        <v>3662</v>
      </c>
      <c r="G140" s="391">
        <v>3662</v>
      </c>
      <c r="H140" s="390">
        <v>6662</v>
      </c>
      <c r="I140" s="391">
        <v>6662</v>
      </c>
      <c r="J140" s="390"/>
      <c r="K140" s="391"/>
      <c r="L140" s="390"/>
      <c r="M140" s="391"/>
      <c r="N140" s="390"/>
      <c r="O140" s="391"/>
      <c r="P140" s="390"/>
      <c r="Q140" s="391"/>
      <c r="R140" s="390"/>
      <c r="S140" s="391"/>
      <c r="T140" s="390"/>
      <c r="U140" s="391"/>
      <c r="V140" s="390"/>
      <c r="W140" s="391"/>
      <c r="X140" s="390"/>
      <c r="Y140" s="391"/>
      <c r="Z140" s="390"/>
      <c r="AA140" s="391"/>
      <c r="AB140" s="390"/>
      <c r="AC140" s="391"/>
      <c r="AD140" s="390"/>
      <c r="AE140" s="391"/>
      <c r="AF140" s="390"/>
      <c r="AG140" s="391"/>
      <c r="AH140" s="390"/>
      <c r="AI140" s="391"/>
      <c r="AJ140" s="390"/>
      <c r="AK140" s="391"/>
      <c r="AL140" s="390"/>
      <c r="AM140" s="391"/>
      <c r="AN140" s="390"/>
      <c r="AO140" s="391"/>
    </row>
    <row r="141" spans="1:41" s="201" customFormat="1" ht="12.75" hidden="1">
      <c r="A141" s="244" t="s">
        <v>148</v>
      </c>
      <c r="B141" s="217" t="s">
        <v>184</v>
      </c>
      <c r="C141" s="217"/>
      <c r="D141" s="216">
        <v>244446</v>
      </c>
      <c r="E141" s="216">
        <v>12</v>
      </c>
      <c r="F141" s="390">
        <v>3788</v>
      </c>
      <c r="G141" s="391">
        <v>3778</v>
      </c>
      <c r="H141" s="390">
        <v>6788</v>
      </c>
      <c r="I141" s="391">
        <v>6778</v>
      </c>
      <c r="J141" s="390"/>
      <c r="K141" s="391"/>
      <c r="L141" s="390"/>
      <c r="M141" s="391"/>
      <c r="N141" s="390"/>
      <c r="O141" s="391"/>
      <c r="P141" s="390"/>
      <c r="Q141" s="391"/>
      <c r="R141" s="390"/>
      <c r="S141" s="391"/>
      <c r="T141" s="390"/>
      <c r="U141" s="391"/>
      <c r="V141" s="390"/>
      <c r="W141" s="391"/>
      <c r="X141" s="390"/>
      <c r="Y141" s="391"/>
      <c r="Z141" s="390"/>
      <c r="AA141" s="391"/>
      <c r="AB141" s="390"/>
      <c r="AC141" s="391"/>
      <c r="AD141" s="390"/>
      <c r="AE141" s="391"/>
      <c r="AF141" s="390"/>
      <c r="AG141" s="391"/>
      <c r="AH141" s="390"/>
      <c r="AI141" s="391"/>
      <c r="AJ141" s="390"/>
      <c r="AK141" s="391"/>
      <c r="AL141" s="390"/>
      <c r="AM141" s="391"/>
      <c r="AN141" s="390"/>
      <c r="AO141" s="391"/>
    </row>
    <row r="142" spans="1:41" s="201" customFormat="1" ht="12.75" hidden="1">
      <c r="A142" s="244" t="s">
        <v>148</v>
      </c>
      <c r="B142" s="217" t="s">
        <v>185</v>
      </c>
      <c r="C142" s="217"/>
      <c r="D142" s="216">
        <v>140012</v>
      </c>
      <c r="E142" s="216">
        <v>12</v>
      </c>
      <c r="F142" s="390">
        <v>3836</v>
      </c>
      <c r="G142" s="391">
        <v>3836</v>
      </c>
      <c r="H142" s="390">
        <v>6836</v>
      </c>
      <c r="I142" s="391">
        <v>6836</v>
      </c>
      <c r="J142" s="390"/>
      <c r="K142" s="391"/>
      <c r="L142" s="390"/>
      <c r="M142" s="391"/>
      <c r="N142" s="390"/>
      <c r="O142" s="391"/>
      <c r="P142" s="390"/>
      <c r="Q142" s="391"/>
      <c r="R142" s="390"/>
      <c r="S142" s="391"/>
      <c r="T142" s="390"/>
      <c r="U142" s="391"/>
      <c r="V142" s="390"/>
      <c r="W142" s="391"/>
      <c r="X142" s="390"/>
      <c r="Y142" s="391"/>
      <c r="Z142" s="390"/>
      <c r="AA142" s="391"/>
      <c r="AB142" s="390"/>
      <c r="AC142" s="391"/>
      <c r="AD142" s="390"/>
      <c r="AE142" s="391"/>
      <c r="AF142" s="390"/>
      <c r="AG142" s="391"/>
      <c r="AH142" s="390"/>
      <c r="AI142" s="391"/>
      <c r="AJ142" s="390"/>
      <c r="AK142" s="391"/>
      <c r="AL142" s="390"/>
      <c r="AM142" s="391"/>
      <c r="AN142" s="390"/>
      <c r="AO142" s="391"/>
    </row>
    <row r="143" spans="1:41" s="201" customFormat="1" ht="12.75" hidden="1">
      <c r="A143" s="244" t="s">
        <v>148</v>
      </c>
      <c r="B143" s="217" t="s">
        <v>186</v>
      </c>
      <c r="C143" s="217"/>
      <c r="D143" s="216">
        <v>140243</v>
      </c>
      <c r="E143" s="216">
        <v>12</v>
      </c>
      <c r="F143" s="390">
        <v>3666</v>
      </c>
      <c r="G143" s="391">
        <v>3666</v>
      </c>
      <c r="H143" s="390">
        <v>6666</v>
      </c>
      <c r="I143" s="391">
        <v>6666</v>
      </c>
      <c r="J143" s="390"/>
      <c r="K143" s="391"/>
      <c r="L143" s="390"/>
      <c r="M143" s="391"/>
      <c r="N143" s="390"/>
      <c r="O143" s="391"/>
      <c r="P143" s="390"/>
      <c r="Q143" s="391"/>
      <c r="R143" s="390"/>
      <c r="S143" s="391"/>
      <c r="T143" s="390"/>
      <c r="U143" s="391"/>
      <c r="V143" s="390"/>
      <c r="W143" s="391"/>
      <c r="X143" s="390"/>
      <c r="Y143" s="391"/>
      <c r="Z143" s="390"/>
      <c r="AA143" s="391"/>
      <c r="AB143" s="390"/>
      <c r="AC143" s="391"/>
      <c r="AD143" s="390"/>
      <c r="AE143" s="391"/>
      <c r="AF143" s="390"/>
      <c r="AG143" s="391"/>
      <c r="AH143" s="390"/>
      <c r="AI143" s="391"/>
      <c r="AJ143" s="390"/>
      <c r="AK143" s="391"/>
      <c r="AL143" s="390"/>
      <c r="AM143" s="391"/>
      <c r="AN143" s="390"/>
      <c r="AO143" s="391"/>
    </row>
    <row r="144" spans="1:41" s="201" customFormat="1" ht="12.75" hidden="1">
      <c r="A144" s="244" t="s">
        <v>148</v>
      </c>
      <c r="B144" s="217" t="s">
        <v>187</v>
      </c>
      <c r="C144" s="217"/>
      <c r="D144" s="216">
        <v>140678</v>
      </c>
      <c r="E144" s="216">
        <v>12</v>
      </c>
      <c r="F144" s="390">
        <v>3602</v>
      </c>
      <c r="G144" s="391">
        <v>3622</v>
      </c>
      <c r="H144" s="390">
        <v>6602</v>
      </c>
      <c r="I144" s="391">
        <v>6622</v>
      </c>
      <c r="J144" s="390"/>
      <c r="K144" s="391"/>
      <c r="L144" s="390"/>
      <c r="M144" s="391"/>
      <c r="N144" s="390"/>
      <c r="O144" s="391"/>
      <c r="P144" s="390"/>
      <c r="Q144" s="391"/>
      <c r="R144" s="390"/>
      <c r="S144" s="391"/>
      <c r="T144" s="390"/>
      <c r="U144" s="391"/>
      <c r="V144" s="390"/>
      <c r="W144" s="391"/>
      <c r="X144" s="390"/>
      <c r="Y144" s="391"/>
      <c r="Z144" s="390"/>
      <c r="AA144" s="391"/>
      <c r="AB144" s="390"/>
      <c r="AC144" s="391"/>
      <c r="AD144" s="390"/>
      <c r="AE144" s="391"/>
      <c r="AF144" s="390"/>
      <c r="AG144" s="391"/>
      <c r="AH144" s="390"/>
      <c r="AI144" s="391"/>
      <c r="AJ144" s="390"/>
      <c r="AK144" s="391"/>
      <c r="AL144" s="390"/>
      <c r="AM144" s="391"/>
      <c r="AN144" s="390"/>
      <c r="AO144" s="391"/>
    </row>
    <row r="145" spans="1:41" s="201" customFormat="1" ht="12.75" hidden="1">
      <c r="A145" s="244" t="s">
        <v>148</v>
      </c>
      <c r="B145" s="217" t="s">
        <v>188</v>
      </c>
      <c r="C145" s="218"/>
      <c r="D145" s="216">
        <v>420431</v>
      </c>
      <c r="E145" s="216">
        <v>12</v>
      </c>
      <c r="F145" s="390">
        <v>3662</v>
      </c>
      <c r="G145" s="391">
        <v>3672</v>
      </c>
      <c r="H145" s="390">
        <v>6662</v>
      </c>
      <c r="I145" s="391">
        <v>6672</v>
      </c>
      <c r="J145" s="390"/>
      <c r="K145" s="391"/>
      <c r="L145" s="390"/>
      <c r="M145" s="391"/>
      <c r="N145" s="390"/>
      <c r="O145" s="391"/>
      <c r="P145" s="390"/>
      <c r="Q145" s="391"/>
      <c r="R145" s="390"/>
      <c r="S145" s="391"/>
      <c r="T145" s="390"/>
      <c r="U145" s="391"/>
      <c r="V145" s="390"/>
      <c r="W145" s="391"/>
      <c r="X145" s="390"/>
      <c r="Y145" s="391"/>
      <c r="Z145" s="390"/>
      <c r="AA145" s="391"/>
      <c r="AB145" s="390"/>
      <c r="AC145" s="391"/>
      <c r="AD145" s="390"/>
      <c r="AE145" s="391"/>
      <c r="AF145" s="390"/>
      <c r="AG145" s="391"/>
      <c r="AH145" s="390"/>
      <c r="AI145" s="391"/>
      <c r="AJ145" s="390"/>
      <c r="AK145" s="391"/>
      <c r="AL145" s="390"/>
      <c r="AM145" s="391"/>
      <c r="AN145" s="390"/>
      <c r="AO145" s="391"/>
    </row>
    <row r="146" spans="1:41" s="201" customFormat="1" ht="12.75" hidden="1">
      <c r="A146" s="244" t="s">
        <v>148</v>
      </c>
      <c r="B146" s="217" t="s">
        <v>189</v>
      </c>
      <c r="C146" s="217"/>
      <c r="D146" s="216">
        <v>366465</v>
      </c>
      <c r="E146" s="216">
        <v>12</v>
      </c>
      <c r="F146" s="390">
        <v>3740</v>
      </c>
      <c r="G146" s="391">
        <v>3740</v>
      </c>
      <c r="H146" s="390">
        <v>6740</v>
      </c>
      <c r="I146" s="391">
        <v>6740</v>
      </c>
      <c r="J146" s="390"/>
      <c r="K146" s="391"/>
      <c r="L146" s="390"/>
      <c r="M146" s="391"/>
      <c r="N146" s="390"/>
      <c r="O146" s="391"/>
      <c r="P146" s="390"/>
      <c r="Q146" s="391"/>
      <c r="R146" s="390"/>
      <c r="S146" s="391"/>
      <c r="T146" s="390"/>
      <c r="U146" s="391"/>
      <c r="V146" s="390"/>
      <c r="W146" s="391"/>
      <c r="X146" s="390"/>
      <c r="Y146" s="391"/>
      <c r="Z146" s="390"/>
      <c r="AA146" s="391"/>
      <c r="AB146" s="390"/>
      <c r="AC146" s="391"/>
      <c r="AD146" s="390"/>
      <c r="AE146" s="391"/>
      <c r="AF146" s="390"/>
      <c r="AG146" s="391"/>
      <c r="AH146" s="390"/>
      <c r="AI146" s="391"/>
      <c r="AJ146" s="390"/>
      <c r="AK146" s="391"/>
      <c r="AL146" s="390"/>
      <c r="AM146" s="391"/>
      <c r="AN146" s="390"/>
      <c r="AO146" s="391"/>
    </row>
    <row r="147" spans="1:41" s="201" customFormat="1" ht="12.75" hidden="1">
      <c r="A147" s="244" t="s">
        <v>148</v>
      </c>
      <c r="B147" s="217" t="s">
        <v>190</v>
      </c>
      <c r="C147" s="217"/>
      <c r="D147" s="216">
        <v>140942</v>
      </c>
      <c r="E147" s="216">
        <v>12</v>
      </c>
      <c r="F147" s="390">
        <v>3622</v>
      </c>
      <c r="G147" s="391">
        <v>3642</v>
      </c>
      <c r="H147" s="390">
        <v>6622</v>
      </c>
      <c r="I147" s="391">
        <v>6642</v>
      </c>
      <c r="J147" s="390"/>
      <c r="K147" s="391"/>
      <c r="L147" s="390"/>
      <c r="M147" s="391"/>
      <c r="N147" s="390"/>
      <c r="O147" s="391"/>
      <c r="P147" s="390"/>
      <c r="Q147" s="391"/>
      <c r="R147" s="390"/>
      <c r="S147" s="391"/>
      <c r="T147" s="390"/>
      <c r="U147" s="391"/>
      <c r="V147" s="390"/>
      <c r="W147" s="391"/>
      <c r="X147" s="390"/>
      <c r="Y147" s="391"/>
      <c r="Z147" s="390"/>
      <c r="AA147" s="391"/>
      <c r="AB147" s="390"/>
      <c r="AC147" s="391"/>
      <c r="AD147" s="390"/>
      <c r="AE147" s="391"/>
      <c r="AF147" s="390"/>
      <c r="AG147" s="391"/>
      <c r="AH147" s="390"/>
      <c r="AI147" s="391"/>
      <c r="AJ147" s="390"/>
      <c r="AK147" s="391"/>
      <c r="AL147" s="390"/>
      <c r="AM147" s="391"/>
      <c r="AN147" s="390"/>
      <c r="AO147" s="391"/>
    </row>
    <row r="148" spans="1:41" s="201" customFormat="1" ht="12.75" hidden="1">
      <c r="A148" s="244" t="s">
        <v>148</v>
      </c>
      <c r="B148" s="217" t="s">
        <v>191</v>
      </c>
      <c r="C148" s="217"/>
      <c r="D148" s="216">
        <v>141006</v>
      </c>
      <c r="E148" s="216">
        <v>12</v>
      </c>
      <c r="F148" s="390">
        <v>3662</v>
      </c>
      <c r="G148" s="391">
        <v>3662</v>
      </c>
      <c r="H148" s="390">
        <v>6662</v>
      </c>
      <c r="I148" s="391">
        <v>6662</v>
      </c>
      <c r="J148" s="390"/>
      <c r="K148" s="391"/>
      <c r="L148" s="390"/>
      <c r="M148" s="391"/>
      <c r="N148" s="390"/>
      <c r="O148" s="391"/>
      <c r="P148" s="390"/>
      <c r="Q148" s="391"/>
      <c r="R148" s="390"/>
      <c r="S148" s="391"/>
      <c r="T148" s="390"/>
      <c r="U148" s="391"/>
      <c r="V148" s="390"/>
      <c r="W148" s="391"/>
      <c r="X148" s="390"/>
      <c r="Y148" s="391"/>
      <c r="Z148" s="390"/>
      <c r="AA148" s="391"/>
      <c r="AB148" s="390"/>
      <c r="AC148" s="391"/>
      <c r="AD148" s="390"/>
      <c r="AE148" s="391"/>
      <c r="AF148" s="390"/>
      <c r="AG148" s="391"/>
      <c r="AH148" s="390"/>
      <c r="AI148" s="391"/>
      <c r="AJ148" s="390"/>
      <c r="AK148" s="391"/>
      <c r="AL148" s="390"/>
      <c r="AM148" s="391"/>
      <c r="AN148" s="390"/>
      <c r="AO148" s="391"/>
    </row>
    <row r="149" spans="1:41" s="201" customFormat="1" ht="12.75" hidden="1">
      <c r="A149" s="244" t="s">
        <v>148</v>
      </c>
      <c r="B149" s="217" t="s">
        <v>192</v>
      </c>
      <c r="C149" s="217"/>
      <c r="D149" s="216">
        <v>368911</v>
      </c>
      <c r="E149" s="216">
        <v>12</v>
      </c>
      <c r="F149" s="390">
        <v>3727</v>
      </c>
      <c r="G149" s="391">
        <v>3727</v>
      </c>
      <c r="H149" s="390">
        <v>6727</v>
      </c>
      <c r="I149" s="391">
        <v>6727</v>
      </c>
      <c r="J149" s="390"/>
      <c r="K149" s="391"/>
      <c r="L149" s="390"/>
      <c r="M149" s="391"/>
      <c r="N149" s="390"/>
      <c r="O149" s="391"/>
      <c r="P149" s="390"/>
      <c r="Q149" s="391"/>
      <c r="R149" s="390"/>
      <c r="S149" s="391"/>
      <c r="T149" s="390"/>
      <c r="U149" s="391"/>
      <c r="V149" s="390"/>
      <c r="W149" s="391"/>
      <c r="X149" s="390"/>
      <c r="Y149" s="391"/>
      <c r="Z149" s="390"/>
      <c r="AA149" s="391"/>
      <c r="AB149" s="390"/>
      <c r="AC149" s="391"/>
      <c r="AD149" s="390"/>
      <c r="AE149" s="391"/>
      <c r="AF149" s="390"/>
      <c r="AG149" s="391"/>
      <c r="AH149" s="390"/>
      <c r="AI149" s="391"/>
      <c r="AJ149" s="390"/>
      <c r="AK149" s="391"/>
      <c r="AL149" s="390"/>
      <c r="AM149" s="391"/>
      <c r="AN149" s="390"/>
      <c r="AO149" s="391"/>
    </row>
    <row r="150" spans="1:41" s="201" customFormat="1" ht="12.75" hidden="1">
      <c r="A150" s="244" t="s">
        <v>148</v>
      </c>
      <c r="B150" s="217" t="s">
        <v>193</v>
      </c>
      <c r="C150" s="217"/>
      <c r="D150" s="216">
        <v>139986</v>
      </c>
      <c r="E150" s="216">
        <v>12</v>
      </c>
      <c r="F150" s="390">
        <v>3726</v>
      </c>
      <c r="G150" s="391">
        <v>3726</v>
      </c>
      <c r="H150" s="390">
        <v>6726</v>
      </c>
      <c r="I150" s="391">
        <v>6726</v>
      </c>
      <c r="J150" s="390"/>
      <c r="K150" s="391"/>
      <c r="L150" s="390"/>
      <c r="M150" s="391"/>
      <c r="N150" s="390"/>
      <c r="O150" s="391"/>
      <c r="P150" s="390"/>
      <c r="Q150" s="391"/>
      <c r="R150" s="390"/>
      <c r="S150" s="391"/>
      <c r="T150" s="390"/>
      <c r="U150" s="391"/>
      <c r="V150" s="390"/>
      <c r="W150" s="391"/>
      <c r="X150" s="390"/>
      <c r="Y150" s="391"/>
      <c r="Z150" s="390"/>
      <c r="AA150" s="391"/>
      <c r="AB150" s="390"/>
      <c r="AC150" s="391"/>
      <c r="AD150" s="390"/>
      <c r="AE150" s="391"/>
      <c r="AF150" s="390"/>
      <c r="AG150" s="391"/>
      <c r="AH150" s="390"/>
      <c r="AI150" s="391"/>
      <c r="AJ150" s="390"/>
      <c r="AK150" s="391"/>
      <c r="AL150" s="390"/>
      <c r="AM150" s="391"/>
      <c r="AN150" s="390"/>
      <c r="AO150" s="391"/>
    </row>
    <row r="151" spans="1:41" s="201" customFormat="1" ht="12.75" hidden="1">
      <c r="A151" s="244" t="s">
        <v>148</v>
      </c>
      <c r="B151" s="245" t="s">
        <v>194</v>
      </c>
      <c r="C151" s="217"/>
      <c r="D151" s="246">
        <v>487162</v>
      </c>
      <c r="E151" s="216">
        <v>12</v>
      </c>
      <c r="F151" s="390">
        <v>3602</v>
      </c>
      <c r="G151" s="391">
        <v>3602</v>
      </c>
      <c r="H151" s="390">
        <v>6602</v>
      </c>
      <c r="I151" s="391">
        <v>6602</v>
      </c>
      <c r="J151" s="390"/>
      <c r="K151" s="391"/>
      <c r="L151" s="390"/>
      <c r="M151" s="391"/>
      <c r="N151" s="390"/>
      <c r="O151" s="391"/>
      <c r="P151" s="390"/>
      <c r="Q151" s="391"/>
      <c r="R151" s="390"/>
      <c r="S151" s="391"/>
      <c r="T151" s="390"/>
      <c r="U151" s="391"/>
      <c r="V151" s="390"/>
      <c r="W151" s="391"/>
      <c r="X151" s="390"/>
      <c r="Y151" s="391"/>
      <c r="Z151" s="390"/>
      <c r="AA151" s="391"/>
      <c r="AB151" s="390"/>
      <c r="AC151" s="391"/>
      <c r="AD151" s="390"/>
      <c r="AE151" s="391"/>
      <c r="AF151" s="390"/>
      <c r="AG151" s="391"/>
      <c r="AH151" s="390"/>
      <c r="AI151" s="391"/>
      <c r="AJ151" s="390"/>
      <c r="AK151" s="391"/>
      <c r="AL151" s="390"/>
      <c r="AM151" s="391"/>
      <c r="AN151" s="390"/>
      <c r="AO151" s="391"/>
    </row>
    <row r="152" spans="1:41" s="201" customFormat="1" ht="12.75" hidden="1">
      <c r="A152" s="244" t="s">
        <v>148</v>
      </c>
      <c r="B152" s="217" t="s">
        <v>195</v>
      </c>
      <c r="C152" s="217"/>
      <c r="D152" s="216">
        <v>139278</v>
      </c>
      <c r="E152" s="216">
        <v>12</v>
      </c>
      <c r="F152" s="390">
        <v>3652</v>
      </c>
      <c r="G152" s="391">
        <v>3652</v>
      </c>
      <c r="H152" s="390">
        <v>6652</v>
      </c>
      <c r="I152" s="391">
        <v>6652</v>
      </c>
      <c r="J152" s="390"/>
      <c r="K152" s="391"/>
      <c r="L152" s="390"/>
      <c r="M152" s="391"/>
      <c r="N152" s="390"/>
      <c r="O152" s="391"/>
      <c r="P152" s="390"/>
      <c r="Q152" s="391"/>
      <c r="R152" s="390"/>
      <c r="S152" s="391"/>
      <c r="T152" s="390"/>
      <c r="U152" s="391"/>
      <c r="V152" s="390"/>
      <c r="W152" s="391"/>
      <c r="X152" s="390"/>
      <c r="Y152" s="391"/>
      <c r="Z152" s="390"/>
      <c r="AA152" s="391"/>
      <c r="AB152" s="390"/>
      <c r="AC152" s="391"/>
      <c r="AD152" s="390"/>
      <c r="AE152" s="391"/>
      <c r="AF152" s="390"/>
      <c r="AG152" s="391"/>
      <c r="AH152" s="390"/>
      <c r="AI152" s="391"/>
      <c r="AJ152" s="390"/>
      <c r="AK152" s="391"/>
      <c r="AL152" s="390"/>
      <c r="AM152" s="391"/>
      <c r="AN152" s="390"/>
      <c r="AO152" s="391"/>
    </row>
    <row r="153" spans="1:41" s="201" customFormat="1" ht="12.75" hidden="1">
      <c r="A153" s="244" t="s">
        <v>148</v>
      </c>
      <c r="B153" s="217" t="s">
        <v>196</v>
      </c>
      <c r="C153" s="217"/>
      <c r="D153" s="216">
        <v>141255</v>
      </c>
      <c r="E153" s="216">
        <v>12</v>
      </c>
      <c r="F153" s="390">
        <v>3752</v>
      </c>
      <c r="G153" s="391">
        <v>3752</v>
      </c>
      <c r="H153" s="390">
        <v>6752</v>
      </c>
      <c r="I153" s="391">
        <v>6752</v>
      </c>
      <c r="J153" s="390"/>
      <c r="K153" s="391"/>
      <c r="L153" s="390"/>
      <c r="M153" s="391"/>
      <c r="N153" s="390"/>
      <c r="O153" s="391"/>
      <c r="P153" s="390"/>
      <c r="Q153" s="391"/>
      <c r="R153" s="390"/>
      <c r="S153" s="391"/>
      <c r="T153" s="390"/>
      <c r="U153" s="391"/>
      <c r="V153" s="390"/>
      <c r="W153" s="391"/>
      <c r="X153" s="390"/>
      <c r="Y153" s="391"/>
      <c r="Z153" s="390"/>
      <c r="AA153" s="391"/>
      <c r="AB153" s="390"/>
      <c r="AC153" s="391"/>
      <c r="AD153" s="390"/>
      <c r="AE153" s="391"/>
      <c r="AF153" s="390"/>
      <c r="AG153" s="391"/>
      <c r="AH153" s="390"/>
      <c r="AI153" s="391"/>
      <c r="AJ153" s="390"/>
      <c r="AK153" s="391"/>
      <c r="AL153" s="390"/>
      <c r="AM153" s="391"/>
      <c r="AN153" s="390"/>
      <c r="AO153" s="391"/>
    </row>
    <row r="154" spans="1:41" s="201" customFormat="1" ht="12.75" hidden="1">
      <c r="A154" s="222" t="s">
        <v>197</v>
      </c>
      <c r="B154" s="220" t="s">
        <v>198</v>
      </c>
      <c r="C154" s="221"/>
      <c r="D154" s="222">
        <v>157085</v>
      </c>
      <c r="E154" s="222">
        <v>1</v>
      </c>
      <c r="F154" s="390">
        <v>12360</v>
      </c>
      <c r="G154" s="391">
        <v>12484</v>
      </c>
      <c r="H154" s="390">
        <v>30680</v>
      </c>
      <c r="I154" s="391">
        <v>31294</v>
      </c>
      <c r="J154" s="390">
        <v>13404</v>
      </c>
      <c r="K154" s="391">
        <v>13538</v>
      </c>
      <c r="L154" s="390">
        <v>32564</v>
      </c>
      <c r="M154" s="391">
        <v>33216</v>
      </c>
      <c r="N154" s="390">
        <v>24723</v>
      </c>
      <c r="O154" s="391">
        <v>24969</v>
      </c>
      <c r="P154" s="390">
        <v>50352</v>
      </c>
      <c r="Q154" s="391">
        <v>51360</v>
      </c>
      <c r="R154" s="390">
        <v>40042</v>
      </c>
      <c r="S154" s="391">
        <v>40462</v>
      </c>
      <c r="T154" s="390">
        <v>72373</v>
      </c>
      <c r="U154" s="391">
        <v>73854</v>
      </c>
      <c r="V154" s="390">
        <v>35228</v>
      </c>
      <c r="W154" s="391">
        <v>35582</v>
      </c>
      <c r="X154" s="390">
        <v>75177</v>
      </c>
      <c r="Y154" s="391">
        <v>76684</v>
      </c>
      <c r="Z154" s="390">
        <v>28338</v>
      </c>
      <c r="AA154" s="391">
        <v>28662</v>
      </c>
      <c r="AB154" s="390">
        <v>52631</v>
      </c>
      <c r="AC154" s="391">
        <v>53686</v>
      </c>
      <c r="AD154" s="390"/>
      <c r="AE154" s="391"/>
      <c r="AF154" s="390"/>
      <c r="AG154" s="391"/>
      <c r="AH154" s="390"/>
      <c r="AI154" s="391"/>
      <c r="AJ154" s="390"/>
      <c r="AK154" s="391"/>
      <c r="AL154" s="390"/>
      <c r="AM154" s="391"/>
      <c r="AN154" s="390"/>
      <c r="AO154" s="391"/>
    </row>
    <row r="155" spans="1:41" s="201" customFormat="1" ht="12.75" hidden="1">
      <c r="A155" s="222" t="s">
        <v>197</v>
      </c>
      <c r="B155" s="220" t="s">
        <v>199</v>
      </c>
      <c r="C155" s="221"/>
      <c r="D155" s="222">
        <v>157289</v>
      </c>
      <c r="E155" s="222">
        <v>1</v>
      </c>
      <c r="F155" s="390">
        <v>11928</v>
      </c>
      <c r="G155" s="391">
        <v>12162</v>
      </c>
      <c r="H155" s="390">
        <v>27954</v>
      </c>
      <c r="I155" s="391">
        <v>28508</v>
      </c>
      <c r="J155" s="390">
        <v>13196</v>
      </c>
      <c r="K155" s="391">
        <f>13260+196</f>
        <v>13456</v>
      </c>
      <c r="L155" s="390">
        <v>27310</v>
      </c>
      <c r="M155" s="391">
        <f>27374+196</f>
        <v>27570</v>
      </c>
      <c r="N155" s="390">
        <v>22434</v>
      </c>
      <c r="O155" s="391">
        <f>23106+196</f>
        <v>23302</v>
      </c>
      <c r="P155" s="390">
        <v>41844</v>
      </c>
      <c r="Q155" s="391">
        <f>28106+196</f>
        <v>28302</v>
      </c>
      <c r="R155" s="390">
        <v>40760</v>
      </c>
      <c r="S155" s="391">
        <f>41778+196</f>
        <v>41974</v>
      </c>
      <c r="T155" s="390">
        <v>61982</v>
      </c>
      <c r="U155" s="391">
        <f>63530+196</f>
        <v>63726</v>
      </c>
      <c r="V155" s="390">
        <v>34498</v>
      </c>
      <c r="W155" s="391">
        <f>35542+196</f>
        <v>35738</v>
      </c>
      <c r="X155" s="390">
        <v>71970</v>
      </c>
      <c r="Y155" s="391">
        <f>74128+196</f>
        <v>74324</v>
      </c>
      <c r="Z155" s="390"/>
      <c r="AA155" s="391"/>
      <c r="AB155" s="390"/>
      <c r="AC155" s="391"/>
      <c r="AD155" s="390"/>
      <c r="AE155" s="391"/>
      <c r="AF155" s="390"/>
      <c r="AG155" s="391"/>
      <c r="AH155" s="390"/>
      <c r="AI155" s="391"/>
      <c r="AJ155" s="390"/>
      <c r="AK155" s="391"/>
      <c r="AL155" s="390"/>
      <c r="AM155" s="391"/>
      <c r="AN155" s="390"/>
      <c r="AO155" s="391"/>
    </row>
    <row r="156" spans="1:41" s="201" customFormat="1" ht="12.75" hidden="1">
      <c r="A156" s="222" t="s">
        <v>197</v>
      </c>
      <c r="B156" s="220" t="s">
        <v>200</v>
      </c>
      <c r="C156" s="221"/>
      <c r="D156" s="222">
        <v>156620</v>
      </c>
      <c r="E156" s="222">
        <v>3</v>
      </c>
      <c r="F156" s="390">
        <v>9866</v>
      </c>
      <c r="G156" s="391">
        <v>9866</v>
      </c>
      <c r="H156" s="390">
        <v>19938</v>
      </c>
      <c r="I156" s="391">
        <v>19938</v>
      </c>
      <c r="J156" s="390">
        <v>13680</v>
      </c>
      <c r="K156" s="391">
        <v>13740</v>
      </c>
      <c r="L156" s="390">
        <v>19080</v>
      </c>
      <c r="M156" s="391">
        <v>18540</v>
      </c>
      <c r="N156" s="390"/>
      <c r="O156" s="391"/>
      <c r="P156" s="390"/>
      <c r="Q156" s="391"/>
      <c r="R156" s="390"/>
      <c r="S156" s="391"/>
      <c r="T156" s="390"/>
      <c r="U156" s="391"/>
      <c r="V156" s="390"/>
      <c r="W156" s="391"/>
      <c r="X156" s="390"/>
      <c r="Y156" s="391"/>
      <c r="Z156" s="390"/>
      <c r="AA156" s="391"/>
      <c r="AB156" s="390"/>
      <c r="AC156" s="391"/>
      <c r="AD156" s="390"/>
      <c r="AE156" s="391"/>
      <c r="AF156" s="390"/>
      <c r="AG156" s="391"/>
      <c r="AH156" s="390"/>
      <c r="AI156" s="391"/>
      <c r="AJ156" s="390"/>
      <c r="AK156" s="391"/>
      <c r="AL156" s="390"/>
      <c r="AM156" s="391"/>
      <c r="AN156" s="390"/>
      <c r="AO156" s="391"/>
    </row>
    <row r="157" spans="1:41" s="201" customFormat="1" ht="12.75" hidden="1">
      <c r="A157" s="222" t="s">
        <v>197</v>
      </c>
      <c r="B157" s="220" t="s">
        <v>201</v>
      </c>
      <c r="C157" s="221"/>
      <c r="D157" s="222">
        <v>157386</v>
      </c>
      <c r="E157" s="222">
        <v>3</v>
      </c>
      <c r="F157" s="390">
        <v>9290</v>
      </c>
      <c r="G157" s="391">
        <v>9290</v>
      </c>
      <c r="H157" s="390">
        <v>13876</v>
      </c>
      <c r="I157" s="391">
        <v>13876</v>
      </c>
      <c r="J157" s="390">
        <v>14016</v>
      </c>
      <c r="K157" s="391">
        <v>14016</v>
      </c>
      <c r="L157" s="393">
        <v>14016</v>
      </c>
      <c r="M157" s="391">
        <v>14016</v>
      </c>
      <c r="N157" s="390"/>
      <c r="O157" s="391"/>
      <c r="P157" s="390"/>
      <c r="Q157" s="391"/>
      <c r="R157" s="390"/>
      <c r="S157" s="391"/>
      <c r="T157" s="390"/>
      <c r="U157" s="391"/>
      <c r="V157" s="390"/>
      <c r="W157" s="391"/>
      <c r="X157" s="390"/>
      <c r="Y157" s="391"/>
      <c r="Z157" s="390"/>
      <c r="AA157" s="391"/>
      <c r="AB157" s="390"/>
      <c r="AC157" s="391"/>
      <c r="AD157" s="390"/>
      <c r="AE157" s="391"/>
      <c r="AF157" s="390"/>
      <c r="AG157" s="391"/>
      <c r="AH157" s="390"/>
      <c r="AI157" s="391"/>
      <c r="AJ157" s="390"/>
      <c r="AK157" s="391"/>
      <c r="AL157" s="390"/>
      <c r="AM157" s="391"/>
      <c r="AN157" s="390"/>
      <c r="AO157" s="391"/>
    </row>
    <row r="158" spans="1:41" s="201" customFormat="1" ht="12.75" hidden="1">
      <c r="A158" s="222" t="s">
        <v>197</v>
      </c>
      <c r="B158" s="220" t="s">
        <v>202</v>
      </c>
      <c r="C158" s="221"/>
      <c r="D158" s="222">
        <v>157401</v>
      </c>
      <c r="E158" s="222">
        <v>3</v>
      </c>
      <c r="F158" s="390">
        <v>9336</v>
      </c>
      <c r="G158" s="391">
        <v>9468</v>
      </c>
      <c r="H158" s="390">
        <v>24960</v>
      </c>
      <c r="I158" s="391">
        <v>18648</v>
      </c>
      <c r="J158" s="390">
        <v>13224</v>
      </c>
      <c r="K158" s="391">
        <v>13296</v>
      </c>
      <c r="L158" s="390">
        <v>19368</v>
      </c>
      <c r="M158" s="391">
        <v>19440</v>
      </c>
      <c r="N158" s="390"/>
      <c r="O158" s="391"/>
      <c r="P158" s="390"/>
      <c r="Q158" s="391"/>
      <c r="R158" s="390"/>
      <c r="S158" s="391"/>
      <c r="T158" s="390"/>
      <c r="U158" s="391"/>
      <c r="V158" s="390"/>
      <c r="W158" s="391"/>
      <c r="X158" s="390"/>
      <c r="Y158" s="391"/>
      <c r="Z158" s="390"/>
      <c r="AA158" s="391"/>
      <c r="AB158" s="390"/>
      <c r="AC158" s="391"/>
      <c r="AD158" s="390"/>
      <c r="AE158" s="391"/>
      <c r="AF158" s="390"/>
      <c r="AG158" s="391"/>
      <c r="AH158" s="390"/>
      <c r="AI158" s="391"/>
      <c r="AJ158" s="390"/>
      <c r="AK158" s="391"/>
      <c r="AL158" s="390"/>
      <c r="AM158" s="391"/>
      <c r="AN158" s="390"/>
      <c r="AO158" s="391"/>
    </row>
    <row r="159" spans="1:41" s="201" customFormat="1" ht="12.75" hidden="1">
      <c r="A159" s="222" t="s">
        <v>197</v>
      </c>
      <c r="B159" s="220" t="s">
        <v>203</v>
      </c>
      <c r="C159" s="223"/>
      <c r="D159" s="222">
        <v>157447</v>
      </c>
      <c r="E159" s="247">
        <v>3</v>
      </c>
      <c r="F159" s="390">
        <v>10296</v>
      </c>
      <c r="G159" s="391">
        <v>10296</v>
      </c>
      <c r="H159" s="390">
        <v>20256</v>
      </c>
      <c r="I159" s="391">
        <v>20256</v>
      </c>
      <c r="J159" s="390">
        <v>15096</v>
      </c>
      <c r="K159" s="391">
        <v>15096</v>
      </c>
      <c r="L159" s="390">
        <v>23016</v>
      </c>
      <c r="M159" s="391">
        <v>23016</v>
      </c>
      <c r="N159" s="390">
        <v>21346</v>
      </c>
      <c r="O159" s="391">
        <v>22584</v>
      </c>
      <c r="P159" s="390">
        <v>34528</v>
      </c>
      <c r="Q159" s="391">
        <v>36294</v>
      </c>
      <c r="R159" s="390"/>
      <c r="S159" s="391"/>
      <c r="T159" s="390"/>
      <c r="U159" s="391"/>
      <c r="V159" s="390"/>
      <c r="W159" s="391"/>
      <c r="X159" s="390"/>
      <c r="Y159" s="391"/>
      <c r="Z159" s="390"/>
      <c r="AA159" s="391"/>
      <c r="AB159" s="390"/>
      <c r="AC159" s="391"/>
      <c r="AD159" s="390"/>
      <c r="AE159" s="391"/>
      <c r="AF159" s="390"/>
      <c r="AG159" s="391"/>
      <c r="AH159" s="390"/>
      <c r="AI159" s="391"/>
      <c r="AJ159" s="390"/>
      <c r="AK159" s="391"/>
      <c r="AL159" s="390"/>
      <c r="AM159" s="391"/>
      <c r="AN159" s="390"/>
      <c r="AO159" s="391"/>
    </row>
    <row r="160" spans="1:41" s="201" customFormat="1" ht="12.75" hidden="1">
      <c r="A160" s="222" t="s">
        <v>197</v>
      </c>
      <c r="B160" s="220" t="s">
        <v>204</v>
      </c>
      <c r="C160" s="221" t="s">
        <v>658</v>
      </c>
      <c r="D160" s="222">
        <v>157951</v>
      </c>
      <c r="E160" s="222">
        <v>3</v>
      </c>
      <c r="F160" s="390">
        <v>10802</v>
      </c>
      <c r="G160" s="391">
        <v>10802</v>
      </c>
      <c r="H160" s="390">
        <v>26496</v>
      </c>
      <c r="I160" s="391">
        <v>26496</v>
      </c>
      <c r="J160" s="390">
        <v>14808</v>
      </c>
      <c r="K160" s="391">
        <v>14808</v>
      </c>
      <c r="L160" s="390">
        <v>22248</v>
      </c>
      <c r="M160" s="391">
        <v>22248</v>
      </c>
      <c r="N160" s="390"/>
      <c r="O160" s="391"/>
      <c r="P160" s="390"/>
      <c r="Q160" s="391"/>
      <c r="R160" s="390"/>
      <c r="S160" s="391"/>
      <c r="T160" s="390"/>
      <c r="U160" s="391"/>
      <c r="V160" s="390"/>
      <c r="W160" s="391"/>
      <c r="X160" s="390"/>
      <c r="Y160" s="391"/>
      <c r="Z160" s="390"/>
      <c r="AA160" s="391"/>
      <c r="AB160" s="390"/>
      <c r="AC160" s="391"/>
      <c r="AD160" s="390"/>
      <c r="AE160" s="391"/>
      <c r="AF160" s="390"/>
      <c r="AG160" s="391"/>
      <c r="AH160" s="390"/>
      <c r="AI160" s="391"/>
      <c r="AJ160" s="390"/>
      <c r="AK160" s="391"/>
      <c r="AL160" s="390"/>
      <c r="AM160" s="391"/>
      <c r="AN160" s="390"/>
      <c r="AO160" s="391"/>
    </row>
    <row r="161" spans="1:41" s="201" customFormat="1" ht="12.75" hidden="1">
      <c r="A161" s="222" t="s">
        <v>197</v>
      </c>
      <c r="B161" s="220" t="s">
        <v>205</v>
      </c>
      <c r="C161" s="375" t="s">
        <v>909</v>
      </c>
      <c r="D161" s="222">
        <v>157058</v>
      </c>
      <c r="E161" s="222">
        <v>4</v>
      </c>
      <c r="F161" s="390">
        <v>8800</v>
      </c>
      <c r="G161" s="391">
        <v>8800</v>
      </c>
      <c r="H161" s="390">
        <v>20100</v>
      </c>
      <c r="I161" s="391">
        <v>12650</v>
      </c>
      <c r="J161" s="390">
        <v>11180</v>
      </c>
      <c r="K161" s="391">
        <v>11180</v>
      </c>
      <c r="L161" s="390">
        <v>16220</v>
      </c>
      <c r="M161" s="391">
        <v>16220</v>
      </c>
      <c r="N161" s="390"/>
      <c r="O161" s="391"/>
      <c r="P161" s="390"/>
      <c r="Q161" s="391"/>
      <c r="R161" s="390"/>
      <c r="S161" s="391"/>
      <c r="T161" s="390"/>
      <c r="U161" s="391"/>
      <c r="V161" s="390"/>
      <c r="W161" s="391"/>
      <c r="X161" s="390"/>
      <c r="Y161" s="391"/>
      <c r="Z161" s="390"/>
      <c r="AA161" s="391"/>
      <c r="AB161" s="390"/>
      <c r="AC161" s="391"/>
      <c r="AD161" s="390"/>
      <c r="AE161" s="391"/>
      <c r="AF161" s="390"/>
      <c r="AG161" s="391"/>
      <c r="AH161" s="390"/>
      <c r="AI161" s="391"/>
      <c r="AJ161" s="390"/>
      <c r="AK161" s="391"/>
      <c r="AL161" s="390"/>
      <c r="AM161" s="391"/>
      <c r="AN161" s="390"/>
      <c r="AO161" s="391"/>
    </row>
    <row r="162" spans="1:41" s="201" customFormat="1" ht="12.75" hidden="1">
      <c r="A162" s="222" t="s">
        <v>197</v>
      </c>
      <c r="B162" s="220" t="s">
        <v>206</v>
      </c>
      <c r="C162" s="221" t="s">
        <v>659</v>
      </c>
      <c r="D162" s="248">
        <v>156392</v>
      </c>
      <c r="E162" s="222">
        <v>8</v>
      </c>
      <c r="F162" s="390">
        <v>5460</v>
      </c>
      <c r="G162" s="391">
        <v>5610</v>
      </c>
      <c r="H162" s="390">
        <v>18510</v>
      </c>
      <c r="I162" s="391">
        <v>19050</v>
      </c>
      <c r="J162" s="390"/>
      <c r="K162" s="391"/>
      <c r="L162" s="390"/>
      <c r="M162" s="391"/>
      <c r="N162" s="390"/>
      <c r="O162" s="391"/>
      <c r="P162" s="390"/>
      <c r="Q162" s="391"/>
      <c r="R162" s="390"/>
      <c r="S162" s="391"/>
      <c r="T162" s="390"/>
      <c r="U162" s="391"/>
      <c r="V162" s="390"/>
      <c r="W162" s="391"/>
      <c r="X162" s="390"/>
      <c r="Y162" s="391"/>
      <c r="Z162" s="390"/>
      <c r="AA162" s="391"/>
      <c r="AB162" s="390"/>
      <c r="AC162" s="391"/>
      <c r="AD162" s="390"/>
      <c r="AE162" s="391"/>
      <c r="AF162" s="390"/>
      <c r="AG162" s="391"/>
      <c r="AH162" s="390"/>
      <c r="AI162" s="391"/>
      <c r="AJ162" s="390"/>
      <c r="AK162" s="391"/>
      <c r="AL162" s="390"/>
      <c r="AM162" s="391"/>
      <c r="AN162" s="390"/>
      <c r="AO162" s="391"/>
    </row>
    <row r="163" spans="1:41" s="201" customFormat="1" ht="12.75" hidden="1">
      <c r="A163" s="222" t="s">
        <v>197</v>
      </c>
      <c r="B163" s="220" t="s">
        <v>207</v>
      </c>
      <c r="C163" s="221"/>
      <c r="D163" s="222">
        <v>156921</v>
      </c>
      <c r="E163" s="222">
        <v>8</v>
      </c>
      <c r="F163" s="390">
        <v>5460</v>
      </c>
      <c r="G163" s="391">
        <v>5610</v>
      </c>
      <c r="H163" s="390">
        <v>18510</v>
      </c>
      <c r="I163" s="391">
        <v>19050</v>
      </c>
      <c r="J163" s="390"/>
      <c r="K163" s="391"/>
      <c r="L163" s="390"/>
      <c r="M163" s="391"/>
      <c r="N163" s="390"/>
      <c r="O163" s="391"/>
      <c r="P163" s="390"/>
      <c r="Q163" s="391"/>
      <c r="R163" s="390"/>
      <c r="S163" s="391"/>
      <c r="T163" s="390"/>
      <c r="U163" s="391"/>
      <c r="V163" s="390"/>
      <c r="W163" s="391"/>
      <c r="X163" s="390"/>
      <c r="Y163" s="391"/>
      <c r="Z163" s="390"/>
      <c r="AA163" s="391"/>
      <c r="AB163" s="390"/>
      <c r="AC163" s="391"/>
      <c r="AD163" s="390"/>
      <c r="AE163" s="391"/>
      <c r="AF163" s="390"/>
      <c r="AG163" s="391"/>
      <c r="AH163" s="390"/>
      <c r="AI163" s="391"/>
      <c r="AJ163" s="390"/>
      <c r="AK163" s="391"/>
      <c r="AL163" s="390"/>
      <c r="AM163" s="391"/>
      <c r="AN163" s="390"/>
      <c r="AO163" s="391"/>
    </row>
    <row r="164" spans="1:41" s="201" customFormat="1" ht="12.75" hidden="1">
      <c r="A164" s="222" t="s">
        <v>197</v>
      </c>
      <c r="B164" s="220" t="s">
        <v>209</v>
      </c>
      <c r="C164" s="375" t="s">
        <v>910</v>
      </c>
      <c r="D164" s="222">
        <v>157553</v>
      </c>
      <c r="E164" s="222">
        <v>9</v>
      </c>
      <c r="F164" s="390">
        <v>5460</v>
      </c>
      <c r="G164" s="391">
        <v>5610</v>
      </c>
      <c r="H164" s="390">
        <v>18510</v>
      </c>
      <c r="I164" s="391">
        <v>19050</v>
      </c>
      <c r="J164" s="390"/>
      <c r="K164" s="391"/>
      <c r="L164" s="390"/>
      <c r="M164" s="391"/>
      <c r="N164" s="390"/>
      <c r="O164" s="391"/>
      <c r="P164" s="390"/>
      <c r="Q164" s="391"/>
      <c r="R164" s="390"/>
      <c r="S164" s="391"/>
      <c r="T164" s="390"/>
      <c r="U164" s="391"/>
      <c r="V164" s="390"/>
      <c r="W164" s="391"/>
      <c r="X164" s="390"/>
      <c r="Y164" s="391"/>
      <c r="Z164" s="390"/>
      <c r="AA164" s="391"/>
      <c r="AB164" s="390"/>
      <c r="AC164" s="391"/>
      <c r="AD164" s="390"/>
      <c r="AE164" s="391"/>
      <c r="AF164" s="390"/>
      <c r="AG164" s="391"/>
      <c r="AH164" s="390"/>
      <c r="AI164" s="391"/>
      <c r="AJ164" s="390"/>
      <c r="AK164" s="391"/>
      <c r="AL164" s="390"/>
      <c r="AM164" s="391"/>
      <c r="AN164" s="390"/>
      <c r="AO164" s="391"/>
    </row>
    <row r="165" spans="1:41" s="201" customFormat="1" ht="12.75" hidden="1">
      <c r="A165" s="222" t="s">
        <v>197</v>
      </c>
      <c r="B165" s="220" t="s">
        <v>210</v>
      </c>
      <c r="C165" s="221"/>
      <c r="D165" s="222">
        <v>156648</v>
      </c>
      <c r="E165" s="222">
        <v>9</v>
      </c>
      <c r="F165" s="390">
        <v>5460</v>
      </c>
      <c r="G165" s="391">
        <v>5610</v>
      </c>
      <c r="H165" s="390">
        <v>18510</v>
      </c>
      <c r="I165" s="391">
        <v>19050</v>
      </c>
      <c r="J165" s="390"/>
      <c r="K165" s="391"/>
      <c r="L165" s="390"/>
      <c r="M165" s="391"/>
      <c r="N165" s="390"/>
      <c r="O165" s="391"/>
      <c r="P165" s="390"/>
      <c r="Q165" s="391"/>
      <c r="R165" s="390"/>
      <c r="S165" s="391"/>
      <c r="T165" s="390"/>
      <c r="U165" s="391"/>
      <c r="V165" s="390"/>
      <c r="W165" s="391"/>
      <c r="X165" s="390"/>
      <c r="Y165" s="391"/>
      <c r="Z165" s="390"/>
      <c r="AA165" s="391"/>
      <c r="AB165" s="390"/>
      <c r="AC165" s="391"/>
      <c r="AD165" s="390"/>
      <c r="AE165" s="391"/>
      <c r="AF165" s="390"/>
      <c r="AG165" s="391"/>
      <c r="AH165" s="390"/>
      <c r="AI165" s="391"/>
      <c r="AJ165" s="390"/>
      <c r="AK165" s="391"/>
      <c r="AL165" s="390"/>
      <c r="AM165" s="391"/>
      <c r="AN165" s="390"/>
      <c r="AO165" s="391"/>
    </row>
    <row r="166" spans="1:41" s="201" customFormat="1" ht="12.75" hidden="1">
      <c r="A166" s="222" t="s">
        <v>197</v>
      </c>
      <c r="B166" s="220" t="s">
        <v>214</v>
      </c>
      <c r="C166" s="221"/>
      <c r="D166" s="222">
        <v>157331</v>
      </c>
      <c r="E166" s="222">
        <v>9</v>
      </c>
      <c r="F166" s="390">
        <v>5460</v>
      </c>
      <c r="G166" s="391">
        <v>5610</v>
      </c>
      <c r="H166" s="390">
        <v>18510</v>
      </c>
      <c r="I166" s="391">
        <v>19050</v>
      </c>
      <c r="J166" s="390"/>
      <c r="K166" s="391"/>
      <c r="L166" s="390"/>
      <c r="M166" s="391"/>
      <c r="N166" s="390"/>
      <c r="O166" s="391"/>
      <c r="P166" s="390"/>
      <c r="Q166" s="391"/>
      <c r="R166" s="390"/>
      <c r="S166" s="391"/>
      <c r="T166" s="390"/>
      <c r="U166" s="391"/>
      <c r="V166" s="390"/>
      <c r="W166" s="391"/>
      <c r="X166" s="390"/>
      <c r="Y166" s="391"/>
      <c r="Z166" s="390"/>
      <c r="AA166" s="391"/>
      <c r="AB166" s="390"/>
      <c r="AC166" s="391"/>
      <c r="AD166" s="390"/>
      <c r="AE166" s="391"/>
      <c r="AF166" s="390"/>
      <c r="AG166" s="391"/>
      <c r="AH166" s="390"/>
      <c r="AI166" s="391"/>
      <c r="AJ166" s="390"/>
      <c r="AK166" s="391"/>
      <c r="AL166" s="390"/>
      <c r="AM166" s="391"/>
      <c r="AN166" s="390"/>
      <c r="AO166" s="391"/>
    </row>
    <row r="167" spans="1:41" s="201" customFormat="1" ht="12.75" hidden="1">
      <c r="A167" s="222" t="s">
        <v>197</v>
      </c>
      <c r="B167" s="220" t="s">
        <v>215</v>
      </c>
      <c r="C167" s="221"/>
      <c r="D167" s="222">
        <v>247940</v>
      </c>
      <c r="E167" s="222">
        <v>9</v>
      </c>
      <c r="F167" s="390">
        <v>5460</v>
      </c>
      <c r="G167" s="391">
        <v>5610</v>
      </c>
      <c r="H167" s="390">
        <v>18510</v>
      </c>
      <c r="I167" s="391">
        <v>19050</v>
      </c>
      <c r="J167" s="390"/>
      <c r="K167" s="391"/>
      <c r="L167" s="390"/>
      <c r="M167" s="391"/>
      <c r="N167" s="390"/>
      <c r="O167" s="391"/>
      <c r="P167" s="390"/>
      <c r="Q167" s="391"/>
      <c r="R167" s="390"/>
      <c r="S167" s="391"/>
      <c r="T167" s="390"/>
      <c r="U167" s="391"/>
      <c r="V167" s="390"/>
      <c r="W167" s="391"/>
      <c r="X167" s="390"/>
      <c r="Y167" s="391"/>
      <c r="Z167" s="390"/>
      <c r="AA167" s="391"/>
      <c r="AB167" s="390"/>
      <c r="AC167" s="391"/>
      <c r="AD167" s="390"/>
      <c r="AE167" s="391"/>
      <c r="AF167" s="390"/>
      <c r="AG167" s="391"/>
      <c r="AH167" s="390"/>
      <c r="AI167" s="391"/>
      <c r="AJ167" s="390"/>
      <c r="AK167" s="391"/>
      <c r="AL167" s="390"/>
      <c r="AM167" s="391"/>
      <c r="AN167" s="390"/>
      <c r="AO167" s="391"/>
    </row>
    <row r="168" spans="1:41" s="201" customFormat="1" ht="12.75" hidden="1">
      <c r="A168" s="222" t="s">
        <v>197</v>
      </c>
      <c r="B168" s="220" t="s">
        <v>216</v>
      </c>
      <c r="C168" s="221"/>
      <c r="D168" s="222">
        <v>157711</v>
      </c>
      <c r="E168" s="222">
        <v>9</v>
      </c>
      <c r="F168" s="390">
        <v>5460</v>
      </c>
      <c r="G168" s="391">
        <v>5610</v>
      </c>
      <c r="H168" s="390">
        <v>18510</v>
      </c>
      <c r="I168" s="391">
        <v>19050</v>
      </c>
      <c r="J168" s="390"/>
      <c r="K168" s="391"/>
      <c r="L168" s="390"/>
      <c r="M168" s="391"/>
      <c r="N168" s="390"/>
      <c r="O168" s="391"/>
      <c r="P168" s="390"/>
      <c r="Q168" s="391"/>
      <c r="R168" s="390"/>
      <c r="S168" s="391"/>
      <c r="T168" s="390"/>
      <c r="U168" s="391"/>
      <c r="V168" s="390"/>
      <c r="W168" s="391"/>
      <c r="X168" s="390"/>
      <c r="Y168" s="391"/>
      <c r="Z168" s="390"/>
      <c r="AA168" s="391"/>
      <c r="AB168" s="390"/>
      <c r="AC168" s="391"/>
      <c r="AD168" s="390"/>
      <c r="AE168" s="391"/>
      <c r="AF168" s="390"/>
      <c r="AG168" s="391"/>
      <c r="AH168" s="390"/>
      <c r="AI168" s="391"/>
      <c r="AJ168" s="390"/>
      <c r="AK168" s="391"/>
      <c r="AL168" s="390"/>
      <c r="AM168" s="391"/>
      <c r="AN168" s="390"/>
      <c r="AO168" s="391"/>
    </row>
    <row r="169" spans="1:41" s="201" customFormat="1" ht="12.75" hidden="1">
      <c r="A169" s="222" t="s">
        <v>197</v>
      </c>
      <c r="B169" s="220" t="s">
        <v>218</v>
      </c>
      <c r="C169" s="221"/>
      <c r="D169" s="222">
        <v>157483</v>
      </c>
      <c r="E169" s="222">
        <v>9</v>
      </c>
      <c r="F169" s="390">
        <v>5460</v>
      </c>
      <c r="G169" s="391">
        <v>5610</v>
      </c>
      <c r="H169" s="390">
        <v>18510</v>
      </c>
      <c r="I169" s="391">
        <v>19050</v>
      </c>
      <c r="J169" s="390"/>
      <c r="K169" s="391"/>
      <c r="L169" s="390"/>
      <c r="M169" s="391"/>
      <c r="N169" s="390"/>
      <c r="O169" s="391"/>
      <c r="P169" s="390"/>
      <c r="Q169" s="391"/>
      <c r="R169" s="390"/>
      <c r="S169" s="391"/>
      <c r="T169" s="390"/>
      <c r="U169" s="391"/>
      <c r="V169" s="390"/>
      <c r="W169" s="391"/>
      <c r="X169" s="390"/>
      <c r="Y169" s="391"/>
      <c r="Z169" s="390"/>
      <c r="AA169" s="391"/>
      <c r="AB169" s="390"/>
      <c r="AC169" s="391"/>
      <c r="AD169" s="390"/>
      <c r="AE169" s="391"/>
      <c r="AF169" s="390"/>
      <c r="AG169" s="391"/>
      <c r="AH169" s="390"/>
      <c r="AI169" s="391"/>
      <c r="AJ169" s="390"/>
      <c r="AK169" s="391"/>
      <c r="AL169" s="390"/>
      <c r="AM169" s="391"/>
      <c r="AN169" s="390"/>
      <c r="AO169" s="391"/>
    </row>
    <row r="170" spans="1:41" s="201" customFormat="1" ht="12.75" hidden="1">
      <c r="A170" s="222" t="s">
        <v>197</v>
      </c>
      <c r="B170" s="220" t="s">
        <v>208</v>
      </c>
      <c r="C170" s="221"/>
      <c r="D170" s="222">
        <v>156231</v>
      </c>
      <c r="E170" s="247">
        <v>10</v>
      </c>
      <c r="F170" s="390">
        <v>5460</v>
      </c>
      <c r="G170" s="391">
        <v>5610</v>
      </c>
      <c r="H170" s="390">
        <v>18510</v>
      </c>
      <c r="I170" s="391">
        <v>19050</v>
      </c>
      <c r="J170" s="390"/>
      <c r="K170" s="391"/>
      <c r="L170" s="390"/>
      <c r="M170" s="391"/>
      <c r="N170" s="390"/>
      <c r="O170" s="391"/>
      <c r="P170" s="390"/>
      <c r="Q170" s="391"/>
      <c r="R170" s="390"/>
      <c r="S170" s="391"/>
      <c r="T170" s="390"/>
      <c r="U170" s="391"/>
      <c r="V170" s="390"/>
      <c r="W170" s="391"/>
      <c r="X170" s="390"/>
      <c r="Y170" s="391"/>
      <c r="Z170" s="390"/>
      <c r="AA170" s="391"/>
      <c r="AB170" s="390"/>
      <c r="AC170" s="391"/>
      <c r="AD170" s="390"/>
      <c r="AE170" s="391"/>
      <c r="AF170" s="390"/>
      <c r="AG170" s="391"/>
      <c r="AH170" s="390"/>
      <c r="AI170" s="391"/>
      <c r="AJ170" s="390"/>
      <c r="AK170" s="391"/>
      <c r="AL170" s="390"/>
      <c r="AM170" s="391"/>
      <c r="AN170" s="390"/>
      <c r="AO170" s="391"/>
    </row>
    <row r="171" spans="1:41" s="201" customFormat="1" ht="12.75" hidden="1">
      <c r="A171" s="222" t="s">
        <v>197</v>
      </c>
      <c r="B171" s="220" t="s">
        <v>211</v>
      </c>
      <c r="C171" s="223"/>
      <c r="D171" s="222">
        <v>156790</v>
      </c>
      <c r="E171" s="222">
        <v>10</v>
      </c>
      <c r="F171" s="390">
        <v>5460</v>
      </c>
      <c r="G171" s="391">
        <v>5610</v>
      </c>
      <c r="H171" s="390">
        <v>18510</v>
      </c>
      <c r="I171" s="391">
        <v>19050</v>
      </c>
      <c r="J171" s="390"/>
      <c r="K171" s="391"/>
      <c r="L171" s="390"/>
      <c r="M171" s="391"/>
      <c r="N171" s="390"/>
      <c r="O171" s="391"/>
      <c r="P171" s="390"/>
      <c r="Q171" s="391"/>
      <c r="R171" s="390"/>
      <c r="S171" s="391"/>
      <c r="T171" s="390"/>
      <c r="U171" s="391"/>
      <c r="V171" s="390"/>
      <c r="W171" s="391"/>
      <c r="X171" s="390"/>
      <c r="Y171" s="391"/>
      <c r="Z171" s="390"/>
      <c r="AA171" s="391"/>
      <c r="AB171" s="390"/>
      <c r="AC171" s="391"/>
      <c r="AD171" s="390"/>
      <c r="AE171" s="391"/>
      <c r="AF171" s="390"/>
      <c r="AG171" s="391"/>
      <c r="AH171" s="390"/>
      <c r="AI171" s="391"/>
      <c r="AJ171" s="390"/>
      <c r="AK171" s="391"/>
      <c r="AL171" s="390"/>
      <c r="AM171" s="391"/>
      <c r="AN171" s="390"/>
      <c r="AO171" s="391"/>
    </row>
    <row r="172" spans="1:41" s="201" customFormat="1" ht="12.75" hidden="1">
      <c r="A172" s="222" t="s">
        <v>197</v>
      </c>
      <c r="B172" s="220" t="s">
        <v>219</v>
      </c>
      <c r="C172" s="221"/>
      <c r="D172" s="222">
        <v>156851</v>
      </c>
      <c r="E172" s="222">
        <v>10</v>
      </c>
      <c r="F172" s="390">
        <v>5460</v>
      </c>
      <c r="G172" s="391">
        <v>5610</v>
      </c>
      <c r="H172" s="390">
        <v>18510</v>
      </c>
      <c r="I172" s="391">
        <v>19050</v>
      </c>
      <c r="J172" s="390"/>
      <c r="K172" s="391"/>
      <c r="L172" s="390"/>
      <c r="M172" s="391"/>
      <c r="N172" s="390"/>
      <c r="O172" s="391"/>
      <c r="P172" s="390"/>
      <c r="Q172" s="391"/>
      <c r="R172" s="390"/>
      <c r="S172" s="391"/>
      <c r="T172" s="390"/>
      <c r="U172" s="391"/>
      <c r="V172" s="390"/>
      <c r="W172" s="391"/>
      <c r="X172" s="390"/>
      <c r="Y172" s="391"/>
      <c r="Z172" s="390"/>
      <c r="AA172" s="391"/>
      <c r="AB172" s="390"/>
      <c r="AC172" s="391"/>
      <c r="AD172" s="390"/>
      <c r="AE172" s="391"/>
      <c r="AF172" s="390"/>
      <c r="AG172" s="391"/>
      <c r="AH172" s="390"/>
      <c r="AI172" s="391"/>
      <c r="AJ172" s="390"/>
      <c r="AK172" s="391"/>
      <c r="AL172" s="390"/>
      <c r="AM172" s="391"/>
      <c r="AN172" s="390"/>
      <c r="AO172" s="391"/>
    </row>
    <row r="173" spans="1:41" s="201" customFormat="1" ht="12.75" hidden="1">
      <c r="A173" s="222" t="s">
        <v>197</v>
      </c>
      <c r="B173" s="220" t="s">
        <v>212</v>
      </c>
      <c r="C173" s="223"/>
      <c r="D173" s="222">
        <v>156860</v>
      </c>
      <c r="E173" s="222">
        <v>10</v>
      </c>
      <c r="F173" s="390">
        <v>5460</v>
      </c>
      <c r="G173" s="391">
        <v>5610</v>
      </c>
      <c r="H173" s="390">
        <v>18510</v>
      </c>
      <c r="I173" s="391">
        <v>19050</v>
      </c>
      <c r="J173" s="390"/>
      <c r="K173" s="391"/>
      <c r="L173" s="390"/>
      <c r="M173" s="391"/>
      <c r="N173" s="390"/>
      <c r="O173" s="391"/>
      <c r="P173" s="390"/>
      <c r="Q173" s="391"/>
      <c r="R173" s="390"/>
      <c r="S173" s="391"/>
      <c r="T173" s="390"/>
      <c r="U173" s="391"/>
      <c r="V173" s="390"/>
      <c r="W173" s="391"/>
      <c r="X173" s="390"/>
      <c r="Y173" s="391"/>
      <c r="Z173" s="390"/>
      <c r="AA173" s="391"/>
      <c r="AB173" s="390"/>
      <c r="AC173" s="391"/>
      <c r="AD173" s="390"/>
      <c r="AE173" s="391"/>
      <c r="AF173" s="390"/>
      <c r="AG173" s="391"/>
      <c r="AH173" s="390"/>
      <c r="AI173" s="391"/>
      <c r="AJ173" s="390"/>
      <c r="AK173" s="391"/>
      <c r="AL173" s="390"/>
      <c r="AM173" s="391"/>
      <c r="AN173" s="390"/>
      <c r="AO173" s="391"/>
    </row>
    <row r="174" spans="1:41" s="201" customFormat="1" ht="12.75" hidden="1">
      <c r="A174" s="222" t="s">
        <v>197</v>
      </c>
      <c r="B174" s="220" t="s">
        <v>213</v>
      </c>
      <c r="C174" s="223"/>
      <c r="D174" s="222">
        <v>157304</v>
      </c>
      <c r="E174" s="222">
        <v>10</v>
      </c>
      <c r="F174" s="390">
        <v>5460</v>
      </c>
      <c r="G174" s="391">
        <v>5610</v>
      </c>
      <c r="H174" s="390">
        <v>18510</v>
      </c>
      <c r="I174" s="391">
        <v>19050</v>
      </c>
      <c r="J174" s="390"/>
      <c r="K174" s="391"/>
      <c r="L174" s="390"/>
      <c r="M174" s="391"/>
      <c r="N174" s="390"/>
      <c r="O174" s="391"/>
      <c r="P174" s="390"/>
      <c r="Q174" s="391"/>
      <c r="R174" s="390"/>
      <c r="S174" s="391"/>
      <c r="T174" s="390"/>
      <c r="U174" s="391"/>
      <c r="V174" s="390"/>
      <c r="W174" s="391"/>
      <c r="X174" s="390"/>
      <c r="Y174" s="391"/>
      <c r="Z174" s="390"/>
      <c r="AA174" s="391"/>
      <c r="AB174" s="390"/>
      <c r="AC174" s="391"/>
      <c r="AD174" s="390"/>
      <c r="AE174" s="391"/>
      <c r="AF174" s="390"/>
      <c r="AG174" s="391"/>
      <c r="AH174" s="390"/>
      <c r="AI174" s="391"/>
      <c r="AJ174" s="390"/>
      <c r="AK174" s="391"/>
      <c r="AL174" s="390"/>
      <c r="AM174" s="391"/>
      <c r="AN174" s="390"/>
      <c r="AO174" s="391"/>
    </row>
    <row r="175" spans="1:41" s="201" customFormat="1" ht="12.75" hidden="1">
      <c r="A175" s="222" t="s">
        <v>197</v>
      </c>
      <c r="B175" s="220" t="s">
        <v>217</v>
      </c>
      <c r="C175" s="223"/>
      <c r="D175" s="222">
        <v>157739</v>
      </c>
      <c r="E175" s="222">
        <v>10</v>
      </c>
      <c r="F175" s="390">
        <v>5460</v>
      </c>
      <c r="G175" s="391">
        <v>5610</v>
      </c>
      <c r="H175" s="390">
        <v>18510</v>
      </c>
      <c r="I175" s="391">
        <v>19050</v>
      </c>
      <c r="J175" s="390"/>
      <c r="K175" s="391"/>
      <c r="L175" s="390"/>
      <c r="M175" s="391"/>
      <c r="N175" s="390"/>
      <c r="O175" s="391"/>
      <c r="P175" s="390"/>
      <c r="Q175" s="391"/>
      <c r="R175" s="390"/>
      <c r="S175" s="391"/>
      <c r="T175" s="390"/>
      <c r="U175" s="391"/>
      <c r="V175" s="390"/>
      <c r="W175" s="391"/>
      <c r="X175" s="390"/>
      <c r="Y175" s="391"/>
      <c r="Z175" s="390"/>
      <c r="AA175" s="391"/>
      <c r="AB175" s="390"/>
      <c r="AC175" s="391"/>
      <c r="AD175" s="390"/>
      <c r="AE175" s="391"/>
      <c r="AF175" s="390"/>
      <c r="AG175" s="391"/>
      <c r="AH175" s="390"/>
      <c r="AI175" s="391"/>
      <c r="AJ175" s="390"/>
      <c r="AK175" s="391"/>
      <c r="AL175" s="390"/>
      <c r="AM175" s="391"/>
      <c r="AN175" s="390"/>
      <c r="AO175" s="391"/>
    </row>
    <row r="176" spans="1:41" s="201" customFormat="1" ht="12.75" hidden="1">
      <c r="A176" s="222" t="s">
        <v>197</v>
      </c>
      <c r="B176" s="220" t="s">
        <v>220</v>
      </c>
      <c r="C176" s="221"/>
      <c r="D176" s="222">
        <v>157438</v>
      </c>
      <c r="E176" s="222">
        <v>12</v>
      </c>
      <c r="F176" s="390">
        <v>5460</v>
      </c>
      <c r="G176" s="391">
        <v>5610</v>
      </c>
      <c r="H176" s="390">
        <v>18510</v>
      </c>
      <c r="I176" s="391">
        <v>19050</v>
      </c>
      <c r="J176" s="390"/>
      <c r="K176" s="391"/>
      <c r="L176" s="390"/>
      <c r="M176" s="391"/>
      <c r="N176" s="390"/>
      <c r="O176" s="391"/>
      <c r="P176" s="390"/>
      <c r="Q176" s="391"/>
      <c r="R176" s="390"/>
      <c r="S176" s="391"/>
      <c r="T176" s="390"/>
      <c r="U176" s="391"/>
      <c r="V176" s="390"/>
      <c r="W176" s="391"/>
      <c r="X176" s="390"/>
      <c r="Y176" s="391"/>
      <c r="Z176" s="390"/>
      <c r="AA176" s="391"/>
      <c r="AB176" s="390"/>
      <c r="AC176" s="391"/>
      <c r="AD176" s="390"/>
      <c r="AE176" s="391"/>
      <c r="AF176" s="390"/>
      <c r="AG176" s="391"/>
      <c r="AH176" s="390"/>
      <c r="AI176" s="391"/>
      <c r="AJ176" s="390"/>
      <c r="AK176" s="391"/>
      <c r="AL176" s="390"/>
      <c r="AM176" s="391"/>
      <c r="AN176" s="390"/>
      <c r="AO176" s="391"/>
    </row>
    <row r="177" spans="1:41" s="201" customFormat="1" ht="12.75" hidden="1">
      <c r="A177" s="222" t="s">
        <v>197</v>
      </c>
      <c r="B177" s="220" t="s">
        <v>221</v>
      </c>
      <c r="C177" s="221"/>
      <c r="D177" s="222">
        <v>156338</v>
      </c>
      <c r="E177" s="222">
        <v>12</v>
      </c>
      <c r="F177" s="390">
        <v>5460</v>
      </c>
      <c r="G177" s="391">
        <v>5610</v>
      </c>
      <c r="H177" s="390">
        <v>18510</v>
      </c>
      <c r="I177" s="391">
        <v>19050</v>
      </c>
      <c r="J177" s="390"/>
      <c r="K177" s="391"/>
      <c r="L177" s="390"/>
      <c r="M177" s="391"/>
      <c r="N177" s="390"/>
      <c r="O177" s="391"/>
      <c r="P177" s="390"/>
      <c r="Q177" s="391"/>
      <c r="R177" s="390"/>
      <c r="S177" s="391"/>
      <c r="T177" s="390"/>
      <c r="U177" s="391"/>
      <c r="V177" s="390"/>
      <c r="W177" s="391"/>
      <c r="X177" s="390"/>
      <c r="Y177" s="391"/>
      <c r="Z177" s="390"/>
      <c r="AA177" s="391"/>
      <c r="AB177" s="390"/>
      <c r="AC177" s="391"/>
      <c r="AD177" s="390"/>
      <c r="AE177" s="391"/>
      <c r="AF177" s="390"/>
      <c r="AG177" s="391"/>
      <c r="AH177" s="390"/>
      <c r="AI177" s="391"/>
      <c r="AJ177" s="390"/>
      <c r="AK177" s="391"/>
      <c r="AL177" s="390"/>
      <c r="AM177" s="391"/>
      <c r="AN177" s="390"/>
      <c r="AO177" s="391"/>
    </row>
    <row r="178" spans="1:41" s="201" customFormat="1" ht="12.75" hidden="1">
      <c r="A178" s="249" t="s">
        <v>222</v>
      </c>
      <c r="B178" s="250" t="s">
        <v>223</v>
      </c>
      <c r="C178" s="251"/>
      <c r="D178" s="252">
        <v>159391</v>
      </c>
      <c r="E178" s="252">
        <v>1</v>
      </c>
      <c r="F178" s="390">
        <v>11962</v>
      </c>
      <c r="G178" s="391">
        <v>11926</v>
      </c>
      <c r="H178" s="390">
        <v>28639</v>
      </c>
      <c r="I178" s="391">
        <v>28639</v>
      </c>
      <c r="J178" s="390">
        <v>13035</v>
      </c>
      <c r="K178" s="391">
        <v>13035</v>
      </c>
      <c r="L178" s="390">
        <v>29970</v>
      </c>
      <c r="M178" s="391">
        <v>29970</v>
      </c>
      <c r="N178" s="390">
        <v>23673</v>
      </c>
      <c r="O178" s="391">
        <v>23673</v>
      </c>
      <c r="P178" s="390">
        <v>39113</v>
      </c>
      <c r="Q178" s="391">
        <v>39113</v>
      </c>
      <c r="R178" s="390"/>
      <c r="S178" s="391"/>
      <c r="T178" s="390"/>
      <c r="U178" s="391"/>
      <c r="V178" s="390"/>
      <c r="W178" s="391"/>
      <c r="X178" s="390"/>
      <c r="Y178" s="391"/>
      <c r="Z178" s="390"/>
      <c r="AA178" s="391"/>
      <c r="AB178" s="390"/>
      <c r="AC178" s="391"/>
      <c r="AD178" s="390"/>
      <c r="AE178" s="391"/>
      <c r="AF178" s="390"/>
      <c r="AG178" s="391"/>
      <c r="AH178" s="390"/>
      <c r="AI178" s="391"/>
      <c r="AJ178" s="390"/>
      <c r="AK178" s="391"/>
      <c r="AL178" s="390">
        <v>27399</v>
      </c>
      <c r="AM178" s="391">
        <v>27399</v>
      </c>
      <c r="AN178" s="390">
        <v>56499</v>
      </c>
      <c r="AO178" s="391">
        <v>56499</v>
      </c>
    </row>
    <row r="179" spans="1:41" s="201" customFormat="1" ht="12.75" hidden="1">
      <c r="A179" s="249" t="s">
        <v>222</v>
      </c>
      <c r="B179" s="250" t="s">
        <v>224</v>
      </c>
      <c r="C179" s="251"/>
      <c r="D179" s="252">
        <v>159647</v>
      </c>
      <c r="E179" s="252">
        <v>2</v>
      </c>
      <c r="F179" s="390">
        <v>10185</v>
      </c>
      <c r="G179" s="391">
        <v>10634</v>
      </c>
      <c r="H179" s="390">
        <v>19098</v>
      </c>
      <c r="I179" s="391">
        <v>19547.2</v>
      </c>
      <c r="J179" s="390">
        <v>9603</v>
      </c>
      <c r="K179" s="391">
        <v>10053</v>
      </c>
      <c r="L179" s="390">
        <v>16344</v>
      </c>
      <c r="M179" s="391">
        <v>16794</v>
      </c>
      <c r="N179" s="390"/>
      <c r="O179" s="391"/>
      <c r="P179" s="390"/>
      <c r="Q179" s="391"/>
      <c r="R179" s="390"/>
      <c r="S179" s="391"/>
      <c r="T179" s="390"/>
      <c r="U179" s="391"/>
      <c r="V179" s="390"/>
      <c r="W179" s="391"/>
      <c r="X179" s="390"/>
      <c r="Y179" s="391"/>
      <c r="Z179" s="390"/>
      <c r="AA179" s="391"/>
      <c r="AB179" s="390"/>
      <c r="AC179" s="391"/>
      <c r="AD179" s="390"/>
      <c r="AE179" s="391"/>
      <c r="AF179" s="390"/>
      <c r="AG179" s="391"/>
      <c r="AH179" s="390"/>
      <c r="AI179" s="391"/>
      <c r="AJ179" s="390"/>
      <c r="AK179" s="391"/>
      <c r="AL179" s="390"/>
      <c r="AM179" s="391"/>
      <c r="AN179" s="390"/>
      <c r="AO179" s="391"/>
    </row>
    <row r="180" spans="1:41" s="201" customFormat="1" ht="12.75" hidden="1">
      <c r="A180" s="249" t="s">
        <v>222</v>
      </c>
      <c r="B180" s="250" t="s">
        <v>225</v>
      </c>
      <c r="C180" s="251"/>
      <c r="D180" s="252">
        <v>160658</v>
      </c>
      <c r="E180" s="252">
        <v>2</v>
      </c>
      <c r="F180" s="390">
        <v>11186</v>
      </c>
      <c r="G180" s="391">
        <v>11174</v>
      </c>
      <c r="H180" s="390">
        <v>24914</v>
      </c>
      <c r="I180" s="391">
        <v>24902</v>
      </c>
      <c r="J180" s="390">
        <v>11126</v>
      </c>
      <c r="K180" s="391">
        <v>11114</v>
      </c>
      <c r="L180" s="390">
        <v>24854</v>
      </c>
      <c r="M180" s="391">
        <v>24842</v>
      </c>
      <c r="N180" s="390"/>
      <c r="O180" s="391"/>
      <c r="P180" s="390"/>
      <c r="Q180" s="391"/>
      <c r="R180" s="390"/>
      <c r="S180" s="391"/>
      <c r="T180" s="390"/>
      <c r="U180" s="391"/>
      <c r="V180" s="390"/>
      <c r="W180" s="391"/>
      <c r="X180" s="390"/>
      <c r="Y180" s="391"/>
      <c r="Z180" s="390"/>
      <c r="AA180" s="391"/>
      <c r="AB180" s="390"/>
      <c r="AC180" s="391"/>
      <c r="AD180" s="390"/>
      <c r="AE180" s="391"/>
      <c r="AF180" s="390"/>
      <c r="AG180" s="391"/>
      <c r="AH180" s="390"/>
      <c r="AI180" s="391"/>
      <c r="AJ180" s="390"/>
      <c r="AK180" s="391"/>
      <c r="AL180" s="390"/>
      <c r="AM180" s="391"/>
      <c r="AN180" s="390"/>
      <c r="AO180" s="391"/>
    </row>
    <row r="181" spans="1:41" s="201" customFormat="1" ht="12.75" hidden="1">
      <c r="A181" s="249" t="s">
        <v>222</v>
      </c>
      <c r="B181" s="250" t="s">
        <v>226</v>
      </c>
      <c r="C181" s="251"/>
      <c r="D181" s="252">
        <v>159939</v>
      </c>
      <c r="E181" s="252">
        <v>2</v>
      </c>
      <c r="F181" s="390">
        <v>9354</v>
      </c>
      <c r="G181" s="391">
        <v>9354</v>
      </c>
      <c r="H181" s="390">
        <v>14190</v>
      </c>
      <c r="I181" s="391">
        <v>14190</v>
      </c>
      <c r="J181" s="390">
        <v>9648</v>
      </c>
      <c r="K181" s="391">
        <v>9648</v>
      </c>
      <c r="L181" s="390">
        <v>14218</v>
      </c>
      <c r="M181" s="391">
        <v>14218</v>
      </c>
      <c r="N181" s="390"/>
      <c r="O181" s="391"/>
      <c r="P181" s="390"/>
      <c r="Q181" s="391"/>
      <c r="R181" s="390"/>
      <c r="S181" s="391"/>
      <c r="T181" s="390"/>
      <c r="U181" s="391"/>
      <c r="V181" s="390"/>
      <c r="W181" s="391"/>
      <c r="X181" s="390"/>
      <c r="Y181" s="391"/>
      <c r="Z181" s="390"/>
      <c r="AA181" s="391"/>
      <c r="AB181" s="390"/>
      <c r="AC181" s="391"/>
      <c r="AD181" s="390"/>
      <c r="AE181" s="391"/>
      <c r="AF181" s="390"/>
      <c r="AG181" s="391"/>
      <c r="AH181" s="390"/>
      <c r="AI181" s="391"/>
      <c r="AJ181" s="390"/>
      <c r="AK181" s="391"/>
      <c r="AL181" s="390"/>
      <c r="AM181" s="391"/>
      <c r="AN181" s="390"/>
      <c r="AO181" s="391"/>
    </row>
    <row r="182" spans="1:41" s="201" customFormat="1" ht="12.75" hidden="1">
      <c r="A182" s="249" t="s">
        <v>222</v>
      </c>
      <c r="B182" s="250" t="s">
        <v>232</v>
      </c>
      <c r="C182" s="253"/>
      <c r="D182" s="252">
        <v>159717</v>
      </c>
      <c r="E182" s="252">
        <v>3</v>
      </c>
      <c r="F182" s="390">
        <v>8345</v>
      </c>
      <c r="G182" s="391">
        <v>8665</v>
      </c>
      <c r="H182" s="390">
        <v>19420</v>
      </c>
      <c r="I182" s="391">
        <v>19740</v>
      </c>
      <c r="J182" s="390">
        <v>8502</v>
      </c>
      <c r="K182" s="391">
        <v>8822</v>
      </c>
      <c r="L182" s="390">
        <v>19577</v>
      </c>
      <c r="M182" s="391">
        <v>19897</v>
      </c>
      <c r="N182" s="390"/>
      <c r="O182" s="391"/>
      <c r="P182" s="390"/>
      <c r="Q182" s="391"/>
      <c r="R182" s="390"/>
      <c r="S182" s="391"/>
      <c r="T182" s="390"/>
      <c r="U182" s="391"/>
      <c r="V182" s="390"/>
      <c r="W182" s="391"/>
      <c r="X182" s="390"/>
      <c r="Y182" s="391"/>
      <c r="Z182" s="390"/>
      <c r="AA182" s="391"/>
      <c r="AB182" s="390"/>
      <c r="AC182" s="391"/>
      <c r="AD182" s="390"/>
      <c r="AE182" s="391"/>
      <c r="AF182" s="390"/>
      <c r="AG182" s="391"/>
      <c r="AH182" s="390"/>
      <c r="AI182" s="391"/>
      <c r="AJ182" s="390"/>
      <c r="AK182" s="391"/>
      <c r="AL182" s="390"/>
      <c r="AM182" s="391"/>
      <c r="AN182" s="390"/>
      <c r="AO182" s="391"/>
    </row>
    <row r="183" spans="1:41" s="201" customFormat="1" ht="12.75" hidden="1">
      <c r="A183" s="249" t="s">
        <v>222</v>
      </c>
      <c r="B183" s="250" t="s">
        <v>227</v>
      </c>
      <c r="C183" s="251"/>
      <c r="D183" s="252">
        <v>160612</v>
      </c>
      <c r="E183" s="252">
        <v>3</v>
      </c>
      <c r="F183" s="390">
        <v>8494</v>
      </c>
      <c r="G183" s="391">
        <v>8454</v>
      </c>
      <c r="H183" s="390">
        <v>20972</v>
      </c>
      <c r="I183" s="391">
        <v>20932</v>
      </c>
      <c r="J183" s="390">
        <v>9002</v>
      </c>
      <c r="K183" s="391">
        <v>8962</v>
      </c>
      <c r="L183" s="390">
        <v>21480</v>
      </c>
      <c r="M183" s="391">
        <v>21440</v>
      </c>
      <c r="N183" s="390"/>
      <c r="O183" s="391"/>
      <c r="P183" s="390"/>
      <c r="Q183" s="391"/>
      <c r="R183" s="390"/>
      <c r="S183" s="391"/>
      <c r="T183" s="390"/>
      <c r="U183" s="391"/>
      <c r="V183" s="390"/>
      <c r="W183" s="391"/>
      <c r="X183" s="390"/>
      <c r="Y183" s="391"/>
      <c r="Z183" s="390"/>
      <c r="AA183" s="391"/>
      <c r="AB183" s="390"/>
      <c r="AC183" s="391"/>
      <c r="AD183" s="390"/>
      <c r="AE183" s="391"/>
      <c r="AF183" s="390"/>
      <c r="AG183" s="391"/>
      <c r="AH183" s="390"/>
      <c r="AI183" s="391"/>
      <c r="AJ183" s="390"/>
      <c r="AK183" s="391"/>
      <c r="AL183" s="390"/>
      <c r="AM183" s="391"/>
      <c r="AN183" s="390"/>
      <c r="AO183" s="391"/>
    </row>
    <row r="184" spans="1:41" s="201" customFormat="1" ht="12.75" hidden="1">
      <c r="A184" s="249" t="s">
        <v>222</v>
      </c>
      <c r="B184" s="250" t="s">
        <v>228</v>
      </c>
      <c r="C184" s="251"/>
      <c r="D184" s="252">
        <v>160621</v>
      </c>
      <c r="E184" s="252">
        <v>3</v>
      </c>
      <c r="F184" s="390">
        <v>9136</v>
      </c>
      <c r="G184" s="391">
        <v>9236</v>
      </c>
      <c r="H184" s="390">
        <v>16486</v>
      </c>
      <c r="I184" s="391">
        <v>16586</v>
      </c>
      <c r="J184" s="390">
        <v>10516</v>
      </c>
      <c r="K184" s="391">
        <v>10616</v>
      </c>
      <c r="L184" s="390">
        <v>16962</v>
      </c>
      <c r="M184" s="391">
        <v>17062</v>
      </c>
      <c r="N184" s="390"/>
      <c r="O184" s="391"/>
      <c r="P184" s="390"/>
      <c r="Q184" s="391"/>
      <c r="R184" s="390"/>
      <c r="S184" s="391"/>
      <c r="T184" s="390"/>
      <c r="U184" s="391"/>
      <c r="V184" s="390"/>
      <c r="W184" s="391"/>
      <c r="X184" s="390"/>
      <c r="Y184" s="391"/>
      <c r="Z184" s="390"/>
      <c r="AA184" s="391"/>
      <c r="AB184" s="390"/>
      <c r="AC184" s="391"/>
      <c r="AD184" s="390"/>
      <c r="AE184" s="391"/>
      <c r="AF184" s="390"/>
      <c r="AG184" s="391"/>
      <c r="AH184" s="390"/>
      <c r="AI184" s="391"/>
      <c r="AJ184" s="390"/>
      <c r="AK184" s="391"/>
      <c r="AL184" s="390"/>
      <c r="AM184" s="391"/>
      <c r="AN184" s="390"/>
      <c r="AO184" s="391"/>
    </row>
    <row r="185" spans="1:41" s="201" customFormat="1" ht="12.75" hidden="1">
      <c r="A185" s="249" t="s">
        <v>222</v>
      </c>
      <c r="B185" s="250" t="s">
        <v>229</v>
      </c>
      <c r="C185" s="251"/>
      <c r="D185" s="252">
        <v>159993</v>
      </c>
      <c r="E185" s="252">
        <v>3</v>
      </c>
      <c r="F185" s="390">
        <v>9285</v>
      </c>
      <c r="G185" s="391">
        <v>9399</v>
      </c>
      <c r="H185" s="390">
        <v>21385</v>
      </c>
      <c r="I185" s="391">
        <v>21499</v>
      </c>
      <c r="J185" s="390">
        <v>9692</v>
      </c>
      <c r="K185" s="391">
        <v>9788</v>
      </c>
      <c r="L185" s="390">
        <v>21792</v>
      </c>
      <c r="M185" s="391">
        <v>21888</v>
      </c>
      <c r="N185" s="390"/>
      <c r="O185" s="391"/>
      <c r="P185" s="390"/>
      <c r="Q185" s="391"/>
      <c r="R185" s="390"/>
      <c r="S185" s="391"/>
      <c r="T185" s="390"/>
      <c r="U185" s="391"/>
      <c r="V185" s="390"/>
      <c r="W185" s="391"/>
      <c r="X185" s="390"/>
      <c r="Y185" s="391"/>
      <c r="Z185" s="390">
        <v>24379</v>
      </c>
      <c r="AA185" s="391">
        <v>24493</v>
      </c>
      <c r="AB185" s="390">
        <v>44635</v>
      </c>
      <c r="AC185" s="391">
        <v>44749</v>
      </c>
      <c r="AD185" s="390"/>
      <c r="AE185" s="391"/>
      <c r="AF185" s="390"/>
      <c r="AG185" s="391"/>
      <c r="AH185" s="390"/>
      <c r="AI185" s="391"/>
      <c r="AJ185" s="390"/>
      <c r="AK185" s="391"/>
      <c r="AL185" s="390"/>
      <c r="AM185" s="391"/>
      <c r="AN185" s="390"/>
      <c r="AO185" s="391"/>
    </row>
    <row r="186" spans="1:41" s="201" customFormat="1" ht="12.75" hidden="1">
      <c r="A186" s="249" t="s">
        <v>222</v>
      </c>
      <c r="B186" s="250" t="s">
        <v>230</v>
      </c>
      <c r="C186" s="251"/>
      <c r="D186" s="252">
        <v>159009</v>
      </c>
      <c r="E186" s="252">
        <v>4</v>
      </c>
      <c r="F186" s="390">
        <v>7683</v>
      </c>
      <c r="G186" s="391">
        <v>7635</v>
      </c>
      <c r="H186" s="390">
        <v>16706</v>
      </c>
      <c r="I186" s="391">
        <v>16658</v>
      </c>
      <c r="J186" s="390">
        <v>7623</v>
      </c>
      <c r="K186" s="391">
        <v>7575</v>
      </c>
      <c r="L186" s="390">
        <v>16646</v>
      </c>
      <c r="M186" s="391">
        <v>16598</v>
      </c>
      <c r="N186" s="390"/>
      <c r="O186" s="391"/>
      <c r="P186" s="390"/>
      <c r="Q186" s="391"/>
      <c r="R186" s="390"/>
      <c r="S186" s="391"/>
      <c r="T186" s="390"/>
      <c r="U186" s="391"/>
      <c r="V186" s="390"/>
      <c r="W186" s="391"/>
      <c r="X186" s="390"/>
      <c r="Y186" s="391"/>
      <c r="Z186" s="390"/>
      <c r="AA186" s="391"/>
      <c r="AB186" s="390"/>
      <c r="AC186" s="391"/>
      <c r="AD186" s="390"/>
      <c r="AE186" s="391"/>
      <c r="AF186" s="390"/>
      <c r="AG186" s="391"/>
      <c r="AH186" s="390"/>
      <c r="AI186" s="391"/>
      <c r="AJ186" s="390"/>
      <c r="AK186" s="391"/>
      <c r="AL186" s="390"/>
      <c r="AM186" s="391"/>
      <c r="AN186" s="390"/>
      <c r="AO186" s="391"/>
    </row>
    <row r="187" spans="1:41" s="201" customFormat="1" ht="12.75" hidden="1">
      <c r="A187" s="249" t="s">
        <v>222</v>
      </c>
      <c r="B187" s="250" t="s">
        <v>231</v>
      </c>
      <c r="C187" s="251"/>
      <c r="D187" s="252">
        <v>159416</v>
      </c>
      <c r="E187" s="252">
        <v>4</v>
      </c>
      <c r="F187" s="390">
        <v>7519.92</v>
      </c>
      <c r="G187" s="391">
        <v>7434.18</v>
      </c>
      <c r="H187" s="390">
        <v>20674.080000000002</v>
      </c>
      <c r="I187" s="391">
        <v>20588.34</v>
      </c>
      <c r="J187" s="390">
        <v>7414.68</v>
      </c>
      <c r="K187" s="391">
        <v>7687.65</v>
      </c>
      <c r="L187" s="390">
        <v>19911.900000000001</v>
      </c>
      <c r="M187" s="391">
        <v>20184.87</v>
      </c>
      <c r="N187" s="390"/>
      <c r="O187" s="391"/>
      <c r="P187" s="390"/>
      <c r="Q187" s="391"/>
      <c r="R187" s="390"/>
      <c r="S187" s="391"/>
      <c r="T187" s="390"/>
      <c r="U187" s="391"/>
      <c r="V187" s="390"/>
      <c r="W187" s="391"/>
      <c r="X187" s="390"/>
      <c r="Y187" s="391"/>
      <c r="Z187" s="390"/>
      <c r="AA187" s="391"/>
      <c r="AB187" s="390"/>
      <c r="AC187" s="391"/>
      <c r="AD187" s="390"/>
      <c r="AE187" s="391"/>
      <c r="AF187" s="390"/>
      <c r="AG187" s="391"/>
      <c r="AH187" s="390"/>
      <c r="AI187" s="391"/>
      <c r="AJ187" s="390"/>
      <c r="AK187" s="391"/>
      <c r="AL187" s="390"/>
      <c r="AM187" s="391"/>
      <c r="AN187" s="390"/>
      <c r="AO187" s="391"/>
    </row>
    <row r="188" spans="1:41" s="201" customFormat="1" ht="12.75" hidden="1">
      <c r="A188" s="249" t="s">
        <v>222</v>
      </c>
      <c r="B188" s="250" t="s">
        <v>233</v>
      </c>
      <c r="C188" s="251"/>
      <c r="D188" s="252">
        <v>159966</v>
      </c>
      <c r="E188" s="252">
        <v>4</v>
      </c>
      <c r="F188" s="390">
        <v>7927</v>
      </c>
      <c r="G188" s="391">
        <v>7975</v>
      </c>
      <c r="H188" s="390">
        <v>9020</v>
      </c>
      <c r="I188" s="391">
        <v>9068</v>
      </c>
      <c r="J188" s="390">
        <v>8533</v>
      </c>
      <c r="K188" s="391">
        <v>8581</v>
      </c>
      <c r="L188" s="390">
        <v>9626</v>
      </c>
      <c r="M188" s="391">
        <v>9674</v>
      </c>
      <c r="N188" s="390"/>
      <c r="O188" s="391"/>
      <c r="P188" s="390"/>
      <c r="Q188" s="391"/>
      <c r="R188" s="390"/>
      <c r="S188" s="391"/>
      <c r="T188" s="390"/>
      <c r="U188" s="391"/>
      <c r="V188" s="390"/>
      <c r="W188" s="391"/>
      <c r="X188" s="390"/>
      <c r="Y188" s="391"/>
      <c r="Z188" s="390"/>
      <c r="AA188" s="391"/>
      <c r="AB188" s="390"/>
      <c r="AC188" s="391"/>
      <c r="AD188" s="390"/>
      <c r="AE188" s="391"/>
      <c r="AF188" s="390"/>
      <c r="AG188" s="391"/>
      <c r="AH188" s="390"/>
      <c r="AI188" s="391"/>
      <c r="AJ188" s="390"/>
      <c r="AK188" s="391"/>
      <c r="AL188" s="390"/>
      <c r="AM188" s="391"/>
      <c r="AN188" s="390"/>
      <c r="AO188" s="391"/>
    </row>
    <row r="189" spans="1:41" s="201" customFormat="1" ht="12.75" hidden="1">
      <c r="A189" s="249" t="s">
        <v>222</v>
      </c>
      <c r="B189" s="250" t="s">
        <v>234</v>
      </c>
      <c r="C189" s="251"/>
      <c r="D189" s="252">
        <v>160038</v>
      </c>
      <c r="E189" s="252">
        <v>4</v>
      </c>
      <c r="F189" s="390">
        <v>8798</v>
      </c>
      <c r="G189" s="391">
        <v>8702</v>
      </c>
      <c r="H189" s="390">
        <v>19586</v>
      </c>
      <c r="I189" s="391">
        <v>19490</v>
      </c>
      <c r="J189" s="390">
        <v>9860</v>
      </c>
      <c r="K189" s="391">
        <v>9764</v>
      </c>
      <c r="L189" s="390">
        <v>20648</v>
      </c>
      <c r="M189" s="391">
        <v>20552</v>
      </c>
      <c r="N189" s="390"/>
      <c r="O189" s="391"/>
      <c r="P189" s="390"/>
      <c r="Q189" s="391"/>
      <c r="R189" s="390"/>
      <c r="S189" s="391"/>
      <c r="T189" s="390"/>
      <c r="U189" s="391"/>
      <c r="V189" s="390"/>
      <c r="W189" s="391"/>
      <c r="X189" s="390"/>
      <c r="Y189" s="391"/>
      <c r="Z189" s="390"/>
      <c r="AA189" s="391"/>
      <c r="AB189" s="390"/>
      <c r="AC189" s="391"/>
      <c r="AD189" s="390"/>
      <c r="AE189" s="391"/>
      <c r="AF189" s="390"/>
      <c r="AG189" s="391"/>
      <c r="AH189" s="390"/>
      <c r="AI189" s="391"/>
      <c r="AJ189" s="390"/>
      <c r="AK189" s="391"/>
      <c r="AL189" s="390"/>
      <c r="AM189" s="391"/>
      <c r="AN189" s="390"/>
      <c r="AO189" s="391"/>
    </row>
    <row r="190" spans="1:41" s="201" customFormat="1" ht="12.75" hidden="1">
      <c r="A190" s="252" t="s">
        <v>222</v>
      </c>
      <c r="B190" s="250" t="s">
        <v>235</v>
      </c>
      <c r="C190" s="253"/>
      <c r="D190" s="252">
        <v>160630</v>
      </c>
      <c r="E190" s="252">
        <v>5</v>
      </c>
      <c r="F190" s="390">
        <v>7397.34</v>
      </c>
      <c r="G190" s="391">
        <v>7287.3339999999998</v>
      </c>
      <c r="H190" s="390">
        <v>16298.34</v>
      </c>
      <c r="I190" s="391">
        <v>16188.34</v>
      </c>
      <c r="J190" s="390">
        <v>9230.34</v>
      </c>
      <c r="K190" s="391">
        <v>9120.34</v>
      </c>
      <c r="L190" s="390">
        <v>16172.34</v>
      </c>
      <c r="M190" s="391">
        <v>16062.34</v>
      </c>
      <c r="N190" s="390"/>
      <c r="O190" s="391"/>
      <c r="P190" s="390"/>
      <c r="Q190" s="391"/>
      <c r="R190" s="390"/>
      <c r="S190" s="391"/>
      <c r="T190" s="390"/>
      <c r="U190" s="391"/>
      <c r="V190" s="390"/>
      <c r="W190" s="391"/>
      <c r="X190" s="390"/>
      <c r="Y190" s="391"/>
      <c r="Z190" s="390"/>
      <c r="AA190" s="391"/>
      <c r="AB190" s="390"/>
      <c r="AC190" s="391"/>
      <c r="AD190" s="390"/>
      <c r="AE190" s="391"/>
      <c r="AF190" s="390"/>
      <c r="AG190" s="391"/>
      <c r="AH190" s="390"/>
      <c r="AI190" s="391"/>
      <c r="AJ190" s="390"/>
      <c r="AK190" s="391"/>
      <c r="AL190" s="390"/>
      <c r="AM190" s="391"/>
      <c r="AN190" s="390"/>
      <c r="AO190" s="391"/>
    </row>
    <row r="191" spans="1:41" s="201" customFormat="1" ht="12.75">
      <c r="A191" s="249" t="s">
        <v>222</v>
      </c>
      <c r="B191" s="250" t="s">
        <v>236</v>
      </c>
      <c r="C191" s="253"/>
      <c r="D191" s="252">
        <v>159382</v>
      </c>
      <c r="E191" s="252">
        <v>6</v>
      </c>
      <c r="F191" s="390">
        <v>6962.9</v>
      </c>
      <c r="G191" s="391">
        <v>6910.1</v>
      </c>
      <c r="H191" s="390">
        <v>14228.9</v>
      </c>
      <c r="I191" s="391">
        <v>14175.86</v>
      </c>
      <c r="J191" s="390"/>
      <c r="K191" s="391"/>
      <c r="L191" s="390"/>
      <c r="M191" s="391"/>
      <c r="N191" s="390"/>
      <c r="O191" s="391"/>
      <c r="P191" s="390"/>
      <c r="Q191" s="391"/>
      <c r="R191" s="390"/>
      <c r="S191" s="391"/>
      <c r="T191" s="390"/>
      <c r="U191" s="391"/>
      <c r="V191" s="390"/>
      <c r="W191" s="391"/>
      <c r="X191" s="390"/>
      <c r="Y191" s="391"/>
      <c r="Z191" s="390"/>
      <c r="AA191" s="391"/>
      <c r="AB191" s="390"/>
      <c r="AC191" s="391"/>
      <c r="AD191" s="390"/>
      <c r="AE191" s="391"/>
      <c r="AF191" s="390"/>
      <c r="AG191" s="391"/>
      <c r="AH191" s="390"/>
      <c r="AI191" s="391"/>
      <c r="AJ191" s="390"/>
      <c r="AK191" s="391"/>
      <c r="AL191" s="390"/>
      <c r="AM191" s="391"/>
      <c r="AN191" s="390"/>
      <c r="AO191" s="391"/>
    </row>
    <row r="192" spans="1:41" s="201" customFormat="1" ht="12.75" hidden="1">
      <c r="A192" s="249" t="s">
        <v>222</v>
      </c>
      <c r="B192" s="250" t="s">
        <v>237</v>
      </c>
      <c r="C192" s="251"/>
      <c r="D192" s="252">
        <v>437103</v>
      </c>
      <c r="E192" s="252">
        <v>8</v>
      </c>
      <c r="F192" s="390">
        <v>4221.3599999999997</v>
      </c>
      <c r="G192" s="391">
        <v>4221.3599999999997</v>
      </c>
      <c r="H192" s="390">
        <v>8299.2000000000007</v>
      </c>
      <c r="I192" s="391">
        <v>4221.3599999999997</v>
      </c>
      <c r="J192" s="390"/>
      <c r="K192" s="391"/>
      <c r="L192" s="390"/>
      <c r="M192" s="391"/>
      <c r="N192" s="390"/>
      <c r="O192" s="391"/>
      <c r="P192" s="390"/>
      <c r="Q192" s="391"/>
      <c r="R192" s="390"/>
      <c r="S192" s="391"/>
      <c r="T192" s="390"/>
      <c r="U192" s="391"/>
      <c r="V192" s="390"/>
      <c r="W192" s="391"/>
      <c r="X192" s="390"/>
      <c r="Y192" s="391"/>
      <c r="Z192" s="390"/>
      <c r="AA192" s="391"/>
      <c r="AB192" s="390"/>
      <c r="AC192" s="391"/>
      <c r="AD192" s="390"/>
      <c r="AE192" s="391"/>
      <c r="AF192" s="390"/>
      <c r="AG192" s="391"/>
      <c r="AH192" s="390"/>
      <c r="AI192" s="391"/>
      <c r="AJ192" s="390"/>
      <c r="AK192" s="391"/>
      <c r="AL192" s="390"/>
      <c r="AM192" s="391"/>
      <c r="AN192" s="390"/>
      <c r="AO192" s="391"/>
    </row>
    <row r="193" spans="1:41" s="201" customFormat="1" ht="12.75" hidden="1">
      <c r="A193" s="249" t="s">
        <v>222</v>
      </c>
      <c r="B193" s="250" t="s">
        <v>239</v>
      </c>
      <c r="C193" s="251"/>
      <c r="D193" s="252">
        <v>158662</v>
      </c>
      <c r="E193" s="252">
        <v>8</v>
      </c>
      <c r="F193" s="390">
        <v>4279.04</v>
      </c>
      <c r="G193" s="391">
        <v>4279.04</v>
      </c>
      <c r="H193" s="390">
        <v>8567.84</v>
      </c>
      <c r="I193" s="391">
        <v>4279.04</v>
      </c>
      <c r="J193" s="390"/>
      <c r="K193" s="391"/>
      <c r="L193" s="390"/>
      <c r="M193" s="391"/>
      <c r="N193" s="390"/>
      <c r="O193" s="391"/>
      <c r="P193" s="390"/>
      <c r="Q193" s="391"/>
      <c r="R193" s="390"/>
      <c r="S193" s="391"/>
      <c r="T193" s="390"/>
      <c r="U193" s="391"/>
      <c r="V193" s="390"/>
      <c r="W193" s="391"/>
      <c r="X193" s="390"/>
      <c r="Y193" s="391"/>
      <c r="Z193" s="390"/>
      <c r="AA193" s="391"/>
      <c r="AB193" s="390"/>
      <c r="AC193" s="391"/>
      <c r="AD193" s="390"/>
      <c r="AE193" s="391"/>
      <c r="AF193" s="390"/>
      <c r="AG193" s="391"/>
      <c r="AH193" s="390"/>
      <c r="AI193" s="391"/>
      <c r="AJ193" s="390"/>
      <c r="AK193" s="391"/>
      <c r="AL193" s="390"/>
      <c r="AM193" s="391"/>
      <c r="AN193" s="390"/>
      <c r="AO193" s="391"/>
    </row>
    <row r="194" spans="1:41" s="201" customFormat="1" ht="12.75" hidden="1">
      <c r="A194" s="249" t="s">
        <v>222</v>
      </c>
      <c r="B194" s="250" t="s">
        <v>238</v>
      </c>
      <c r="C194" s="251"/>
      <c r="D194" s="252">
        <v>158431</v>
      </c>
      <c r="E194" s="252">
        <v>9</v>
      </c>
      <c r="F194" s="390">
        <v>4283.04</v>
      </c>
      <c r="G194" s="391">
        <v>4283.04</v>
      </c>
      <c r="H194" s="390">
        <v>8960.0400000000009</v>
      </c>
      <c r="I194" s="391">
        <v>4283.04</v>
      </c>
      <c r="J194" s="390"/>
      <c r="K194" s="391"/>
      <c r="L194" s="390"/>
      <c r="M194" s="391"/>
      <c r="N194" s="390"/>
      <c r="O194" s="391"/>
      <c r="P194" s="390"/>
      <c r="Q194" s="391"/>
      <c r="R194" s="390"/>
      <c r="S194" s="391"/>
      <c r="T194" s="390"/>
      <c r="U194" s="391"/>
      <c r="V194" s="390"/>
      <c r="W194" s="391"/>
      <c r="X194" s="390"/>
      <c r="Y194" s="391"/>
      <c r="Z194" s="390"/>
      <c r="AA194" s="391"/>
      <c r="AB194" s="390"/>
      <c r="AC194" s="391"/>
      <c r="AD194" s="390"/>
      <c r="AE194" s="391"/>
      <c r="AF194" s="390"/>
      <c r="AG194" s="391"/>
      <c r="AH194" s="390"/>
      <c r="AI194" s="391"/>
      <c r="AJ194" s="390"/>
      <c r="AK194" s="391"/>
      <c r="AL194" s="390"/>
      <c r="AM194" s="391"/>
      <c r="AN194" s="390"/>
      <c r="AO194" s="391"/>
    </row>
    <row r="195" spans="1:41" s="201" customFormat="1" ht="12.75" hidden="1">
      <c r="A195" s="249" t="s">
        <v>222</v>
      </c>
      <c r="B195" s="250" t="s">
        <v>240</v>
      </c>
      <c r="C195" s="253"/>
      <c r="D195" s="252">
        <v>483212</v>
      </c>
      <c r="E195" s="252">
        <v>9</v>
      </c>
      <c r="F195" s="390">
        <v>4159.04</v>
      </c>
      <c r="G195" s="391">
        <v>4159.04</v>
      </c>
      <c r="H195" s="390">
        <v>7611.04</v>
      </c>
      <c r="I195" s="391">
        <v>4159.04</v>
      </c>
      <c r="J195" s="390"/>
      <c r="K195" s="391"/>
      <c r="L195" s="390"/>
      <c r="M195" s="391"/>
      <c r="N195" s="390"/>
      <c r="O195" s="391"/>
      <c r="P195" s="390"/>
      <c r="Q195" s="391"/>
      <c r="R195" s="390"/>
      <c r="S195" s="391"/>
      <c r="T195" s="390"/>
      <c r="U195" s="391"/>
      <c r="V195" s="390"/>
      <c r="W195" s="391"/>
      <c r="X195" s="390"/>
      <c r="Y195" s="391"/>
      <c r="Z195" s="390"/>
      <c r="AA195" s="391"/>
      <c r="AB195" s="390"/>
      <c r="AC195" s="391"/>
      <c r="AD195" s="390"/>
      <c r="AE195" s="391"/>
      <c r="AF195" s="390"/>
      <c r="AG195" s="391"/>
      <c r="AH195" s="390"/>
      <c r="AI195" s="391"/>
      <c r="AJ195" s="390"/>
      <c r="AK195" s="391"/>
      <c r="AL195" s="390"/>
      <c r="AM195" s="391"/>
      <c r="AN195" s="390"/>
      <c r="AO195" s="391"/>
    </row>
    <row r="196" spans="1:41" s="201" customFormat="1" ht="12.75" hidden="1">
      <c r="A196" s="249" t="s">
        <v>222</v>
      </c>
      <c r="B196" s="250" t="s">
        <v>241</v>
      </c>
      <c r="C196" s="251"/>
      <c r="D196" s="252">
        <v>434061</v>
      </c>
      <c r="E196" s="252">
        <v>9</v>
      </c>
      <c r="F196" s="390">
        <v>4205.04</v>
      </c>
      <c r="G196" s="391">
        <v>4205.04</v>
      </c>
      <c r="H196" s="390">
        <v>7809.82</v>
      </c>
      <c r="I196" s="391">
        <v>4205.04</v>
      </c>
      <c r="J196" s="390"/>
      <c r="K196" s="391"/>
      <c r="L196" s="390"/>
      <c r="M196" s="391"/>
      <c r="N196" s="390"/>
      <c r="O196" s="391"/>
      <c r="P196" s="390"/>
      <c r="Q196" s="391"/>
      <c r="R196" s="390"/>
      <c r="S196" s="391"/>
      <c r="T196" s="390"/>
      <c r="U196" s="391"/>
      <c r="V196" s="390"/>
      <c r="W196" s="391"/>
      <c r="X196" s="390"/>
      <c r="Y196" s="391"/>
      <c r="Z196" s="390"/>
      <c r="AA196" s="391"/>
      <c r="AB196" s="390"/>
      <c r="AC196" s="391"/>
      <c r="AD196" s="390"/>
      <c r="AE196" s="391"/>
      <c r="AF196" s="390"/>
      <c r="AG196" s="391"/>
      <c r="AH196" s="390"/>
      <c r="AI196" s="391"/>
      <c r="AJ196" s="390"/>
      <c r="AK196" s="391"/>
      <c r="AL196" s="390"/>
      <c r="AM196" s="391"/>
      <c r="AN196" s="390"/>
      <c r="AO196" s="391"/>
    </row>
    <row r="197" spans="1:41" s="201" customFormat="1" ht="12.75" hidden="1">
      <c r="A197" s="249" t="s">
        <v>222</v>
      </c>
      <c r="B197" s="250" t="s">
        <v>242</v>
      </c>
      <c r="C197" s="253"/>
      <c r="D197" s="252">
        <v>160649</v>
      </c>
      <c r="E197" s="252">
        <v>9</v>
      </c>
      <c r="F197" s="390">
        <v>4379.5</v>
      </c>
      <c r="G197" s="391">
        <v>4379.5</v>
      </c>
      <c r="H197" s="390">
        <v>7679.5</v>
      </c>
      <c r="I197" s="391">
        <v>7679.5</v>
      </c>
      <c r="J197" s="390"/>
      <c r="K197" s="391"/>
      <c r="L197" s="390"/>
      <c r="M197" s="391"/>
      <c r="N197" s="390"/>
      <c r="O197" s="391"/>
      <c r="P197" s="390"/>
      <c r="Q197" s="391"/>
      <c r="R197" s="390"/>
      <c r="S197" s="391"/>
      <c r="T197" s="390"/>
      <c r="U197" s="391"/>
      <c r="V197" s="390"/>
      <c r="W197" s="391"/>
      <c r="X197" s="390"/>
      <c r="Y197" s="391"/>
      <c r="Z197" s="390"/>
      <c r="AA197" s="391"/>
      <c r="AB197" s="390"/>
      <c r="AC197" s="391"/>
      <c r="AD197" s="390"/>
      <c r="AE197" s="391"/>
      <c r="AF197" s="390"/>
      <c r="AG197" s="391"/>
      <c r="AH197" s="390"/>
      <c r="AI197" s="391"/>
      <c r="AJ197" s="390"/>
      <c r="AK197" s="391"/>
      <c r="AL197" s="390"/>
      <c r="AM197" s="391"/>
      <c r="AN197" s="390"/>
      <c r="AO197" s="391"/>
    </row>
    <row r="198" spans="1:41" s="201" customFormat="1" ht="12.75" hidden="1">
      <c r="A198" s="249" t="s">
        <v>222</v>
      </c>
      <c r="B198" s="250" t="s">
        <v>243</v>
      </c>
      <c r="C198" s="359" t="s">
        <v>897</v>
      </c>
      <c r="D198" s="360">
        <v>159407</v>
      </c>
      <c r="E198" s="361">
        <v>9</v>
      </c>
      <c r="F198" s="390">
        <v>4778</v>
      </c>
      <c r="G198" s="391">
        <v>4779</v>
      </c>
      <c r="H198" s="390">
        <v>10142</v>
      </c>
      <c r="I198" s="391">
        <v>10143</v>
      </c>
      <c r="J198" s="390"/>
      <c r="K198" s="391"/>
      <c r="L198" s="390"/>
      <c r="M198" s="391"/>
      <c r="N198" s="390"/>
      <c r="O198" s="391"/>
      <c r="P198" s="390"/>
      <c r="Q198" s="391"/>
      <c r="R198" s="390"/>
      <c r="S198" s="391"/>
      <c r="T198" s="390"/>
      <c r="U198" s="391"/>
      <c r="V198" s="390"/>
      <c r="W198" s="391"/>
      <c r="X198" s="390"/>
      <c r="Y198" s="391"/>
      <c r="Z198" s="390"/>
      <c r="AA198" s="391"/>
      <c r="AB198" s="390"/>
      <c r="AC198" s="391"/>
      <c r="AD198" s="390"/>
      <c r="AE198" s="391"/>
      <c r="AF198" s="390"/>
      <c r="AG198" s="391"/>
      <c r="AH198" s="390"/>
      <c r="AI198" s="391"/>
      <c r="AJ198" s="390"/>
      <c r="AK198" s="391"/>
      <c r="AL198" s="390"/>
      <c r="AM198" s="391"/>
      <c r="AN198" s="390"/>
      <c r="AO198" s="391"/>
    </row>
    <row r="199" spans="1:41" s="201" customFormat="1" ht="12.75" hidden="1">
      <c r="A199" s="249" t="s">
        <v>222</v>
      </c>
      <c r="B199" s="250" t="s">
        <v>244</v>
      </c>
      <c r="C199" s="251"/>
      <c r="D199" s="252">
        <v>158884</v>
      </c>
      <c r="E199" s="252">
        <v>10</v>
      </c>
      <c r="F199" s="390">
        <v>4246.87</v>
      </c>
      <c r="G199" s="391">
        <v>4327.04</v>
      </c>
      <c r="H199" s="390">
        <v>7745.83</v>
      </c>
      <c r="I199" s="391">
        <v>4327.04</v>
      </c>
      <c r="J199" s="390"/>
      <c r="K199" s="391"/>
      <c r="L199" s="390"/>
      <c r="M199" s="391"/>
      <c r="N199" s="390"/>
      <c r="O199" s="391"/>
      <c r="P199" s="390"/>
      <c r="Q199" s="391"/>
      <c r="R199" s="390"/>
      <c r="S199" s="391"/>
      <c r="T199" s="390"/>
      <c r="U199" s="391"/>
      <c r="V199" s="390"/>
      <c r="W199" s="391"/>
      <c r="X199" s="390"/>
      <c r="Y199" s="391"/>
      <c r="Z199" s="390"/>
      <c r="AA199" s="391"/>
      <c r="AB199" s="390"/>
      <c r="AC199" s="391"/>
      <c r="AD199" s="390"/>
      <c r="AE199" s="391"/>
      <c r="AF199" s="390"/>
      <c r="AG199" s="391"/>
      <c r="AH199" s="390"/>
      <c r="AI199" s="391"/>
      <c r="AJ199" s="390"/>
      <c r="AK199" s="391"/>
      <c r="AL199" s="390"/>
      <c r="AM199" s="391"/>
      <c r="AN199" s="390"/>
      <c r="AO199" s="391"/>
    </row>
    <row r="200" spans="1:41" s="201" customFormat="1" ht="12.75" hidden="1">
      <c r="A200" s="252" t="s">
        <v>222</v>
      </c>
      <c r="B200" s="250" t="s">
        <v>245</v>
      </c>
      <c r="C200" s="251" t="s">
        <v>627</v>
      </c>
      <c r="D200" s="252">
        <v>436304</v>
      </c>
      <c r="E200" s="252">
        <v>10</v>
      </c>
      <c r="F200" s="390">
        <v>4109.04</v>
      </c>
      <c r="G200" s="391">
        <v>4109.04</v>
      </c>
      <c r="H200" s="390">
        <v>8153.04</v>
      </c>
      <c r="I200" s="391">
        <v>4109.04</v>
      </c>
      <c r="J200" s="390"/>
      <c r="K200" s="391"/>
      <c r="L200" s="390"/>
      <c r="M200" s="391"/>
      <c r="N200" s="390"/>
      <c r="O200" s="391"/>
      <c r="P200" s="390"/>
      <c r="Q200" s="391"/>
      <c r="R200" s="390"/>
      <c r="S200" s="391"/>
      <c r="T200" s="390"/>
      <c r="U200" s="391"/>
      <c r="V200" s="390"/>
      <c r="W200" s="391"/>
      <c r="X200" s="390"/>
      <c r="Y200" s="391"/>
      <c r="Z200" s="390"/>
      <c r="AA200" s="391"/>
      <c r="AB200" s="390"/>
      <c r="AC200" s="391"/>
      <c r="AD200" s="390"/>
      <c r="AE200" s="391"/>
      <c r="AF200" s="390"/>
      <c r="AG200" s="391"/>
      <c r="AH200" s="390"/>
      <c r="AI200" s="391"/>
      <c r="AJ200" s="390"/>
      <c r="AK200" s="391"/>
      <c r="AL200" s="390"/>
      <c r="AM200" s="391"/>
      <c r="AN200" s="390"/>
      <c r="AO200" s="391"/>
    </row>
    <row r="201" spans="1:41" s="201" customFormat="1" ht="12.75" hidden="1">
      <c r="A201" s="252" t="s">
        <v>222</v>
      </c>
      <c r="B201" s="250" t="s">
        <v>622</v>
      </c>
      <c r="C201" s="251"/>
      <c r="D201" s="252">
        <v>158088</v>
      </c>
      <c r="E201" s="252">
        <v>12</v>
      </c>
      <c r="F201" s="390">
        <v>4109.04</v>
      </c>
      <c r="G201" s="391">
        <v>4109.04</v>
      </c>
      <c r="H201" s="390">
        <v>8218.08</v>
      </c>
      <c r="I201" s="391">
        <v>4109.04</v>
      </c>
      <c r="J201" s="390"/>
      <c r="K201" s="391"/>
      <c r="L201" s="390"/>
      <c r="M201" s="391"/>
      <c r="N201" s="390"/>
      <c r="O201" s="391"/>
      <c r="P201" s="390"/>
      <c r="Q201" s="391"/>
      <c r="R201" s="390"/>
      <c r="S201" s="391"/>
      <c r="T201" s="390"/>
      <c r="U201" s="391"/>
      <c r="V201" s="390"/>
      <c r="W201" s="391"/>
      <c r="X201" s="390"/>
      <c r="Y201" s="391"/>
      <c r="Z201" s="390"/>
      <c r="AA201" s="391"/>
      <c r="AB201" s="390"/>
      <c r="AC201" s="391"/>
      <c r="AD201" s="390"/>
      <c r="AE201" s="391"/>
      <c r="AF201" s="390"/>
      <c r="AG201" s="391"/>
      <c r="AH201" s="390"/>
      <c r="AI201" s="391"/>
      <c r="AJ201" s="390"/>
      <c r="AK201" s="391"/>
      <c r="AL201" s="390"/>
      <c r="AM201" s="391"/>
      <c r="AN201" s="390"/>
      <c r="AO201" s="391"/>
    </row>
    <row r="202" spans="1:41" s="201" customFormat="1" ht="12.75" hidden="1">
      <c r="A202" s="252" t="s">
        <v>222</v>
      </c>
      <c r="B202" s="250" t="s">
        <v>246</v>
      </c>
      <c r="C202" s="253"/>
      <c r="D202" s="252">
        <v>160481</v>
      </c>
      <c r="E202" s="252">
        <v>12</v>
      </c>
      <c r="F202" s="390">
        <v>4119.04</v>
      </c>
      <c r="G202" s="391">
        <v>4119.04</v>
      </c>
      <c r="H202" s="390">
        <v>7474</v>
      </c>
      <c r="I202" s="391">
        <v>4119.04</v>
      </c>
      <c r="J202" s="390"/>
      <c r="K202" s="391"/>
      <c r="L202" s="390"/>
      <c r="M202" s="391"/>
      <c r="N202" s="390"/>
      <c r="O202" s="391"/>
      <c r="P202" s="390"/>
      <c r="Q202" s="391"/>
      <c r="R202" s="390"/>
      <c r="S202" s="391"/>
      <c r="T202" s="390"/>
      <c r="U202" s="391"/>
      <c r="V202" s="390"/>
      <c r="W202" s="391"/>
      <c r="X202" s="390"/>
      <c r="Y202" s="391"/>
      <c r="Z202" s="390"/>
      <c r="AA202" s="391"/>
      <c r="AB202" s="390"/>
      <c r="AC202" s="391"/>
      <c r="AD202" s="390"/>
      <c r="AE202" s="391"/>
      <c r="AF202" s="390"/>
      <c r="AG202" s="391"/>
      <c r="AH202" s="390"/>
      <c r="AI202" s="391"/>
      <c r="AJ202" s="390"/>
      <c r="AK202" s="391"/>
      <c r="AL202" s="390"/>
      <c r="AM202" s="391"/>
      <c r="AN202" s="390"/>
      <c r="AO202" s="391"/>
    </row>
    <row r="203" spans="1:41" s="201" customFormat="1" ht="12.75" hidden="1">
      <c r="A203" s="252" t="s">
        <v>222</v>
      </c>
      <c r="B203" s="250" t="s">
        <v>247</v>
      </c>
      <c r="C203" s="251"/>
      <c r="D203" s="252">
        <v>160667</v>
      </c>
      <c r="E203" s="252">
        <v>12</v>
      </c>
      <c r="F203" s="390">
        <v>4103.04</v>
      </c>
      <c r="G203" s="391">
        <v>4103.04</v>
      </c>
      <c r="H203" s="390">
        <v>7611.84</v>
      </c>
      <c r="I203" s="391">
        <v>4103.04</v>
      </c>
      <c r="J203" s="390"/>
      <c r="K203" s="391"/>
      <c r="L203" s="390"/>
      <c r="M203" s="391"/>
      <c r="N203" s="390"/>
      <c r="O203" s="391"/>
      <c r="P203" s="390"/>
      <c r="Q203" s="391"/>
      <c r="R203" s="390"/>
      <c r="S203" s="391"/>
      <c r="T203" s="390"/>
      <c r="U203" s="391"/>
      <c r="V203" s="390"/>
      <c r="W203" s="391"/>
      <c r="X203" s="390"/>
      <c r="Y203" s="391"/>
      <c r="Z203" s="390"/>
      <c r="AA203" s="391"/>
      <c r="AB203" s="390"/>
      <c r="AC203" s="391"/>
      <c r="AD203" s="390"/>
      <c r="AE203" s="391"/>
      <c r="AF203" s="390"/>
      <c r="AG203" s="391"/>
      <c r="AH203" s="390"/>
      <c r="AI203" s="391"/>
      <c r="AJ203" s="390"/>
      <c r="AK203" s="391"/>
      <c r="AL203" s="390"/>
      <c r="AM203" s="391"/>
      <c r="AN203" s="390"/>
      <c r="AO203" s="391"/>
    </row>
    <row r="204" spans="1:41" s="201" customFormat="1" ht="12.75" hidden="1">
      <c r="A204" s="252" t="s">
        <v>222</v>
      </c>
      <c r="B204" s="250" t="s">
        <v>249</v>
      </c>
      <c r="C204" s="251"/>
      <c r="D204" s="252">
        <v>160579</v>
      </c>
      <c r="E204" s="252">
        <v>12</v>
      </c>
      <c r="F204" s="390">
        <v>4184.87</v>
      </c>
      <c r="G204" s="391">
        <v>4184.87</v>
      </c>
      <c r="H204" s="390">
        <v>7612.01</v>
      </c>
      <c r="I204" s="391">
        <v>4184.87</v>
      </c>
      <c r="J204" s="390"/>
      <c r="K204" s="391"/>
      <c r="L204" s="390"/>
      <c r="M204" s="391"/>
      <c r="N204" s="390"/>
      <c r="O204" s="391"/>
      <c r="P204" s="390"/>
      <c r="Q204" s="391"/>
      <c r="R204" s="390"/>
      <c r="S204" s="391"/>
      <c r="T204" s="390"/>
      <c r="U204" s="391"/>
      <c r="V204" s="390"/>
      <c r="W204" s="391"/>
      <c r="X204" s="390"/>
      <c r="Y204" s="391"/>
      <c r="Z204" s="390"/>
      <c r="AA204" s="391"/>
      <c r="AB204" s="390"/>
      <c r="AC204" s="391"/>
      <c r="AD204" s="390"/>
      <c r="AE204" s="391"/>
      <c r="AF204" s="390"/>
      <c r="AG204" s="391"/>
      <c r="AH204" s="390"/>
      <c r="AI204" s="391"/>
      <c r="AJ204" s="390"/>
      <c r="AK204" s="391"/>
      <c r="AL204" s="390"/>
      <c r="AM204" s="391"/>
      <c r="AN204" s="390"/>
      <c r="AO204" s="391"/>
    </row>
    <row r="205" spans="1:41" s="201" customFormat="1" ht="12.75" hidden="1">
      <c r="A205" s="252" t="s">
        <v>222</v>
      </c>
      <c r="B205" s="250" t="s">
        <v>248</v>
      </c>
      <c r="C205" s="251"/>
      <c r="D205" s="252">
        <v>160010</v>
      </c>
      <c r="E205" s="252">
        <v>13</v>
      </c>
      <c r="F205" s="390">
        <v>2976.4</v>
      </c>
      <c r="G205" s="391">
        <v>4109.3500000000004</v>
      </c>
      <c r="H205" s="390">
        <v>7602.4</v>
      </c>
      <c r="I205" s="391">
        <v>4109.3500000000004</v>
      </c>
      <c r="J205" s="390"/>
      <c r="K205" s="391"/>
      <c r="L205" s="390"/>
      <c r="M205" s="391"/>
      <c r="N205" s="390"/>
      <c r="O205" s="391"/>
      <c r="P205" s="390"/>
      <c r="Q205" s="391"/>
      <c r="R205" s="390"/>
      <c r="S205" s="391"/>
      <c r="T205" s="390"/>
      <c r="U205" s="391"/>
      <c r="V205" s="390"/>
      <c r="W205" s="391"/>
      <c r="X205" s="390"/>
      <c r="Y205" s="391"/>
      <c r="Z205" s="390"/>
      <c r="AA205" s="391"/>
      <c r="AB205" s="390"/>
      <c r="AC205" s="391"/>
      <c r="AD205" s="390"/>
      <c r="AE205" s="391"/>
      <c r="AF205" s="390"/>
      <c r="AG205" s="391"/>
      <c r="AH205" s="390"/>
      <c r="AI205" s="391"/>
      <c r="AJ205" s="390"/>
      <c r="AK205" s="391"/>
      <c r="AL205" s="390"/>
      <c r="AM205" s="391"/>
      <c r="AN205" s="390"/>
      <c r="AO205" s="391"/>
    </row>
    <row r="206" spans="1:41" s="201" customFormat="1" ht="12.75" hidden="1">
      <c r="A206" s="252" t="s">
        <v>222</v>
      </c>
      <c r="B206" s="250" t="s">
        <v>250</v>
      </c>
      <c r="C206" s="251"/>
      <c r="D206" s="252">
        <v>159373</v>
      </c>
      <c r="E206" s="252">
        <v>15</v>
      </c>
      <c r="F206" s="390"/>
      <c r="G206" s="391"/>
      <c r="H206" s="390"/>
      <c r="I206" s="391"/>
      <c r="J206" s="390"/>
      <c r="K206" s="391"/>
      <c r="L206" s="390"/>
      <c r="M206" s="391"/>
      <c r="N206" s="390"/>
      <c r="O206" s="391"/>
      <c r="P206" s="390"/>
      <c r="Q206" s="391"/>
      <c r="R206" s="390">
        <v>32936.949999999997</v>
      </c>
      <c r="S206" s="391">
        <v>32936.949999999997</v>
      </c>
      <c r="T206" s="390">
        <v>61114.29</v>
      </c>
      <c r="U206" s="391">
        <v>61114.29</v>
      </c>
      <c r="V206" s="390">
        <v>35141</v>
      </c>
      <c r="W206" s="391">
        <v>34403</v>
      </c>
      <c r="X206" s="390">
        <v>63869</v>
      </c>
      <c r="Y206" s="391">
        <v>63869</v>
      </c>
      <c r="Z206" s="390"/>
      <c r="AA206" s="391"/>
      <c r="AB206" s="390"/>
      <c r="AC206" s="391"/>
      <c r="AD206" s="390"/>
      <c r="AE206" s="391"/>
      <c r="AF206" s="390"/>
      <c r="AG206" s="391"/>
      <c r="AH206" s="390"/>
      <c r="AI206" s="391"/>
      <c r="AJ206" s="390"/>
      <c r="AK206" s="391"/>
      <c r="AL206" s="390"/>
      <c r="AM206" s="391"/>
      <c r="AN206" s="390"/>
      <c r="AO206" s="391"/>
    </row>
    <row r="207" spans="1:41" s="201" customFormat="1" ht="12.75" hidden="1">
      <c r="A207" s="252" t="s">
        <v>222</v>
      </c>
      <c r="B207" s="250" t="s">
        <v>251</v>
      </c>
      <c r="C207" s="251"/>
      <c r="D207" s="252">
        <v>435000</v>
      </c>
      <c r="E207" s="252">
        <v>15</v>
      </c>
      <c r="F207" s="390"/>
      <c r="G207" s="391"/>
      <c r="H207" s="390"/>
      <c r="I207" s="391"/>
      <c r="J207" s="390"/>
      <c r="K207" s="391"/>
      <c r="L207" s="390"/>
      <c r="M207" s="391"/>
      <c r="N207" s="390"/>
      <c r="O207" s="391"/>
      <c r="P207" s="390"/>
      <c r="Q207" s="391"/>
      <c r="R207" s="390">
        <v>29343</v>
      </c>
      <c r="S207" s="391">
        <v>29343.25</v>
      </c>
      <c r="T207" s="390">
        <v>61165</v>
      </c>
      <c r="U207" s="391">
        <v>61165.25</v>
      </c>
      <c r="V207" s="390"/>
      <c r="W207" s="391"/>
      <c r="X207" s="390"/>
      <c r="Y207" s="391"/>
      <c r="Z207" s="390"/>
      <c r="AA207" s="391"/>
      <c r="AB207" s="390"/>
      <c r="AC207" s="391"/>
      <c r="AD207" s="390"/>
      <c r="AE207" s="391"/>
      <c r="AF207" s="390"/>
      <c r="AG207" s="391"/>
      <c r="AH207" s="390"/>
      <c r="AI207" s="391"/>
      <c r="AJ207" s="390"/>
      <c r="AK207" s="391"/>
      <c r="AL207" s="390"/>
      <c r="AM207" s="391"/>
      <c r="AN207" s="390"/>
      <c r="AO207" s="391"/>
    </row>
    <row r="208" spans="1:41" s="201" customFormat="1" ht="12.75" hidden="1">
      <c r="A208" s="252" t="s">
        <v>222</v>
      </c>
      <c r="B208" s="254" t="s">
        <v>637</v>
      </c>
      <c r="C208" s="251"/>
      <c r="D208" s="255">
        <v>440916</v>
      </c>
      <c r="E208" s="252">
        <v>15</v>
      </c>
      <c r="F208" s="390"/>
      <c r="G208" s="391"/>
      <c r="H208" s="390"/>
      <c r="I208" s="391"/>
      <c r="J208" s="390"/>
      <c r="K208" s="391"/>
      <c r="L208" s="390"/>
      <c r="M208" s="391"/>
      <c r="N208" s="390">
        <v>17314</v>
      </c>
      <c r="O208" s="391">
        <v>17434</v>
      </c>
      <c r="P208" s="390">
        <v>29914</v>
      </c>
      <c r="Q208" s="391">
        <v>30034</v>
      </c>
      <c r="R208" s="390"/>
      <c r="S208" s="391"/>
      <c r="T208" s="390"/>
      <c r="U208" s="391"/>
      <c r="V208" s="390"/>
      <c r="W208" s="391"/>
      <c r="X208" s="390"/>
      <c r="Y208" s="391"/>
      <c r="Z208" s="390"/>
      <c r="AA208" s="391"/>
      <c r="AB208" s="390"/>
      <c r="AC208" s="391"/>
      <c r="AD208" s="390"/>
      <c r="AE208" s="391"/>
      <c r="AF208" s="390"/>
      <c r="AG208" s="391"/>
      <c r="AH208" s="390"/>
      <c r="AI208" s="391"/>
      <c r="AJ208" s="390"/>
      <c r="AK208" s="391"/>
      <c r="AL208" s="390"/>
      <c r="AM208" s="391"/>
      <c r="AN208" s="390"/>
      <c r="AO208" s="391"/>
    </row>
    <row r="209" spans="1:41" s="201" customFormat="1" ht="12.75" hidden="1">
      <c r="A209" s="256" t="s">
        <v>252</v>
      </c>
      <c r="B209" s="226" t="s">
        <v>268</v>
      </c>
      <c r="C209" s="228"/>
      <c r="D209" s="225">
        <v>161688</v>
      </c>
      <c r="E209" s="225">
        <v>10</v>
      </c>
      <c r="F209" s="390">
        <v>4800</v>
      </c>
      <c r="G209" s="391">
        <v>4920</v>
      </c>
      <c r="H209" s="390">
        <v>10170</v>
      </c>
      <c r="I209" s="391">
        <v>10470</v>
      </c>
      <c r="J209" s="390"/>
      <c r="K209" s="391"/>
      <c r="L209" s="390"/>
      <c r="M209" s="391"/>
      <c r="N209" s="390"/>
      <c r="O209" s="391"/>
      <c r="P209" s="390"/>
      <c r="Q209" s="391"/>
      <c r="R209" s="390"/>
      <c r="S209" s="391"/>
      <c r="T209" s="390"/>
      <c r="U209" s="391"/>
      <c r="V209" s="390"/>
      <c r="W209" s="391"/>
      <c r="X209" s="390"/>
      <c r="Y209" s="391"/>
      <c r="Z209" s="390"/>
      <c r="AA209" s="391"/>
      <c r="AB209" s="390"/>
      <c r="AC209" s="391"/>
      <c r="AD209" s="390"/>
      <c r="AE209" s="391"/>
      <c r="AF209" s="390"/>
      <c r="AG209" s="391"/>
      <c r="AH209" s="390"/>
      <c r="AI209" s="391"/>
      <c r="AJ209" s="390"/>
      <c r="AK209" s="391"/>
      <c r="AL209" s="390"/>
      <c r="AM209" s="391"/>
      <c r="AN209" s="390"/>
      <c r="AO209" s="391"/>
    </row>
    <row r="210" spans="1:41" s="201" customFormat="1" ht="12.75" hidden="1">
      <c r="A210" s="225" t="s">
        <v>252</v>
      </c>
      <c r="B210" s="226" t="s">
        <v>264</v>
      </c>
      <c r="C210" s="227"/>
      <c r="D210" s="225">
        <v>161767</v>
      </c>
      <c r="E210" s="225">
        <v>8</v>
      </c>
      <c r="F210" s="390">
        <v>4280</v>
      </c>
      <c r="G210" s="391">
        <v>4410</v>
      </c>
      <c r="H210" s="390">
        <v>12650</v>
      </c>
      <c r="I210" s="391">
        <v>13050</v>
      </c>
      <c r="J210" s="390"/>
      <c r="K210" s="391"/>
      <c r="L210" s="390"/>
      <c r="M210" s="391"/>
      <c r="N210" s="390"/>
      <c r="O210" s="391"/>
      <c r="P210" s="390"/>
      <c r="Q210" s="391"/>
      <c r="R210" s="390"/>
      <c r="S210" s="391"/>
      <c r="T210" s="390"/>
      <c r="U210" s="391"/>
      <c r="V210" s="390"/>
      <c r="W210" s="391"/>
      <c r="X210" s="390"/>
      <c r="Y210" s="391"/>
      <c r="Z210" s="390"/>
      <c r="AA210" s="391"/>
      <c r="AB210" s="390"/>
      <c r="AC210" s="391"/>
      <c r="AD210" s="390"/>
      <c r="AE210" s="391"/>
      <c r="AF210" s="390"/>
      <c r="AG210" s="391"/>
      <c r="AH210" s="390"/>
      <c r="AI210" s="391"/>
      <c r="AJ210" s="390"/>
      <c r="AK210" s="391"/>
      <c r="AL210" s="390"/>
      <c r="AM210" s="391"/>
      <c r="AN210" s="390"/>
      <c r="AO210" s="391"/>
    </row>
    <row r="211" spans="1:41" s="201" customFormat="1" ht="12.75" hidden="1">
      <c r="A211" s="225" t="s">
        <v>252</v>
      </c>
      <c r="B211" s="226" t="s">
        <v>269</v>
      </c>
      <c r="C211" s="227"/>
      <c r="D211" s="225">
        <v>161864</v>
      </c>
      <c r="E211" s="225">
        <v>9</v>
      </c>
      <c r="F211" s="390">
        <v>4205</v>
      </c>
      <c r="G211" s="391">
        <v>4380</v>
      </c>
      <c r="H211" s="390">
        <v>9305</v>
      </c>
      <c r="I211" s="391">
        <v>9480</v>
      </c>
      <c r="J211" s="390"/>
      <c r="K211" s="391"/>
      <c r="L211" s="390"/>
      <c r="M211" s="391"/>
      <c r="N211" s="390"/>
      <c r="O211" s="391"/>
      <c r="P211" s="390"/>
      <c r="Q211" s="391"/>
      <c r="R211" s="390"/>
      <c r="S211" s="391"/>
      <c r="T211" s="390"/>
      <c r="U211" s="391"/>
      <c r="V211" s="390"/>
      <c r="W211" s="391"/>
      <c r="X211" s="390"/>
      <c r="Y211" s="391"/>
      <c r="Z211" s="390"/>
      <c r="AA211" s="391"/>
      <c r="AB211" s="390"/>
      <c r="AC211" s="391"/>
      <c r="AD211" s="390"/>
      <c r="AE211" s="391"/>
      <c r="AF211" s="390"/>
      <c r="AG211" s="391"/>
      <c r="AH211" s="390"/>
      <c r="AI211" s="391"/>
      <c r="AJ211" s="390"/>
      <c r="AK211" s="391"/>
      <c r="AL211" s="390"/>
      <c r="AM211" s="391"/>
      <c r="AN211" s="390"/>
      <c r="AO211" s="391"/>
    </row>
    <row r="212" spans="1:41" s="201" customFormat="1" ht="12.75" hidden="1">
      <c r="A212" s="256" t="s">
        <v>252</v>
      </c>
      <c r="B212" s="226" t="s">
        <v>270</v>
      </c>
      <c r="C212" s="227" t="s">
        <v>638</v>
      </c>
      <c r="D212" s="225">
        <v>405872</v>
      </c>
      <c r="E212" s="225">
        <v>9</v>
      </c>
      <c r="F212" s="390">
        <v>4986</v>
      </c>
      <c r="G212" s="391">
        <v>5160</v>
      </c>
      <c r="H212" s="390">
        <v>10447</v>
      </c>
      <c r="I212" s="391">
        <v>10485</v>
      </c>
      <c r="J212" s="390"/>
      <c r="K212" s="391"/>
      <c r="L212" s="390"/>
      <c r="M212" s="391"/>
      <c r="N212" s="390"/>
      <c r="O212" s="391"/>
      <c r="P212" s="390"/>
      <c r="Q212" s="391"/>
      <c r="R212" s="390"/>
      <c r="S212" s="391"/>
      <c r="T212" s="390"/>
      <c r="U212" s="391"/>
      <c r="V212" s="390"/>
      <c r="W212" s="391"/>
      <c r="X212" s="390"/>
      <c r="Y212" s="391"/>
      <c r="Z212" s="390"/>
      <c r="AA212" s="391"/>
      <c r="AB212" s="390"/>
      <c r="AC212" s="391"/>
      <c r="AD212" s="390"/>
      <c r="AE212" s="391"/>
      <c r="AF212" s="390"/>
      <c r="AG212" s="391"/>
      <c r="AH212" s="390"/>
      <c r="AI212" s="391"/>
      <c r="AJ212" s="390"/>
      <c r="AK212" s="391"/>
      <c r="AL212" s="390"/>
      <c r="AM212" s="391"/>
      <c r="AN212" s="390"/>
      <c r="AO212" s="391"/>
    </row>
    <row r="213" spans="1:41" s="201" customFormat="1" ht="12.75" hidden="1">
      <c r="A213" s="225" t="s">
        <v>252</v>
      </c>
      <c r="B213" s="226" t="s">
        <v>275</v>
      </c>
      <c r="C213" s="227"/>
      <c r="D213" s="225">
        <v>162104</v>
      </c>
      <c r="E213" s="225">
        <v>10</v>
      </c>
      <c r="F213" s="390">
        <v>4650</v>
      </c>
      <c r="G213" s="391">
        <v>4770</v>
      </c>
      <c r="H213" s="390">
        <v>9480</v>
      </c>
      <c r="I213" s="391">
        <v>9510</v>
      </c>
      <c r="J213" s="390"/>
      <c r="K213" s="391"/>
      <c r="L213" s="390"/>
      <c r="M213" s="391"/>
      <c r="N213" s="390"/>
      <c r="O213" s="391"/>
      <c r="P213" s="390"/>
      <c r="Q213" s="391"/>
      <c r="R213" s="390"/>
      <c r="S213" s="391"/>
      <c r="T213" s="390"/>
      <c r="U213" s="391"/>
      <c r="V213" s="390"/>
      <c r="W213" s="391"/>
      <c r="X213" s="390"/>
      <c r="Y213" s="391"/>
      <c r="Z213" s="390"/>
      <c r="AA213" s="391"/>
      <c r="AB213" s="390"/>
      <c r="AC213" s="391"/>
      <c r="AD213" s="390"/>
      <c r="AE213" s="391"/>
      <c r="AF213" s="390"/>
      <c r="AG213" s="391"/>
      <c r="AH213" s="390"/>
      <c r="AI213" s="391"/>
      <c r="AJ213" s="390"/>
      <c r="AK213" s="391"/>
      <c r="AL213" s="390"/>
      <c r="AM213" s="391"/>
      <c r="AN213" s="390"/>
      <c r="AO213" s="391"/>
    </row>
    <row r="214" spans="1:41" s="201" customFormat="1" ht="12.75" hidden="1">
      <c r="A214" s="225" t="s">
        <v>252</v>
      </c>
      <c r="B214" s="226" t="s">
        <v>276</v>
      </c>
      <c r="C214" s="228"/>
      <c r="D214" s="225">
        <v>162168</v>
      </c>
      <c r="E214" s="225">
        <v>10</v>
      </c>
      <c r="F214" s="390">
        <v>4850</v>
      </c>
      <c r="G214" s="391">
        <v>4860</v>
      </c>
      <c r="H214" s="390">
        <v>9230</v>
      </c>
      <c r="I214" s="391">
        <v>9240</v>
      </c>
      <c r="J214" s="390"/>
      <c r="K214" s="391"/>
      <c r="L214" s="390"/>
      <c r="M214" s="391"/>
      <c r="N214" s="390"/>
      <c r="O214" s="391"/>
      <c r="P214" s="390"/>
      <c r="Q214" s="391"/>
      <c r="R214" s="390"/>
      <c r="S214" s="391"/>
      <c r="T214" s="390"/>
      <c r="U214" s="391"/>
      <c r="V214" s="390"/>
      <c r="W214" s="391"/>
      <c r="X214" s="390"/>
      <c r="Y214" s="391"/>
      <c r="Z214" s="390"/>
      <c r="AA214" s="391"/>
      <c r="AB214" s="390"/>
      <c r="AC214" s="391"/>
      <c r="AD214" s="390"/>
      <c r="AE214" s="391"/>
      <c r="AF214" s="390"/>
      <c r="AG214" s="391"/>
      <c r="AH214" s="390"/>
      <c r="AI214" s="391"/>
      <c r="AJ214" s="390"/>
      <c r="AK214" s="391"/>
      <c r="AL214" s="390"/>
      <c r="AM214" s="391"/>
      <c r="AN214" s="390"/>
      <c r="AO214" s="391"/>
    </row>
    <row r="215" spans="1:41" s="201" customFormat="1" ht="12.75" hidden="1">
      <c r="A215" s="225" t="s">
        <v>252</v>
      </c>
      <c r="B215" s="226" t="s">
        <v>265</v>
      </c>
      <c r="C215" s="227" t="s">
        <v>636</v>
      </c>
      <c r="D215" s="225">
        <v>162122</v>
      </c>
      <c r="E215" s="257">
        <v>9</v>
      </c>
      <c r="F215" s="390">
        <v>4913</v>
      </c>
      <c r="G215" s="391">
        <v>4920</v>
      </c>
      <c r="H215" s="390">
        <v>11025</v>
      </c>
      <c r="I215" s="391">
        <v>11040</v>
      </c>
      <c r="J215" s="390"/>
      <c r="K215" s="391"/>
      <c r="L215" s="390"/>
      <c r="M215" s="391"/>
      <c r="N215" s="390"/>
      <c r="O215" s="391"/>
      <c r="P215" s="390"/>
      <c r="Q215" s="391"/>
      <c r="R215" s="390"/>
      <c r="S215" s="391"/>
      <c r="T215" s="390"/>
      <c r="U215" s="391"/>
      <c r="V215" s="390"/>
      <c r="W215" s="391"/>
      <c r="X215" s="390"/>
      <c r="Y215" s="391"/>
      <c r="Z215" s="390"/>
      <c r="AA215" s="391"/>
      <c r="AB215" s="390"/>
      <c r="AC215" s="391"/>
      <c r="AD215" s="390"/>
      <c r="AE215" s="391"/>
      <c r="AF215" s="390"/>
      <c r="AG215" s="391"/>
      <c r="AH215" s="390"/>
      <c r="AI215" s="391"/>
      <c r="AJ215" s="390"/>
      <c r="AK215" s="391"/>
      <c r="AL215" s="390"/>
      <c r="AM215" s="391"/>
      <c r="AN215" s="390"/>
      <c r="AO215" s="391"/>
    </row>
    <row r="216" spans="1:41" s="201" customFormat="1" ht="12.75" hidden="1">
      <c r="A216" s="225" t="s">
        <v>252</v>
      </c>
      <c r="B216" s="226" t="s">
        <v>660</v>
      </c>
      <c r="C216" s="227"/>
      <c r="D216" s="225">
        <v>434672</v>
      </c>
      <c r="E216" s="225">
        <v>8</v>
      </c>
      <c r="F216" s="390">
        <v>4986</v>
      </c>
      <c r="G216" s="391">
        <v>5010</v>
      </c>
      <c r="H216" s="390">
        <v>12036</v>
      </c>
      <c r="I216" s="391">
        <v>12510</v>
      </c>
      <c r="J216" s="390"/>
      <c r="K216" s="391"/>
      <c r="L216" s="390"/>
      <c r="M216" s="391"/>
      <c r="N216" s="390"/>
      <c r="O216" s="391"/>
      <c r="P216" s="390"/>
      <c r="Q216" s="391"/>
      <c r="R216" s="390"/>
      <c r="S216" s="391"/>
      <c r="T216" s="390"/>
      <c r="U216" s="391"/>
      <c r="V216" s="390"/>
      <c r="W216" s="391"/>
      <c r="X216" s="390"/>
      <c r="Y216" s="391"/>
      <c r="Z216" s="390"/>
      <c r="AA216" s="391"/>
      <c r="AB216" s="390"/>
      <c r="AC216" s="391"/>
      <c r="AD216" s="390"/>
      <c r="AE216" s="391"/>
      <c r="AF216" s="390"/>
      <c r="AG216" s="391"/>
      <c r="AH216" s="390"/>
      <c r="AI216" s="391"/>
      <c r="AJ216" s="390"/>
      <c r="AK216" s="391"/>
      <c r="AL216" s="390"/>
      <c r="AM216" s="391"/>
      <c r="AN216" s="390"/>
      <c r="AO216" s="391"/>
    </row>
    <row r="217" spans="1:41" s="201" customFormat="1" ht="12.75" hidden="1">
      <c r="A217" s="225" t="s">
        <v>252</v>
      </c>
      <c r="B217" s="226" t="s">
        <v>271</v>
      </c>
      <c r="C217" s="227"/>
      <c r="D217" s="225">
        <v>162557</v>
      </c>
      <c r="E217" s="225">
        <v>9</v>
      </c>
      <c r="F217" s="390">
        <v>4579</v>
      </c>
      <c r="G217" s="391">
        <v>4680</v>
      </c>
      <c r="H217" s="390">
        <v>11929</v>
      </c>
      <c r="I217" s="391">
        <v>12210</v>
      </c>
      <c r="J217" s="390"/>
      <c r="K217" s="391"/>
      <c r="L217" s="390"/>
      <c r="M217" s="391"/>
      <c r="N217" s="390"/>
      <c r="O217" s="391"/>
      <c r="P217" s="390"/>
      <c r="Q217" s="391"/>
      <c r="R217" s="390"/>
      <c r="S217" s="391"/>
      <c r="T217" s="390"/>
      <c r="U217" s="391"/>
      <c r="V217" s="390"/>
      <c r="W217" s="391"/>
      <c r="X217" s="390"/>
      <c r="Y217" s="391"/>
      <c r="Z217" s="390"/>
      <c r="AA217" s="391"/>
      <c r="AB217" s="390"/>
      <c r="AC217" s="391"/>
      <c r="AD217" s="390"/>
      <c r="AE217" s="391"/>
      <c r="AF217" s="390"/>
      <c r="AG217" s="391"/>
      <c r="AH217" s="390"/>
      <c r="AI217" s="391"/>
      <c r="AJ217" s="390"/>
      <c r="AK217" s="391"/>
      <c r="AL217" s="390"/>
      <c r="AM217" s="391"/>
      <c r="AN217" s="390"/>
      <c r="AO217" s="391"/>
    </row>
    <row r="218" spans="1:41" s="201" customFormat="1" ht="12.75" hidden="1">
      <c r="A218" s="225" t="s">
        <v>252</v>
      </c>
      <c r="B218" s="226" t="s">
        <v>277</v>
      </c>
      <c r="C218" s="227"/>
      <c r="D218" s="225">
        <v>162609</v>
      </c>
      <c r="E218" s="225">
        <v>10</v>
      </c>
      <c r="F218" s="390">
        <v>4470</v>
      </c>
      <c r="G218" s="391">
        <v>4260</v>
      </c>
      <c r="H218" s="390">
        <v>10620</v>
      </c>
      <c r="I218" s="391">
        <v>11340</v>
      </c>
      <c r="J218" s="390"/>
      <c r="K218" s="391"/>
      <c r="L218" s="390"/>
      <c r="M218" s="391"/>
      <c r="N218" s="390"/>
      <c r="O218" s="391"/>
      <c r="P218" s="390"/>
      <c r="Q218" s="391"/>
      <c r="R218" s="390"/>
      <c r="S218" s="391"/>
      <c r="T218" s="390"/>
      <c r="U218" s="391"/>
      <c r="V218" s="390"/>
      <c r="W218" s="391"/>
      <c r="X218" s="390"/>
      <c r="Y218" s="391"/>
      <c r="Z218" s="390"/>
      <c r="AA218" s="391"/>
      <c r="AB218" s="390"/>
      <c r="AC218" s="391"/>
      <c r="AD218" s="390"/>
      <c r="AE218" s="391"/>
      <c r="AF218" s="390"/>
      <c r="AG218" s="391"/>
      <c r="AH218" s="390"/>
      <c r="AI218" s="391"/>
      <c r="AJ218" s="390"/>
      <c r="AK218" s="391"/>
      <c r="AL218" s="390"/>
      <c r="AM218" s="391"/>
      <c r="AN218" s="390"/>
      <c r="AO218" s="391"/>
    </row>
    <row r="219" spans="1:41" s="201" customFormat="1" ht="12.75" hidden="1">
      <c r="A219" s="225" t="s">
        <v>252</v>
      </c>
      <c r="B219" s="226" t="s">
        <v>272</v>
      </c>
      <c r="C219" s="227"/>
      <c r="D219" s="225">
        <v>162690</v>
      </c>
      <c r="E219" s="225">
        <v>9</v>
      </c>
      <c r="F219" s="390">
        <v>4290</v>
      </c>
      <c r="G219" s="391">
        <v>4170</v>
      </c>
      <c r="H219" s="390">
        <v>8235</v>
      </c>
      <c r="I219" s="391">
        <v>8040</v>
      </c>
      <c r="J219" s="390"/>
      <c r="K219" s="391"/>
      <c r="L219" s="390"/>
      <c r="M219" s="391"/>
      <c r="N219" s="390"/>
      <c r="O219" s="391"/>
      <c r="P219" s="390"/>
      <c r="Q219" s="391"/>
      <c r="R219" s="390"/>
      <c r="S219" s="391"/>
      <c r="T219" s="390"/>
      <c r="U219" s="391"/>
      <c r="V219" s="390"/>
      <c r="W219" s="391"/>
      <c r="X219" s="390"/>
      <c r="Y219" s="391"/>
      <c r="Z219" s="390"/>
      <c r="AA219" s="391"/>
      <c r="AB219" s="390"/>
      <c r="AC219" s="391"/>
      <c r="AD219" s="390"/>
      <c r="AE219" s="391"/>
      <c r="AF219" s="390"/>
      <c r="AG219" s="391"/>
      <c r="AH219" s="390"/>
      <c r="AI219" s="391"/>
      <c r="AJ219" s="390"/>
      <c r="AK219" s="391"/>
      <c r="AL219" s="390"/>
      <c r="AM219" s="391"/>
      <c r="AN219" s="390"/>
      <c r="AO219" s="391"/>
    </row>
    <row r="220" spans="1:41" s="201" customFormat="1" ht="12.75" hidden="1">
      <c r="A220" s="256" t="s">
        <v>252</v>
      </c>
      <c r="B220" s="226" t="s">
        <v>273</v>
      </c>
      <c r="C220" s="228"/>
      <c r="D220" s="225">
        <v>162706</v>
      </c>
      <c r="E220" s="225">
        <v>9</v>
      </c>
      <c r="F220" s="390">
        <v>4783</v>
      </c>
      <c r="G220" s="391">
        <v>4770</v>
      </c>
      <c r="H220" s="390">
        <v>10377</v>
      </c>
      <c r="I220" s="391">
        <v>10380</v>
      </c>
      <c r="J220" s="390"/>
      <c r="K220" s="391"/>
      <c r="L220" s="390"/>
      <c r="M220" s="391"/>
      <c r="N220" s="390"/>
      <c r="O220" s="391"/>
      <c r="P220" s="390"/>
      <c r="Q220" s="391"/>
      <c r="R220" s="390"/>
      <c r="S220" s="391"/>
      <c r="T220" s="390"/>
      <c r="U220" s="391"/>
      <c r="V220" s="390"/>
      <c r="W220" s="391"/>
      <c r="X220" s="390"/>
      <c r="Y220" s="391"/>
      <c r="Z220" s="390"/>
      <c r="AA220" s="391"/>
      <c r="AB220" s="390"/>
      <c r="AC220" s="391"/>
      <c r="AD220" s="390"/>
      <c r="AE220" s="391"/>
      <c r="AF220" s="390"/>
      <c r="AG220" s="391"/>
      <c r="AH220" s="390"/>
      <c r="AI220" s="391"/>
      <c r="AJ220" s="390"/>
      <c r="AK220" s="391"/>
      <c r="AL220" s="390"/>
      <c r="AM220" s="391"/>
      <c r="AN220" s="390"/>
      <c r="AO220" s="391"/>
    </row>
    <row r="221" spans="1:41" s="201" customFormat="1" ht="12.75" hidden="1">
      <c r="A221" s="256" t="s">
        <v>252</v>
      </c>
      <c r="B221" s="226" t="s">
        <v>266</v>
      </c>
      <c r="C221" s="227"/>
      <c r="D221" s="225">
        <v>162779</v>
      </c>
      <c r="E221" s="225">
        <v>8</v>
      </c>
      <c r="F221" s="390">
        <v>4990.5</v>
      </c>
      <c r="G221" s="391">
        <v>5100</v>
      </c>
      <c r="H221" s="390">
        <v>9310.5</v>
      </c>
      <c r="I221" s="391">
        <v>9600</v>
      </c>
      <c r="J221" s="390"/>
      <c r="K221" s="391"/>
      <c r="L221" s="390"/>
      <c r="M221" s="391"/>
      <c r="N221" s="390"/>
      <c r="O221" s="391"/>
      <c r="P221" s="390"/>
      <c r="Q221" s="391"/>
      <c r="R221" s="390"/>
      <c r="S221" s="391"/>
      <c r="T221" s="390"/>
      <c r="U221" s="391"/>
      <c r="V221" s="390"/>
      <c r="W221" s="391"/>
      <c r="X221" s="390"/>
      <c r="Y221" s="391"/>
      <c r="Z221" s="390"/>
      <c r="AA221" s="391"/>
      <c r="AB221" s="390"/>
      <c r="AC221" s="391"/>
      <c r="AD221" s="390"/>
      <c r="AE221" s="391"/>
      <c r="AF221" s="390"/>
      <c r="AG221" s="391"/>
      <c r="AH221" s="390"/>
      <c r="AI221" s="391"/>
      <c r="AJ221" s="390"/>
      <c r="AK221" s="391"/>
      <c r="AL221" s="390"/>
      <c r="AM221" s="391"/>
      <c r="AN221" s="390"/>
      <c r="AO221" s="391"/>
    </row>
    <row r="222" spans="1:41" s="201" customFormat="1" ht="12.75" hidden="1">
      <c r="A222" s="225" t="s">
        <v>252</v>
      </c>
      <c r="B222" s="226" t="s">
        <v>661</v>
      </c>
      <c r="C222" s="227"/>
      <c r="D222" s="225">
        <v>163426</v>
      </c>
      <c r="E222" s="225">
        <v>8</v>
      </c>
      <c r="F222" s="390">
        <v>5322</v>
      </c>
      <c r="G222" s="391">
        <v>5310</v>
      </c>
      <c r="H222" s="390">
        <v>14034</v>
      </c>
      <c r="I222" s="391">
        <v>14040</v>
      </c>
      <c r="J222" s="390"/>
      <c r="K222" s="391"/>
      <c r="L222" s="390"/>
      <c r="M222" s="391"/>
      <c r="N222" s="390"/>
      <c r="O222" s="391"/>
      <c r="P222" s="390"/>
      <c r="Q222" s="391"/>
      <c r="R222" s="390"/>
      <c r="S222" s="391"/>
      <c r="T222" s="390"/>
      <c r="U222" s="391"/>
      <c r="V222" s="390"/>
      <c r="W222" s="391"/>
      <c r="X222" s="390"/>
      <c r="Y222" s="391"/>
      <c r="Z222" s="390"/>
      <c r="AA222" s="391"/>
      <c r="AB222" s="390"/>
      <c r="AC222" s="391"/>
      <c r="AD222" s="390"/>
      <c r="AE222" s="391"/>
      <c r="AF222" s="390"/>
      <c r="AG222" s="391"/>
      <c r="AH222" s="390"/>
      <c r="AI222" s="391"/>
      <c r="AJ222" s="390"/>
      <c r="AK222" s="391"/>
      <c r="AL222" s="390"/>
      <c r="AM222" s="391"/>
      <c r="AN222" s="390"/>
      <c r="AO222" s="391"/>
    </row>
    <row r="223" spans="1:41" s="201" customFormat="1" ht="12.75" hidden="1">
      <c r="A223" s="225" t="s">
        <v>252</v>
      </c>
      <c r="B223" s="226" t="s">
        <v>267</v>
      </c>
      <c r="C223" s="227"/>
      <c r="D223" s="225">
        <v>163657</v>
      </c>
      <c r="E223" s="225">
        <v>8</v>
      </c>
      <c r="F223" s="390">
        <v>4700</v>
      </c>
      <c r="G223" s="391">
        <v>4620</v>
      </c>
      <c r="H223" s="390">
        <v>10610</v>
      </c>
      <c r="I223" s="391">
        <v>10530</v>
      </c>
      <c r="J223" s="390"/>
      <c r="K223" s="391"/>
      <c r="L223" s="390"/>
      <c r="M223" s="391"/>
      <c r="N223" s="390"/>
      <c r="O223" s="391"/>
      <c r="P223" s="390"/>
      <c r="Q223" s="391"/>
      <c r="R223" s="390"/>
      <c r="S223" s="391"/>
      <c r="T223" s="390"/>
      <c r="U223" s="391"/>
      <c r="V223" s="390"/>
      <c r="W223" s="391"/>
      <c r="X223" s="390"/>
      <c r="Y223" s="391"/>
      <c r="Z223" s="390"/>
      <c r="AA223" s="391"/>
      <c r="AB223" s="390"/>
      <c r="AC223" s="391"/>
      <c r="AD223" s="390"/>
      <c r="AE223" s="391"/>
      <c r="AF223" s="390"/>
      <c r="AG223" s="391"/>
      <c r="AH223" s="390"/>
      <c r="AI223" s="391"/>
      <c r="AJ223" s="390"/>
      <c r="AK223" s="391"/>
      <c r="AL223" s="390"/>
      <c r="AM223" s="391"/>
      <c r="AN223" s="390"/>
      <c r="AO223" s="391"/>
    </row>
    <row r="224" spans="1:41" s="201" customFormat="1" ht="12.75" hidden="1">
      <c r="A224" s="225" t="s">
        <v>252</v>
      </c>
      <c r="B224" s="226" t="s">
        <v>274</v>
      </c>
      <c r="C224" s="228"/>
      <c r="D224" s="225">
        <v>164313</v>
      </c>
      <c r="E224" s="225">
        <v>10</v>
      </c>
      <c r="F224" s="390">
        <v>4170</v>
      </c>
      <c r="G224" s="391">
        <v>4380</v>
      </c>
      <c r="H224" s="390">
        <v>9630</v>
      </c>
      <c r="I224" s="391">
        <v>9990</v>
      </c>
      <c r="J224" s="390"/>
      <c r="K224" s="391"/>
      <c r="L224" s="390"/>
      <c r="M224" s="391"/>
      <c r="N224" s="390"/>
      <c r="O224" s="391"/>
      <c r="P224" s="390"/>
      <c r="Q224" s="391"/>
      <c r="R224" s="390"/>
      <c r="S224" s="391"/>
      <c r="T224" s="390"/>
      <c r="U224" s="391"/>
      <c r="V224" s="390"/>
      <c r="W224" s="391"/>
      <c r="X224" s="390"/>
      <c r="Y224" s="391"/>
      <c r="Z224" s="390"/>
      <c r="AA224" s="391"/>
      <c r="AB224" s="390"/>
      <c r="AC224" s="391"/>
      <c r="AD224" s="390"/>
      <c r="AE224" s="391"/>
      <c r="AF224" s="390"/>
      <c r="AG224" s="391"/>
      <c r="AH224" s="390"/>
      <c r="AI224" s="391"/>
      <c r="AJ224" s="390"/>
      <c r="AK224" s="391"/>
      <c r="AL224" s="390"/>
      <c r="AM224" s="391"/>
      <c r="AN224" s="390"/>
      <c r="AO224" s="391"/>
    </row>
    <row r="225" spans="1:41" s="201" customFormat="1" ht="12.75" hidden="1">
      <c r="A225" s="225" t="s">
        <v>252</v>
      </c>
      <c r="B225" s="226" t="s">
        <v>257</v>
      </c>
      <c r="C225" s="227" t="s">
        <v>624</v>
      </c>
      <c r="D225" s="225">
        <v>162007</v>
      </c>
      <c r="E225" s="225">
        <v>4</v>
      </c>
      <c r="F225" s="390">
        <v>8455</v>
      </c>
      <c r="G225" s="391">
        <v>8455</v>
      </c>
      <c r="H225" s="390">
        <v>19136</v>
      </c>
      <c r="I225" s="391">
        <v>19136</v>
      </c>
      <c r="J225" s="390">
        <v>13047</v>
      </c>
      <c r="K225" s="391">
        <v>13047</v>
      </c>
      <c r="L225" s="390">
        <v>19911.439999999999</v>
      </c>
      <c r="M225" s="391">
        <v>19911</v>
      </c>
      <c r="N225" s="390"/>
      <c r="O225" s="391"/>
      <c r="P225" s="390"/>
      <c r="Q225" s="391"/>
      <c r="R225" s="390"/>
      <c r="S225" s="391"/>
      <c r="T225" s="390"/>
      <c r="U225" s="391"/>
      <c r="V225" s="390"/>
      <c r="W225" s="391"/>
      <c r="X225" s="390"/>
      <c r="Y225" s="391"/>
      <c r="Z225" s="390"/>
      <c r="AA225" s="391"/>
      <c r="AB225" s="390"/>
      <c r="AC225" s="391"/>
      <c r="AD225" s="390"/>
      <c r="AE225" s="391"/>
      <c r="AF225" s="390"/>
      <c r="AG225" s="391"/>
      <c r="AH225" s="390"/>
      <c r="AI225" s="391"/>
      <c r="AJ225" s="390"/>
      <c r="AK225" s="391"/>
      <c r="AL225" s="390"/>
      <c r="AM225" s="391"/>
      <c r="AN225" s="390"/>
      <c r="AO225" s="391"/>
    </row>
    <row r="226" spans="1:41" s="201" customFormat="1" ht="12.75" hidden="1">
      <c r="A226" s="225" t="s">
        <v>252</v>
      </c>
      <c r="B226" s="226" t="s">
        <v>262</v>
      </c>
      <c r="C226" s="227" t="s">
        <v>639</v>
      </c>
      <c r="D226" s="225">
        <v>162283</v>
      </c>
      <c r="E226" s="225">
        <v>5</v>
      </c>
      <c r="F226" s="390">
        <v>6716</v>
      </c>
      <c r="G226" s="391">
        <v>6716</v>
      </c>
      <c r="H226" s="390">
        <v>13113</v>
      </c>
      <c r="I226" s="391">
        <v>13113</v>
      </c>
      <c r="J226" s="390">
        <v>10278</v>
      </c>
      <c r="K226" s="391">
        <v>10278</v>
      </c>
      <c r="L226" s="390">
        <v>17214</v>
      </c>
      <c r="M226" s="391">
        <v>17214</v>
      </c>
      <c r="N226" s="390"/>
      <c r="O226" s="391"/>
      <c r="P226" s="390"/>
      <c r="Q226" s="391"/>
      <c r="R226" s="390"/>
      <c r="S226" s="391"/>
      <c r="T226" s="390"/>
      <c r="U226" s="391"/>
      <c r="V226" s="390"/>
      <c r="W226" s="391"/>
      <c r="X226" s="390"/>
      <c r="Y226" s="391"/>
      <c r="Z226" s="390"/>
      <c r="AA226" s="391"/>
      <c r="AB226" s="390"/>
      <c r="AC226" s="391"/>
      <c r="AD226" s="390"/>
      <c r="AE226" s="391"/>
      <c r="AF226" s="390"/>
      <c r="AG226" s="391"/>
      <c r="AH226" s="390"/>
      <c r="AI226" s="391"/>
      <c r="AJ226" s="390"/>
      <c r="AK226" s="391"/>
      <c r="AL226" s="390"/>
      <c r="AM226" s="391"/>
      <c r="AN226" s="390"/>
      <c r="AO226" s="391"/>
    </row>
    <row r="227" spans="1:41" s="201" customFormat="1" ht="12.75" hidden="1">
      <c r="A227" s="225" t="s">
        <v>252</v>
      </c>
      <c r="B227" s="226" t="s">
        <v>258</v>
      </c>
      <c r="C227" s="227"/>
      <c r="D227" s="225">
        <v>162584</v>
      </c>
      <c r="E227" s="225">
        <v>4</v>
      </c>
      <c r="F227" s="390">
        <v>9410</v>
      </c>
      <c r="G227" s="391">
        <v>9410</v>
      </c>
      <c r="H227" s="390">
        <v>23510</v>
      </c>
      <c r="I227" s="391">
        <v>23510</v>
      </c>
      <c r="J227" s="390">
        <v>13753</v>
      </c>
      <c r="K227" s="391">
        <v>13753</v>
      </c>
      <c r="L227" s="390">
        <v>16705</v>
      </c>
      <c r="M227" s="391">
        <v>16705</v>
      </c>
      <c r="N227" s="390"/>
      <c r="O227" s="391"/>
      <c r="P227" s="390"/>
      <c r="Q227" s="391"/>
      <c r="R227" s="390"/>
      <c r="S227" s="391"/>
      <c r="T227" s="390"/>
      <c r="U227" s="391"/>
      <c r="V227" s="390"/>
      <c r="W227" s="391"/>
      <c r="X227" s="390"/>
      <c r="Y227" s="391"/>
      <c r="Z227" s="390"/>
      <c r="AA227" s="391"/>
      <c r="AB227" s="390"/>
      <c r="AC227" s="391"/>
      <c r="AD227" s="390"/>
      <c r="AE227" s="391"/>
      <c r="AF227" s="390"/>
      <c r="AG227" s="391"/>
      <c r="AH227" s="390"/>
      <c r="AI227" s="391"/>
      <c r="AJ227" s="390"/>
      <c r="AK227" s="391"/>
      <c r="AL227" s="390"/>
      <c r="AM227" s="391"/>
      <c r="AN227" s="390"/>
      <c r="AO227" s="391"/>
    </row>
    <row r="228" spans="1:41" s="201" customFormat="1" ht="12.75" hidden="1">
      <c r="A228" s="258" t="s">
        <v>252</v>
      </c>
      <c r="B228" s="226" t="s">
        <v>259</v>
      </c>
      <c r="C228" s="227"/>
      <c r="D228" s="225">
        <v>163851</v>
      </c>
      <c r="E228" s="225">
        <v>4</v>
      </c>
      <c r="F228" s="390">
        <v>10044</v>
      </c>
      <c r="G228" s="391">
        <v>10044</v>
      </c>
      <c r="H228" s="390">
        <v>20110</v>
      </c>
      <c r="I228" s="391">
        <v>20110</v>
      </c>
      <c r="J228" s="390">
        <v>12480</v>
      </c>
      <c r="K228" s="391">
        <v>12480</v>
      </c>
      <c r="L228" s="390">
        <v>20496</v>
      </c>
      <c r="M228" s="391">
        <v>20496</v>
      </c>
      <c r="N228" s="390"/>
      <c r="O228" s="391"/>
      <c r="P228" s="390"/>
      <c r="Q228" s="391"/>
      <c r="R228" s="390"/>
      <c r="S228" s="391"/>
      <c r="T228" s="390"/>
      <c r="U228" s="391"/>
      <c r="V228" s="390"/>
      <c r="W228" s="391"/>
      <c r="X228" s="390"/>
      <c r="Y228" s="391"/>
      <c r="Z228" s="390"/>
      <c r="AA228" s="391"/>
      <c r="AB228" s="390"/>
      <c r="AC228" s="391"/>
      <c r="AD228" s="390"/>
      <c r="AE228" s="391"/>
      <c r="AF228" s="390"/>
      <c r="AG228" s="391"/>
      <c r="AH228" s="390"/>
      <c r="AI228" s="391"/>
      <c r="AJ228" s="390"/>
      <c r="AK228" s="391"/>
      <c r="AL228" s="390"/>
      <c r="AM228" s="391"/>
      <c r="AN228" s="390"/>
      <c r="AO228" s="391"/>
    </row>
    <row r="229" spans="1:41" s="201" customFormat="1" ht="12.75" hidden="1">
      <c r="A229" s="256" t="s">
        <v>252</v>
      </c>
      <c r="B229" s="226" t="s">
        <v>256</v>
      </c>
      <c r="C229" s="227"/>
      <c r="D229" s="225">
        <v>164076</v>
      </c>
      <c r="E229" s="225">
        <v>3</v>
      </c>
      <c r="F229" s="390">
        <v>10198</v>
      </c>
      <c r="G229" s="391">
        <v>10198</v>
      </c>
      <c r="H229" s="390">
        <v>24334</v>
      </c>
      <c r="I229" s="391">
        <v>24334</v>
      </c>
      <c r="J229" s="390">
        <v>14256</v>
      </c>
      <c r="K229" s="391">
        <v>14256</v>
      </c>
      <c r="L229" s="390">
        <v>25512</v>
      </c>
      <c r="M229" s="391">
        <v>25512</v>
      </c>
      <c r="N229" s="390"/>
      <c r="O229" s="391"/>
      <c r="P229" s="390"/>
      <c r="Q229" s="391"/>
      <c r="R229" s="390"/>
      <c r="S229" s="391"/>
      <c r="T229" s="390"/>
      <c r="U229" s="391"/>
      <c r="V229" s="390"/>
      <c r="W229" s="391"/>
      <c r="X229" s="390"/>
      <c r="Y229" s="391"/>
      <c r="Z229" s="390"/>
      <c r="AA229" s="391"/>
      <c r="AB229" s="390"/>
      <c r="AC229" s="391"/>
      <c r="AD229" s="390"/>
      <c r="AE229" s="391"/>
      <c r="AF229" s="390"/>
      <c r="AG229" s="391"/>
      <c r="AH229" s="390"/>
      <c r="AI229" s="391"/>
      <c r="AJ229" s="390"/>
      <c r="AK229" s="391"/>
      <c r="AL229" s="390"/>
      <c r="AM229" s="391"/>
      <c r="AN229" s="390"/>
      <c r="AO229" s="391"/>
    </row>
    <row r="230" spans="1:41" s="201" customFormat="1" ht="12.75" hidden="1">
      <c r="A230" s="256" t="s">
        <v>252</v>
      </c>
      <c r="B230" s="226" t="s">
        <v>260</v>
      </c>
      <c r="C230" s="228"/>
      <c r="D230" s="225">
        <v>161873</v>
      </c>
      <c r="E230" s="225">
        <v>3</v>
      </c>
      <c r="F230" s="390">
        <v>9096</v>
      </c>
      <c r="G230" s="391">
        <v>9096</v>
      </c>
      <c r="H230" s="390">
        <v>21456</v>
      </c>
      <c r="I230" s="391">
        <v>21456</v>
      </c>
      <c r="J230" s="390">
        <v>20282</v>
      </c>
      <c r="K230" s="391">
        <v>20282</v>
      </c>
      <c r="L230" s="390">
        <v>28754</v>
      </c>
      <c r="M230" s="391">
        <v>28754</v>
      </c>
      <c r="N230" s="390">
        <v>32850</v>
      </c>
      <c r="O230" s="391">
        <v>32850</v>
      </c>
      <c r="P230" s="390">
        <v>47958</v>
      </c>
      <c r="Q230" s="391">
        <v>47958</v>
      </c>
      <c r="R230" s="390"/>
      <c r="S230" s="391"/>
      <c r="T230" s="390"/>
      <c r="U230" s="391"/>
      <c r="V230" s="390"/>
      <c r="W230" s="391"/>
      <c r="X230" s="390"/>
      <c r="Y230" s="391"/>
      <c r="Z230" s="390"/>
      <c r="AA230" s="391"/>
      <c r="AB230" s="390"/>
      <c r="AC230" s="391"/>
      <c r="AD230" s="390"/>
      <c r="AE230" s="391"/>
      <c r="AF230" s="390"/>
      <c r="AG230" s="391"/>
      <c r="AH230" s="390"/>
      <c r="AI230" s="391"/>
      <c r="AJ230" s="390"/>
      <c r="AK230" s="391"/>
      <c r="AL230" s="390"/>
      <c r="AM230" s="391"/>
      <c r="AN230" s="390"/>
      <c r="AO230" s="391"/>
    </row>
    <row r="231" spans="1:41" s="201" customFormat="1" ht="12.75" hidden="1">
      <c r="A231" s="225" t="s">
        <v>252</v>
      </c>
      <c r="B231" s="226" t="s">
        <v>662</v>
      </c>
      <c r="C231" s="228"/>
      <c r="D231" s="225">
        <v>163259</v>
      </c>
      <c r="E231" s="225">
        <v>15</v>
      </c>
      <c r="F231" s="390">
        <v>11213</v>
      </c>
      <c r="G231" s="391">
        <v>11213</v>
      </c>
      <c r="H231" s="390">
        <v>40013</v>
      </c>
      <c r="I231" s="391">
        <v>40013</v>
      </c>
      <c r="J231" s="390">
        <v>20007</v>
      </c>
      <c r="K231" s="391">
        <v>20007</v>
      </c>
      <c r="L231" s="390">
        <v>33879</v>
      </c>
      <c r="M231" s="391">
        <v>33879</v>
      </c>
      <c r="N231" s="390">
        <v>34716</v>
      </c>
      <c r="O231" s="391">
        <v>34716</v>
      </c>
      <c r="P231" s="390">
        <v>50334</v>
      </c>
      <c r="Q231" s="391">
        <v>50334</v>
      </c>
      <c r="R231" s="390">
        <v>39736</v>
      </c>
      <c r="S231" s="391">
        <v>39736</v>
      </c>
      <c r="T231" s="390">
        <v>68831</v>
      </c>
      <c r="U231" s="391">
        <v>68381</v>
      </c>
      <c r="V231" s="390">
        <v>43999</v>
      </c>
      <c r="W231" s="391">
        <v>43999</v>
      </c>
      <c r="X231" s="390">
        <v>80156</v>
      </c>
      <c r="Y231" s="391">
        <v>80156</v>
      </c>
      <c r="Z231" s="390">
        <v>28640</v>
      </c>
      <c r="AA231" s="391">
        <v>28640</v>
      </c>
      <c r="AB231" s="390">
        <v>46291</v>
      </c>
      <c r="AC231" s="391">
        <v>46291</v>
      </c>
      <c r="AD231" s="390"/>
      <c r="AE231" s="391"/>
      <c r="AF231" s="390"/>
      <c r="AG231" s="391"/>
      <c r="AH231" s="390"/>
      <c r="AI231" s="391"/>
      <c r="AJ231" s="390"/>
      <c r="AK231" s="391"/>
      <c r="AL231" s="390"/>
      <c r="AM231" s="391"/>
      <c r="AN231" s="390"/>
      <c r="AO231" s="391"/>
    </row>
    <row r="232" spans="1:41" s="201" customFormat="1" ht="12.75" hidden="1">
      <c r="A232" s="225" t="s">
        <v>252</v>
      </c>
      <c r="B232" s="226" t="s">
        <v>255</v>
      </c>
      <c r="C232" s="227"/>
      <c r="D232" s="225">
        <v>163268</v>
      </c>
      <c r="E232" s="225">
        <v>2</v>
      </c>
      <c r="F232" s="390">
        <v>12028</v>
      </c>
      <c r="G232" s="391">
        <v>12028</v>
      </c>
      <c r="H232" s="390">
        <v>27662</v>
      </c>
      <c r="I232" s="391">
        <v>27662</v>
      </c>
      <c r="J232" s="390">
        <v>19560</v>
      </c>
      <c r="K232" s="391">
        <v>19560</v>
      </c>
      <c r="L232" s="390">
        <v>30912</v>
      </c>
      <c r="M232" s="391">
        <v>30912</v>
      </c>
      <c r="N232" s="390"/>
      <c r="O232" s="391"/>
      <c r="P232" s="390"/>
      <c r="Q232" s="391"/>
      <c r="R232" s="390"/>
      <c r="S232" s="391"/>
      <c r="T232" s="390"/>
      <c r="U232" s="391"/>
      <c r="V232" s="390"/>
      <c r="W232" s="391"/>
      <c r="X232" s="390"/>
      <c r="Y232" s="391"/>
      <c r="Z232" s="390"/>
      <c r="AA232" s="391"/>
      <c r="AB232" s="390"/>
      <c r="AC232" s="391"/>
      <c r="AD232" s="390"/>
      <c r="AE232" s="391"/>
      <c r="AF232" s="390"/>
      <c r="AG232" s="391"/>
      <c r="AH232" s="390"/>
      <c r="AI232" s="391"/>
      <c r="AJ232" s="390"/>
      <c r="AK232" s="391"/>
      <c r="AL232" s="390"/>
      <c r="AM232" s="391"/>
      <c r="AN232" s="390"/>
      <c r="AO232" s="391"/>
    </row>
    <row r="233" spans="1:41" s="201" customFormat="1" ht="12.75" hidden="1">
      <c r="A233" s="256" t="s">
        <v>252</v>
      </c>
      <c r="B233" s="226" t="s">
        <v>253</v>
      </c>
      <c r="C233" s="227"/>
      <c r="D233" s="225">
        <v>163286</v>
      </c>
      <c r="E233" s="225">
        <v>1</v>
      </c>
      <c r="F233" s="390">
        <v>10779</v>
      </c>
      <c r="G233" s="391">
        <v>10779</v>
      </c>
      <c r="H233" s="390">
        <v>36891</v>
      </c>
      <c r="I233" s="391">
        <v>36891</v>
      </c>
      <c r="J233" s="390">
        <v>19485</v>
      </c>
      <c r="K233" s="391">
        <v>19485</v>
      </c>
      <c r="L233" s="390">
        <v>40941</v>
      </c>
      <c r="M233" s="391">
        <v>40941</v>
      </c>
      <c r="N233" s="390"/>
      <c r="O233" s="391"/>
      <c r="P233" s="390"/>
      <c r="Q233" s="391"/>
      <c r="R233" s="390"/>
      <c r="S233" s="391"/>
      <c r="T233" s="390"/>
      <c r="U233" s="391"/>
      <c r="V233" s="390"/>
      <c r="W233" s="391"/>
      <c r="X233" s="390"/>
      <c r="Y233" s="391"/>
      <c r="Z233" s="390"/>
      <c r="AA233" s="391"/>
      <c r="AB233" s="390"/>
      <c r="AC233" s="391"/>
      <c r="AD233" s="390"/>
      <c r="AE233" s="391"/>
      <c r="AF233" s="390"/>
      <c r="AG233" s="391"/>
      <c r="AH233" s="390"/>
      <c r="AI233" s="391"/>
      <c r="AJ233" s="390"/>
      <c r="AK233" s="391"/>
      <c r="AL233" s="390">
        <v>25377</v>
      </c>
      <c r="AM233" s="391">
        <v>26086</v>
      </c>
      <c r="AN233" s="390">
        <v>54510</v>
      </c>
      <c r="AO233" s="391">
        <v>55687</v>
      </c>
    </row>
    <row r="234" spans="1:41" s="201" customFormat="1" ht="12.75" hidden="1">
      <c r="A234" s="256" t="s">
        <v>252</v>
      </c>
      <c r="B234" s="226" t="s">
        <v>261</v>
      </c>
      <c r="C234" s="227"/>
      <c r="D234" s="225">
        <v>163338</v>
      </c>
      <c r="E234" s="225">
        <v>4</v>
      </c>
      <c r="F234" s="390">
        <v>8558</v>
      </c>
      <c r="G234" s="391">
        <v>8558</v>
      </c>
      <c r="H234" s="390">
        <v>18968</v>
      </c>
      <c r="I234" s="391">
        <v>18968</v>
      </c>
      <c r="J234" s="390">
        <v>10008</v>
      </c>
      <c r="K234" s="391">
        <v>10008</v>
      </c>
      <c r="L234" s="390">
        <v>16824</v>
      </c>
      <c r="M234" s="391">
        <v>16824</v>
      </c>
      <c r="N234" s="390"/>
      <c r="O234" s="391"/>
      <c r="P234" s="390"/>
      <c r="Q234" s="391"/>
      <c r="R234" s="390"/>
      <c r="S234" s="391"/>
      <c r="T234" s="390"/>
      <c r="U234" s="391"/>
      <c r="V234" s="390"/>
      <c r="W234" s="391"/>
      <c r="X234" s="390"/>
      <c r="Y234" s="391"/>
      <c r="Z234" s="390">
        <v>31490</v>
      </c>
      <c r="AA234" s="391">
        <v>31490</v>
      </c>
      <c r="AB234" s="390">
        <v>60240</v>
      </c>
      <c r="AC234" s="391">
        <v>60240</v>
      </c>
      <c r="AD234" s="390"/>
      <c r="AE234" s="391"/>
      <c r="AF234" s="390"/>
      <c r="AG234" s="391"/>
      <c r="AH234" s="390"/>
      <c r="AI234" s="391"/>
      <c r="AJ234" s="390"/>
      <c r="AK234" s="391"/>
      <c r="AL234" s="390"/>
      <c r="AM234" s="391"/>
      <c r="AN234" s="390"/>
      <c r="AO234" s="391"/>
    </row>
    <row r="235" spans="1:41" s="201" customFormat="1" ht="12.75" hidden="1">
      <c r="A235" s="256" t="s">
        <v>252</v>
      </c>
      <c r="B235" s="226" t="s">
        <v>640</v>
      </c>
      <c r="C235" s="227"/>
      <c r="D235" s="225">
        <v>163204</v>
      </c>
      <c r="E235" s="225">
        <v>15</v>
      </c>
      <c r="F235" s="390">
        <v>7560</v>
      </c>
      <c r="G235" s="391">
        <v>7560</v>
      </c>
      <c r="H235" s="390">
        <v>12336</v>
      </c>
      <c r="I235" s="391">
        <v>12336</v>
      </c>
      <c r="J235" s="390"/>
      <c r="K235" s="391"/>
      <c r="L235" s="390"/>
      <c r="M235" s="391"/>
      <c r="N235" s="390"/>
      <c r="O235" s="391"/>
      <c r="P235" s="390"/>
      <c r="Q235" s="391"/>
      <c r="R235" s="390"/>
      <c r="S235" s="391"/>
      <c r="T235" s="390"/>
      <c r="U235" s="391"/>
      <c r="V235" s="390"/>
      <c r="W235" s="391"/>
      <c r="X235" s="390"/>
      <c r="Y235" s="391"/>
      <c r="Z235" s="390"/>
      <c r="AA235" s="391"/>
      <c r="AB235" s="390"/>
      <c r="AC235" s="391"/>
      <c r="AD235" s="390"/>
      <c r="AE235" s="391"/>
      <c r="AF235" s="390"/>
      <c r="AG235" s="391"/>
      <c r="AH235" s="390"/>
      <c r="AI235" s="391"/>
      <c r="AJ235" s="390"/>
      <c r="AK235" s="391"/>
      <c r="AL235" s="390"/>
      <c r="AM235" s="391"/>
      <c r="AN235" s="390"/>
      <c r="AO235" s="391"/>
    </row>
    <row r="236" spans="1:41" s="201" customFormat="1" ht="12.75" hidden="1">
      <c r="A236" s="225" t="s">
        <v>252</v>
      </c>
      <c r="B236" s="226" t="s">
        <v>254</v>
      </c>
      <c r="C236" s="228"/>
      <c r="D236" s="225">
        <v>163453</v>
      </c>
      <c r="E236" s="225">
        <v>2</v>
      </c>
      <c r="F236" s="390">
        <v>8008</v>
      </c>
      <c r="G236" s="391">
        <v>8008</v>
      </c>
      <c r="H236" s="390">
        <v>18480</v>
      </c>
      <c r="I236" s="391">
        <v>18480</v>
      </c>
      <c r="J236" s="390">
        <v>12876</v>
      </c>
      <c r="K236" s="391">
        <v>12876</v>
      </c>
      <c r="L236" s="390">
        <v>23412</v>
      </c>
      <c r="M236" s="391">
        <v>23412</v>
      </c>
      <c r="N236" s="390"/>
      <c r="O236" s="391"/>
      <c r="P236" s="390"/>
      <c r="Q236" s="391"/>
      <c r="R236" s="390"/>
      <c r="S236" s="391"/>
      <c r="T236" s="390"/>
      <c r="U236" s="391"/>
      <c r="V236" s="390"/>
      <c r="W236" s="391"/>
      <c r="X236" s="390"/>
      <c r="Y236" s="391"/>
      <c r="Z236" s="390"/>
      <c r="AA236" s="391"/>
      <c r="AB236" s="390"/>
      <c r="AC236" s="391"/>
      <c r="AD236" s="390"/>
      <c r="AE236" s="391"/>
      <c r="AF236" s="390"/>
      <c r="AG236" s="391"/>
      <c r="AH236" s="390"/>
      <c r="AI236" s="391"/>
      <c r="AJ236" s="390"/>
      <c r="AK236" s="391"/>
      <c r="AL236" s="390"/>
      <c r="AM236" s="391"/>
      <c r="AN236" s="390"/>
      <c r="AO236" s="391"/>
    </row>
    <row r="237" spans="1:41" s="201" customFormat="1" ht="12.75">
      <c r="A237" s="225" t="s">
        <v>252</v>
      </c>
      <c r="B237" s="226" t="s">
        <v>263</v>
      </c>
      <c r="C237" s="227"/>
      <c r="D237" s="225">
        <v>163912</v>
      </c>
      <c r="E237" s="225">
        <v>6</v>
      </c>
      <c r="F237" s="390">
        <v>15124</v>
      </c>
      <c r="G237" s="391">
        <v>15124</v>
      </c>
      <c r="H237" s="390">
        <v>31200</v>
      </c>
      <c r="I237" s="391">
        <v>31200</v>
      </c>
      <c r="J237" s="390"/>
      <c r="K237" s="391"/>
      <c r="L237" s="390"/>
      <c r="M237" s="391"/>
      <c r="N237" s="390"/>
      <c r="O237" s="391"/>
      <c r="P237" s="390"/>
      <c r="Q237" s="391"/>
      <c r="R237" s="390"/>
      <c r="S237" s="391"/>
      <c r="T237" s="390"/>
      <c r="U237" s="391"/>
      <c r="V237" s="390"/>
      <c r="W237" s="391"/>
      <c r="X237" s="390"/>
      <c r="Y237" s="391"/>
      <c r="Z237" s="390"/>
      <c r="AA237" s="391"/>
      <c r="AB237" s="390"/>
      <c r="AC237" s="391"/>
      <c r="AD237" s="390"/>
      <c r="AE237" s="391"/>
      <c r="AF237" s="390"/>
      <c r="AG237" s="391"/>
      <c r="AH237" s="390"/>
      <c r="AI237" s="391"/>
      <c r="AJ237" s="390"/>
      <c r="AK237" s="391"/>
      <c r="AL237" s="390"/>
      <c r="AM237" s="391"/>
      <c r="AN237" s="390"/>
      <c r="AO237" s="391"/>
    </row>
    <row r="238" spans="1:41" s="179" customFormat="1" ht="13.5" hidden="1" customHeight="1">
      <c r="A238" s="259" t="s">
        <v>278</v>
      </c>
      <c r="B238" s="260" t="s">
        <v>279</v>
      </c>
      <c r="C238" s="261"/>
      <c r="D238" s="259">
        <v>176080</v>
      </c>
      <c r="E238" s="259">
        <v>1</v>
      </c>
      <c r="F238" s="390">
        <v>8910</v>
      </c>
      <c r="G238" s="391">
        <v>8910</v>
      </c>
      <c r="H238" s="390">
        <v>23950</v>
      </c>
      <c r="I238" s="391">
        <v>23950</v>
      </c>
      <c r="J238" s="390">
        <v>8910</v>
      </c>
      <c r="K238" s="391">
        <v>8910</v>
      </c>
      <c r="L238" s="390">
        <v>23950</v>
      </c>
      <c r="M238" s="391">
        <v>23950</v>
      </c>
      <c r="N238" s="390"/>
      <c r="O238" s="391"/>
      <c r="P238" s="390"/>
      <c r="Q238" s="391"/>
      <c r="R238" s="390"/>
      <c r="S238" s="391"/>
      <c r="T238" s="390"/>
      <c r="U238" s="391"/>
      <c r="V238" s="390"/>
      <c r="W238" s="391"/>
      <c r="X238" s="390"/>
      <c r="Y238" s="391"/>
      <c r="Z238" s="390"/>
      <c r="AA238" s="391"/>
      <c r="AB238" s="390"/>
      <c r="AC238" s="391"/>
      <c r="AD238" s="390"/>
      <c r="AE238" s="391"/>
      <c r="AF238" s="390"/>
      <c r="AG238" s="391"/>
      <c r="AH238" s="390"/>
      <c r="AI238" s="391"/>
      <c r="AJ238" s="390"/>
      <c r="AK238" s="391"/>
      <c r="AL238" s="390">
        <v>27397</v>
      </c>
      <c r="AM238" s="397">
        <f>27287+110</f>
        <v>27397</v>
      </c>
      <c r="AN238" s="390">
        <v>48597</v>
      </c>
      <c r="AO238" s="397">
        <f>48487+110</f>
        <v>48597</v>
      </c>
    </row>
    <row r="239" spans="1:41" s="179" customFormat="1" ht="15" hidden="1" customHeight="1">
      <c r="A239" s="259" t="s">
        <v>278</v>
      </c>
      <c r="B239" s="260" t="s">
        <v>282</v>
      </c>
      <c r="C239" s="262"/>
      <c r="D239" s="259">
        <v>176017</v>
      </c>
      <c r="E239" s="259">
        <v>1</v>
      </c>
      <c r="F239" s="390">
        <v>8828</v>
      </c>
      <c r="G239" s="391">
        <v>8828</v>
      </c>
      <c r="H239" s="390">
        <v>25100</v>
      </c>
      <c r="I239" s="391">
        <v>25100</v>
      </c>
      <c r="J239" s="390">
        <v>8828</v>
      </c>
      <c r="K239" s="391">
        <v>8828</v>
      </c>
      <c r="L239" s="390">
        <v>25100</v>
      </c>
      <c r="M239" s="391">
        <v>25100</v>
      </c>
      <c r="N239" s="390">
        <v>16980</v>
      </c>
      <c r="O239" s="391">
        <f>16870+110</f>
        <v>16980</v>
      </c>
      <c r="P239" s="390">
        <v>37045</v>
      </c>
      <c r="Q239" s="391">
        <f>36935+110</f>
        <v>37045</v>
      </c>
      <c r="R239" s="390">
        <v>31197</v>
      </c>
      <c r="S239" s="391">
        <v>31197</v>
      </c>
      <c r="T239" s="390">
        <v>73460</v>
      </c>
      <c r="U239" s="391">
        <v>73460</v>
      </c>
      <c r="V239" s="390">
        <v>31167</v>
      </c>
      <c r="W239" s="391">
        <v>31167</v>
      </c>
      <c r="X239" s="390">
        <v>73220</v>
      </c>
      <c r="Y239" s="391">
        <v>73220</v>
      </c>
      <c r="Z239" s="390">
        <v>26582</v>
      </c>
      <c r="AA239" s="391">
        <f>26472+110</f>
        <v>26582</v>
      </c>
      <c r="AB239" s="390">
        <v>53660</v>
      </c>
      <c r="AC239" s="391">
        <f>53550+110</f>
        <v>53660</v>
      </c>
      <c r="AD239" s="390"/>
      <c r="AE239" s="391"/>
      <c r="AF239" s="390"/>
      <c r="AG239" s="391"/>
      <c r="AH239" s="390"/>
      <c r="AI239" s="391"/>
      <c r="AJ239" s="390"/>
      <c r="AK239" s="391"/>
      <c r="AL239" s="390"/>
      <c r="AM239" s="397"/>
      <c r="AN239" s="390"/>
      <c r="AO239" s="397"/>
    </row>
    <row r="240" spans="1:41" s="201" customFormat="1" ht="12.75" hidden="1">
      <c r="A240" s="259" t="s">
        <v>278</v>
      </c>
      <c r="B240" s="260" t="s">
        <v>280</v>
      </c>
      <c r="C240" s="261"/>
      <c r="D240" s="259">
        <v>176372</v>
      </c>
      <c r="E240" s="259">
        <v>1</v>
      </c>
      <c r="F240" s="390">
        <v>8896</v>
      </c>
      <c r="G240" s="391">
        <v>8896</v>
      </c>
      <c r="H240" s="390">
        <v>10896</v>
      </c>
      <c r="I240" s="391">
        <v>10896</v>
      </c>
      <c r="J240" s="390">
        <v>8896</v>
      </c>
      <c r="K240" s="391">
        <v>8896</v>
      </c>
      <c r="L240" s="390">
        <v>10896</v>
      </c>
      <c r="M240" s="391">
        <v>10896</v>
      </c>
      <c r="N240" s="390"/>
      <c r="O240" s="391"/>
      <c r="P240" s="390"/>
      <c r="Q240" s="391"/>
      <c r="R240" s="390"/>
      <c r="S240" s="391"/>
      <c r="T240" s="390"/>
      <c r="U240" s="391"/>
      <c r="V240" s="390"/>
      <c r="W240" s="391"/>
      <c r="X240" s="390"/>
      <c r="Y240" s="391"/>
      <c r="Z240" s="390"/>
      <c r="AA240" s="391"/>
      <c r="AB240" s="390"/>
      <c r="AC240" s="391"/>
      <c r="AD240" s="390"/>
      <c r="AE240" s="391"/>
      <c r="AF240" s="390"/>
      <c r="AG240" s="391"/>
      <c r="AH240" s="390"/>
      <c r="AI240" s="391"/>
      <c r="AJ240" s="390"/>
      <c r="AK240" s="391"/>
      <c r="AL240" s="390"/>
      <c r="AM240" s="397"/>
      <c r="AN240" s="390"/>
      <c r="AO240" s="397"/>
    </row>
    <row r="241" spans="1:41" s="201" customFormat="1" ht="12.75" hidden="1">
      <c r="A241" s="259" t="s">
        <v>278</v>
      </c>
      <c r="B241" s="260" t="s">
        <v>281</v>
      </c>
      <c r="C241" s="261"/>
      <c r="D241" s="259">
        <v>175856</v>
      </c>
      <c r="E241" s="259">
        <v>2</v>
      </c>
      <c r="F241" s="390">
        <v>8445</v>
      </c>
      <c r="G241" s="391">
        <v>8445</v>
      </c>
      <c r="H241" s="390">
        <v>9445</v>
      </c>
      <c r="I241" s="391">
        <v>9445</v>
      </c>
      <c r="J241" s="390">
        <v>8445</v>
      </c>
      <c r="K241" s="391">
        <v>8445</v>
      </c>
      <c r="L241" s="390">
        <v>9445</v>
      </c>
      <c r="M241" s="391">
        <v>9445</v>
      </c>
      <c r="N241" s="390"/>
      <c r="O241" s="391"/>
      <c r="P241" s="390"/>
      <c r="Q241" s="391"/>
      <c r="R241" s="390"/>
      <c r="S241" s="391"/>
      <c r="T241" s="390"/>
      <c r="U241" s="391"/>
      <c r="V241" s="390"/>
      <c r="W241" s="391"/>
      <c r="X241" s="390"/>
      <c r="Y241" s="391"/>
      <c r="Z241" s="390"/>
      <c r="AA241" s="391"/>
      <c r="AB241" s="390"/>
      <c r="AC241" s="391"/>
      <c r="AD241" s="390"/>
      <c r="AE241" s="391"/>
      <c r="AF241" s="390"/>
      <c r="AG241" s="391"/>
      <c r="AH241" s="390"/>
      <c r="AI241" s="391"/>
      <c r="AJ241" s="390"/>
      <c r="AK241" s="391"/>
      <c r="AL241" s="390"/>
      <c r="AM241" s="397"/>
      <c r="AN241" s="390"/>
      <c r="AO241" s="397"/>
    </row>
    <row r="242" spans="1:41" s="201" customFormat="1" ht="12.75" hidden="1">
      <c r="A242" s="263" t="s">
        <v>278</v>
      </c>
      <c r="B242" s="260" t="s">
        <v>283</v>
      </c>
      <c r="C242" s="261"/>
      <c r="D242" s="259">
        <v>175342</v>
      </c>
      <c r="E242" s="259">
        <v>4</v>
      </c>
      <c r="F242" s="390">
        <v>7327</v>
      </c>
      <c r="G242" s="391">
        <v>7907</v>
      </c>
      <c r="H242" s="393">
        <v>7327</v>
      </c>
      <c r="I242" s="391">
        <v>7907</v>
      </c>
      <c r="J242" s="390">
        <v>7327</v>
      </c>
      <c r="K242" s="391">
        <v>7907</v>
      </c>
      <c r="L242" s="393">
        <v>7327</v>
      </c>
      <c r="M242" s="391">
        <v>7907</v>
      </c>
      <c r="N242" s="390"/>
      <c r="O242" s="391"/>
      <c r="P242" s="390"/>
      <c r="Q242" s="391"/>
      <c r="R242" s="390"/>
      <c r="S242" s="391"/>
      <c r="T242" s="390"/>
      <c r="U242" s="391"/>
      <c r="V242" s="390"/>
      <c r="W242" s="391"/>
      <c r="X242" s="390"/>
      <c r="Y242" s="391"/>
      <c r="Z242" s="390"/>
      <c r="AA242" s="391"/>
      <c r="AB242" s="390"/>
      <c r="AC242" s="391"/>
      <c r="AD242" s="390"/>
      <c r="AE242" s="391"/>
      <c r="AF242" s="390"/>
      <c r="AG242" s="391"/>
      <c r="AH242" s="390"/>
      <c r="AI242" s="391"/>
      <c r="AJ242" s="390"/>
      <c r="AK242" s="391"/>
      <c r="AL242" s="390"/>
      <c r="AM242" s="397"/>
      <c r="AN242" s="390"/>
      <c r="AO242" s="397"/>
    </row>
    <row r="243" spans="1:41" s="201" customFormat="1" ht="12.75" hidden="1">
      <c r="A243" s="259" t="s">
        <v>278</v>
      </c>
      <c r="B243" s="260" t="s">
        <v>284</v>
      </c>
      <c r="C243" s="261"/>
      <c r="D243" s="259">
        <v>175616</v>
      </c>
      <c r="E243" s="259">
        <v>4</v>
      </c>
      <c r="F243" s="390">
        <v>7671</v>
      </c>
      <c r="G243" s="391">
        <v>8121</v>
      </c>
      <c r="H243" s="393">
        <v>7671</v>
      </c>
      <c r="I243" s="391">
        <v>8121</v>
      </c>
      <c r="J243" s="390">
        <v>7671</v>
      </c>
      <c r="K243" s="391">
        <v>8121</v>
      </c>
      <c r="L243" s="393">
        <v>7671</v>
      </c>
      <c r="M243" s="391">
        <v>8121</v>
      </c>
      <c r="N243" s="390"/>
      <c r="O243" s="391"/>
      <c r="P243" s="390"/>
      <c r="Q243" s="391"/>
      <c r="R243" s="390"/>
      <c r="S243" s="391"/>
      <c r="T243" s="390"/>
      <c r="U243" s="391"/>
      <c r="V243" s="390"/>
      <c r="W243" s="391"/>
      <c r="X243" s="390"/>
      <c r="Y243" s="391"/>
      <c r="Z243" s="390"/>
      <c r="AA243" s="391"/>
      <c r="AB243" s="390"/>
      <c r="AC243" s="391"/>
      <c r="AD243" s="390"/>
      <c r="AE243" s="391"/>
      <c r="AF243" s="390"/>
      <c r="AG243" s="391"/>
      <c r="AH243" s="390"/>
      <c r="AI243" s="391"/>
      <c r="AJ243" s="390"/>
      <c r="AK243" s="391"/>
      <c r="AL243" s="390"/>
      <c r="AM243" s="397"/>
      <c r="AN243" s="390"/>
      <c r="AO243" s="397"/>
    </row>
    <row r="244" spans="1:41" s="201" customFormat="1" ht="12.75" hidden="1">
      <c r="A244" s="259" t="s">
        <v>278</v>
      </c>
      <c r="B244" s="260" t="s">
        <v>286</v>
      </c>
      <c r="C244" s="261"/>
      <c r="D244" s="259">
        <v>176035</v>
      </c>
      <c r="E244" s="259">
        <v>4</v>
      </c>
      <c r="F244" s="390">
        <v>7525</v>
      </c>
      <c r="G244" s="391">
        <v>7525</v>
      </c>
      <c r="H244" s="393">
        <v>7525</v>
      </c>
      <c r="I244" s="391">
        <v>7525</v>
      </c>
      <c r="J244" s="390">
        <v>7525</v>
      </c>
      <c r="K244" s="391">
        <v>7525</v>
      </c>
      <c r="L244" s="393">
        <v>7525</v>
      </c>
      <c r="M244" s="391">
        <v>7525</v>
      </c>
      <c r="N244" s="390"/>
      <c r="O244" s="391"/>
      <c r="P244" s="390"/>
      <c r="Q244" s="391"/>
      <c r="R244" s="390"/>
      <c r="S244" s="391"/>
      <c r="T244" s="390"/>
      <c r="U244" s="391"/>
      <c r="V244" s="390"/>
      <c r="W244" s="391"/>
      <c r="X244" s="390"/>
      <c r="Y244" s="391"/>
      <c r="Z244" s="390"/>
      <c r="AA244" s="391"/>
      <c r="AB244" s="390"/>
      <c r="AC244" s="391"/>
      <c r="AD244" s="390"/>
      <c r="AE244" s="391"/>
      <c r="AF244" s="390"/>
      <c r="AG244" s="391"/>
      <c r="AH244" s="390"/>
      <c r="AI244" s="391"/>
      <c r="AJ244" s="390"/>
      <c r="AK244" s="391"/>
      <c r="AL244" s="390"/>
      <c r="AM244" s="397"/>
      <c r="AN244" s="390"/>
      <c r="AO244" s="397"/>
    </row>
    <row r="245" spans="1:41" s="201" customFormat="1" ht="12.75" hidden="1">
      <c r="A245" s="259" t="s">
        <v>278</v>
      </c>
      <c r="B245" s="260" t="s">
        <v>285</v>
      </c>
      <c r="C245" s="261"/>
      <c r="D245" s="259">
        <v>176044</v>
      </c>
      <c r="E245" s="259">
        <v>4</v>
      </c>
      <c r="F245" s="390">
        <v>6746</v>
      </c>
      <c r="G245" s="391">
        <v>6746</v>
      </c>
      <c r="H245" s="393">
        <v>6746</v>
      </c>
      <c r="I245" s="391">
        <v>6746</v>
      </c>
      <c r="J245" s="390">
        <v>6746</v>
      </c>
      <c r="K245" s="391">
        <v>6746</v>
      </c>
      <c r="L245" s="393">
        <v>6746</v>
      </c>
      <c r="M245" s="391">
        <v>6746</v>
      </c>
      <c r="N245" s="390"/>
      <c r="O245" s="391"/>
      <c r="P245" s="390"/>
      <c r="Q245" s="391"/>
      <c r="R245" s="390"/>
      <c r="S245" s="391"/>
      <c r="T245" s="390"/>
      <c r="U245" s="391"/>
      <c r="V245" s="390"/>
      <c r="W245" s="391"/>
      <c r="X245" s="390"/>
      <c r="Y245" s="391"/>
      <c r="Z245" s="390"/>
      <c r="AA245" s="391"/>
      <c r="AB245" s="390"/>
      <c r="AC245" s="391"/>
      <c r="AD245" s="390"/>
      <c r="AE245" s="391"/>
      <c r="AF245" s="390"/>
      <c r="AG245" s="391"/>
      <c r="AH245" s="390"/>
      <c r="AI245" s="391"/>
      <c r="AJ245" s="390"/>
      <c r="AK245" s="391"/>
      <c r="AL245" s="390"/>
      <c r="AM245" s="397"/>
      <c r="AN245" s="390"/>
      <c r="AO245" s="397"/>
    </row>
    <row r="246" spans="1:41" s="201" customFormat="1" ht="12.75" hidden="1">
      <c r="A246" s="203" t="s">
        <v>278</v>
      </c>
      <c r="B246" s="3"/>
      <c r="C246" s="202"/>
      <c r="D246" s="4"/>
      <c r="E246" s="205"/>
      <c r="F246" s="388"/>
      <c r="G246" s="389"/>
      <c r="H246" s="388"/>
      <c r="I246" s="389"/>
      <c r="J246" s="389"/>
      <c r="K246" s="389"/>
      <c r="L246" s="388"/>
      <c r="M246" s="389"/>
      <c r="N246" s="389"/>
      <c r="O246" s="389"/>
      <c r="P246" s="388"/>
      <c r="Q246" s="389"/>
      <c r="R246" s="388"/>
      <c r="S246" s="389"/>
      <c r="T246" s="388"/>
      <c r="U246" s="389"/>
      <c r="V246" s="388"/>
      <c r="W246" s="389"/>
      <c r="X246" s="388"/>
      <c r="Y246" s="389"/>
      <c r="Z246" s="388"/>
      <c r="AA246" s="389"/>
      <c r="AB246" s="388"/>
      <c r="AC246" s="389"/>
      <c r="AD246" s="388"/>
      <c r="AE246" s="389"/>
      <c r="AF246" s="388"/>
      <c r="AG246" s="389"/>
      <c r="AH246" s="388"/>
      <c r="AI246" s="389"/>
      <c r="AJ246" s="388"/>
      <c r="AK246" s="389"/>
      <c r="AL246" s="388"/>
      <c r="AM246" s="389"/>
      <c r="AN246" s="388"/>
      <c r="AO246" s="389"/>
    </row>
    <row r="247" spans="1:41" s="201" customFormat="1" ht="12.75" hidden="1">
      <c r="A247" s="266" t="s">
        <v>287</v>
      </c>
      <c r="B247" s="267" t="s">
        <v>344</v>
      </c>
      <c r="C247" s="268"/>
      <c r="D247" s="269">
        <v>199193</v>
      </c>
      <c r="E247" s="269">
        <v>1</v>
      </c>
      <c r="F247" s="390">
        <v>9101</v>
      </c>
      <c r="G247" s="391">
        <v>9101</v>
      </c>
      <c r="H247" s="390">
        <v>29220</v>
      </c>
      <c r="I247" s="391">
        <v>29220</v>
      </c>
      <c r="J247" s="390">
        <v>11673</v>
      </c>
      <c r="K247" s="391">
        <v>11673</v>
      </c>
      <c r="L247" s="390">
        <v>28999</v>
      </c>
      <c r="M247" s="391">
        <v>28999</v>
      </c>
      <c r="N247" s="390"/>
      <c r="O247" s="391"/>
      <c r="P247" s="390"/>
      <c r="Q247" s="391"/>
      <c r="R247" s="390"/>
      <c r="S247" s="391"/>
      <c r="T247" s="390"/>
      <c r="U247" s="391"/>
      <c r="V247" s="390"/>
      <c r="W247" s="391"/>
      <c r="X247" s="390"/>
      <c r="Y247" s="391"/>
      <c r="Z247" s="390"/>
      <c r="AA247" s="391"/>
      <c r="AB247" s="390"/>
      <c r="AC247" s="391"/>
      <c r="AD247" s="390"/>
      <c r="AE247" s="391"/>
      <c r="AF247" s="390"/>
      <c r="AG247" s="391"/>
      <c r="AH247" s="390"/>
      <c r="AI247" s="391"/>
      <c r="AJ247" s="390"/>
      <c r="AK247" s="391"/>
      <c r="AL247" s="390">
        <v>19617</v>
      </c>
      <c r="AM247" s="391">
        <v>19617</v>
      </c>
      <c r="AN247" s="390">
        <v>47658</v>
      </c>
      <c r="AO247" s="391">
        <v>47658</v>
      </c>
    </row>
    <row r="248" spans="1:41" s="201" customFormat="1" ht="12.75" hidden="1">
      <c r="A248" s="266" t="s">
        <v>287</v>
      </c>
      <c r="B248" s="267" t="s">
        <v>345</v>
      </c>
      <c r="C248" s="268"/>
      <c r="D248" s="269">
        <v>199120</v>
      </c>
      <c r="E248" s="269">
        <v>1</v>
      </c>
      <c r="F248" s="390">
        <v>8980</v>
      </c>
      <c r="G248" s="391">
        <v>8980</v>
      </c>
      <c r="H248" s="390">
        <v>36159</v>
      </c>
      <c r="I248" s="391">
        <v>36159</v>
      </c>
      <c r="J248" s="390">
        <v>12522</v>
      </c>
      <c r="K248" s="391">
        <v>12522</v>
      </c>
      <c r="L248" s="390">
        <v>30248</v>
      </c>
      <c r="M248" s="391">
        <v>30248</v>
      </c>
      <c r="N248" s="390">
        <v>24480</v>
      </c>
      <c r="O248" s="391">
        <v>24480</v>
      </c>
      <c r="P248" s="390">
        <v>41626</v>
      </c>
      <c r="Q248" s="391">
        <v>41626</v>
      </c>
      <c r="R248" s="390">
        <v>34695</v>
      </c>
      <c r="S248" s="391">
        <v>34695</v>
      </c>
      <c r="T248" s="390">
        <v>62089</v>
      </c>
      <c r="U248" s="391">
        <v>62089</v>
      </c>
      <c r="V248" s="390">
        <v>40653</v>
      </c>
      <c r="W248" s="391">
        <v>40653</v>
      </c>
      <c r="X248" s="390">
        <v>67168</v>
      </c>
      <c r="Y248" s="391">
        <v>67168</v>
      </c>
      <c r="Z248" s="390">
        <v>24335</v>
      </c>
      <c r="AA248" s="391">
        <v>24335</v>
      </c>
      <c r="AB248" s="390">
        <v>46896</v>
      </c>
      <c r="AC248" s="391">
        <v>46896</v>
      </c>
      <c r="AD248" s="390"/>
      <c r="AE248" s="391"/>
      <c r="AF248" s="390"/>
      <c r="AG248" s="391"/>
      <c r="AH248" s="390"/>
      <c r="AI248" s="391"/>
      <c r="AJ248" s="390"/>
      <c r="AK248" s="391"/>
      <c r="AL248" s="390"/>
      <c r="AM248" s="391"/>
      <c r="AN248" s="390"/>
      <c r="AO248" s="391"/>
    </row>
    <row r="249" spans="1:41" s="201" customFormat="1" ht="12.75" hidden="1">
      <c r="A249" s="266" t="s">
        <v>287</v>
      </c>
      <c r="B249" s="267" t="s">
        <v>346</v>
      </c>
      <c r="C249" s="270"/>
      <c r="D249" s="269">
        <v>199139</v>
      </c>
      <c r="E249" s="269">
        <v>1</v>
      </c>
      <c r="F249" s="390">
        <v>6905</v>
      </c>
      <c r="G249" s="391">
        <v>6941</v>
      </c>
      <c r="H249" s="390">
        <v>20339</v>
      </c>
      <c r="I249" s="391">
        <v>20375</v>
      </c>
      <c r="J249" s="390">
        <v>7430</v>
      </c>
      <c r="K249" s="391">
        <v>7466</v>
      </c>
      <c r="L249" s="390">
        <v>20864</v>
      </c>
      <c r="M249" s="391">
        <v>20900</v>
      </c>
      <c r="N249" s="390"/>
      <c r="O249" s="391"/>
      <c r="P249" s="390"/>
      <c r="Q249" s="391"/>
      <c r="R249" s="390"/>
      <c r="S249" s="391"/>
      <c r="T249" s="390"/>
      <c r="U249" s="391"/>
      <c r="V249" s="390"/>
      <c r="W249" s="391"/>
      <c r="X249" s="390"/>
      <c r="Y249" s="391"/>
      <c r="Z249" s="390"/>
      <c r="AA249" s="391"/>
      <c r="AB249" s="390"/>
      <c r="AC249" s="391"/>
      <c r="AD249" s="390"/>
      <c r="AE249" s="391"/>
      <c r="AF249" s="390"/>
      <c r="AG249" s="391"/>
      <c r="AH249" s="390"/>
      <c r="AI249" s="391"/>
      <c r="AJ249" s="390"/>
      <c r="AK249" s="391"/>
      <c r="AL249" s="390"/>
      <c r="AM249" s="391"/>
      <c r="AN249" s="390"/>
      <c r="AO249" s="391"/>
    </row>
    <row r="250" spans="1:41" s="201" customFormat="1" ht="12.75" hidden="1">
      <c r="A250" s="266" t="s">
        <v>287</v>
      </c>
      <c r="B250" s="267" t="s">
        <v>347</v>
      </c>
      <c r="C250" s="268"/>
      <c r="D250" s="269">
        <v>199148</v>
      </c>
      <c r="E250" s="269">
        <v>1</v>
      </c>
      <c r="F250" s="390">
        <v>7403</v>
      </c>
      <c r="G250" s="391">
        <v>7403</v>
      </c>
      <c r="H250" s="390">
        <v>22562</v>
      </c>
      <c r="I250" s="391">
        <v>22562</v>
      </c>
      <c r="J250" s="390">
        <v>8200</v>
      </c>
      <c r="K250" s="391">
        <v>8200</v>
      </c>
      <c r="L250" s="390">
        <v>21918</v>
      </c>
      <c r="M250" s="391">
        <v>21918</v>
      </c>
      <c r="N250" s="390"/>
      <c r="O250" s="391"/>
      <c r="P250" s="390"/>
      <c r="Q250" s="391"/>
      <c r="R250" s="390"/>
      <c r="S250" s="391"/>
      <c r="T250" s="390"/>
      <c r="U250" s="391"/>
      <c r="V250" s="390"/>
      <c r="W250" s="391"/>
      <c r="X250" s="390"/>
      <c r="Y250" s="391"/>
      <c r="Z250" s="390"/>
      <c r="AA250" s="391"/>
      <c r="AB250" s="390"/>
      <c r="AC250" s="391"/>
      <c r="AD250" s="390"/>
      <c r="AE250" s="391"/>
      <c r="AF250" s="390"/>
      <c r="AG250" s="391"/>
      <c r="AH250" s="390"/>
      <c r="AI250" s="391"/>
      <c r="AJ250" s="390"/>
      <c r="AK250" s="391"/>
      <c r="AL250" s="390"/>
      <c r="AM250" s="391"/>
      <c r="AN250" s="390"/>
      <c r="AO250" s="391"/>
    </row>
    <row r="251" spans="1:41" s="201" customFormat="1" ht="12.75" hidden="1">
      <c r="A251" s="266" t="s">
        <v>287</v>
      </c>
      <c r="B251" s="267" t="s">
        <v>348</v>
      </c>
      <c r="C251" s="270"/>
      <c r="D251" s="269">
        <v>198464</v>
      </c>
      <c r="E251" s="269">
        <v>2</v>
      </c>
      <c r="F251" s="390">
        <v>7238</v>
      </c>
      <c r="G251" s="391">
        <v>7239</v>
      </c>
      <c r="H251" s="390">
        <v>23515</v>
      </c>
      <c r="I251" s="391">
        <v>23516</v>
      </c>
      <c r="J251" s="390">
        <v>7535</v>
      </c>
      <c r="K251" s="391">
        <v>7536</v>
      </c>
      <c r="L251" s="390">
        <v>20684</v>
      </c>
      <c r="M251" s="391">
        <v>20685</v>
      </c>
      <c r="N251" s="390"/>
      <c r="O251" s="391"/>
      <c r="P251" s="390"/>
      <c r="Q251" s="391"/>
      <c r="R251" s="390">
        <v>23154</v>
      </c>
      <c r="S251" s="391">
        <v>23154</v>
      </c>
      <c r="T251" s="393">
        <v>23154</v>
      </c>
      <c r="U251" s="391">
        <v>23154</v>
      </c>
      <c r="V251" s="390">
        <v>33046</v>
      </c>
      <c r="W251" s="391">
        <v>33046</v>
      </c>
      <c r="X251" s="393">
        <v>33046</v>
      </c>
      <c r="Y251" s="391">
        <v>33046</v>
      </c>
      <c r="Z251" s="390"/>
      <c r="AA251" s="391"/>
      <c r="AB251" s="390"/>
      <c r="AC251" s="391"/>
      <c r="AD251" s="390"/>
      <c r="AE251" s="391"/>
      <c r="AF251" s="390"/>
      <c r="AG251" s="391"/>
      <c r="AH251" s="390"/>
      <c r="AI251" s="391"/>
      <c r="AJ251" s="390"/>
      <c r="AK251" s="391"/>
      <c r="AL251" s="390"/>
      <c r="AM251" s="391"/>
      <c r="AN251" s="390"/>
      <c r="AO251" s="391"/>
    </row>
    <row r="252" spans="1:41" s="201" customFormat="1" ht="12.75" hidden="1">
      <c r="A252" s="266" t="s">
        <v>287</v>
      </c>
      <c r="B252" s="267" t="s">
        <v>349</v>
      </c>
      <c r="C252" s="268"/>
      <c r="D252" s="269">
        <v>197869</v>
      </c>
      <c r="E252" s="269">
        <v>3</v>
      </c>
      <c r="F252" s="390">
        <v>7409</v>
      </c>
      <c r="G252" s="391">
        <v>7410</v>
      </c>
      <c r="H252" s="390">
        <v>22216</v>
      </c>
      <c r="I252" s="391">
        <v>22217</v>
      </c>
      <c r="J252" s="390">
        <v>7976</v>
      </c>
      <c r="K252" s="391">
        <v>8007</v>
      </c>
      <c r="L252" s="390">
        <v>21408</v>
      </c>
      <c r="M252" s="391">
        <v>21439</v>
      </c>
      <c r="N252" s="390"/>
      <c r="O252" s="391"/>
      <c r="P252" s="390"/>
      <c r="Q252" s="391"/>
      <c r="R252" s="390"/>
      <c r="S252" s="391"/>
      <c r="T252" s="390"/>
      <c r="U252" s="391"/>
      <c r="V252" s="390"/>
      <c r="W252" s="391"/>
      <c r="X252" s="390"/>
      <c r="Y252" s="391"/>
      <c r="Z252" s="390"/>
      <c r="AA252" s="391"/>
      <c r="AB252" s="390"/>
      <c r="AC252" s="391"/>
      <c r="AD252" s="390"/>
      <c r="AE252" s="391"/>
      <c r="AF252" s="390"/>
      <c r="AG252" s="391"/>
      <c r="AH252" s="390"/>
      <c r="AI252" s="391"/>
      <c r="AJ252" s="390"/>
      <c r="AK252" s="391"/>
      <c r="AL252" s="390"/>
      <c r="AM252" s="391"/>
      <c r="AN252" s="390"/>
      <c r="AO252" s="391"/>
    </row>
    <row r="253" spans="1:41" s="201" customFormat="1" ht="12.75" hidden="1">
      <c r="A253" s="266" t="s">
        <v>287</v>
      </c>
      <c r="B253" s="267" t="s">
        <v>350</v>
      </c>
      <c r="C253" s="378" t="s">
        <v>911</v>
      </c>
      <c r="D253" s="269">
        <v>199102</v>
      </c>
      <c r="E253" s="269">
        <v>3</v>
      </c>
      <c r="F253" s="390">
        <v>6657</v>
      </c>
      <c r="G253" s="391">
        <v>6657</v>
      </c>
      <c r="H253" s="390">
        <v>20167</v>
      </c>
      <c r="I253" s="391">
        <v>20167</v>
      </c>
      <c r="J253" s="390">
        <v>7862</v>
      </c>
      <c r="K253" s="391">
        <v>7862</v>
      </c>
      <c r="L253" s="390">
        <v>20662</v>
      </c>
      <c r="M253" s="391">
        <v>20662</v>
      </c>
      <c r="N253" s="390"/>
      <c r="O253" s="391"/>
      <c r="P253" s="390"/>
      <c r="Q253" s="391"/>
      <c r="R253" s="390"/>
      <c r="S253" s="391"/>
      <c r="T253" s="390"/>
      <c r="U253" s="391"/>
      <c r="V253" s="390"/>
      <c r="W253" s="391"/>
      <c r="X253" s="390"/>
      <c r="Y253" s="391"/>
      <c r="Z253" s="390"/>
      <c r="AA253" s="391"/>
      <c r="AB253" s="390"/>
      <c r="AC253" s="391"/>
      <c r="AD253" s="390"/>
      <c r="AE253" s="391"/>
      <c r="AF253" s="390"/>
      <c r="AG253" s="391"/>
      <c r="AH253" s="390"/>
      <c r="AI253" s="391"/>
      <c r="AJ253" s="390"/>
      <c r="AK253" s="391"/>
      <c r="AL253" s="390"/>
      <c r="AM253" s="391"/>
      <c r="AN253" s="390"/>
      <c r="AO253" s="391"/>
    </row>
    <row r="254" spans="1:41" s="201" customFormat="1" ht="12.75" hidden="1">
      <c r="A254" s="266" t="s">
        <v>287</v>
      </c>
      <c r="B254" s="267" t="s">
        <v>351</v>
      </c>
      <c r="C254" s="268"/>
      <c r="D254" s="269">
        <v>199157</v>
      </c>
      <c r="E254" s="269">
        <v>3</v>
      </c>
      <c r="F254" s="390">
        <v>6534</v>
      </c>
      <c r="G254" s="391">
        <v>6629</v>
      </c>
      <c r="H254" s="390">
        <v>19241</v>
      </c>
      <c r="I254" s="391">
        <v>19336</v>
      </c>
      <c r="J254" s="390">
        <v>7546</v>
      </c>
      <c r="K254" s="391">
        <v>7641</v>
      </c>
      <c r="L254" s="390">
        <v>20500</v>
      </c>
      <c r="M254" s="391">
        <v>20595</v>
      </c>
      <c r="N254" s="390">
        <v>16196</v>
      </c>
      <c r="O254" s="391">
        <v>16345</v>
      </c>
      <c r="P254" s="390">
        <v>38868</v>
      </c>
      <c r="Q254" s="391">
        <v>39017</v>
      </c>
      <c r="R254" s="390"/>
      <c r="S254" s="391"/>
      <c r="T254" s="390"/>
      <c r="U254" s="391"/>
      <c r="V254" s="390"/>
      <c r="W254" s="391"/>
      <c r="X254" s="390"/>
      <c r="Y254" s="391"/>
      <c r="Z254" s="390"/>
      <c r="AA254" s="391"/>
      <c r="AB254" s="390"/>
      <c r="AC254" s="391"/>
      <c r="AD254" s="390"/>
      <c r="AE254" s="391"/>
      <c r="AF254" s="390"/>
      <c r="AG254" s="391"/>
      <c r="AH254" s="390"/>
      <c r="AI254" s="391"/>
      <c r="AJ254" s="390"/>
      <c r="AK254" s="391"/>
      <c r="AL254" s="390"/>
      <c r="AM254" s="391"/>
      <c r="AN254" s="390"/>
      <c r="AO254" s="391"/>
    </row>
    <row r="255" spans="1:41" s="201" customFormat="1" ht="12.75" hidden="1">
      <c r="A255" s="266" t="s">
        <v>287</v>
      </c>
      <c r="B255" s="267" t="s">
        <v>352</v>
      </c>
      <c r="C255" s="268"/>
      <c r="D255" s="269">
        <v>199218</v>
      </c>
      <c r="E255" s="269">
        <v>3</v>
      </c>
      <c r="F255" s="390">
        <v>7181</v>
      </c>
      <c r="G255" s="391">
        <v>7181</v>
      </c>
      <c r="H255" s="390">
        <v>21246</v>
      </c>
      <c r="I255" s="391">
        <v>21246</v>
      </c>
      <c r="J255" s="390">
        <v>7457</v>
      </c>
      <c r="K255" s="391">
        <v>7457</v>
      </c>
      <c r="L255" s="390">
        <v>21286</v>
      </c>
      <c r="M255" s="391">
        <v>21286</v>
      </c>
      <c r="N255" s="390"/>
      <c r="O255" s="391"/>
      <c r="P255" s="390"/>
      <c r="Q255" s="391"/>
      <c r="R255" s="390"/>
      <c r="S255" s="391"/>
      <c r="T255" s="390"/>
      <c r="U255" s="391"/>
      <c r="V255" s="390"/>
      <c r="W255" s="391"/>
      <c r="X255" s="390"/>
      <c r="Y255" s="391"/>
      <c r="Z255" s="390"/>
      <c r="AA255" s="391"/>
      <c r="AB255" s="390"/>
      <c r="AC255" s="391"/>
      <c r="AD255" s="390"/>
      <c r="AE255" s="391"/>
      <c r="AF255" s="390"/>
      <c r="AG255" s="391"/>
      <c r="AH255" s="390"/>
      <c r="AI255" s="391"/>
      <c r="AJ255" s="390"/>
      <c r="AK255" s="391"/>
      <c r="AL255" s="390"/>
      <c r="AM255" s="391"/>
      <c r="AN255" s="390"/>
      <c r="AO255" s="391"/>
    </row>
    <row r="256" spans="1:41" s="201" customFormat="1" ht="12.75" hidden="1">
      <c r="A256" s="266" t="s">
        <v>287</v>
      </c>
      <c r="B256" s="267" t="s">
        <v>353</v>
      </c>
      <c r="C256" s="268"/>
      <c r="D256" s="269">
        <v>200004</v>
      </c>
      <c r="E256" s="269">
        <v>3</v>
      </c>
      <c r="F256" s="390">
        <v>4277</v>
      </c>
      <c r="G256" s="391">
        <v>4285</v>
      </c>
      <c r="H256" s="390">
        <v>8277</v>
      </c>
      <c r="I256" s="391">
        <v>8285</v>
      </c>
      <c r="J256" s="390">
        <v>7414</v>
      </c>
      <c r="K256" s="391">
        <v>7414</v>
      </c>
      <c r="L256" s="390">
        <v>17821</v>
      </c>
      <c r="M256" s="391">
        <v>17821</v>
      </c>
      <c r="N256" s="390"/>
      <c r="O256" s="391"/>
      <c r="P256" s="390"/>
      <c r="Q256" s="391"/>
      <c r="R256" s="390"/>
      <c r="S256" s="391"/>
      <c r="T256" s="390"/>
      <c r="U256" s="391"/>
      <c r="V256" s="390"/>
      <c r="W256" s="391"/>
      <c r="X256" s="390"/>
      <c r="Y256" s="391"/>
      <c r="Z256" s="390"/>
      <c r="AA256" s="391"/>
      <c r="AB256" s="390"/>
      <c r="AC256" s="391"/>
      <c r="AD256" s="390"/>
      <c r="AE256" s="391"/>
      <c r="AF256" s="390"/>
      <c r="AG256" s="391"/>
      <c r="AH256" s="390"/>
      <c r="AI256" s="391"/>
      <c r="AJ256" s="390"/>
      <c r="AK256" s="391"/>
      <c r="AL256" s="390"/>
      <c r="AM256" s="391"/>
      <c r="AN256" s="390"/>
      <c r="AO256" s="391"/>
    </row>
    <row r="257" spans="1:41" s="201" customFormat="1" ht="12.75" hidden="1">
      <c r="A257" s="266" t="s">
        <v>287</v>
      </c>
      <c r="B257" s="267" t="s">
        <v>354</v>
      </c>
      <c r="C257" s="268"/>
      <c r="D257" s="269">
        <v>198543</v>
      </c>
      <c r="E257" s="269">
        <v>4</v>
      </c>
      <c r="F257" s="390">
        <v>5274</v>
      </c>
      <c r="G257" s="391">
        <v>5309</v>
      </c>
      <c r="H257" s="390">
        <v>16882</v>
      </c>
      <c r="I257" s="391">
        <v>16917</v>
      </c>
      <c r="J257" s="390">
        <v>5730</v>
      </c>
      <c r="K257" s="391">
        <v>5765</v>
      </c>
      <c r="L257" s="390">
        <v>16795</v>
      </c>
      <c r="M257" s="391">
        <v>16830</v>
      </c>
      <c r="N257" s="390"/>
      <c r="O257" s="391"/>
      <c r="P257" s="390"/>
      <c r="Q257" s="391"/>
      <c r="R257" s="390"/>
      <c r="S257" s="391"/>
      <c r="T257" s="390"/>
      <c r="U257" s="391"/>
      <c r="V257" s="390"/>
      <c r="W257" s="391"/>
      <c r="X257" s="390"/>
      <c r="Y257" s="391"/>
      <c r="Z257" s="390"/>
      <c r="AA257" s="391"/>
      <c r="AB257" s="390"/>
      <c r="AC257" s="391"/>
      <c r="AD257" s="390"/>
      <c r="AE257" s="391"/>
      <c r="AF257" s="390"/>
      <c r="AG257" s="391"/>
      <c r="AH257" s="390"/>
      <c r="AI257" s="391"/>
      <c r="AJ257" s="390"/>
      <c r="AK257" s="391"/>
      <c r="AL257" s="390"/>
      <c r="AM257" s="391"/>
      <c r="AN257" s="390"/>
      <c r="AO257" s="391"/>
    </row>
    <row r="258" spans="1:41" s="201" customFormat="1" ht="12.75" hidden="1">
      <c r="A258" s="266" t="s">
        <v>287</v>
      </c>
      <c r="B258" s="267" t="s">
        <v>355</v>
      </c>
      <c r="C258" s="268"/>
      <c r="D258" s="269">
        <v>199281</v>
      </c>
      <c r="E258" s="269">
        <v>5</v>
      </c>
      <c r="F258" s="390">
        <v>3490</v>
      </c>
      <c r="G258" s="391">
        <v>3456</v>
      </c>
      <c r="H258" s="390">
        <v>7490</v>
      </c>
      <c r="I258" s="391">
        <v>7456</v>
      </c>
      <c r="J258" s="390">
        <v>6770</v>
      </c>
      <c r="K258" s="391">
        <v>6736</v>
      </c>
      <c r="L258" s="390">
        <v>18834</v>
      </c>
      <c r="M258" s="391">
        <v>18800</v>
      </c>
      <c r="N258" s="390"/>
      <c r="O258" s="391"/>
      <c r="P258" s="390"/>
      <c r="Q258" s="391"/>
      <c r="R258" s="390"/>
      <c r="S258" s="391"/>
      <c r="T258" s="390"/>
      <c r="U258" s="391"/>
      <c r="V258" s="390"/>
      <c r="W258" s="391"/>
      <c r="X258" s="390"/>
      <c r="Y258" s="391"/>
      <c r="Z258" s="390"/>
      <c r="AA258" s="391"/>
      <c r="AB258" s="390"/>
      <c r="AC258" s="391"/>
      <c r="AD258" s="390"/>
      <c r="AE258" s="391"/>
      <c r="AF258" s="390"/>
      <c r="AG258" s="391"/>
      <c r="AH258" s="390"/>
      <c r="AI258" s="391"/>
      <c r="AJ258" s="390"/>
      <c r="AK258" s="391"/>
      <c r="AL258" s="390"/>
      <c r="AM258" s="391"/>
      <c r="AN258" s="390"/>
      <c r="AO258" s="391"/>
    </row>
    <row r="259" spans="1:41" s="201" customFormat="1" ht="12.75" hidden="1">
      <c r="A259" s="266" t="s">
        <v>287</v>
      </c>
      <c r="B259" s="267" t="s">
        <v>356</v>
      </c>
      <c r="C259" s="268"/>
      <c r="D259" s="269">
        <v>199999</v>
      </c>
      <c r="E259" s="269">
        <v>5</v>
      </c>
      <c r="F259" s="390">
        <v>5941</v>
      </c>
      <c r="G259" s="391">
        <v>5941</v>
      </c>
      <c r="H259" s="390">
        <v>16188</v>
      </c>
      <c r="I259" s="391">
        <v>16188</v>
      </c>
      <c r="J259" s="390">
        <v>6412</v>
      </c>
      <c r="K259" s="391">
        <v>6412</v>
      </c>
      <c r="L259" s="390">
        <v>16527</v>
      </c>
      <c r="M259" s="391">
        <v>16527</v>
      </c>
      <c r="N259" s="390"/>
      <c r="O259" s="391"/>
      <c r="P259" s="390"/>
      <c r="Q259" s="391"/>
      <c r="R259" s="390"/>
      <c r="S259" s="391"/>
      <c r="T259" s="390"/>
      <c r="U259" s="391"/>
      <c r="V259" s="390"/>
      <c r="W259" s="391"/>
      <c r="X259" s="390"/>
      <c r="Y259" s="391"/>
      <c r="Z259" s="390"/>
      <c r="AA259" s="391"/>
      <c r="AB259" s="390"/>
      <c r="AC259" s="391"/>
      <c r="AD259" s="390"/>
      <c r="AE259" s="391"/>
      <c r="AF259" s="390"/>
      <c r="AG259" s="391"/>
      <c r="AH259" s="390"/>
      <c r="AI259" s="391"/>
      <c r="AJ259" s="390"/>
      <c r="AK259" s="391"/>
      <c r="AL259" s="390"/>
      <c r="AM259" s="391"/>
      <c r="AN259" s="390"/>
      <c r="AO259" s="391"/>
    </row>
    <row r="260" spans="1:41" s="201" customFormat="1" ht="12.75">
      <c r="A260" s="266" t="s">
        <v>287</v>
      </c>
      <c r="B260" s="267" t="s">
        <v>357</v>
      </c>
      <c r="C260" s="268"/>
      <c r="D260" s="269">
        <v>198507</v>
      </c>
      <c r="E260" s="269">
        <v>6</v>
      </c>
      <c r="F260" s="390">
        <v>3260</v>
      </c>
      <c r="G260" s="391">
        <v>3260</v>
      </c>
      <c r="H260" s="390">
        <v>7260</v>
      </c>
      <c r="I260" s="391">
        <v>7260</v>
      </c>
      <c r="J260" s="390">
        <v>5635</v>
      </c>
      <c r="K260" s="391">
        <v>5635</v>
      </c>
      <c r="L260" s="390">
        <v>18697</v>
      </c>
      <c r="M260" s="391">
        <v>18697</v>
      </c>
      <c r="N260" s="390"/>
      <c r="O260" s="391"/>
      <c r="P260" s="390"/>
      <c r="Q260" s="391"/>
      <c r="R260" s="390"/>
      <c r="S260" s="391"/>
      <c r="T260" s="390"/>
      <c r="U260" s="391"/>
      <c r="V260" s="390"/>
      <c r="W260" s="391"/>
      <c r="X260" s="390"/>
      <c r="Y260" s="391"/>
      <c r="Z260" s="390"/>
      <c r="AA260" s="391"/>
      <c r="AB260" s="390"/>
      <c r="AC260" s="391"/>
      <c r="AD260" s="390"/>
      <c r="AE260" s="391"/>
      <c r="AF260" s="390"/>
      <c r="AG260" s="391"/>
      <c r="AH260" s="390"/>
      <c r="AI260" s="391"/>
      <c r="AJ260" s="390"/>
      <c r="AK260" s="391"/>
      <c r="AL260" s="390"/>
      <c r="AM260" s="391"/>
      <c r="AN260" s="390"/>
      <c r="AO260" s="391"/>
    </row>
    <row r="261" spans="1:41" s="201" customFormat="1" ht="12.75">
      <c r="A261" s="266" t="s">
        <v>287</v>
      </c>
      <c r="B261" s="267" t="s">
        <v>358</v>
      </c>
      <c r="C261" s="268"/>
      <c r="D261" s="269">
        <v>199111</v>
      </c>
      <c r="E261" s="269">
        <v>6</v>
      </c>
      <c r="F261" s="390">
        <v>7231</v>
      </c>
      <c r="G261" s="391">
        <v>7244</v>
      </c>
      <c r="H261" s="390">
        <v>24579</v>
      </c>
      <c r="I261" s="391">
        <v>24592</v>
      </c>
      <c r="J261" s="390">
        <v>8023</v>
      </c>
      <c r="K261" s="391">
        <v>8036</v>
      </c>
      <c r="L261" s="390">
        <v>24345</v>
      </c>
      <c r="M261" s="391">
        <v>24358</v>
      </c>
      <c r="N261" s="390"/>
      <c r="O261" s="391"/>
      <c r="P261" s="390"/>
      <c r="Q261" s="391"/>
      <c r="R261" s="390"/>
      <c r="S261" s="391"/>
      <c r="T261" s="390"/>
      <c r="U261" s="391"/>
      <c r="V261" s="390"/>
      <c r="W261" s="391"/>
      <c r="X261" s="390"/>
      <c r="Y261" s="391"/>
      <c r="Z261" s="390"/>
      <c r="AA261" s="391"/>
      <c r="AB261" s="390"/>
      <c r="AC261" s="391"/>
      <c r="AD261" s="390"/>
      <c r="AE261" s="391"/>
      <c r="AF261" s="390"/>
      <c r="AG261" s="391"/>
      <c r="AH261" s="390"/>
      <c r="AI261" s="391"/>
      <c r="AJ261" s="390"/>
      <c r="AK261" s="391"/>
      <c r="AL261" s="390"/>
      <c r="AM261" s="391"/>
      <c r="AN261" s="390"/>
      <c r="AO261" s="391"/>
    </row>
    <row r="262" spans="1:41" s="201" customFormat="1" ht="12.75" hidden="1">
      <c r="A262" s="266" t="s">
        <v>287</v>
      </c>
      <c r="B262" s="267" t="s">
        <v>623</v>
      </c>
      <c r="C262" s="268"/>
      <c r="D262" s="269">
        <v>199184</v>
      </c>
      <c r="E262" s="269">
        <v>15</v>
      </c>
      <c r="F262" s="390">
        <v>9358</v>
      </c>
      <c r="G262" s="391">
        <v>9358</v>
      </c>
      <c r="H262" s="390">
        <v>25901</v>
      </c>
      <c r="I262" s="391">
        <v>25901</v>
      </c>
      <c r="J262" s="390">
        <v>12057</v>
      </c>
      <c r="K262" s="391">
        <v>12057</v>
      </c>
      <c r="L262" s="390">
        <v>26064</v>
      </c>
      <c r="M262" s="391">
        <v>26064</v>
      </c>
      <c r="N262" s="390"/>
      <c r="O262" s="391"/>
      <c r="P262" s="390"/>
      <c r="Q262" s="391"/>
      <c r="R262" s="390"/>
      <c r="S262" s="391"/>
      <c r="T262" s="390"/>
      <c r="U262" s="391"/>
      <c r="V262" s="390"/>
      <c r="W262" s="391"/>
      <c r="X262" s="390"/>
      <c r="Y262" s="391"/>
      <c r="Z262" s="390"/>
      <c r="AA262" s="391"/>
      <c r="AB262" s="390"/>
      <c r="AC262" s="391"/>
      <c r="AD262" s="390"/>
      <c r="AE262" s="391"/>
      <c r="AF262" s="390"/>
      <c r="AG262" s="391"/>
      <c r="AH262" s="390"/>
      <c r="AI262" s="391"/>
      <c r="AJ262" s="390"/>
      <c r="AK262" s="391"/>
      <c r="AL262" s="390"/>
      <c r="AM262" s="391"/>
      <c r="AN262" s="390"/>
      <c r="AO262" s="391"/>
    </row>
    <row r="263" spans="1:41" s="201" customFormat="1" ht="12.75" hidden="1">
      <c r="A263" s="236" t="s">
        <v>287</v>
      </c>
      <c r="B263" s="237" t="s">
        <v>289</v>
      </c>
      <c r="C263" s="238"/>
      <c r="D263" s="239">
        <v>197887</v>
      </c>
      <c r="E263" s="239">
        <v>8</v>
      </c>
      <c r="F263" s="390">
        <v>2632</v>
      </c>
      <c r="G263" s="391">
        <v>2632</v>
      </c>
      <c r="H263" s="390">
        <v>8776</v>
      </c>
      <c r="I263" s="391">
        <v>8776</v>
      </c>
      <c r="J263" s="390"/>
      <c r="K263" s="391"/>
      <c r="L263" s="390"/>
      <c r="M263" s="391"/>
      <c r="N263" s="390"/>
      <c r="O263" s="391"/>
      <c r="P263" s="390"/>
      <c r="Q263" s="391"/>
      <c r="R263" s="390"/>
      <c r="S263" s="391"/>
      <c r="T263" s="390"/>
      <c r="U263" s="391"/>
      <c r="V263" s="390"/>
      <c r="W263" s="391"/>
      <c r="X263" s="390"/>
      <c r="Y263" s="391"/>
      <c r="Z263" s="390"/>
      <c r="AA263" s="391"/>
      <c r="AB263" s="390"/>
      <c r="AC263" s="391"/>
      <c r="AD263" s="390"/>
      <c r="AE263" s="391"/>
      <c r="AF263" s="390"/>
      <c r="AG263" s="391"/>
      <c r="AH263" s="390"/>
      <c r="AI263" s="391"/>
      <c r="AJ263" s="390"/>
      <c r="AK263" s="391"/>
      <c r="AL263" s="390"/>
      <c r="AM263" s="391"/>
      <c r="AN263" s="390"/>
      <c r="AO263" s="391"/>
    </row>
    <row r="264" spans="1:41" s="201" customFormat="1" ht="12.75" hidden="1">
      <c r="A264" s="236" t="s">
        <v>287</v>
      </c>
      <c r="B264" s="237" t="s">
        <v>295</v>
      </c>
      <c r="C264" s="238"/>
      <c r="D264" s="239">
        <v>198154</v>
      </c>
      <c r="E264" s="239">
        <v>8</v>
      </c>
      <c r="F264" s="390">
        <v>2748</v>
      </c>
      <c r="G264" s="391">
        <v>2748</v>
      </c>
      <c r="H264" s="390">
        <v>8892</v>
      </c>
      <c r="I264" s="391">
        <v>8892</v>
      </c>
      <c r="J264" s="390"/>
      <c r="K264" s="391"/>
      <c r="L264" s="390"/>
      <c r="M264" s="391"/>
      <c r="N264" s="390"/>
      <c r="O264" s="391"/>
      <c r="P264" s="390"/>
      <c r="Q264" s="391"/>
      <c r="R264" s="390"/>
      <c r="S264" s="391"/>
      <c r="T264" s="390"/>
      <c r="U264" s="391"/>
      <c r="V264" s="390"/>
      <c r="W264" s="391"/>
      <c r="X264" s="390"/>
      <c r="Y264" s="391"/>
      <c r="Z264" s="390"/>
      <c r="AA264" s="391"/>
      <c r="AB264" s="390"/>
      <c r="AC264" s="391"/>
      <c r="AD264" s="390"/>
      <c r="AE264" s="391"/>
      <c r="AF264" s="390"/>
      <c r="AG264" s="391"/>
      <c r="AH264" s="390"/>
      <c r="AI264" s="391"/>
      <c r="AJ264" s="390"/>
      <c r="AK264" s="391"/>
      <c r="AL264" s="390"/>
      <c r="AM264" s="391"/>
      <c r="AN264" s="390"/>
      <c r="AO264" s="391"/>
    </row>
    <row r="265" spans="1:41" s="201" customFormat="1" ht="12.75" hidden="1">
      <c r="A265" s="236" t="s">
        <v>287</v>
      </c>
      <c r="B265" s="237" t="s">
        <v>299</v>
      </c>
      <c r="C265" s="238"/>
      <c r="D265" s="239">
        <v>198260</v>
      </c>
      <c r="E265" s="239">
        <v>8</v>
      </c>
      <c r="F265" s="390">
        <v>2792</v>
      </c>
      <c r="G265" s="391">
        <v>2792</v>
      </c>
      <c r="H265" s="390">
        <v>8936</v>
      </c>
      <c r="I265" s="391">
        <v>8936</v>
      </c>
      <c r="J265" s="390"/>
      <c r="K265" s="391"/>
      <c r="L265" s="390"/>
      <c r="M265" s="391"/>
      <c r="N265" s="390"/>
      <c r="O265" s="391"/>
      <c r="P265" s="390"/>
      <c r="Q265" s="391"/>
      <c r="R265" s="390"/>
      <c r="S265" s="391"/>
      <c r="T265" s="390"/>
      <c r="U265" s="391"/>
      <c r="V265" s="390"/>
      <c r="W265" s="391"/>
      <c r="X265" s="390"/>
      <c r="Y265" s="391"/>
      <c r="Z265" s="390"/>
      <c r="AA265" s="391"/>
      <c r="AB265" s="390"/>
      <c r="AC265" s="391"/>
      <c r="AD265" s="390"/>
      <c r="AE265" s="391"/>
      <c r="AF265" s="390"/>
      <c r="AG265" s="391"/>
      <c r="AH265" s="390"/>
      <c r="AI265" s="391"/>
      <c r="AJ265" s="390"/>
      <c r="AK265" s="391"/>
      <c r="AL265" s="390"/>
      <c r="AM265" s="391"/>
      <c r="AN265" s="390"/>
      <c r="AO265" s="391"/>
    </row>
    <row r="266" spans="1:41" s="201" customFormat="1" ht="12.75" hidden="1">
      <c r="A266" s="236" t="s">
        <v>287</v>
      </c>
      <c r="B266" s="237" t="s">
        <v>305</v>
      </c>
      <c r="C266" s="238"/>
      <c r="D266" s="239">
        <v>198534</v>
      </c>
      <c r="E266" s="239">
        <v>8</v>
      </c>
      <c r="F266" s="390">
        <v>2544</v>
      </c>
      <c r="G266" s="391">
        <v>2544</v>
      </c>
      <c r="H266" s="390">
        <v>8688</v>
      </c>
      <c r="I266" s="391">
        <v>8688</v>
      </c>
      <c r="J266" s="390"/>
      <c r="K266" s="391"/>
      <c r="L266" s="390"/>
      <c r="M266" s="391"/>
      <c r="N266" s="390"/>
      <c r="O266" s="391"/>
      <c r="P266" s="390"/>
      <c r="Q266" s="391"/>
      <c r="R266" s="390"/>
      <c r="S266" s="391"/>
      <c r="T266" s="390"/>
      <c r="U266" s="391"/>
      <c r="V266" s="390"/>
      <c r="W266" s="391"/>
      <c r="X266" s="390"/>
      <c r="Y266" s="391"/>
      <c r="Z266" s="390"/>
      <c r="AA266" s="391"/>
      <c r="AB266" s="390"/>
      <c r="AC266" s="391"/>
      <c r="AD266" s="390"/>
      <c r="AE266" s="391"/>
      <c r="AF266" s="390"/>
      <c r="AG266" s="391"/>
      <c r="AH266" s="390"/>
      <c r="AI266" s="391"/>
      <c r="AJ266" s="390"/>
      <c r="AK266" s="391"/>
      <c r="AL266" s="390"/>
      <c r="AM266" s="391"/>
      <c r="AN266" s="390"/>
      <c r="AO266" s="391"/>
    </row>
    <row r="267" spans="1:41" s="201" customFormat="1" ht="12.75" hidden="1">
      <c r="A267" s="236" t="s">
        <v>287</v>
      </c>
      <c r="B267" s="237" t="s">
        <v>306</v>
      </c>
      <c r="C267" s="238"/>
      <c r="D267" s="239">
        <v>198552</v>
      </c>
      <c r="E267" s="239">
        <v>8</v>
      </c>
      <c r="F267" s="390">
        <v>2004</v>
      </c>
      <c r="G267" s="391">
        <v>2152</v>
      </c>
      <c r="H267" s="390">
        <v>6612</v>
      </c>
      <c r="I267" s="391">
        <v>7168</v>
      </c>
      <c r="J267" s="390"/>
      <c r="K267" s="391"/>
      <c r="L267" s="390"/>
      <c r="M267" s="391"/>
      <c r="N267" s="390"/>
      <c r="O267" s="391"/>
      <c r="P267" s="390"/>
      <c r="Q267" s="391"/>
      <c r="R267" s="390"/>
      <c r="S267" s="391"/>
      <c r="T267" s="390"/>
      <c r="U267" s="391"/>
      <c r="V267" s="390"/>
      <c r="W267" s="391"/>
      <c r="X267" s="390"/>
      <c r="Y267" s="391"/>
      <c r="Z267" s="390"/>
      <c r="AA267" s="391"/>
      <c r="AB267" s="390"/>
      <c r="AC267" s="391"/>
      <c r="AD267" s="390"/>
      <c r="AE267" s="391"/>
      <c r="AF267" s="390"/>
      <c r="AG267" s="391"/>
      <c r="AH267" s="390"/>
      <c r="AI267" s="391"/>
      <c r="AJ267" s="390"/>
      <c r="AK267" s="391"/>
      <c r="AL267" s="390"/>
      <c r="AM267" s="391"/>
      <c r="AN267" s="390"/>
      <c r="AO267" s="391"/>
    </row>
    <row r="268" spans="1:41" s="201" customFormat="1" ht="12.75" hidden="1">
      <c r="A268" s="236" t="s">
        <v>287</v>
      </c>
      <c r="B268" s="237" t="s">
        <v>308</v>
      </c>
      <c r="C268" s="238"/>
      <c r="D268" s="239">
        <v>198622</v>
      </c>
      <c r="E268" s="239">
        <v>8</v>
      </c>
      <c r="F268" s="390">
        <v>2319</v>
      </c>
      <c r="G268" s="391">
        <v>2319</v>
      </c>
      <c r="H268" s="390">
        <v>7695</v>
      </c>
      <c r="I268" s="391">
        <v>7695</v>
      </c>
      <c r="J268" s="390"/>
      <c r="K268" s="391"/>
      <c r="L268" s="390"/>
      <c r="M268" s="391"/>
      <c r="N268" s="390"/>
      <c r="O268" s="391"/>
      <c r="P268" s="390"/>
      <c r="Q268" s="391"/>
      <c r="R268" s="390"/>
      <c r="S268" s="391"/>
      <c r="T268" s="390"/>
      <c r="U268" s="391"/>
      <c r="V268" s="390"/>
      <c r="W268" s="391"/>
      <c r="X268" s="390"/>
      <c r="Y268" s="391"/>
      <c r="Z268" s="390"/>
      <c r="AA268" s="391"/>
      <c r="AB268" s="390"/>
      <c r="AC268" s="391"/>
      <c r="AD268" s="390"/>
      <c r="AE268" s="391"/>
      <c r="AF268" s="390"/>
      <c r="AG268" s="391"/>
      <c r="AH268" s="390"/>
      <c r="AI268" s="391"/>
      <c r="AJ268" s="390"/>
      <c r="AK268" s="391"/>
      <c r="AL268" s="390"/>
      <c r="AM268" s="391"/>
      <c r="AN268" s="390"/>
      <c r="AO268" s="391"/>
    </row>
    <row r="269" spans="1:41" s="201" customFormat="1" ht="12.75" hidden="1">
      <c r="A269" s="236" t="s">
        <v>287</v>
      </c>
      <c r="B269" s="237" t="s">
        <v>323</v>
      </c>
      <c r="C269" s="238"/>
      <c r="D269" s="239">
        <v>199333</v>
      </c>
      <c r="E269" s="239">
        <v>8</v>
      </c>
      <c r="F269" s="390">
        <v>1940</v>
      </c>
      <c r="G269" s="391">
        <v>1940</v>
      </c>
      <c r="H269" s="390">
        <v>6548</v>
      </c>
      <c r="I269" s="391">
        <v>6548</v>
      </c>
      <c r="J269" s="390"/>
      <c r="K269" s="391"/>
      <c r="L269" s="390"/>
      <c r="M269" s="391"/>
      <c r="N269" s="390"/>
      <c r="O269" s="391"/>
      <c r="P269" s="390"/>
      <c r="Q269" s="391"/>
      <c r="R269" s="390"/>
      <c r="S269" s="391"/>
      <c r="T269" s="390"/>
      <c r="U269" s="391"/>
      <c r="V269" s="390"/>
      <c r="W269" s="391"/>
      <c r="X269" s="390"/>
      <c r="Y269" s="391"/>
      <c r="Z269" s="390"/>
      <c r="AA269" s="391"/>
      <c r="AB269" s="390"/>
      <c r="AC269" s="391"/>
      <c r="AD269" s="390"/>
      <c r="AE269" s="391"/>
      <c r="AF269" s="390"/>
      <c r="AG269" s="391"/>
      <c r="AH269" s="390"/>
      <c r="AI269" s="391"/>
      <c r="AJ269" s="390"/>
      <c r="AK269" s="391"/>
      <c r="AL269" s="390"/>
      <c r="AM269" s="391"/>
      <c r="AN269" s="390"/>
      <c r="AO269" s="391"/>
    </row>
    <row r="270" spans="1:41" s="201" customFormat="1" ht="12.75" hidden="1">
      <c r="A270" s="236" t="s">
        <v>287</v>
      </c>
      <c r="B270" s="237" t="s">
        <v>329</v>
      </c>
      <c r="C270" s="238"/>
      <c r="D270" s="239">
        <v>199494</v>
      </c>
      <c r="E270" s="239">
        <v>8</v>
      </c>
      <c r="F270" s="390">
        <v>2632</v>
      </c>
      <c r="G270" s="391">
        <v>2632</v>
      </c>
      <c r="H270" s="390">
        <v>8776</v>
      </c>
      <c r="I270" s="391">
        <v>8776</v>
      </c>
      <c r="J270" s="390"/>
      <c r="K270" s="391"/>
      <c r="L270" s="390"/>
      <c r="M270" s="391"/>
      <c r="N270" s="390"/>
      <c r="O270" s="391"/>
      <c r="P270" s="390"/>
      <c r="Q270" s="391"/>
      <c r="R270" s="390"/>
      <c r="S270" s="391"/>
      <c r="T270" s="390"/>
      <c r="U270" s="391"/>
      <c r="V270" s="390"/>
      <c r="W270" s="391"/>
      <c r="X270" s="390"/>
      <c r="Y270" s="391"/>
      <c r="Z270" s="390"/>
      <c r="AA270" s="391"/>
      <c r="AB270" s="390"/>
      <c r="AC270" s="391"/>
      <c r="AD270" s="390"/>
      <c r="AE270" s="391"/>
      <c r="AF270" s="390"/>
      <c r="AG270" s="391"/>
      <c r="AH270" s="390"/>
      <c r="AI270" s="391"/>
      <c r="AJ270" s="390"/>
      <c r="AK270" s="391"/>
      <c r="AL270" s="390"/>
      <c r="AM270" s="391"/>
      <c r="AN270" s="390"/>
      <c r="AO270" s="391"/>
    </row>
    <row r="271" spans="1:41" s="201" customFormat="1" ht="12.75" hidden="1">
      <c r="A271" s="236" t="s">
        <v>287</v>
      </c>
      <c r="B271" s="237" t="s">
        <v>339</v>
      </c>
      <c r="C271" s="238"/>
      <c r="D271" s="239">
        <v>199856</v>
      </c>
      <c r="E271" s="239">
        <v>8</v>
      </c>
      <c r="F271" s="390">
        <v>2768</v>
      </c>
      <c r="G271" s="391">
        <v>2432</v>
      </c>
      <c r="H271" s="390">
        <v>8912</v>
      </c>
      <c r="I271" s="391">
        <v>8576</v>
      </c>
      <c r="J271" s="390"/>
      <c r="K271" s="391"/>
      <c r="L271" s="390"/>
      <c r="M271" s="391"/>
      <c r="N271" s="390"/>
      <c r="O271" s="391"/>
      <c r="P271" s="390"/>
      <c r="Q271" s="391"/>
      <c r="R271" s="390"/>
      <c r="S271" s="391"/>
      <c r="T271" s="390"/>
      <c r="U271" s="391"/>
      <c r="V271" s="390"/>
      <c r="W271" s="391"/>
      <c r="X271" s="390"/>
      <c r="Y271" s="391"/>
      <c r="Z271" s="390"/>
      <c r="AA271" s="391"/>
      <c r="AB271" s="390"/>
      <c r="AC271" s="391"/>
      <c r="AD271" s="390"/>
      <c r="AE271" s="391"/>
      <c r="AF271" s="390"/>
      <c r="AG271" s="391"/>
      <c r="AH271" s="390"/>
      <c r="AI271" s="391"/>
      <c r="AJ271" s="390"/>
      <c r="AK271" s="391"/>
      <c r="AL271" s="390"/>
      <c r="AM271" s="391"/>
      <c r="AN271" s="390"/>
      <c r="AO271" s="391"/>
    </row>
    <row r="272" spans="1:41" s="201" customFormat="1" ht="12.75" hidden="1">
      <c r="A272" s="236" t="s">
        <v>287</v>
      </c>
      <c r="B272" s="237" t="s">
        <v>288</v>
      </c>
      <c r="C272" s="238"/>
      <c r="D272" s="239">
        <v>199786</v>
      </c>
      <c r="E272" s="239">
        <v>9</v>
      </c>
      <c r="F272" s="390">
        <v>2492</v>
      </c>
      <c r="G272" s="391">
        <v>2492</v>
      </c>
      <c r="H272" s="390">
        <v>7028</v>
      </c>
      <c r="I272" s="391">
        <v>8636</v>
      </c>
      <c r="J272" s="390"/>
      <c r="K272" s="391"/>
      <c r="L272" s="390"/>
      <c r="M272" s="391"/>
      <c r="N272" s="390"/>
      <c r="O272" s="391"/>
      <c r="P272" s="390"/>
      <c r="Q272" s="391"/>
      <c r="R272" s="390"/>
      <c r="S272" s="391"/>
      <c r="T272" s="390"/>
      <c r="U272" s="391"/>
      <c r="V272" s="390"/>
      <c r="W272" s="391"/>
      <c r="X272" s="390"/>
      <c r="Y272" s="391"/>
      <c r="Z272" s="390"/>
      <c r="AA272" s="391"/>
      <c r="AB272" s="390"/>
      <c r="AC272" s="391"/>
      <c r="AD272" s="390"/>
      <c r="AE272" s="391"/>
      <c r="AF272" s="390"/>
      <c r="AG272" s="391"/>
      <c r="AH272" s="390"/>
      <c r="AI272" s="391"/>
      <c r="AJ272" s="390"/>
      <c r="AK272" s="391"/>
      <c r="AL272" s="390"/>
      <c r="AM272" s="391"/>
      <c r="AN272" s="390"/>
      <c r="AO272" s="391"/>
    </row>
    <row r="273" spans="1:41" s="201" customFormat="1" ht="12.75" hidden="1">
      <c r="A273" s="236" t="s">
        <v>287</v>
      </c>
      <c r="B273" s="237" t="s">
        <v>294</v>
      </c>
      <c r="C273" s="238"/>
      <c r="D273" s="239">
        <v>198118</v>
      </c>
      <c r="E273" s="239">
        <v>9</v>
      </c>
      <c r="F273" s="390">
        <v>2522</v>
      </c>
      <c r="G273" s="391">
        <v>2528</v>
      </c>
      <c r="H273" s="390">
        <v>8666</v>
      </c>
      <c r="I273" s="391">
        <v>8672</v>
      </c>
      <c r="J273" s="390"/>
      <c r="K273" s="391"/>
      <c r="L273" s="390"/>
      <c r="M273" s="391"/>
      <c r="N273" s="390"/>
      <c r="O273" s="391"/>
      <c r="P273" s="390"/>
      <c r="Q273" s="391"/>
      <c r="R273" s="390"/>
      <c r="S273" s="391"/>
      <c r="T273" s="390"/>
      <c r="U273" s="391"/>
      <c r="V273" s="390"/>
      <c r="W273" s="391"/>
      <c r="X273" s="390"/>
      <c r="Y273" s="391"/>
      <c r="Z273" s="390"/>
      <c r="AA273" s="391"/>
      <c r="AB273" s="390"/>
      <c r="AC273" s="391"/>
      <c r="AD273" s="390"/>
      <c r="AE273" s="391"/>
      <c r="AF273" s="390"/>
      <c r="AG273" s="391"/>
      <c r="AH273" s="390"/>
      <c r="AI273" s="391"/>
      <c r="AJ273" s="390"/>
      <c r="AK273" s="391"/>
      <c r="AL273" s="390"/>
      <c r="AM273" s="391"/>
      <c r="AN273" s="390"/>
      <c r="AO273" s="391"/>
    </row>
    <row r="274" spans="1:41" s="201" customFormat="1" ht="12.75" hidden="1">
      <c r="A274" s="236" t="s">
        <v>287</v>
      </c>
      <c r="B274" s="237" t="s">
        <v>297</v>
      </c>
      <c r="C274" s="238"/>
      <c r="D274" s="239">
        <v>198233</v>
      </c>
      <c r="E274" s="239">
        <v>9</v>
      </c>
      <c r="F274" s="390">
        <v>2347</v>
      </c>
      <c r="G274" s="391">
        <v>2367</v>
      </c>
      <c r="H274" s="390">
        <v>7723</v>
      </c>
      <c r="I274" s="391">
        <v>7743</v>
      </c>
      <c r="J274" s="390"/>
      <c r="K274" s="391"/>
      <c r="L274" s="390"/>
      <c r="M274" s="391"/>
      <c r="N274" s="390"/>
      <c r="O274" s="391"/>
      <c r="P274" s="390"/>
      <c r="Q274" s="391"/>
      <c r="R274" s="390"/>
      <c r="S274" s="391"/>
      <c r="T274" s="390"/>
      <c r="U274" s="391"/>
      <c r="V274" s="390"/>
      <c r="W274" s="391"/>
      <c r="X274" s="390"/>
      <c r="Y274" s="391"/>
      <c r="Z274" s="390"/>
      <c r="AA274" s="391"/>
      <c r="AB274" s="390"/>
      <c r="AC274" s="391"/>
      <c r="AD274" s="390"/>
      <c r="AE274" s="391"/>
      <c r="AF274" s="390"/>
      <c r="AG274" s="391"/>
      <c r="AH274" s="390"/>
      <c r="AI274" s="391"/>
      <c r="AJ274" s="390"/>
      <c r="AK274" s="391"/>
      <c r="AL274" s="390"/>
      <c r="AM274" s="391"/>
      <c r="AN274" s="390"/>
      <c r="AO274" s="391"/>
    </row>
    <row r="275" spans="1:41" s="201" customFormat="1" ht="12.75" hidden="1">
      <c r="A275" s="236" t="s">
        <v>287</v>
      </c>
      <c r="B275" s="237" t="s">
        <v>298</v>
      </c>
      <c r="C275" s="238"/>
      <c r="D275" s="239">
        <v>198251</v>
      </c>
      <c r="E275" s="239">
        <v>9</v>
      </c>
      <c r="F275" s="390">
        <v>2554</v>
      </c>
      <c r="G275" s="391">
        <v>2554</v>
      </c>
      <c r="H275" s="390">
        <v>8698</v>
      </c>
      <c r="I275" s="391">
        <v>8698</v>
      </c>
      <c r="J275" s="390"/>
      <c r="K275" s="391"/>
      <c r="L275" s="390"/>
      <c r="M275" s="391"/>
      <c r="N275" s="390"/>
      <c r="O275" s="391"/>
      <c r="P275" s="390"/>
      <c r="Q275" s="391"/>
      <c r="R275" s="390"/>
      <c r="S275" s="391"/>
      <c r="T275" s="390"/>
      <c r="U275" s="391"/>
      <c r="V275" s="390"/>
      <c r="W275" s="391"/>
      <c r="X275" s="390"/>
      <c r="Y275" s="391"/>
      <c r="Z275" s="390"/>
      <c r="AA275" s="391"/>
      <c r="AB275" s="390"/>
      <c r="AC275" s="391"/>
      <c r="AD275" s="390"/>
      <c r="AE275" s="391"/>
      <c r="AF275" s="390"/>
      <c r="AG275" s="391"/>
      <c r="AH275" s="390"/>
      <c r="AI275" s="391"/>
      <c r="AJ275" s="390"/>
      <c r="AK275" s="391"/>
      <c r="AL275" s="390"/>
      <c r="AM275" s="391"/>
      <c r="AN275" s="390"/>
      <c r="AO275" s="391"/>
    </row>
    <row r="276" spans="1:41" s="201" customFormat="1" ht="12.75" hidden="1">
      <c r="A276" s="236" t="s">
        <v>287</v>
      </c>
      <c r="B276" s="237" t="s">
        <v>300</v>
      </c>
      <c r="C276" s="238"/>
      <c r="D276" s="239">
        <v>198321</v>
      </c>
      <c r="E276" s="239">
        <v>9</v>
      </c>
      <c r="F276" s="390">
        <v>2552</v>
      </c>
      <c r="G276" s="391">
        <v>2602</v>
      </c>
      <c r="H276" s="390">
        <v>8696</v>
      </c>
      <c r="I276" s="391">
        <v>8746</v>
      </c>
      <c r="J276" s="390"/>
      <c r="K276" s="391"/>
      <c r="L276" s="390"/>
      <c r="M276" s="391"/>
      <c r="N276" s="390"/>
      <c r="O276" s="391"/>
      <c r="P276" s="390"/>
      <c r="Q276" s="391"/>
      <c r="R276" s="390"/>
      <c r="S276" s="391"/>
      <c r="T276" s="390"/>
      <c r="U276" s="391"/>
      <c r="V276" s="390"/>
      <c r="W276" s="391"/>
      <c r="X276" s="390"/>
      <c r="Y276" s="391"/>
      <c r="Z276" s="390"/>
      <c r="AA276" s="391"/>
      <c r="AB276" s="390"/>
      <c r="AC276" s="391"/>
      <c r="AD276" s="390"/>
      <c r="AE276" s="391"/>
      <c r="AF276" s="390"/>
      <c r="AG276" s="391"/>
      <c r="AH276" s="390"/>
      <c r="AI276" s="391"/>
      <c r="AJ276" s="390"/>
      <c r="AK276" s="391"/>
      <c r="AL276" s="390"/>
      <c r="AM276" s="391"/>
      <c r="AN276" s="390"/>
      <c r="AO276" s="391"/>
    </row>
    <row r="277" spans="1:41" s="201" customFormat="1" ht="12.75" hidden="1">
      <c r="A277" s="236" t="s">
        <v>287</v>
      </c>
      <c r="B277" s="237" t="s">
        <v>301</v>
      </c>
      <c r="C277" s="238"/>
      <c r="D277" s="239">
        <v>198330</v>
      </c>
      <c r="E277" s="239">
        <v>9</v>
      </c>
      <c r="F277" s="390">
        <v>2462</v>
      </c>
      <c r="G277" s="391">
        <v>2462</v>
      </c>
      <c r="H277" s="390">
        <v>8606</v>
      </c>
      <c r="I277" s="391">
        <v>8606</v>
      </c>
      <c r="J277" s="390"/>
      <c r="K277" s="391"/>
      <c r="L277" s="390"/>
      <c r="M277" s="391"/>
      <c r="N277" s="390"/>
      <c r="O277" s="391"/>
      <c r="P277" s="390"/>
      <c r="Q277" s="391"/>
      <c r="R277" s="390"/>
      <c r="S277" s="391"/>
      <c r="T277" s="390"/>
      <c r="U277" s="391"/>
      <c r="V277" s="390"/>
      <c r="W277" s="391"/>
      <c r="X277" s="390"/>
      <c r="Y277" s="391"/>
      <c r="Z277" s="390"/>
      <c r="AA277" s="391"/>
      <c r="AB277" s="390"/>
      <c r="AC277" s="391"/>
      <c r="AD277" s="390"/>
      <c r="AE277" s="391"/>
      <c r="AF277" s="390"/>
      <c r="AG277" s="391"/>
      <c r="AH277" s="390"/>
      <c r="AI277" s="391"/>
      <c r="AJ277" s="390"/>
      <c r="AK277" s="391"/>
      <c r="AL277" s="390"/>
      <c r="AM277" s="391"/>
      <c r="AN277" s="390"/>
      <c r="AO277" s="391"/>
    </row>
    <row r="278" spans="1:41" s="201" customFormat="1" ht="12.75" hidden="1">
      <c r="A278" s="236" t="s">
        <v>287</v>
      </c>
      <c r="B278" s="237" t="s">
        <v>302</v>
      </c>
      <c r="C278" s="238"/>
      <c r="D278" s="239">
        <v>198367</v>
      </c>
      <c r="E278" s="239">
        <v>9</v>
      </c>
      <c r="F278" s="390">
        <v>2023</v>
      </c>
      <c r="G278" s="391">
        <v>2114</v>
      </c>
      <c r="H278" s="390">
        <v>6630</v>
      </c>
      <c r="I278" s="391">
        <v>6722</v>
      </c>
      <c r="J278" s="390"/>
      <c r="K278" s="391"/>
      <c r="L278" s="390"/>
      <c r="M278" s="391"/>
      <c r="N278" s="390"/>
      <c r="O278" s="391"/>
      <c r="P278" s="390"/>
      <c r="Q278" s="391"/>
      <c r="R278" s="390"/>
      <c r="S278" s="391"/>
      <c r="T278" s="390"/>
      <c r="U278" s="391"/>
      <c r="V278" s="390"/>
      <c r="W278" s="391"/>
      <c r="X278" s="390"/>
      <c r="Y278" s="391"/>
      <c r="Z278" s="390"/>
      <c r="AA278" s="391"/>
      <c r="AB278" s="390"/>
      <c r="AC278" s="391"/>
      <c r="AD278" s="390"/>
      <c r="AE278" s="391"/>
      <c r="AF278" s="390"/>
      <c r="AG278" s="391"/>
      <c r="AH278" s="390"/>
      <c r="AI278" s="391"/>
      <c r="AJ278" s="390"/>
      <c r="AK278" s="391"/>
      <c r="AL278" s="390"/>
      <c r="AM278" s="391"/>
      <c r="AN278" s="390"/>
      <c r="AO278" s="391"/>
    </row>
    <row r="279" spans="1:41" s="201" customFormat="1" ht="12.75" hidden="1">
      <c r="A279" s="236" t="s">
        <v>287</v>
      </c>
      <c r="B279" s="237" t="s">
        <v>663</v>
      </c>
      <c r="C279" s="238"/>
      <c r="D279" s="239">
        <v>198376</v>
      </c>
      <c r="E279" s="239">
        <v>9</v>
      </c>
      <c r="F279" s="390">
        <v>2588</v>
      </c>
      <c r="G279" s="391">
        <v>2588</v>
      </c>
      <c r="H279" s="390">
        <v>8732</v>
      </c>
      <c r="I279" s="391">
        <v>8732</v>
      </c>
      <c r="J279" s="390"/>
      <c r="K279" s="391"/>
      <c r="L279" s="390"/>
      <c r="M279" s="391"/>
      <c r="N279" s="390"/>
      <c r="O279" s="391"/>
      <c r="P279" s="390"/>
      <c r="Q279" s="391"/>
      <c r="R279" s="390"/>
      <c r="S279" s="391"/>
      <c r="T279" s="390"/>
      <c r="U279" s="391"/>
      <c r="V279" s="390"/>
      <c r="W279" s="391"/>
      <c r="X279" s="390"/>
      <c r="Y279" s="391"/>
      <c r="Z279" s="390"/>
      <c r="AA279" s="391"/>
      <c r="AB279" s="390"/>
      <c r="AC279" s="391"/>
      <c r="AD279" s="390"/>
      <c r="AE279" s="391"/>
      <c r="AF279" s="390"/>
      <c r="AG279" s="391"/>
      <c r="AH279" s="390"/>
      <c r="AI279" s="391"/>
      <c r="AJ279" s="390"/>
      <c r="AK279" s="391"/>
      <c r="AL279" s="390"/>
      <c r="AM279" s="391"/>
      <c r="AN279" s="390"/>
      <c r="AO279" s="391"/>
    </row>
    <row r="280" spans="1:41" s="201" customFormat="1" ht="12.75" hidden="1">
      <c r="A280" s="236" t="s">
        <v>287</v>
      </c>
      <c r="B280" s="237" t="s">
        <v>303</v>
      </c>
      <c r="C280" s="238"/>
      <c r="D280" s="239">
        <v>198455</v>
      </c>
      <c r="E280" s="239">
        <v>9</v>
      </c>
      <c r="F280" s="390">
        <v>1958</v>
      </c>
      <c r="G280" s="391">
        <v>1958</v>
      </c>
      <c r="H280" s="390">
        <v>6566</v>
      </c>
      <c r="I280" s="391">
        <v>6566</v>
      </c>
      <c r="J280" s="390"/>
      <c r="K280" s="391"/>
      <c r="L280" s="390"/>
      <c r="M280" s="391"/>
      <c r="N280" s="390"/>
      <c r="O280" s="391"/>
      <c r="P280" s="390"/>
      <c r="Q280" s="391"/>
      <c r="R280" s="390"/>
      <c r="S280" s="391"/>
      <c r="T280" s="390"/>
      <c r="U280" s="391"/>
      <c r="V280" s="390"/>
      <c r="W280" s="391"/>
      <c r="X280" s="390"/>
      <c r="Y280" s="391"/>
      <c r="Z280" s="390"/>
      <c r="AA280" s="391"/>
      <c r="AB280" s="390"/>
      <c r="AC280" s="391"/>
      <c r="AD280" s="390"/>
      <c r="AE280" s="391"/>
      <c r="AF280" s="390"/>
      <c r="AG280" s="391"/>
      <c r="AH280" s="390"/>
      <c r="AI280" s="391"/>
      <c r="AJ280" s="390"/>
      <c r="AK280" s="391"/>
      <c r="AL280" s="390"/>
      <c r="AM280" s="391"/>
      <c r="AN280" s="390"/>
      <c r="AO280" s="391"/>
    </row>
    <row r="281" spans="1:41" s="201" customFormat="1" ht="12.75" hidden="1">
      <c r="A281" s="236" t="s">
        <v>287</v>
      </c>
      <c r="B281" s="237" t="s">
        <v>307</v>
      </c>
      <c r="C281" s="238"/>
      <c r="D281" s="239">
        <v>198570</v>
      </c>
      <c r="E281" s="239">
        <v>9</v>
      </c>
      <c r="F281" s="390">
        <v>2704</v>
      </c>
      <c r="G281" s="391">
        <v>2704</v>
      </c>
      <c r="H281" s="390">
        <v>8848</v>
      </c>
      <c r="I281" s="391">
        <v>8848</v>
      </c>
      <c r="J281" s="390"/>
      <c r="K281" s="391"/>
      <c r="L281" s="390"/>
      <c r="M281" s="391"/>
      <c r="N281" s="390"/>
      <c r="O281" s="391"/>
      <c r="P281" s="390"/>
      <c r="Q281" s="391"/>
      <c r="R281" s="390"/>
      <c r="S281" s="391"/>
      <c r="T281" s="390"/>
      <c r="U281" s="391"/>
      <c r="V281" s="390"/>
      <c r="W281" s="391"/>
      <c r="X281" s="390"/>
      <c r="Y281" s="391"/>
      <c r="Z281" s="390"/>
      <c r="AA281" s="391"/>
      <c r="AB281" s="390"/>
      <c r="AC281" s="391"/>
      <c r="AD281" s="390"/>
      <c r="AE281" s="391"/>
      <c r="AF281" s="390"/>
      <c r="AG281" s="391"/>
      <c r="AH281" s="390"/>
      <c r="AI281" s="391"/>
      <c r="AJ281" s="390"/>
      <c r="AK281" s="391"/>
      <c r="AL281" s="390"/>
      <c r="AM281" s="391"/>
      <c r="AN281" s="390"/>
      <c r="AO281" s="391"/>
    </row>
    <row r="282" spans="1:41" s="201" customFormat="1" ht="12.75" hidden="1">
      <c r="A282" s="236" t="s">
        <v>287</v>
      </c>
      <c r="B282" s="237" t="s">
        <v>313</v>
      </c>
      <c r="C282" s="238"/>
      <c r="D282" s="239">
        <v>198774</v>
      </c>
      <c r="E282" s="239">
        <v>9</v>
      </c>
      <c r="F282" s="390">
        <v>2657</v>
      </c>
      <c r="G282" s="391">
        <v>2657</v>
      </c>
      <c r="H282" s="390">
        <v>8801</v>
      </c>
      <c r="I282" s="391">
        <v>8801</v>
      </c>
      <c r="J282" s="390"/>
      <c r="K282" s="391"/>
      <c r="L282" s="390"/>
      <c r="M282" s="391"/>
      <c r="N282" s="390"/>
      <c r="O282" s="391"/>
      <c r="P282" s="390"/>
      <c r="Q282" s="391"/>
      <c r="R282" s="390"/>
      <c r="S282" s="391"/>
      <c r="T282" s="390"/>
      <c r="U282" s="391"/>
      <c r="V282" s="390"/>
      <c r="W282" s="391"/>
      <c r="X282" s="390"/>
      <c r="Y282" s="391"/>
      <c r="Z282" s="390"/>
      <c r="AA282" s="391"/>
      <c r="AB282" s="390"/>
      <c r="AC282" s="391"/>
      <c r="AD282" s="390"/>
      <c r="AE282" s="391"/>
      <c r="AF282" s="390"/>
      <c r="AG282" s="391"/>
      <c r="AH282" s="390"/>
      <c r="AI282" s="391"/>
      <c r="AJ282" s="390"/>
      <c r="AK282" s="391"/>
      <c r="AL282" s="390"/>
      <c r="AM282" s="391"/>
      <c r="AN282" s="390"/>
      <c r="AO282" s="391"/>
    </row>
    <row r="283" spans="1:41" s="201" customFormat="1" ht="12.75" hidden="1">
      <c r="A283" s="236" t="s">
        <v>287</v>
      </c>
      <c r="B283" s="237" t="s">
        <v>314</v>
      </c>
      <c r="C283" s="238"/>
      <c r="D283" s="239">
        <v>198817</v>
      </c>
      <c r="E283" s="239">
        <v>9</v>
      </c>
      <c r="F283" s="390">
        <v>2568</v>
      </c>
      <c r="G283" s="391">
        <v>2568</v>
      </c>
      <c r="H283" s="390">
        <v>8712</v>
      </c>
      <c r="I283" s="391">
        <v>8712</v>
      </c>
      <c r="J283" s="390"/>
      <c r="K283" s="391"/>
      <c r="L283" s="390"/>
      <c r="M283" s="391"/>
      <c r="N283" s="390"/>
      <c r="O283" s="391"/>
      <c r="P283" s="390"/>
      <c r="Q283" s="391"/>
      <c r="R283" s="390"/>
      <c r="S283" s="391"/>
      <c r="T283" s="390"/>
      <c r="U283" s="391"/>
      <c r="V283" s="390"/>
      <c r="W283" s="391"/>
      <c r="X283" s="390"/>
      <c r="Y283" s="391"/>
      <c r="Z283" s="390"/>
      <c r="AA283" s="391"/>
      <c r="AB283" s="390"/>
      <c r="AC283" s="391"/>
      <c r="AD283" s="390"/>
      <c r="AE283" s="391"/>
      <c r="AF283" s="390"/>
      <c r="AG283" s="391"/>
      <c r="AH283" s="390"/>
      <c r="AI283" s="391"/>
      <c r="AJ283" s="390"/>
      <c r="AK283" s="391"/>
      <c r="AL283" s="390"/>
      <c r="AM283" s="391"/>
      <c r="AN283" s="390"/>
      <c r="AO283" s="391"/>
    </row>
    <row r="284" spans="1:41" s="201" customFormat="1" ht="12.75" hidden="1">
      <c r="A284" s="236" t="s">
        <v>287</v>
      </c>
      <c r="B284" s="237" t="s">
        <v>318</v>
      </c>
      <c r="C284" s="238"/>
      <c r="D284" s="239">
        <v>198987</v>
      </c>
      <c r="E284" s="239">
        <v>9</v>
      </c>
      <c r="F284" s="390">
        <v>2651</v>
      </c>
      <c r="G284" s="391">
        <v>2651</v>
      </c>
      <c r="H284" s="390">
        <v>8795</v>
      </c>
      <c r="I284" s="391">
        <v>8795</v>
      </c>
      <c r="J284" s="390"/>
      <c r="K284" s="391"/>
      <c r="L284" s="390"/>
      <c r="M284" s="391"/>
      <c r="N284" s="390"/>
      <c r="O284" s="391"/>
      <c r="P284" s="390"/>
      <c r="Q284" s="391"/>
      <c r="R284" s="390"/>
      <c r="S284" s="391"/>
      <c r="T284" s="390"/>
      <c r="U284" s="391"/>
      <c r="V284" s="390"/>
      <c r="W284" s="391"/>
      <c r="X284" s="390"/>
      <c r="Y284" s="391"/>
      <c r="Z284" s="390"/>
      <c r="AA284" s="391"/>
      <c r="AB284" s="390"/>
      <c r="AC284" s="391"/>
      <c r="AD284" s="390"/>
      <c r="AE284" s="391"/>
      <c r="AF284" s="390"/>
      <c r="AG284" s="391"/>
      <c r="AH284" s="390"/>
      <c r="AI284" s="391"/>
      <c r="AJ284" s="390"/>
      <c r="AK284" s="391"/>
      <c r="AL284" s="390"/>
      <c r="AM284" s="391"/>
      <c r="AN284" s="390"/>
      <c r="AO284" s="391"/>
    </row>
    <row r="285" spans="1:41" s="201" customFormat="1" ht="12.75" hidden="1">
      <c r="A285" s="236" t="s">
        <v>287</v>
      </c>
      <c r="B285" s="237" t="s">
        <v>320</v>
      </c>
      <c r="C285" s="238"/>
      <c r="D285" s="239">
        <v>199087</v>
      </c>
      <c r="E285" s="239">
        <v>9</v>
      </c>
      <c r="F285" s="390">
        <v>2632</v>
      </c>
      <c r="G285" s="391">
        <v>2666</v>
      </c>
      <c r="H285" s="390">
        <v>8776</v>
      </c>
      <c r="I285" s="391">
        <v>8810</v>
      </c>
      <c r="J285" s="390"/>
      <c r="K285" s="391"/>
      <c r="L285" s="390"/>
      <c r="M285" s="391"/>
      <c r="N285" s="390"/>
      <c r="O285" s="391"/>
      <c r="P285" s="390"/>
      <c r="Q285" s="391"/>
      <c r="R285" s="390"/>
      <c r="S285" s="391"/>
      <c r="T285" s="390"/>
      <c r="U285" s="391"/>
      <c r="V285" s="390"/>
      <c r="W285" s="391"/>
      <c r="X285" s="390"/>
      <c r="Y285" s="391"/>
      <c r="Z285" s="390"/>
      <c r="AA285" s="391"/>
      <c r="AB285" s="390"/>
      <c r="AC285" s="391"/>
      <c r="AD285" s="390"/>
      <c r="AE285" s="391"/>
      <c r="AF285" s="390"/>
      <c r="AG285" s="391"/>
      <c r="AH285" s="390"/>
      <c r="AI285" s="391"/>
      <c r="AJ285" s="390"/>
      <c r="AK285" s="391"/>
      <c r="AL285" s="390"/>
      <c r="AM285" s="391"/>
      <c r="AN285" s="390"/>
      <c r="AO285" s="391"/>
    </row>
    <row r="286" spans="1:41" s="201" customFormat="1" ht="12.75" hidden="1">
      <c r="A286" s="236" t="s">
        <v>287</v>
      </c>
      <c r="B286" s="237" t="s">
        <v>324</v>
      </c>
      <c r="C286" s="238"/>
      <c r="D286" s="239">
        <v>199421</v>
      </c>
      <c r="E286" s="239">
        <v>9</v>
      </c>
      <c r="F286" s="390">
        <v>2373</v>
      </c>
      <c r="G286" s="391">
        <v>2386</v>
      </c>
      <c r="H286" s="390">
        <v>8133</v>
      </c>
      <c r="I286" s="391">
        <v>8146</v>
      </c>
      <c r="J286" s="390"/>
      <c r="K286" s="391"/>
      <c r="L286" s="390"/>
      <c r="M286" s="391"/>
      <c r="N286" s="390"/>
      <c r="O286" s="391"/>
      <c r="P286" s="390"/>
      <c r="Q286" s="391"/>
      <c r="R286" s="390"/>
      <c r="S286" s="391"/>
      <c r="T286" s="390"/>
      <c r="U286" s="391"/>
      <c r="V286" s="390"/>
      <c r="W286" s="391"/>
      <c r="X286" s="390"/>
      <c r="Y286" s="391"/>
      <c r="Z286" s="390"/>
      <c r="AA286" s="391"/>
      <c r="AB286" s="390"/>
      <c r="AC286" s="391"/>
      <c r="AD286" s="390"/>
      <c r="AE286" s="391"/>
      <c r="AF286" s="390"/>
      <c r="AG286" s="391"/>
      <c r="AH286" s="390"/>
      <c r="AI286" s="391"/>
      <c r="AJ286" s="390"/>
      <c r="AK286" s="391"/>
      <c r="AL286" s="390"/>
      <c r="AM286" s="391"/>
      <c r="AN286" s="390"/>
      <c r="AO286" s="391"/>
    </row>
    <row r="287" spans="1:41" s="201" customFormat="1" ht="12.75" hidden="1">
      <c r="A287" s="236" t="s">
        <v>287</v>
      </c>
      <c r="B287" s="237" t="s">
        <v>325</v>
      </c>
      <c r="C287" s="240"/>
      <c r="D287" s="239">
        <v>199449</v>
      </c>
      <c r="E287" s="239">
        <v>9</v>
      </c>
      <c r="F287" s="390">
        <v>2516</v>
      </c>
      <c r="G287" s="391">
        <v>2536</v>
      </c>
      <c r="H287" s="390">
        <v>8660</v>
      </c>
      <c r="I287" s="391">
        <v>8680</v>
      </c>
      <c r="J287" s="390"/>
      <c r="K287" s="391"/>
      <c r="L287" s="390"/>
      <c r="M287" s="391"/>
      <c r="N287" s="390"/>
      <c r="O287" s="391"/>
      <c r="P287" s="390"/>
      <c r="Q287" s="391"/>
      <c r="R287" s="390"/>
      <c r="S287" s="391"/>
      <c r="T287" s="390"/>
      <c r="U287" s="391"/>
      <c r="V287" s="390"/>
      <c r="W287" s="391"/>
      <c r="X287" s="390"/>
      <c r="Y287" s="391"/>
      <c r="Z287" s="390"/>
      <c r="AA287" s="391"/>
      <c r="AB287" s="390"/>
      <c r="AC287" s="391"/>
      <c r="AD287" s="390"/>
      <c r="AE287" s="391"/>
      <c r="AF287" s="390"/>
      <c r="AG287" s="391"/>
      <c r="AH287" s="390"/>
      <c r="AI287" s="391"/>
      <c r="AJ287" s="390"/>
      <c r="AK287" s="391"/>
      <c r="AL287" s="390"/>
      <c r="AM287" s="391"/>
      <c r="AN287" s="390"/>
      <c r="AO287" s="391"/>
    </row>
    <row r="288" spans="1:41" s="201" customFormat="1" ht="12.75" hidden="1">
      <c r="A288" s="236" t="s">
        <v>287</v>
      </c>
      <c r="B288" s="237" t="s">
        <v>331</v>
      </c>
      <c r="C288" s="238"/>
      <c r="D288" s="239">
        <v>199634</v>
      </c>
      <c r="E288" s="239">
        <v>9</v>
      </c>
      <c r="F288" s="390">
        <v>2764</v>
      </c>
      <c r="G288" s="391">
        <v>2764</v>
      </c>
      <c r="H288" s="390">
        <v>8908</v>
      </c>
      <c r="I288" s="391">
        <v>8908</v>
      </c>
      <c r="J288" s="390"/>
      <c r="K288" s="391"/>
      <c r="L288" s="390"/>
      <c r="M288" s="391"/>
      <c r="N288" s="390"/>
      <c r="O288" s="391"/>
      <c r="P288" s="390"/>
      <c r="Q288" s="391"/>
      <c r="R288" s="390"/>
      <c r="S288" s="391"/>
      <c r="T288" s="390"/>
      <c r="U288" s="391"/>
      <c r="V288" s="390"/>
      <c r="W288" s="391"/>
      <c r="X288" s="390"/>
      <c r="Y288" s="391"/>
      <c r="Z288" s="390"/>
      <c r="AA288" s="391"/>
      <c r="AB288" s="390"/>
      <c r="AC288" s="391"/>
      <c r="AD288" s="390"/>
      <c r="AE288" s="391"/>
      <c r="AF288" s="390"/>
      <c r="AG288" s="391"/>
      <c r="AH288" s="390"/>
      <c r="AI288" s="391"/>
      <c r="AJ288" s="390"/>
      <c r="AK288" s="391"/>
      <c r="AL288" s="390"/>
      <c r="AM288" s="391"/>
      <c r="AN288" s="390"/>
      <c r="AO288" s="391"/>
    </row>
    <row r="289" spans="1:41" s="201" customFormat="1" ht="12.75" hidden="1">
      <c r="A289" s="236" t="s">
        <v>287</v>
      </c>
      <c r="B289" s="237" t="s">
        <v>332</v>
      </c>
      <c r="C289" s="240"/>
      <c r="D289" s="239">
        <v>197850</v>
      </c>
      <c r="E289" s="239">
        <v>9</v>
      </c>
      <c r="F289" s="390">
        <v>1995</v>
      </c>
      <c r="G289" s="391">
        <v>2015</v>
      </c>
      <c r="H289" s="390">
        <v>6603</v>
      </c>
      <c r="I289" s="391">
        <v>6623</v>
      </c>
      <c r="J289" s="390"/>
      <c r="K289" s="391"/>
      <c r="L289" s="390"/>
      <c r="M289" s="391"/>
      <c r="N289" s="390"/>
      <c r="O289" s="391"/>
      <c r="P289" s="390"/>
      <c r="Q289" s="391"/>
      <c r="R289" s="390"/>
      <c r="S289" s="391"/>
      <c r="T289" s="390"/>
      <c r="U289" s="391"/>
      <c r="V289" s="390"/>
      <c r="W289" s="391"/>
      <c r="X289" s="390"/>
      <c r="Y289" s="391"/>
      <c r="Z289" s="390"/>
      <c r="AA289" s="391"/>
      <c r="AB289" s="390"/>
      <c r="AC289" s="391"/>
      <c r="AD289" s="390"/>
      <c r="AE289" s="391"/>
      <c r="AF289" s="390"/>
      <c r="AG289" s="391"/>
      <c r="AH289" s="390"/>
      <c r="AI289" s="391"/>
      <c r="AJ289" s="390"/>
      <c r="AK289" s="391"/>
      <c r="AL289" s="390"/>
      <c r="AM289" s="391"/>
      <c r="AN289" s="390"/>
      <c r="AO289" s="391"/>
    </row>
    <row r="290" spans="1:41" s="201" customFormat="1" ht="12.75" hidden="1">
      <c r="A290" s="236" t="s">
        <v>287</v>
      </c>
      <c r="B290" s="237" t="s">
        <v>335</v>
      </c>
      <c r="C290" s="238"/>
      <c r="D290" s="239">
        <v>199740</v>
      </c>
      <c r="E290" s="239">
        <v>9</v>
      </c>
      <c r="F290" s="390">
        <v>2673</v>
      </c>
      <c r="G290" s="391">
        <v>2674</v>
      </c>
      <c r="H290" s="390">
        <v>8817</v>
      </c>
      <c r="I290" s="391">
        <v>8818</v>
      </c>
      <c r="J290" s="390"/>
      <c r="K290" s="391"/>
      <c r="L290" s="390"/>
      <c r="M290" s="391"/>
      <c r="N290" s="390"/>
      <c r="O290" s="391"/>
      <c r="P290" s="390"/>
      <c r="Q290" s="391"/>
      <c r="R290" s="390"/>
      <c r="S290" s="391"/>
      <c r="T290" s="390"/>
      <c r="U290" s="391"/>
      <c r="V290" s="390"/>
      <c r="W290" s="391"/>
      <c r="X290" s="390"/>
      <c r="Y290" s="391"/>
      <c r="Z290" s="390"/>
      <c r="AA290" s="391"/>
      <c r="AB290" s="390"/>
      <c r="AC290" s="391"/>
      <c r="AD290" s="390"/>
      <c r="AE290" s="391"/>
      <c r="AF290" s="390"/>
      <c r="AG290" s="391"/>
      <c r="AH290" s="390"/>
      <c r="AI290" s="391"/>
      <c r="AJ290" s="390"/>
      <c r="AK290" s="391"/>
      <c r="AL290" s="390"/>
      <c r="AM290" s="391"/>
      <c r="AN290" s="390"/>
      <c r="AO290" s="391"/>
    </row>
    <row r="291" spans="1:41" s="201" customFormat="1" ht="12.75" hidden="1">
      <c r="A291" s="236" t="s">
        <v>287</v>
      </c>
      <c r="B291" s="237" t="s">
        <v>336</v>
      </c>
      <c r="C291" s="238"/>
      <c r="D291" s="239">
        <v>199768</v>
      </c>
      <c r="E291" s="239">
        <v>9</v>
      </c>
      <c r="F291" s="390">
        <v>2663</v>
      </c>
      <c r="G291" s="391">
        <v>2663</v>
      </c>
      <c r="H291" s="390">
        <v>8807</v>
      </c>
      <c r="I291" s="391">
        <v>8807</v>
      </c>
      <c r="J291" s="390"/>
      <c r="K291" s="391"/>
      <c r="L291" s="390"/>
      <c r="M291" s="391"/>
      <c r="N291" s="390"/>
      <c r="O291" s="391"/>
      <c r="P291" s="390"/>
      <c r="Q291" s="391"/>
      <c r="R291" s="390"/>
      <c r="S291" s="391"/>
      <c r="T291" s="390"/>
      <c r="U291" s="391"/>
      <c r="V291" s="390"/>
      <c r="W291" s="391"/>
      <c r="X291" s="390"/>
      <c r="Y291" s="391"/>
      <c r="Z291" s="390"/>
      <c r="AA291" s="391"/>
      <c r="AB291" s="390"/>
      <c r="AC291" s="391"/>
      <c r="AD291" s="390"/>
      <c r="AE291" s="391"/>
      <c r="AF291" s="390"/>
      <c r="AG291" s="391"/>
      <c r="AH291" s="390"/>
      <c r="AI291" s="391"/>
      <c r="AJ291" s="390"/>
      <c r="AK291" s="391"/>
      <c r="AL291" s="390"/>
      <c r="AM291" s="391"/>
      <c r="AN291" s="390"/>
      <c r="AO291" s="391"/>
    </row>
    <row r="292" spans="1:41" s="201" customFormat="1" ht="12.75" hidden="1">
      <c r="A292" s="236" t="s">
        <v>287</v>
      </c>
      <c r="B292" s="237" t="s">
        <v>338</v>
      </c>
      <c r="C292" s="238"/>
      <c r="D292" s="239">
        <v>199838</v>
      </c>
      <c r="E292" s="239">
        <v>9</v>
      </c>
      <c r="F292" s="390">
        <v>1948</v>
      </c>
      <c r="G292" s="391">
        <v>1948</v>
      </c>
      <c r="H292" s="390">
        <v>6556</v>
      </c>
      <c r="I292" s="391">
        <v>6556</v>
      </c>
      <c r="J292" s="390"/>
      <c r="K292" s="391"/>
      <c r="L292" s="390"/>
      <c r="M292" s="391"/>
      <c r="N292" s="390"/>
      <c r="O292" s="391"/>
      <c r="P292" s="390"/>
      <c r="Q292" s="391"/>
      <c r="R292" s="390"/>
      <c r="S292" s="391"/>
      <c r="T292" s="390"/>
      <c r="U292" s="391"/>
      <c r="V292" s="390"/>
      <c r="W292" s="391"/>
      <c r="X292" s="390"/>
      <c r="Y292" s="391"/>
      <c r="Z292" s="390"/>
      <c r="AA292" s="391"/>
      <c r="AB292" s="390"/>
      <c r="AC292" s="391"/>
      <c r="AD292" s="390"/>
      <c r="AE292" s="391"/>
      <c r="AF292" s="390"/>
      <c r="AG292" s="391"/>
      <c r="AH292" s="390"/>
      <c r="AI292" s="391"/>
      <c r="AJ292" s="390"/>
      <c r="AK292" s="391"/>
      <c r="AL292" s="390"/>
      <c r="AM292" s="391"/>
      <c r="AN292" s="390"/>
      <c r="AO292" s="391"/>
    </row>
    <row r="293" spans="1:41" s="201" customFormat="1" ht="12.75" hidden="1">
      <c r="A293" s="236" t="s">
        <v>287</v>
      </c>
      <c r="B293" s="237" t="s">
        <v>340</v>
      </c>
      <c r="C293" s="238"/>
      <c r="D293" s="239">
        <v>199892</v>
      </c>
      <c r="E293" s="239">
        <v>9</v>
      </c>
      <c r="F293" s="390">
        <v>2524</v>
      </c>
      <c r="G293" s="391">
        <v>2524</v>
      </c>
      <c r="H293" s="390">
        <v>8668</v>
      </c>
      <c r="I293" s="391">
        <v>8668</v>
      </c>
      <c r="J293" s="390"/>
      <c r="K293" s="391"/>
      <c r="L293" s="390"/>
      <c r="M293" s="391"/>
      <c r="N293" s="390"/>
      <c r="O293" s="391"/>
      <c r="P293" s="390"/>
      <c r="Q293" s="391"/>
      <c r="R293" s="390"/>
      <c r="S293" s="391"/>
      <c r="T293" s="390"/>
      <c r="U293" s="391"/>
      <c r="V293" s="390"/>
      <c r="W293" s="391"/>
      <c r="X293" s="390"/>
      <c r="Y293" s="391"/>
      <c r="Z293" s="390"/>
      <c r="AA293" s="391"/>
      <c r="AB293" s="390"/>
      <c r="AC293" s="391"/>
      <c r="AD293" s="390"/>
      <c r="AE293" s="391"/>
      <c r="AF293" s="390"/>
      <c r="AG293" s="391"/>
      <c r="AH293" s="390"/>
      <c r="AI293" s="391"/>
      <c r="AJ293" s="390"/>
      <c r="AK293" s="391"/>
      <c r="AL293" s="390"/>
      <c r="AM293" s="391"/>
      <c r="AN293" s="390"/>
      <c r="AO293" s="391"/>
    </row>
    <row r="294" spans="1:41" s="201" customFormat="1" ht="12.75" hidden="1">
      <c r="A294" s="236" t="s">
        <v>287</v>
      </c>
      <c r="B294" s="237" t="s">
        <v>342</v>
      </c>
      <c r="C294" s="238"/>
      <c r="D294" s="239">
        <v>199926</v>
      </c>
      <c r="E294" s="239">
        <v>9</v>
      </c>
      <c r="F294" s="390">
        <v>2572</v>
      </c>
      <c r="G294" s="391">
        <v>2572</v>
      </c>
      <c r="H294" s="390">
        <v>8716</v>
      </c>
      <c r="I294" s="391">
        <v>8716</v>
      </c>
      <c r="J294" s="390"/>
      <c r="K294" s="391"/>
      <c r="L294" s="390"/>
      <c r="M294" s="391"/>
      <c r="N294" s="390"/>
      <c r="O294" s="391"/>
      <c r="P294" s="390"/>
      <c r="Q294" s="391"/>
      <c r="R294" s="390"/>
      <c r="S294" s="391"/>
      <c r="T294" s="390"/>
      <c r="U294" s="391"/>
      <c r="V294" s="390"/>
      <c r="W294" s="391"/>
      <c r="X294" s="390"/>
      <c r="Y294" s="391"/>
      <c r="Z294" s="390"/>
      <c r="AA294" s="391"/>
      <c r="AB294" s="390"/>
      <c r="AC294" s="391"/>
      <c r="AD294" s="390"/>
      <c r="AE294" s="391"/>
      <c r="AF294" s="390"/>
      <c r="AG294" s="391"/>
      <c r="AH294" s="390"/>
      <c r="AI294" s="391"/>
      <c r="AJ294" s="390"/>
      <c r="AK294" s="391"/>
      <c r="AL294" s="390"/>
      <c r="AM294" s="391"/>
      <c r="AN294" s="390"/>
      <c r="AO294" s="391"/>
    </row>
    <row r="295" spans="1:41" s="201" customFormat="1" ht="12.75" hidden="1">
      <c r="A295" s="236" t="s">
        <v>287</v>
      </c>
      <c r="B295" s="237" t="s">
        <v>290</v>
      </c>
      <c r="C295" s="238"/>
      <c r="D295" s="239">
        <v>197966</v>
      </c>
      <c r="E295" s="239">
        <v>10</v>
      </c>
      <c r="F295" s="390">
        <v>2518</v>
      </c>
      <c r="G295" s="391">
        <v>2518</v>
      </c>
      <c r="H295" s="390">
        <v>8662</v>
      </c>
      <c r="I295" s="391">
        <v>8662</v>
      </c>
      <c r="J295" s="390"/>
      <c r="K295" s="391"/>
      <c r="L295" s="390"/>
      <c r="M295" s="391"/>
      <c r="N295" s="390"/>
      <c r="O295" s="391"/>
      <c r="P295" s="390"/>
      <c r="Q295" s="391"/>
      <c r="R295" s="390"/>
      <c r="S295" s="391"/>
      <c r="T295" s="390"/>
      <c r="U295" s="391"/>
      <c r="V295" s="390"/>
      <c r="W295" s="391"/>
      <c r="X295" s="390"/>
      <c r="Y295" s="391"/>
      <c r="Z295" s="390"/>
      <c r="AA295" s="391"/>
      <c r="AB295" s="390"/>
      <c r="AC295" s="391"/>
      <c r="AD295" s="390"/>
      <c r="AE295" s="391"/>
      <c r="AF295" s="390"/>
      <c r="AG295" s="391"/>
      <c r="AH295" s="390"/>
      <c r="AI295" s="391"/>
      <c r="AJ295" s="390"/>
      <c r="AK295" s="391"/>
      <c r="AL295" s="390"/>
      <c r="AM295" s="391"/>
      <c r="AN295" s="390"/>
      <c r="AO295" s="391"/>
    </row>
    <row r="296" spans="1:41" s="201" customFormat="1" ht="12.75" hidden="1">
      <c r="A296" s="236" t="s">
        <v>287</v>
      </c>
      <c r="B296" s="237" t="s">
        <v>291</v>
      </c>
      <c r="C296" s="238"/>
      <c r="D296" s="239">
        <v>198011</v>
      </c>
      <c r="E296" s="239">
        <v>10</v>
      </c>
      <c r="F296" s="390">
        <v>2558</v>
      </c>
      <c r="G296" s="391">
        <v>2558</v>
      </c>
      <c r="H296" s="390">
        <v>8702</v>
      </c>
      <c r="I296" s="391">
        <v>8702</v>
      </c>
      <c r="J296" s="390"/>
      <c r="K296" s="391"/>
      <c r="L296" s="390"/>
      <c r="M296" s="391"/>
      <c r="N296" s="390"/>
      <c r="O296" s="391"/>
      <c r="P296" s="390"/>
      <c r="Q296" s="391"/>
      <c r="R296" s="390"/>
      <c r="S296" s="391"/>
      <c r="T296" s="390"/>
      <c r="U296" s="391"/>
      <c r="V296" s="390"/>
      <c r="W296" s="391"/>
      <c r="X296" s="390"/>
      <c r="Y296" s="391"/>
      <c r="Z296" s="390"/>
      <c r="AA296" s="391"/>
      <c r="AB296" s="390"/>
      <c r="AC296" s="391"/>
      <c r="AD296" s="390"/>
      <c r="AE296" s="391"/>
      <c r="AF296" s="390"/>
      <c r="AG296" s="391"/>
      <c r="AH296" s="390"/>
      <c r="AI296" s="391"/>
      <c r="AJ296" s="390"/>
      <c r="AK296" s="391"/>
      <c r="AL296" s="390"/>
      <c r="AM296" s="391"/>
      <c r="AN296" s="390"/>
      <c r="AO296" s="391"/>
    </row>
    <row r="297" spans="1:41" s="201" customFormat="1" ht="12.75" hidden="1">
      <c r="A297" s="236" t="s">
        <v>287</v>
      </c>
      <c r="B297" s="237" t="s">
        <v>292</v>
      </c>
      <c r="C297" s="238"/>
      <c r="D297" s="239">
        <v>198039</v>
      </c>
      <c r="E297" s="239">
        <v>10</v>
      </c>
      <c r="F297" s="390">
        <v>2651</v>
      </c>
      <c r="G297" s="391">
        <v>2651</v>
      </c>
      <c r="H297" s="390">
        <v>8795</v>
      </c>
      <c r="I297" s="391">
        <v>8795</v>
      </c>
      <c r="J297" s="390"/>
      <c r="K297" s="391"/>
      <c r="L297" s="390"/>
      <c r="M297" s="391"/>
      <c r="N297" s="390"/>
      <c r="O297" s="391"/>
      <c r="P297" s="390"/>
      <c r="Q297" s="391"/>
      <c r="R297" s="390"/>
      <c r="S297" s="391"/>
      <c r="T297" s="390"/>
      <c r="U297" s="391"/>
      <c r="V297" s="390"/>
      <c r="W297" s="391"/>
      <c r="X297" s="390"/>
      <c r="Y297" s="391"/>
      <c r="Z297" s="390"/>
      <c r="AA297" s="391"/>
      <c r="AB297" s="390"/>
      <c r="AC297" s="391"/>
      <c r="AD297" s="390"/>
      <c r="AE297" s="391"/>
      <c r="AF297" s="390"/>
      <c r="AG297" s="391"/>
      <c r="AH297" s="390"/>
      <c r="AI297" s="391"/>
      <c r="AJ297" s="390"/>
      <c r="AK297" s="391"/>
      <c r="AL297" s="390"/>
      <c r="AM297" s="391"/>
      <c r="AN297" s="390"/>
      <c r="AO297" s="391"/>
    </row>
    <row r="298" spans="1:41" s="201" customFormat="1" ht="12.75" hidden="1">
      <c r="A298" s="236" t="s">
        <v>287</v>
      </c>
      <c r="B298" s="237" t="s">
        <v>293</v>
      </c>
      <c r="C298" s="238"/>
      <c r="D298" s="239">
        <v>198084</v>
      </c>
      <c r="E298" s="239">
        <v>10</v>
      </c>
      <c r="F298" s="390">
        <v>2532</v>
      </c>
      <c r="G298" s="391">
        <v>2532</v>
      </c>
      <c r="H298" s="390">
        <v>8676</v>
      </c>
      <c r="I298" s="391">
        <v>8676</v>
      </c>
      <c r="J298" s="390"/>
      <c r="K298" s="391"/>
      <c r="L298" s="390"/>
      <c r="M298" s="391"/>
      <c r="N298" s="390"/>
      <c r="O298" s="391"/>
      <c r="P298" s="390"/>
      <c r="Q298" s="391"/>
      <c r="R298" s="390"/>
      <c r="S298" s="391"/>
      <c r="T298" s="390"/>
      <c r="U298" s="391"/>
      <c r="V298" s="390"/>
      <c r="W298" s="391"/>
      <c r="X298" s="390"/>
      <c r="Y298" s="391"/>
      <c r="Z298" s="390"/>
      <c r="AA298" s="391"/>
      <c r="AB298" s="390"/>
      <c r="AC298" s="391"/>
      <c r="AD298" s="390"/>
      <c r="AE298" s="391"/>
      <c r="AF298" s="390"/>
      <c r="AG298" s="391"/>
      <c r="AH298" s="390"/>
      <c r="AI298" s="391"/>
      <c r="AJ298" s="390"/>
      <c r="AK298" s="391"/>
      <c r="AL298" s="390"/>
      <c r="AM298" s="391"/>
      <c r="AN298" s="390"/>
      <c r="AO298" s="391"/>
    </row>
    <row r="299" spans="1:41" s="201" customFormat="1" ht="12.75" hidden="1">
      <c r="A299" s="236" t="s">
        <v>287</v>
      </c>
      <c r="B299" s="237" t="s">
        <v>296</v>
      </c>
      <c r="C299" s="238"/>
      <c r="D299" s="239">
        <v>198206</v>
      </c>
      <c r="E299" s="239">
        <v>10</v>
      </c>
      <c r="F299" s="390">
        <v>2547</v>
      </c>
      <c r="G299" s="391">
        <v>2640</v>
      </c>
      <c r="H299" s="390">
        <v>8691</v>
      </c>
      <c r="I299" s="391">
        <v>8976</v>
      </c>
      <c r="J299" s="390"/>
      <c r="K299" s="391"/>
      <c r="L299" s="390"/>
      <c r="M299" s="391"/>
      <c r="N299" s="390"/>
      <c r="O299" s="391"/>
      <c r="P299" s="390"/>
      <c r="Q299" s="391"/>
      <c r="R299" s="390"/>
      <c r="S299" s="391"/>
      <c r="T299" s="390"/>
      <c r="U299" s="391"/>
      <c r="V299" s="390"/>
      <c r="W299" s="391"/>
      <c r="X299" s="390"/>
      <c r="Y299" s="391"/>
      <c r="Z299" s="390"/>
      <c r="AA299" s="391"/>
      <c r="AB299" s="390"/>
      <c r="AC299" s="391"/>
      <c r="AD299" s="390"/>
      <c r="AE299" s="391"/>
      <c r="AF299" s="390"/>
      <c r="AG299" s="391"/>
      <c r="AH299" s="390"/>
      <c r="AI299" s="391"/>
      <c r="AJ299" s="390"/>
      <c r="AK299" s="391"/>
      <c r="AL299" s="390"/>
      <c r="AM299" s="391"/>
      <c r="AN299" s="390"/>
      <c r="AO299" s="391"/>
    </row>
    <row r="300" spans="1:41" s="201" customFormat="1" ht="12.75" hidden="1">
      <c r="A300" s="236" t="s">
        <v>287</v>
      </c>
      <c r="B300" s="237" t="s">
        <v>664</v>
      </c>
      <c r="C300" s="238" t="s">
        <v>641</v>
      </c>
      <c r="D300" s="239">
        <v>197814</v>
      </c>
      <c r="E300" s="239">
        <v>10</v>
      </c>
      <c r="F300" s="390">
        <v>2245</v>
      </c>
      <c r="G300" s="391">
        <v>2270</v>
      </c>
      <c r="H300" s="390">
        <v>7451</v>
      </c>
      <c r="I300" s="391">
        <v>7522</v>
      </c>
      <c r="J300" s="390"/>
      <c r="K300" s="391"/>
      <c r="L300" s="390"/>
      <c r="M300" s="391"/>
      <c r="N300" s="390"/>
      <c r="O300" s="391"/>
      <c r="P300" s="390"/>
      <c r="Q300" s="391"/>
      <c r="R300" s="390"/>
      <c r="S300" s="391"/>
      <c r="T300" s="390"/>
      <c r="U300" s="391"/>
      <c r="V300" s="390"/>
      <c r="W300" s="391"/>
      <c r="X300" s="390"/>
      <c r="Y300" s="391"/>
      <c r="Z300" s="390"/>
      <c r="AA300" s="391"/>
      <c r="AB300" s="390"/>
      <c r="AC300" s="391"/>
      <c r="AD300" s="390"/>
      <c r="AE300" s="391"/>
      <c r="AF300" s="390"/>
      <c r="AG300" s="391"/>
      <c r="AH300" s="390"/>
      <c r="AI300" s="391"/>
      <c r="AJ300" s="390"/>
      <c r="AK300" s="391"/>
      <c r="AL300" s="390"/>
      <c r="AM300" s="391"/>
      <c r="AN300" s="390"/>
      <c r="AO300" s="391"/>
    </row>
    <row r="301" spans="1:41" s="201" customFormat="1" ht="12.75" hidden="1">
      <c r="A301" s="236" t="s">
        <v>287</v>
      </c>
      <c r="B301" s="237" t="s">
        <v>304</v>
      </c>
      <c r="C301" s="240"/>
      <c r="D301" s="239">
        <v>198491</v>
      </c>
      <c r="E301" s="239">
        <v>10</v>
      </c>
      <c r="F301" s="390">
        <v>2640</v>
      </c>
      <c r="G301" s="391">
        <v>2640</v>
      </c>
      <c r="H301" s="390">
        <v>8784</v>
      </c>
      <c r="I301" s="391">
        <v>8784</v>
      </c>
      <c r="J301" s="390"/>
      <c r="K301" s="391"/>
      <c r="L301" s="390"/>
      <c r="M301" s="391"/>
      <c r="N301" s="390"/>
      <c r="O301" s="391"/>
      <c r="P301" s="390"/>
      <c r="Q301" s="391"/>
      <c r="R301" s="390"/>
      <c r="S301" s="391"/>
      <c r="T301" s="390"/>
      <c r="U301" s="391"/>
      <c r="V301" s="390"/>
      <c r="W301" s="391"/>
      <c r="X301" s="390"/>
      <c r="Y301" s="391"/>
      <c r="Z301" s="390"/>
      <c r="AA301" s="391"/>
      <c r="AB301" s="390"/>
      <c r="AC301" s="391"/>
      <c r="AD301" s="390"/>
      <c r="AE301" s="391"/>
      <c r="AF301" s="390"/>
      <c r="AG301" s="391"/>
      <c r="AH301" s="390"/>
      <c r="AI301" s="391"/>
      <c r="AJ301" s="390"/>
      <c r="AK301" s="391"/>
      <c r="AL301" s="390"/>
      <c r="AM301" s="391"/>
      <c r="AN301" s="390"/>
      <c r="AO301" s="391"/>
    </row>
    <row r="302" spans="1:41" s="201" customFormat="1" ht="12.75" hidden="1">
      <c r="A302" s="236" t="s">
        <v>287</v>
      </c>
      <c r="B302" s="237" t="s">
        <v>309</v>
      </c>
      <c r="C302" s="238"/>
      <c r="D302" s="239">
        <v>198640</v>
      </c>
      <c r="E302" s="239">
        <v>10</v>
      </c>
      <c r="F302" s="390">
        <v>2608</v>
      </c>
      <c r="G302" s="391">
        <v>2608</v>
      </c>
      <c r="H302" s="390">
        <v>8752</v>
      </c>
      <c r="I302" s="391">
        <v>8752</v>
      </c>
      <c r="J302" s="390"/>
      <c r="K302" s="391"/>
      <c r="L302" s="390"/>
      <c r="M302" s="391"/>
      <c r="N302" s="390"/>
      <c r="O302" s="391"/>
      <c r="P302" s="390"/>
      <c r="Q302" s="391"/>
      <c r="R302" s="390"/>
      <c r="S302" s="391"/>
      <c r="T302" s="390"/>
      <c r="U302" s="391"/>
      <c r="V302" s="390"/>
      <c r="W302" s="391"/>
      <c r="X302" s="390"/>
      <c r="Y302" s="391"/>
      <c r="Z302" s="390"/>
      <c r="AA302" s="391"/>
      <c r="AB302" s="390"/>
      <c r="AC302" s="391"/>
      <c r="AD302" s="390"/>
      <c r="AE302" s="391"/>
      <c r="AF302" s="390"/>
      <c r="AG302" s="391"/>
      <c r="AH302" s="390"/>
      <c r="AI302" s="391"/>
      <c r="AJ302" s="390"/>
      <c r="AK302" s="391"/>
      <c r="AL302" s="390"/>
      <c r="AM302" s="391"/>
      <c r="AN302" s="390"/>
      <c r="AO302" s="391"/>
    </row>
    <row r="303" spans="1:41" s="201" customFormat="1" ht="12.75" hidden="1">
      <c r="A303" s="236" t="s">
        <v>287</v>
      </c>
      <c r="B303" s="237" t="s">
        <v>310</v>
      </c>
      <c r="C303" s="240"/>
      <c r="D303" s="239">
        <v>198668</v>
      </c>
      <c r="E303" s="239">
        <v>10</v>
      </c>
      <c r="F303" s="390">
        <v>2580</v>
      </c>
      <c r="G303" s="391">
        <v>2580</v>
      </c>
      <c r="H303" s="390">
        <v>8724</v>
      </c>
      <c r="I303" s="391">
        <v>8724</v>
      </c>
      <c r="J303" s="390"/>
      <c r="K303" s="391"/>
      <c r="L303" s="390"/>
      <c r="M303" s="391"/>
      <c r="N303" s="390"/>
      <c r="O303" s="391"/>
      <c r="P303" s="390"/>
      <c r="Q303" s="391"/>
      <c r="R303" s="390"/>
      <c r="S303" s="391"/>
      <c r="T303" s="390"/>
      <c r="U303" s="391"/>
      <c r="V303" s="390"/>
      <c r="W303" s="391"/>
      <c r="X303" s="390"/>
      <c r="Y303" s="391"/>
      <c r="Z303" s="390"/>
      <c r="AA303" s="391"/>
      <c r="AB303" s="390"/>
      <c r="AC303" s="391"/>
      <c r="AD303" s="390"/>
      <c r="AE303" s="391"/>
      <c r="AF303" s="390"/>
      <c r="AG303" s="391"/>
      <c r="AH303" s="390"/>
      <c r="AI303" s="391"/>
      <c r="AJ303" s="390"/>
      <c r="AK303" s="391"/>
      <c r="AL303" s="390"/>
      <c r="AM303" s="391"/>
      <c r="AN303" s="390"/>
      <c r="AO303" s="391"/>
    </row>
    <row r="304" spans="1:41" s="201" customFormat="1" ht="12.75" hidden="1">
      <c r="A304" s="236" t="s">
        <v>287</v>
      </c>
      <c r="B304" s="237" t="s">
        <v>311</v>
      </c>
      <c r="C304" s="240"/>
      <c r="D304" s="239">
        <v>198710</v>
      </c>
      <c r="E304" s="239">
        <v>10</v>
      </c>
      <c r="F304" s="390">
        <v>1934</v>
      </c>
      <c r="G304" s="391">
        <v>1994</v>
      </c>
      <c r="H304" s="390">
        <v>6542</v>
      </c>
      <c r="I304" s="391">
        <v>6602</v>
      </c>
      <c r="J304" s="390"/>
      <c r="K304" s="391"/>
      <c r="L304" s="390"/>
      <c r="M304" s="391"/>
      <c r="N304" s="390"/>
      <c r="O304" s="391"/>
      <c r="P304" s="390"/>
      <c r="Q304" s="391"/>
      <c r="R304" s="390"/>
      <c r="S304" s="391"/>
      <c r="T304" s="390"/>
      <c r="U304" s="391"/>
      <c r="V304" s="390"/>
      <c r="W304" s="391"/>
      <c r="X304" s="390"/>
      <c r="Y304" s="391"/>
      <c r="Z304" s="390"/>
      <c r="AA304" s="391"/>
      <c r="AB304" s="390"/>
      <c r="AC304" s="391"/>
      <c r="AD304" s="390"/>
      <c r="AE304" s="391"/>
      <c r="AF304" s="390"/>
      <c r="AG304" s="391"/>
      <c r="AH304" s="390"/>
      <c r="AI304" s="391"/>
      <c r="AJ304" s="390"/>
      <c r="AK304" s="391"/>
      <c r="AL304" s="390"/>
      <c r="AM304" s="391"/>
      <c r="AN304" s="390"/>
      <c r="AO304" s="391"/>
    </row>
    <row r="305" spans="1:41" s="201" customFormat="1" ht="12.75" hidden="1">
      <c r="A305" s="236" t="s">
        <v>287</v>
      </c>
      <c r="B305" s="237" t="s">
        <v>312</v>
      </c>
      <c r="C305" s="238"/>
      <c r="D305" s="239">
        <v>198729</v>
      </c>
      <c r="E305" s="239">
        <v>10</v>
      </c>
      <c r="F305" s="390">
        <v>2570</v>
      </c>
      <c r="G305" s="391">
        <v>2570</v>
      </c>
      <c r="H305" s="390">
        <v>8714</v>
      </c>
      <c r="I305" s="391">
        <v>8714</v>
      </c>
      <c r="J305" s="390"/>
      <c r="K305" s="391"/>
      <c r="L305" s="390"/>
      <c r="M305" s="391"/>
      <c r="N305" s="390"/>
      <c r="O305" s="391"/>
      <c r="P305" s="390"/>
      <c r="Q305" s="391"/>
      <c r="R305" s="390"/>
      <c r="S305" s="391"/>
      <c r="T305" s="390"/>
      <c r="U305" s="391"/>
      <c r="V305" s="390"/>
      <c r="W305" s="391"/>
      <c r="X305" s="390"/>
      <c r="Y305" s="391"/>
      <c r="Z305" s="390"/>
      <c r="AA305" s="391"/>
      <c r="AB305" s="390"/>
      <c r="AC305" s="391"/>
      <c r="AD305" s="390"/>
      <c r="AE305" s="391"/>
      <c r="AF305" s="390"/>
      <c r="AG305" s="391"/>
      <c r="AH305" s="390"/>
      <c r="AI305" s="391"/>
      <c r="AJ305" s="390"/>
      <c r="AK305" s="391"/>
      <c r="AL305" s="390"/>
      <c r="AM305" s="391"/>
      <c r="AN305" s="390"/>
      <c r="AO305" s="391"/>
    </row>
    <row r="306" spans="1:41" s="201" customFormat="1" ht="12.75" hidden="1">
      <c r="A306" s="236" t="s">
        <v>287</v>
      </c>
      <c r="B306" s="237" t="s">
        <v>315</v>
      </c>
      <c r="C306" s="238"/>
      <c r="D306" s="239">
        <v>198905</v>
      </c>
      <c r="E306" s="239">
        <v>10</v>
      </c>
      <c r="F306" s="390">
        <v>1915</v>
      </c>
      <c r="G306" s="391">
        <v>1915</v>
      </c>
      <c r="H306" s="390">
        <v>6523</v>
      </c>
      <c r="I306" s="391">
        <v>6523</v>
      </c>
      <c r="J306" s="390"/>
      <c r="K306" s="391"/>
      <c r="L306" s="390"/>
      <c r="M306" s="391"/>
      <c r="N306" s="390"/>
      <c r="O306" s="391"/>
      <c r="P306" s="390"/>
      <c r="Q306" s="391"/>
      <c r="R306" s="390"/>
      <c r="S306" s="391"/>
      <c r="T306" s="390"/>
      <c r="U306" s="391"/>
      <c r="V306" s="390"/>
      <c r="W306" s="391"/>
      <c r="X306" s="390"/>
      <c r="Y306" s="391"/>
      <c r="Z306" s="390"/>
      <c r="AA306" s="391"/>
      <c r="AB306" s="390"/>
      <c r="AC306" s="391"/>
      <c r="AD306" s="390"/>
      <c r="AE306" s="391"/>
      <c r="AF306" s="390"/>
      <c r="AG306" s="391"/>
      <c r="AH306" s="390"/>
      <c r="AI306" s="391"/>
      <c r="AJ306" s="390"/>
      <c r="AK306" s="391"/>
      <c r="AL306" s="390"/>
      <c r="AM306" s="391"/>
      <c r="AN306" s="390"/>
      <c r="AO306" s="391"/>
    </row>
    <row r="307" spans="1:41" s="201" customFormat="1" ht="12.75" hidden="1">
      <c r="A307" s="236" t="s">
        <v>287</v>
      </c>
      <c r="B307" s="237" t="s">
        <v>316</v>
      </c>
      <c r="C307" s="238"/>
      <c r="D307" s="239">
        <v>198914</v>
      </c>
      <c r="E307" s="239">
        <v>10</v>
      </c>
      <c r="F307" s="390">
        <v>2558</v>
      </c>
      <c r="G307" s="391">
        <v>2558</v>
      </c>
      <c r="H307" s="390">
        <v>8702</v>
      </c>
      <c r="I307" s="391">
        <v>8702</v>
      </c>
      <c r="J307" s="390"/>
      <c r="K307" s="391"/>
      <c r="L307" s="390"/>
      <c r="M307" s="391"/>
      <c r="N307" s="390"/>
      <c r="O307" s="391"/>
      <c r="P307" s="390"/>
      <c r="Q307" s="391"/>
      <c r="R307" s="390"/>
      <c r="S307" s="391"/>
      <c r="T307" s="390"/>
      <c r="U307" s="391"/>
      <c r="V307" s="390"/>
      <c r="W307" s="391"/>
      <c r="X307" s="390"/>
      <c r="Y307" s="391"/>
      <c r="Z307" s="390"/>
      <c r="AA307" s="391"/>
      <c r="AB307" s="390"/>
      <c r="AC307" s="391"/>
      <c r="AD307" s="390"/>
      <c r="AE307" s="391"/>
      <c r="AF307" s="390"/>
      <c r="AG307" s="391"/>
      <c r="AH307" s="390"/>
      <c r="AI307" s="391"/>
      <c r="AJ307" s="390"/>
      <c r="AK307" s="391"/>
      <c r="AL307" s="390"/>
      <c r="AM307" s="391"/>
      <c r="AN307" s="390"/>
      <c r="AO307" s="391"/>
    </row>
    <row r="308" spans="1:41" s="201" customFormat="1" ht="12.75" hidden="1">
      <c r="A308" s="236" t="s">
        <v>287</v>
      </c>
      <c r="B308" s="237" t="s">
        <v>317</v>
      </c>
      <c r="C308" s="238"/>
      <c r="D308" s="239">
        <v>198923</v>
      </c>
      <c r="E308" s="239">
        <v>10</v>
      </c>
      <c r="F308" s="390">
        <v>1926</v>
      </c>
      <c r="G308" s="391">
        <v>1926</v>
      </c>
      <c r="H308" s="390">
        <v>6534</v>
      </c>
      <c r="I308" s="391">
        <v>6534</v>
      </c>
      <c r="J308" s="390"/>
      <c r="K308" s="391"/>
      <c r="L308" s="390"/>
      <c r="M308" s="391"/>
      <c r="N308" s="390"/>
      <c r="O308" s="391"/>
      <c r="P308" s="390"/>
      <c r="Q308" s="391"/>
      <c r="R308" s="390"/>
      <c r="S308" s="391"/>
      <c r="T308" s="390"/>
      <c r="U308" s="391"/>
      <c r="V308" s="390"/>
      <c r="W308" s="391"/>
      <c r="X308" s="390"/>
      <c r="Y308" s="391"/>
      <c r="Z308" s="390"/>
      <c r="AA308" s="391"/>
      <c r="AB308" s="390"/>
      <c r="AC308" s="391"/>
      <c r="AD308" s="390"/>
      <c r="AE308" s="391"/>
      <c r="AF308" s="390"/>
      <c r="AG308" s="391"/>
      <c r="AH308" s="390"/>
      <c r="AI308" s="391"/>
      <c r="AJ308" s="390"/>
      <c r="AK308" s="391"/>
      <c r="AL308" s="390"/>
      <c r="AM308" s="391"/>
      <c r="AN308" s="390"/>
      <c r="AO308" s="391"/>
    </row>
    <row r="309" spans="1:41" s="201" customFormat="1" ht="12.75" hidden="1">
      <c r="A309" s="236" t="s">
        <v>287</v>
      </c>
      <c r="B309" s="237" t="s">
        <v>319</v>
      </c>
      <c r="C309" s="238"/>
      <c r="D309" s="239">
        <v>199023</v>
      </c>
      <c r="E309" s="239">
        <v>10</v>
      </c>
      <c r="F309" s="390">
        <v>2537</v>
      </c>
      <c r="G309" s="391">
        <v>2537</v>
      </c>
      <c r="H309" s="390">
        <v>8681</v>
      </c>
      <c r="I309" s="391">
        <v>8681</v>
      </c>
      <c r="J309" s="390"/>
      <c r="K309" s="391"/>
      <c r="L309" s="390"/>
      <c r="M309" s="391"/>
      <c r="N309" s="390"/>
      <c r="O309" s="391"/>
      <c r="P309" s="390"/>
      <c r="Q309" s="391"/>
      <c r="R309" s="390"/>
      <c r="S309" s="391"/>
      <c r="T309" s="390"/>
      <c r="U309" s="391"/>
      <c r="V309" s="390"/>
      <c r="W309" s="391"/>
      <c r="X309" s="390"/>
      <c r="Y309" s="391"/>
      <c r="Z309" s="390"/>
      <c r="AA309" s="391"/>
      <c r="AB309" s="390"/>
      <c r="AC309" s="391"/>
      <c r="AD309" s="390"/>
      <c r="AE309" s="391"/>
      <c r="AF309" s="390"/>
      <c r="AG309" s="391"/>
      <c r="AH309" s="390"/>
      <c r="AI309" s="391"/>
      <c r="AJ309" s="390"/>
      <c r="AK309" s="391"/>
      <c r="AL309" s="390"/>
      <c r="AM309" s="391"/>
      <c r="AN309" s="390"/>
      <c r="AO309" s="391"/>
    </row>
    <row r="310" spans="1:41" s="201" customFormat="1" ht="12.75" hidden="1">
      <c r="A310" s="236" t="s">
        <v>287</v>
      </c>
      <c r="B310" s="237" t="s">
        <v>321</v>
      </c>
      <c r="C310" s="238"/>
      <c r="D310" s="239">
        <v>199263</v>
      </c>
      <c r="E310" s="239">
        <v>10</v>
      </c>
      <c r="F310" s="390">
        <v>1867</v>
      </c>
      <c r="G310" s="391">
        <v>1867</v>
      </c>
      <c r="H310" s="390">
        <v>6475</v>
      </c>
      <c r="I310" s="391">
        <v>6475</v>
      </c>
      <c r="J310" s="390"/>
      <c r="K310" s="391"/>
      <c r="L310" s="390"/>
      <c r="M310" s="391"/>
      <c r="N310" s="390"/>
      <c r="O310" s="391"/>
      <c r="P310" s="390"/>
      <c r="Q310" s="391"/>
      <c r="R310" s="390"/>
      <c r="S310" s="391"/>
      <c r="T310" s="390"/>
      <c r="U310" s="391"/>
      <c r="V310" s="390"/>
      <c r="W310" s="391"/>
      <c r="X310" s="390"/>
      <c r="Y310" s="391"/>
      <c r="Z310" s="390"/>
      <c r="AA310" s="391"/>
      <c r="AB310" s="390"/>
      <c r="AC310" s="391"/>
      <c r="AD310" s="390"/>
      <c r="AE310" s="391"/>
      <c r="AF310" s="390"/>
      <c r="AG310" s="391"/>
      <c r="AH310" s="390"/>
      <c r="AI310" s="391"/>
      <c r="AJ310" s="390"/>
      <c r="AK310" s="391"/>
      <c r="AL310" s="390"/>
      <c r="AM310" s="391"/>
      <c r="AN310" s="390"/>
      <c r="AO310" s="391"/>
    </row>
    <row r="311" spans="1:41" s="201" customFormat="1" ht="12.75" hidden="1">
      <c r="A311" s="236" t="s">
        <v>287</v>
      </c>
      <c r="B311" s="237" t="s">
        <v>322</v>
      </c>
      <c r="C311" s="238"/>
      <c r="D311" s="239">
        <v>199324</v>
      </c>
      <c r="E311" s="239">
        <v>10</v>
      </c>
      <c r="F311" s="390">
        <v>2546</v>
      </c>
      <c r="G311" s="391">
        <v>2546</v>
      </c>
      <c r="H311" s="390">
        <v>8690</v>
      </c>
      <c r="I311" s="391">
        <v>8690</v>
      </c>
      <c r="J311" s="390"/>
      <c r="K311" s="391"/>
      <c r="L311" s="390"/>
      <c r="M311" s="391"/>
      <c r="N311" s="390"/>
      <c r="O311" s="391"/>
      <c r="P311" s="390"/>
      <c r="Q311" s="391"/>
      <c r="R311" s="390"/>
      <c r="S311" s="391"/>
      <c r="T311" s="390"/>
      <c r="U311" s="391"/>
      <c r="V311" s="390"/>
      <c r="W311" s="391"/>
      <c r="X311" s="390"/>
      <c r="Y311" s="391"/>
      <c r="Z311" s="390"/>
      <c r="AA311" s="391"/>
      <c r="AB311" s="390"/>
      <c r="AC311" s="391"/>
      <c r="AD311" s="390"/>
      <c r="AE311" s="391"/>
      <c r="AF311" s="390"/>
      <c r="AG311" s="391"/>
      <c r="AH311" s="390"/>
      <c r="AI311" s="391"/>
      <c r="AJ311" s="390"/>
      <c r="AK311" s="391"/>
      <c r="AL311" s="390"/>
      <c r="AM311" s="391"/>
      <c r="AN311" s="390"/>
      <c r="AO311" s="391"/>
    </row>
    <row r="312" spans="1:41" s="201" customFormat="1" ht="12.75" hidden="1">
      <c r="A312" s="236" t="s">
        <v>287</v>
      </c>
      <c r="B312" s="237" t="s">
        <v>326</v>
      </c>
      <c r="C312" s="238"/>
      <c r="D312" s="239">
        <v>199467</v>
      </c>
      <c r="E312" s="239">
        <v>10</v>
      </c>
      <c r="F312" s="390">
        <v>2642</v>
      </c>
      <c r="G312" s="391">
        <v>2642</v>
      </c>
      <c r="H312" s="390">
        <v>8786</v>
      </c>
      <c r="I312" s="391">
        <v>8786</v>
      </c>
      <c r="J312" s="390"/>
      <c r="K312" s="391"/>
      <c r="L312" s="390"/>
      <c r="M312" s="391"/>
      <c r="N312" s="390"/>
      <c r="O312" s="391"/>
      <c r="P312" s="390"/>
      <c r="Q312" s="391"/>
      <c r="R312" s="390"/>
      <c r="S312" s="391"/>
      <c r="T312" s="390"/>
      <c r="U312" s="391"/>
      <c r="V312" s="390"/>
      <c r="W312" s="391"/>
      <c r="X312" s="390"/>
      <c r="Y312" s="391"/>
      <c r="Z312" s="390"/>
      <c r="AA312" s="391"/>
      <c r="AB312" s="390"/>
      <c r="AC312" s="391"/>
      <c r="AD312" s="390"/>
      <c r="AE312" s="391"/>
      <c r="AF312" s="390"/>
      <c r="AG312" s="391"/>
      <c r="AH312" s="390"/>
      <c r="AI312" s="391"/>
      <c r="AJ312" s="390"/>
      <c r="AK312" s="391"/>
      <c r="AL312" s="390"/>
      <c r="AM312" s="391"/>
      <c r="AN312" s="390"/>
      <c r="AO312" s="391"/>
    </row>
    <row r="313" spans="1:41" s="201" customFormat="1" ht="12.75" hidden="1">
      <c r="A313" s="236" t="s">
        <v>287</v>
      </c>
      <c r="B313" s="237" t="s">
        <v>327</v>
      </c>
      <c r="C313" s="240"/>
      <c r="D313" s="239">
        <v>199476</v>
      </c>
      <c r="E313" s="239">
        <v>10</v>
      </c>
      <c r="F313" s="390">
        <v>2563</v>
      </c>
      <c r="G313" s="391">
        <v>2563</v>
      </c>
      <c r="H313" s="390">
        <v>8707</v>
      </c>
      <c r="I313" s="391">
        <v>8707</v>
      </c>
      <c r="J313" s="390"/>
      <c r="K313" s="391"/>
      <c r="L313" s="390"/>
      <c r="M313" s="391"/>
      <c r="N313" s="390"/>
      <c r="O313" s="391"/>
      <c r="P313" s="390"/>
      <c r="Q313" s="391"/>
      <c r="R313" s="390"/>
      <c r="S313" s="391"/>
      <c r="T313" s="390"/>
      <c r="U313" s="391"/>
      <c r="V313" s="390"/>
      <c r="W313" s="391"/>
      <c r="X313" s="390"/>
      <c r="Y313" s="391"/>
      <c r="Z313" s="390"/>
      <c r="AA313" s="391"/>
      <c r="AB313" s="390"/>
      <c r="AC313" s="391"/>
      <c r="AD313" s="390"/>
      <c r="AE313" s="391"/>
      <c r="AF313" s="390"/>
      <c r="AG313" s="391"/>
      <c r="AH313" s="390"/>
      <c r="AI313" s="391"/>
      <c r="AJ313" s="390"/>
      <c r="AK313" s="391"/>
      <c r="AL313" s="390"/>
      <c r="AM313" s="391"/>
      <c r="AN313" s="390"/>
      <c r="AO313" s="391"/>
    </row>
    <row r="314" spans="1:41" s="201" customFormat="1" ht="12.75" hidden="1">
      <c r="A314" s="236" t="s">
        <v>287</v>
      </c>
      <c r="B314" s="237" t="s">
        <v>328</v>
      </c>
      <c r="C314" s="238"/>
      <c r="D314" s="239">
        <v>199485</v>
      </c>
      <c r="E314" s="239">
        <v>10</v>
      </c>
      <c r="F314" s="390">
        <v>1966</v>
      </c>
      <c r="G314" s="391">
        <v>1966</v>
      </c>
      <c r="H314" s="390">
        <v>6574</v>
      </c>
      <c r="I314" s="391">
        <v>6574</v>
      </c>
      <c r="J314" s="390"/>
      <c r="K314" s="391"/>
      <c r="L314" s="390"/>
      <c r="M314" s="391"/>
      <c r="N314" s="390"/>
      <c r="O314" s="391"/>
      <c r="P314" s="390"/>
      <c r="Q314" s="391"/>
      <c r="R314" s="390"/>
      <c r="S314" s="391"/>
      <c r="T314" s="390"/>
      <c r="U314" s="391"/>
      <c r="V314" s="390"/>
      <c r="W314" s="391"/>
      <c r="X314" s="390"/>
      <c r="Y314" s="391"/>
      <c r="Z314" s="390"/>
      <c r="AA314" s="391"/>
      <c r="AB314" s="390"/>
      <c r="AC314" s="391"/>
      <c r="AD314" s="390"/>
      <c r="AE314" s="391"/>
      <c r="AF314" s="390"/>
      <c r="AG314" s="391"/>
      <c r="AH314" s="390"/>
      <c r="AI314" s="391"/>
      <c r="AJ314" s="390"/>
      <c r="AK314" s="391"/>
      <c r="AL314" s="390"/>
      <c r="AM314" s="391"/>
      <c r="AN314" s="390"/>
      <c r="AO314" s="391"/>
    </row>
    <row r="315" spans="1:41" s="201" customFormat="1" ht="12.75" hidden="1">
      <c r="A315" s="236" t="s">
        <v>287</v>
      </c>
      <c r="B315" s="237" t="s">
        <v>330</v>
      </c>
      <c r="C315" s="238"/>
      <c r="D315" s="239">
        <v>199625</v>
      </c>
      <c r="E315" s="239">
        <v>10</v>
      </c>
      <c r="F315" s="390">
        <v>2783</v>
      </c>
      <c r="G315" s="391">
        <v>2830</v>
      </c>
      <c r="H315" s="390">
        <v>9695</v>
      </c>
      <c r="I315" s="391">
        <v>9742</v>
      </c>
      <c r="J315" s="390"/>
      <c r="K315" s="391"/>
      <c r="L315" s="390"/>
      <c r="M315" s="391"/>
      <c r="N315" s="390"/>
      <c r="O315" s="391"/>
      <c r="P315" s="390"/>
      <c r="Q315" s="391"/>
      <c r="R315" s="390"/>
      <c r="S315" s="391"/>
      <c r="T315" s="390"/>
      <c r="U315" s="391"/>
      <c r="V315" s="390"/>
      <c r="W315" s="391"/>
      <c r="X315" s="390"/>
      <c r="Y315" s="391"/>
      <c r="Z315" s="390"/>
      <c r="AA315" s="391"/>
      <c r="AB315" s="390"/>
      <c r="AC315" s="391"/>
      <c r="AD315" s="390"/>
      <c r="AE315" s="391"/>
      <c r="AF315" s="390"/>
      <c r="AG315" s="391"/>
      <c r="AH315" s="390"/>
      <c r="AI315" s="391"/>
      <c r="AJ315" s="390"/>
      <c r="AK315" s="391"/>
      <c r="AL315" s="390"/>
      <c r="AM315" s="391"/>
      <c r="AN315" s="390"/>
      <c r="AO315" s="391"/>
    </row>
    <row r="316" spans="1:41" s="201" customFormat="1" ht="12.75" hidden="1">
      <c r="A316" s="236" t="s">
        <v>287</v>
      </c>
      <c r="B316" s="237" t="s">
        <v>333</v>
      </c>
      <c r="C316" s="238"/>
      <c r="D316" s="239">
        <v>199722</v>
      </c>
      <c r="E316" s="239">
        <v>10</v>
      </c>
      <c r="F316" s="390">
        <v>2595</v>
      </c>
      <c r="G316" s="391">
        <v>2600</v>
      </c>
      <c r="H316" s="390">
        <v>8739</v>
      </c>
      <c r="I316" s="391">
        <v>8744</v>
      </c>
      <c r="J316" s="390"/>
      <c r="K316" s="391"/>
      <c r="L316" s="390"/>
      <c r="M316" s="391"/>
      <c r="N316" s="390"/>
      <c r="O316" s="391"/>
      <c r="P316" s="390"/>
      <c r="Q316" s="391"/>
      <c r="R316" s="390"/>
      <c r="S316" s="391"/>
      <c r="T316" s="390"/>
      <c r="U316" s="391"/>
      <c r="V316" s="390"/>
      <c r="W316" s="391"/>
      <c r="X316" s="390"/>
      <c r="Y316" s="391"/>
      <c r="Z316" s="390"/>
      <c r="AA316" s="391"/>
      <c r="AB316" s="390"/>
      <c r="AC316" s="391"/>
      <c r="AD316" s="390"/>
      <c r="AE316" s="391"/>
      <c r="AF316" s="390"/>
      <c r="AG316" s="391"/>
      <c r="AH316" s="390"/>
      <c r="AI316" s="391"/>
      <c r="AJ316" s="390"/>
      <c r="AK316" s="391"/>
      <c r="AL316" s="390"/>
      <c r="AM316" s="391"/>
      <c r="AN316" s="390"/>
      <c r="AO316" s="391"/>
    </row>
    <row r="317" spans="1:41" s="201" customFormat="1" ht="12.75" hidden="1">
      <c r="A317" s="236" t="s">
        <v>287</v>
      </c>
      <c r="B317" s="237" t="s">
        <v>334</v>
      </c>
      <c r="C317" s="238"/>
      <c r="D317" s="239">
        <v>199731</v>
      </c>
      <c r="E317" s="239">
        <v>10</v>
      </c>
      <c r="F317" s="390">
        <v>2213</v>
      </c>
      <c r="G317" s="391">
        <v>2337</v>
      </c>
      <c r="H317" s="390">
        <v>7589</v>
      </c>
      <c r="I317" s="391">
        <v>7713</v>
      </c>
      <c r="J317" s="390"/>
      <c r="K317" s="391"/>
      <c r="L317" s="390"/>
      <c r="M317" s="391"/>
      <c r="N317" s="390"/>
      <c r="O317" s="391"/>
      <c r="P317" s="390"/>
      <c r="Q317" s="391"/>
      <c r="R317" s="390"/>
      <c r="S317" s="391"/>
      <c r="T317" s="390"/>
      <c r="U317" s="391"/>
      <c r="V317" s="390"/>
      <c r="W317" s="391"/>
      <c r="X317" s="390"/>
      <c r="Y317" s="391"/>
      <c r="Z317" s="390"/>
      <c r="AA317" s="391"/>
      <c r="AB317" s="390"/>
      <c r="AC317" s="391"/>
      <c r="AD317" s="390"/>
      <c r="AE317" s="391"/>
      <c r="AF317" s="390"/>
      <c r="AG317" s="391"/>
      <c r="AH317" s="390"/>
      <c r="AI317" s="391"/>
      <c r="AJ317" s="390"/>
      <c r="AK317" s="391"/>
      <c r="AL317" s="390"/>
      <c r="AM317" s="391"/>
      <c r="AN317" s="390"/>
      <c r="AO317" s="391"/>
    </row>
    <row r="318" spans="1:41" s="201" customFormat="1" ht="12.75" hidden="1">
      <c r="A318" s="236" t="s">
        <v>287</v>
      </c>
      <c r="B318" s="237" t="s">
        <v>337</v>
      </c>
      <c r="C318" s="238"/>
      <c r="D318" s="239">
        <v>199795</v>
      </c>
      <c r="E318" s="239">
        <v>10</v>
      </c>
      <c r="F318" s="390">
        <v>2363</v>
      </c>
      <c r="G318" s="391">
        <v>2363</v>
      </c>
      <c r="H318" s="390">
        <v>8507</v>
      </c>
      <c r="I318" s="391">
        <v>8507</v>
      </c>
      <c r="J318" s="390"/>
      <c r="K318" s="391"/>
      <c r="L318" s="390"/>
      <c r="M318" s="391"/>
      <c r="N318" s="390"/>
      <c r="O318" s="391"/>
      <c r="P318" s="390"/>
      <c r="Q318" s="391"/>
      <c r="R318" s="390"/>
      <c r="S318" s="391"/>
      <c r="T318" s="390"/>
      <c r="U318" s="391"/>
      <c r="V318" s="390"/>
      <c r="W318" s="391"/>
      <c r="X318" s="390"/>
      <c r="Y318" s="391"/>
      <c r="Z318" s="390"/>
      <c r="AA318" s="391"/>
      <c r="AB318" s="390"/>
      <c r="AC318" s="391"/>
      <c r="AD318" s="390"/>
      <c r="AE318" s="391"/>
      <c r="AF318" s="390"/>
      <c r="AG318" s="391"/>
      <c r="AH318" s="390"/>
      <c r="AI318" s="391"/>
      <c r="AJ318" s="390"/>
      <c r="AK318" s="391"/>
      <c r="AL318" s="390"/>
      <c r="AM318" s="391"/>
      <c r="AN318" s="390"/>
      <c r="AO318" s="391"/>
    </row>
    <row r="319" spans="1:41" s="201" customFormat="1" ht="12.75" hidden="1">
      <c r="A319" s="236" t="s">
        <v>287</v>
      </c>
      <c r="B319" s="237" t="s">
        <v>341</v>
      </c>
      <c r="C319" s="240"/>
      <c r="D319" s="239">
        <v>199908</v>
      </c>
      <c r="E319" s="239">
        <v>10</v>
      </c>
      <c r="F319" s="390">
        <v>2577</v>
      </c>
      <c r="G319" s="391">
        <v>2577</v>
      </c>
      <c r="H319" s="390">
        <v>8721</v>
      </c>
      <c r="I319" s="391">
        <v>8721</v>
      </c>
      <c r="J319" s="390"/>
      <c r="K319" s="391"/>
      <c r="L319" s="390"/>
      <c r="M319" s="391"/>
      <c r="N319" s="390"/>
      <c r="O319" s="391"/>
      <c r="P319" s="390"/>
      <c r="Q319" s="391"/>
      <c r="R319" s="390"/>
      <c r="S319" s="391"/>
      <c r="T319" s="390"/>
      <c r="U319" s="391"/>
      <c r="V319" s="390"/>
      <c r="W319" s="391"/>
      <c r="X319" s="390"/>
      <c r="Y319" s="391"/>
      <c r="Z319" s="390"/>
      <c r="AA319" s="391"/>
      <c r="AB319" s="390"/>
      <c r="AC319" s="391"/>
      <c r="AD319" s="390"/>
      <c r="AE319" s="391"/>
      <c r="AF319" s="390"/>
      <c r="AG319" s="391"/>
      <c r="AH319" s="390"/>
      <c r="AI319" s="391"/>
      <c r="AJ319" s="390"/>
      <c r="AK319" s="391"/>
      <c r="AL319" s="390"/>
      <c r="AM319" s="391"/>
      <c r="AN319" s="390"/>
      <c r="AO319" s="391"/>
    </row>
    <row r="320" spans="1:41" s="201" customFormat="1" ht="12.75" hidden="1">
      <c r="A320" s="236" t="s">
        <v>287</v>
      </c>
      <c r="B320" s="237" t="s">
        <v>343</v>
      </c>
      <c r="C320" s="238"/>
      <c r="D320" s="239">
        <v>199953</v>
      </c>
      <c r="E320" s="239">
        <v>10</v>
      </c>
      <c r="F320" s="390">
        <v>2572</v>
      </c>
      <c r="G320" s="391">
        <v>2642</v>
      </c>
      <c r="H320" s="390">
        <v>8716</v>
      </c>
      <c r="I320" s="391">
        <v>8646</v>
      </c>
      <c r="J320" s="390"/>
      <c r="K320" s="391"/>
      <c r="L320" s="390"/>
      <c r="M320" s="391"/>
      <c r="N320" s="390"/>
      <c r="O320" s="391"/>
      <c r="P320" s="390"/>
      <c r="Q320" s="391"/>
      <c r="R320" s="390"/>
      <c r="S320" s="391"/>
      <c r="T320" s="390"/>
      <c r="U320" s="391"/>
      <c r="V320" s="390"/>
      <c r="W320" s="391"/>
      <c r="X320" s="390"/>
      <c r="Y320" s="391"/>
      <c r="Z320" s="390"/>
      <c r="AA320" s="391"/>
      <c r="AB320" s="390"/>
      <c r="AC320" s="391"/>
      <c r="AD320" s="390"/>
      <c r="AE320" s="391"/>
      <c r="AF320" s="390"/>
      <c r="AG320" s="391"/>
      <c r="AH320" s="390"/>
      <c r="AI320" s="391"/>
      <c r="AJ320" s="390"/>
      <c r="AK320" s="391"/>
      <c r="AL320" s="390"/>
      <c r="AM320" s="391"/>
      <c r="AN320" s="390"/>
      <c r="AO320" s="391"/>
    </row>
    <row r="321" spans="1:41" s="201" customFormat="1" ht="12.75" hidden="1">
      <c r="A321" s="222" t="s">
        <v>359</v>
      </c>
      <c r="B321" s="271" t="s">
        <v>665</v>
      </c>
      <c r="C321" s="272"/>
      <c r="D321" s="273">
        <v>365374</v>
      </c>
      <c r="E321" s="273">
        <v>12</v>
      </c>
      <c r="F321" s="390">
        <v>1800</v>
      </c>
      <c r="G321" s="391">
        <v>1800</v>
      </c>
      <c r="H321" s="390">
        <v>3600</v>
      </c>
      <c r="I321" s="391">
        <v>3600</v>
      </c>
      <c r="J321" s="390"/>
      <c r="K321" s="391"/>
      <c r="L321" s="390"/>
      <c r="M321" s="391"/>
      <c r="N321" s="390"/>
      <c r="O321" s="391"/>
      <c r="P321" s="390"/>
      <c r="Q321" s="391"/>
      <c r="R321" s="390"/>
      <c r="S321" s="391"/>
      <c r="T321" s="390"/>
      <c r="U321" s="391"/>
      <c r="V321" s="390"/>
      <c r="W321" s="391"/>
      <c r="X321" s="390"/>
      <c r="Y321" s="391"/>
      <c r="Z321" s="390"/>
      <c r="AA321" s="391"/>
      <c r="AB321" s="390"/>
      <c r="AC321" s="391"/>
      <c r="AD321" s="390"/>
      <c r="AE321" s="391"/>
      <c r="AF321" s="390"/>
      <c r="AG321" s="391"/>
      <c r="AH321" s="390"/>
      <c r="AI321" s="391"/>
      <c r="AJ321" s="390"/>
      <c r="AK321" s="391"/>
      <c r="AL321" s="390"/>
      <c r="AM321" s="391"/>
      <c r="AN321" s="390"/>
      <c r="AO321" s="391"/>
    </row>
    <row r="322" spans="1:41" s="201" customFormat="1" ht="12.75" hidden="1">
      <c r="A322" s="222" t="s">
        <v>359</v>
      </c>
      <c r="B322" s="220" t="s">
        <v>666</v>
      </c>
      <c r="C322" s="221"/>
      <c r="D322" s="222">
        <v>245999</v>
      </c>
      <c r="E322" s="222">
        <v>12</v>
      </c>
      <c r="F322" s="390">
        <v>1980</v>
      </c>
      <c r="G322" s="391">
        <v>1980</v>
      </c>
      <c r="H322" s="390">
        <v>3960</v>
      </c>
      <c r="I322" s="391">
        <v>3960</v>
      </c>
      <c r="J322" s="390"/>
      <c r="K322" s="391"/>
      <c r="L322" s="390"/>
      <c r="M322" s="391"/>
      <c r="N322" s="390"/>
      <c r="O322" s="391"/>
      <c r="P322" s="390"/>
      <c r="Q322" s="391"/>
      <c r="R322" s="390"/>
      <c r="S322" s="391"/>
      <c r="T322" s="390"/>
      <c r="U322" s="391"/>
      <c r="V322" s="390"/>
      <c r="W322" s="391"/>
      <c r="X322" s="390"/>
      <c r="Y322" s="391"/>
      <c r="Z322" s="390"/>
      <c r="AA322" s="391"/>
      <c r="AB322" s="390"/>
      <c r="AC322" s="391"/>
      <c r="AD322" s="390"/>
      <c r="AE322" s="391"/>
      <c r="AF322" s="390"/>
      <c r="AG322" s="391"/>
      <c r="AH322" s="390"/>
      <c r="AI322" s="391"/>
      <c r="AJ322" s="390"/>
      <c r="AK322" s="391"/>
      <c r="AL322" s="390"/>
      <c r="AM322" s="391"/>
      <c r="AN322" s="390"/>
      <c r="AO322" s="391"/>
    </row>
    <row r="323" spans="1:41" s="201" customFormat="1" ht="12.75" hidden="1">
      <c r="A323" s="222" t="s">
        <v>359</v>
      </c>
      <c r="B323" s="220" t="s">
        <v>667</v>
      </c>
      <c r="C323" s="221" t="s">
        <v>668</v>
      </c>
      <c r="D323" s="222">
        <v>261375</v>
      </c>
      <c r="E323" s="222">
        <v>12</v>
      </c>
      <c r="F323" s="390">
        <v>3600</v>
      </c>
      <c r="G323" s="391">
        <v>3600</v>
      </c>
      <c r="H323" s="390">
        <v>7200</v>
      </c>
      <c r="I323" s="391">
        <v>7200</v>
      </c>
      <c r="J323" s="390"/>
      <c r="K323" s="391"/>
      <c r="L323" s="390"/>
      <c r="M323" s="391"/>
      <c r="N323" s="390"/>
      <c r="O323" s="391"/>
      <c r="P323" s="390"/>
      <c r="Q323" s="391"/>
      <c r="R323" s="390"/>
      <c r="S323" s="391"/>
      <c r="T323" s="390"/>
      <c r="U323" s="391"/>
      <c r="V323" s="390"/>
      <c r="W323" s="391"/>
      <c r="X323" s="390"/>
      <c r="Y323" s="391"/>
      <c r="Z323" s="390"/>
      <c r="AA323" s="391"/>
      <c r="AB323" s="390"/>
      <c r="AC323" s="391"/>
      <c r="AD323" s="390"/>
      <c r="AE323" s="391"/>
      <c r="AF323" s="390"/>
      <c r="AG323" s="391"/>
      <c r="AH323" s="390"/>
      <c r="AI323" s="391"/>
      <c r="AJ323" s="390"/>
      <c r="AK323" s="391"/>
      <c r="AL323" s="390"/>
      <c r="AM323" s="391"/>
      <c r="AN323" s="390"/>
      <c r="AO323" s="391"/>
    </row>
    <row r="324" spans="1:41" s="201" customFormat="1" ht="12.75" hidden="1">
      <c r="A324" s="222" t="s">
        <v>359</v>
      </c>
      <c r="B324" s="220" t="s">
        <v>669</v>
      </c>
      <c r="C324" s="221"/>
      <c r="D324" s="222">
        <v>365213</v>
      </c>
      <c r="E324" s="222">
        <v>13</v>
      </c>
      <c r="F324" s="390">
        <v>1800</v>
      </c>
      <c r="G324" s="391">
        <v>1800</v>
      </c>
      <c r="H324" s="390">
        <v>3600</v>
      </c>
      <c r="I324" s="391">
        <v>3600</v>
      </c>
      <c r="J324" s="390"/>
      <c r="K324" s="391"/>
      <c r="L324" s="390"/>
      <c r="M324" s="391"/>
      <c r="N324" s="390"/>
      <c r="O324" s="391"/>
      <c r="P324" s="390"/>
      <c r="Q324" s="391"/>
      <c r="R324" s="390"/>
      <c r="S324" s="391"/>
      <c r="T324" s="390"/>
      <c r="U324" s="391"/>
      <c r="V324" s="390"/>
      <c r="W324" s="391"/>
      <c r="X324" s="390"/>
      <c r="Y324" s="391"/>
      <c r="Z324" s="390"/>
      <c r="AA324" s="391"/>
      <c r="AB324" s="390"/>
      <c r="AC324" s="391"/>
      <c r="AD324" s="390"/>
      <c r="AE324" s="391"/>
      <c r="AF324" s="390"/>
      <c r="AG324" s="391"/>
      <c r="AH324" s="390"/>
      <c r="AI324" s="391"/>
      <c r="AJ324" s="390"/>
      <c r="AK324" s="391"/>
      <c r="AL324" s="390"/>
      <c r="AM324" s="391"/>
      <c r="AN324" s="390"/>
      <c r="AO324" s="391"/>
    </row>
    <row r="325" spans="1:41" s="201" customFormat="1" ht="12.75" hidden="1">
      <c r="A325" s="222" t="s">
        <v>359</v>
      </c>
      <c r="B325" s="220" t="s">
        <v>670</v>
      </c>
      <c r="C325" s="221"/>
      <c r="D325" s="222">
        <v>364946</v>
      </c>
      <c r="E325" s="222">
        <v>13</v>
      </c>
      <c r="F325" s="390">
        <v>2250</v>
      </c>
      <c r="G325" s="391">
        <v>2250</v>
      </c>
      <c r="H325" s="390">
        <v>4500</v>
      </c>
      <c r="I325" s="391">
        <v>4500</v>
      </c>
      <c r="J325" s="390"/>
      <c r="K325" s="391"/>
      <c r="L325" s="390"/>
      <c r="M325" s="391"/>
      <c r="N325" s="390"/>
      <c r="O325" s="391"/>
      <c r="P325" s="390"/>
      <c r="Q325" s="391"/>
      <c r="R325" s="390"/>
      <c r="S325" s="391"/>
      <c r="T325" s="390"/>
      <c r="U325" s="391"/>
      <c r="V325" s="390"/>
      <c r="W325" s="391"/>
      <c r="X325" s="390"/>
      <c r="Y325" s="391"/>
      <c r="Z325" s="390"/>
      <c r="AA325" s="391"/>
      <c r="AB325" s="390"/>
      <c r="AC325" s="391"/>
      <c r="AD325" s="390"/>
      <c r="AE325" s="391"/>
      <c r="AF325" s="390"/>
      <c r="AG325" s="391"/>
      <c r="AH325" s="390"/>
      <c r="AI325" s="391"/>
      <c r="AJ325" s="390"/>
      <c r="AK325" s="391"/>
      <c r="AL325" s="390"/>
      <c r="AM325" s="391"/>
      <c r="AN325" s="390"/>
      <c r="AO325" s="391"/>
    </row>
    <row r="326" spans="1:41" s="201" customFormat="1" ht="12.75" hidden="1">
      <c r="A326" s="222" t="s">
        <v>359</v>
      </c>
      <c r="B326" s="220" t="s">
        <v>671</v>
      </c>
      <c r="C326" s="221"/>
      <c r="D326" s="222">
        <v>246017</v>
      </c>
      <c r="E326" s="222">
        <v>13</v>
      </c>
      <c r="F326" s="390">
        <v>1350</v>
      </c>
      <c r="G326" s="391">
        <v>1350</v>
      </c>
      <c r="H326" s="390">
        <v>2700</v>
      </c>
      <c r="I326" s="391">
        <v>2700</v>
      </c>
      <c r="J326" s="390"/>
      <c r="K326" s="391"/>
      <c r="L326" s="390"/>
      <c r="M326" s="391"/>
      <c r="N326" s="390"/>
      <c r="O326" s="391"/>
      <c r="P326" s="390"/>
      <c r="Q326" s="391"/>
      <c r="R326" s="390"/>
      <c r="S326" s="391"/>
      <c r="T326" s="390"/>
      <c r="U326" s="391"/>
      <c r="V326" s="390"/>
      <c r="W326" s="391"/>
      <c r="X326" s="390"/>
      <c r="Y326" s="391"/>
      <c r="Z326" s="390"/>
      <c r="AA326" s="391"/>
      <c r="AB326" s="390"/>
      <c r="AC326" s="391"/>
      <c r="AD326" s="390"/>
      <c r="AE326" s="391"/>
      <c r="AF326" s="390"/>
      <c r="AG326" s="391"/>
      <c r="AH326" s="390"/>
      <c r="AI326" s="391"/>
      <c r="AJ326" s="390"/>
      <c r="AK326" s="391"/>
      <c r="AL326" s="390"/>
      <c r="AM326" s="391"/>
      <c r="AN326" s="390"/>
      <c r="AO326" s="391"/>
    </row>
    <row r="327" spans="1:41" s="201" customFormat="1" ht="12.75" hidden="1">
      <c r="A327" s="222" t="s">
        <v>359</v>
      </c>
      <c r="B327" s="220" t="s">
        <v>672</v>
      </c>
      <c r="C327" s="221"/>
      <c r="D327" s="222">
        <v>375656</v>
      </c>
      <c r="E327" s="222">
        <v>13</v>
      </c>
      <c r="F327" s="390">
        <v>1800</v>
      </c>
      <c r="G327" s="391">
        <v>1800</v>
      </c>
      <c r="H327" s="390">
        <v>3600</v>
      </c>
      <c r="I327" s="391">
        <v>3600</v>
      </c>
      <c r="J327" s="390"/>
      <c r="K327" s="391"/>
      <c r="L327" s="390"/>
      <c r="M327" s="391"/>
      <c r="N327" s="390"/>
      <c r="O327" s="391"/>
      <c r="P327" s="390"/>
      <c r="Q327" s="391"/>
      <c r="R327" s="390"/>
      <c r="S327" s="391"/>
      <c r="T327" s="390"/>
      <c r="U327" s="391"/>
      <c r="V327" s="390"/>
      <c r="W327" s="391"/>
      <c r="X327" s="390"/>
      <c r="Y327" s="391"/>
      <c r="Z327" s="390"/>
      <c r="AA327" s="391"/>
      <c r="AB327" s="390"/>
      <c r="AC327" s="391"/>
      <c r="AD327" s="390"/>
      <c r="AE327" s="391"/>
      <c r="AF327" s="390"/>
      <c r="AG327" s="391"/>
      <c r="AH327" s="390"/>
      <c r="AI327" s="391"/>
      <c r="AJ327" s="390"/>
      <c r="AK327" s="391"/>
      <c r="AL327" s="390"/>
      <c r="AM327" s="391"/>
      <c r="AN327" s="390"/>
      <c r="AO327" s="391"/>
    </row>
    <row r="328" spans="1:41" s="201" customFormat="1" ht="12.75" hidden="1">
      <c r="A328" s="222" t="s">
        <v>359</v>
      </c>
      <c r="B328" s="220" t="s">
        <v>673</v>
      </c>
      <c r="C328" s="221"/>
      <c r="D328" s="222">
        <v>418348</v>
      </c>
      <c r="E328" s="222">
        <v>13</v>
      </c>
      <c r="F328" s="390">
        <v>1800</v>
      </c>
      <c r="G328" s="391">
        <v>2025</v>
      </c>
      <c r="H328" s="390">
        <v>3600</v>
      </c>
      <c r="I328" s="391">
        <v>4050</v>
      </c>
      <c r="J328" s="390"/>
      <c r="K328" s="391"/>
      <c r="L328" s="390"/>
      <c r="M328" s="391"/>
      <c r="N328" s="390"/>
      <c r="O328" s="391"/>
      <c r="P328" s="390"/>
      <c r="Q328" s="391"/>
      <c r="R328" s="390"/>
      <c r="S328" s="391"/>
      <c r="T328" s="390"/>
      <c r="U328" s="391"/>
      <c r="V328" s="390"/>
      <c r="W328" s="391"/>
      <c r="X328" s="390"/>
      <c r="Y328" s="391"/>
      <c r="Z328" s="390"/>
      <c r="AA328" s="391"/>
      <c r="AB328" s="390"/>
      <c r="AC328" s="391"/>
      <c r="AD328" s="390"/>
      <c r="AE328" s="391"/>
      <c r="AF328" s="390"/>
      <c r="AG328" s="391"/>
      <c r="AH328" s="390"/>
      <c r="AI328" s="391"/>
      <c r="AJ328" s="390"/>
      <c r="AK328" s="391"/>
      <c r="AL328" s="390"/>
      <c r="AM328" s="391"/>
      <c r="AN328" s="390"/>
      <c r="AO328" s="391"/>
    </row>
    <row r="329" spans="1:41" s="201" customFormat="1" ht="12.75" hidden="1">
      <c r="A329" s="222" t="s">
        <v>359</v>
      </c>
      <c r="B329" s="220" t="s">
        <v>674</v>
      </c>
      <c r="C329" s="221"/>
      <c r="D329" s="222">
        <v>375683</v>
      </c>
      <c r="E329" s="222">
        <v>13</v>
      </c>
      <c r="F329" s="390">
        <v>1926</v>
      </c>
      <c r="G329" s="391">
        <v>1926</v>
      </c>
      <c r="H329" s="390">
        <v>3852</v>
      </c>
      <c r="I329" s="391">
        <v>3852</v>
      </c>
      <c r="J329" s="390"/>
      <c r="K329" s="391"/>
      <c r="L329" s="390"/>
      <c r="M329" s="391"/>
      <c r="N329" s="390"/>
      <c r="O329" s="391"/>
      <c r="P329" s="390"/>
      <c r="Q329" s="391"/>
      <c r="R329" s="390"/>
      <c r="S329" s="391"/>
      <c r="T329" s="390"/>
      <c r="U329" s="391"/>
      <c r="V329" s="390"/>
      <c r="W329" s="391"/>
      <c r="X329" s="390"/>
      <c r="Y329" s="391"/>
      <c r="Z329" s="390"/>
      <c r="AA329" s="391"/>
      <c r="AB329" s="390"/>
      <c r="AC329" s="391"/>
      <c r="AD329" s="390"/>
      <c r="AE329" s="391"/>
      <c r="AF329" s="390"/>
      <c r="AG329" s="391"/>
      <c r="AH329" s="390"/>
      <c r="AI329" s="391"/>
      <c r="AJ329" s="390"/>
      <c r="AK329" s="391"/>
      <c r="AL329" s="390"/>
      <c r="AM329" s="391"/>
      <c r="AN329" s="390"/>
      <c r="AO329" s="391"/>
    </row>
    <row r="330" spans="1:41" s="201" customFormat="1" ht="12.75" hidden="1">
      <c r="A330" s="222" t="s">
        <v>359</v>
      </c>
      <c r="B330" s="220" t="s">
        <v>675</v>
      </c>
      <c r="C330" s="221"/>
      <c r="D330" s="222">
        <v>364548</v>
      </c>
      <c r="E330" s="222">
        <v>13</v>
      </c>
      <c r="F330" s="390">
        <v>1800</v>
      </c>
      <c r="G330" s="391">
        <v>1800</v>
      </c>
      <c r="H330" s="390">
        <v>3600</v>
      </c>
      <c r="I330" s="391">
        <v>3600</v>
      </c>
      <c r="J330" s="390"/>
      <c r="K330" s="391"/>
      <c r="L330" s="390"/>
      <c r="M330" s="391"/>
      <c r="N330" s="390"/>
      <c r="O330" s="391"/>
      <c r="P330" s="390"/>
      <c r="Q330" s="391"/>
      <c r="R330" s="390"/>
      <c r="S330" s="391"/>
      <c r="T330" s="390"/>
      <c r="U330" s="391"/>
      <c r="V330" s="390"/>
      <c r="W330" s="391"/>
      <c r="X330" s="390"/>
      <c r="Y330" s="391"/>
      <c r="Z330" s="390"/>
      <c r="AA330" s="391"/>
      <c r="AB330" s="390"/>
      <c r="AC330" s="391"/>
      <c r="AD330" s="390"/>
      <c r="AE330" s="391"/>
      <c r="AF330" s="390"/>
      <c r="AG330" s="391"/>
      <c r="AH330" s="390"/>
      <c r="AI330" s="391"/>
      <c r="AJ330" s="390"/>
      <c r="AK330" s="391"/>
      <c r="AL330" s="390"/>
      <c r="AM330" s="391"/>
      <c r="AN330" s="390"/>
      <c r="AO330" s="391"/>
    </row>
    <row r="331" spans="1:41" s="201" customFormat="1" ht="12.75" hidden="1">
      <c r="A331" s="222" t="s">
        <v>359</v>
      </c>
      <c r="B331" s="220" t="s">
        <v>676</v>
      </c>
      <c r="C331" s="223"/>
      <c r="D331" s="222">
        <v>428019</v>
      </c>
      <c r="E331" s="222">
        <v>13</v>
      </c>
      <c r="F331" s="390">
        <v>2250</v>
      </c>
      <c r="G331" s="391">
        <v>2250</v>
      </c>
      <c r="H331" s="390">
        <v>4500</v>
      </c>
      <c r="I331" s="391">
        <v>4500</v>
      </c>
      <c r="J331" s="390"/>
      <c r="K331" s="391"/>
      <c r="L331" s="390"/>
      <c r="M331" s="391"/>
      <c r="N331" s="390"/>
      <c r="O331" s="391"/>
      <c r="P331" s="390"/>
      <c r="Q331" s="391"/>
      <c r="R331" s="390"/>
      <c r="S331" s="391"/>
      <c r="T331" s="390"/>
      <c r="U331" s="391"/>
      <c r="V331" s="390"/>
      <c r="W331" s="391"/>
      <c r="X331" s="390"/>
      <c r="Y331" s="391"/>
      <c r="Z331" s="390"/>
      <c r="AA331" s="391"/>
      <c r="AB331" s="390"/>
      <c r="AC331" s="391"/>
      <c r="AD331" s="390"/>
      <c r="AE331" s="391"/>
      <c r="AF331" s="390"/>
      <c r="AG331" s="391"/>
      <c r="AH331" s="390"/>
      <c r="AI331" s="391"/>
      <c r="AJ331" s="390"/>
      <c r="AK331" s="391"/>
      <c r="AL331" s="390"/>
      <c r="AM331" s="391"/>
      <c r="AN331" s="390"/>
      <c r="AO331" s="391"/>
    </row>
    <row r="332" spans="1:41" s="201" customFormat="1" ht="12.75" hidden="1">
      <c r="A332" s="222" t="s">
        <v>359</v>
      </c>
      <c r="B332" s="220" t="s">
        <v>677</v>
      </c>
      <c r="C332" s="221"/>
      <c r="D332" s="222">
        <v>208053</v>
      </c>
      <c r="E332" s="222">
        <v>13</v>
      </c>
      <c r="F332" s="390">
        <v>1575</v>
      </c>
      <c r="G332" s="391">
        <v>1575</v>
      </c>
      <c r="H332" s="390">
        <v>3150</v>
      </c>
      <c r="I332" s="391">
        <v>3150</v>
      </c>
      <c r="J332" s="390"/>
      <c r="K332" s="391"/>
      <c r="L332" s="390"/>
      <c r="M332" s="391"/>
      <c r="N332" s="390"/>
      <c r="O332" s="391"/>
      <c r="P332" s="390"/>
      <c r="Q332" s="391"/>
      <c r="R332" s="390"/>
      <c r="S332" s="391"/>
      <c r="T332" s="390"/>
      <c r="U332" s="391"/>
      <c r="V332" s="390"/>
      <c r="W332" s="391"/>
      <c r="X332" s="390"/>
      <c r="Y332" s="391"/>
      <c r="Z332" s="390"/>
      <c r="AA332" s="391"/>
      <c r="AB332" s="390"/>
      <c r="AC332" s="391"/>
      <c r="AD332" s="390"/>
      <c r="AE332" s="391"/>
      <c r="AF332" s="390"/>
      <c r="AG332" s="391"/>
      <c r="AH332" s="390"/>
      <c r="AI332" s="391"/>
      <c r="AJ332" s="390"/>
      <c r="AK332" s="391"/>
      <c r="AL332" s="390"/>
      <c r="AM332" s="391"/>
      <c r="AN332" s="390"/>
      <c r="AO332" s="391"/>
    </row>
    <row r="333" spans="1:41" s="201" customFormat="1" ht="12.75" hidden="1">
      <c r="A333" s="222" t="s">
        <v>359</v>
      </c>
      <c r="B333" s="220" t="s">
        <v>678</v>
      </c>
      <c r="C333" s="221"/>
      <c r="D333" s="222">
        <v>418296</v>
      </c>
      <c r="E333" s="222">
        <v>13</v>
      </c>
      <c r="F333" s="390">
        <v>1800</v>
      </c>
      <c r="G333" s="391">
        <v>1800</v>
      </c>
      <c r="H333" s="390">
        <v>3600</v>
      </c>
      <c r="I333" s="391">
        <v>3600</v>
      </c>
      <c r="J333" s="390"/>
      <c r="K333" s="391"/>
      <c r="L333" s="390"/>
      <c r="M333" s="391"/>
      <c r="N333" s="390"/>
      <c r="O333" s="391"/>
      <c r="P333" s="390"/>
      <c r="Q333" s="391"/>
      <c r="R333" s="390"/>
      <c r="S333" s="391"/>
      <c r="T333" s="390"/>
      <c r="U333" s="391"/>
      <c r="V333" s="390"/>
      <c r="W333" s="391"/>
      <c r="X333" s="390"/>
      <c r="Y333" s="391"/>
      <c r="Z333" s="390"/>
      <c r="AA333" s="391"/>
      <c r="AB333" s="390"/>
      <c r="AC333" s="391"/>
      <c r="AD333" s="390"/>
      <c r="AE333" s="391"/>
      <c r="AF333" s="390"/>
      <c r="AG333" s="391"/>
      <c r="AH333" s="390"/>
      <c r="AI333" s="391"/>
      <c r="AJ333" s="390"/>
      <c r="AK333" s="391"/>
      <c r="AL333" s="390"/>
      <c r="AM333" s="391"/>
      <c r="AN333" s="390"/>
      <c r="AO333" s="391"/>
    </row>
    <row r="334" spans="1:41" s="201" customFormat="1" ht="12.75" hidden="1">
      <c r="A334" s="222" t="s">
        <v>359</v>
      </c>
      <c r="B334" s="220" t="s">
        <v>679</v>
      </c>
      <c r="C334" s="221"/>
      <c r="D334" s="222">
        <v>421540</v>
      </c>
      <c r="E334" s="222">
        <v>13</v>
      </c>
      <c r="F334" s="390">
        <v>1800</v>
      </c>
      <c r="G334" s="391">
        <v>1800</v>
      </c>
      <c r="H334" s="390">
        <v>3600</v>
      </c>
      <c r="I334" s="391">
        <v>3600</v>
      </c>
      <c r="J334" s="390"/>
      <c r="K334" s="391"/>
      <c r="L334" s="390"/>
      <c r="M334" s="391"/>
      <c r="N334" s="390"/>
      <c r="O334" s="391"/>
      <c r="P334" s="390"/>
      <c r="Q334" s="391"/>
      <c r="R334" s="390"/>
      <c r="S334" s="391"/>
      <c r="T334" s="390"/>
      <c r="U334" s="391"/>
      <c r="V334" s="390"/>
      <c r="W334" s="391"/>
      <c r="X334" s="390"/>
      <c r="Y334" s="391"/>
      <c r="Z334" s="390"/>
      <c r="AA334" s="391"/>
      <c r="AB334" s="390"/>
      <c r="AC334" s="391"/>
      <c r="AD334" s="390"/>
      <c r="AE334" s="391"/>
      <c r="AF334" s="390"/>
      <c r="AG334" s="391"/>
      <c r="AH334" s="390"/>
      <c r="AI334" s="391"/>
      <c r="AJ334" s="390"/>
      <c r="AK334" s="391"/>
      <c r="AL334" s="390"/>
      <c r="AM334" s="391"/>
      <c r="AN334" s="390"/>
      <c r="AO334" s="391"/>
    </row>
    <row r="335" spans="1:41" s="201" customFormat="1" ht="12.75" hidden="1">
      <c r="A335" s="222" t="s">
        <v>359</v>
      </c>
      <c r="B335" s="220" t="s">
        <v>680</v>
      </c>
      <c r="C335" s="221"/>
      <c r="D335" s="222">
        <v>421559</v>
      </c>
      <c r="E335" s="222">
        <v>13</v>
      </c>
      <c r="F335" s="390">
        <v>1800</v>
      </c>
      <c r="G335" s="391">
        <v>1800</v>
      </c>
      <c r="H335" s="390">
        <v>3600</v>
      </c>
      <c r="I335" s="391">
        <v>3600</v>
      </c>
      <c r="J335" s="390"/>
      <c r="K335" s="391"/>
      <c r="L335" s="390"/>
      <c r="M335" s="391"/>
      <c r="N335" s="390"/>
      <c r="O335" s="391"/>
      <c r="P335" s="390"/>
      <c r="Q335" s="391"/>
      <c r="R335" s="390"/>
      <c r="S335" s="391"/>
      <c r="T335" s="390"/>
      <c r="U335" s="391"/>
      <c r="V335" s="390"/>
      <c r="W335" s="391"/>
      <c r="X335" s="390"/>
      <c r="Y335" s="391"/>
      <c r="Z335" s="390"/>
      <c r="AA335" s="391"/>
      <c r="AB335" s="390"/>
      <c r="AC335" s="391"/>
      <c r="AD335" s="390"/>
      <c r="AE335" s="391"/>
      <c r="AF335" s="390"/>
      <c r="AG335" s="391"/>
      <c r="AH335" s="390"/>
      <c r="AI335" s="391"/>
      <c r="AJ335" s="390"/>
      <c r="AK335" s="391"/>
      <c r="AL335" s="390"/>
      <c r="AM335" s="391"/>
      <c r="AN335" s="390"/>
      <c r="AO335" s="391"/>
    </row>
    <row r="336" spans="1:41" s="201" customFormat="1" ht="12.75" hidden="1">
      <c r="A336" s="222" t="s">
        <v>359</v>
      </c>
      <c r="B336" s="220" t="s">
        <v>681</v>
      </c>
      <c r="C336" s="221"/>
      <c r="D336" s="222">
        <v>208026</v>
      </c>
      <c r="E336" s="222">
        <v>13</v>
      </c>
      <c r="F336" s="390">
        <v>1800</v>
      </c>
      <c r="G336" s="391">
        <v>1800</v>
      </c>
      <c r="H336" s="390">
        <v>3600</v>
      </c>
      <c r="I336" s="391">
        <v>3600</v>
      </c>
      <c r="J336" s="390"/>
      <c r="K336" s="391"/>
      <c r="L336" s="390"/>
      <c r="M336" s="391"/>
      <c r="N336" s="390"/>
      <c r="O336" s="391"/>
      <c r="P336" s="390"/>
      <c r="Q336" s="391"/>
      <c r="R336" s="390"/>
      <c r="S336" s="391"/>
      <c r="T336" s="390"/>
      <c r="U336" s="391"/>
      <c r="V336" s="390"/>
      <c r="W336" s="391"/>
      <c r="X336" s="390"/>
      <c r="Y336" s="391"/>
      <c r="Z336" s="390"/>
      <c r="AA336" s="391"/>
      <c r="AB336" s="390"/>
      <c r="AC336" s="391"/>
      <c r="AD336" s="390"/>
      <c r="AE336" s="391"/>
      <c r="AF336" s="390"/>
      <c r="AG336" s="391"/>
      <c r="AH336" s="390"/>
      <c r="AI336" s="391"/>
      <c r="AJ336" s="390"/>
      <c r="AK336" s="391"/>
      <c r="AL336" s="390"/>
      <c r="AM336" s="391"/>
      <c r="AN336" s="390"/>
      <c r="AO336" s="391"/>
    </row>
    <row r="337" spans="1:41" s="201" customFormat="1" ht="12.75" hidden="1">
      <c r="A337" s="222" t="s">
        <v>359</v>
      </c>
      <c r="B337" s="220" t="s">
        <v>682</v>
      </c>
      <c r="C337" s="221"/>
      <c r="D337" s="222">
        <v>375692</v>
      </c>
      <c r="E337" s="222">
        <v>13</v>
      </c>
      <c r="F337" s="390">
        <v>1800</v>
      </c>
      <c r="G337" s="391">
        <v>1800</v>
      </c>
      <c r="H337" s="390">
        <v>3600</v>
      </c>
      <c r="I337" s="391">
        <v>3600</v>
      </c>
      <c r="J337" s="390"/>
      <c r="K337" s="391"/>
      <c r="L337" s="390"/>
      <c r="M337" s="391"/>
      <c r="N337" s="390"/>
      <c r="O337" s="391"/>
      <c r="P337" s="390"/>
      <c r="Q337" s="391"/>
      <c r="R337" s="390"/>
      <c r="S337" s="391"/>
      <c r="T337" s="390"/>
      <c r="U337" s="391"/>
      <c r="V337" s="390"/>
      <c r="W337" s="391"/>
      <c r="X337" s="390"/>
      <c r="Y337" s="391"/>
      <c r="Z337" s="390"/>
      <c r="AA337" s="391"/>
      <c r="AB337" s="390"/>
      <c r="AC337" s="391"/>
      <c r="AD337" s="390"/>
      <c r="AE337" s="391"/>
      <c r="AF337" s="390"/>
      <c r="AG337" s="391"/>
      <c r="AH337" s="390"/>
      <c r="AI337" s="391"/>
      <c r="AJ337" s="390"/>
      <c r="AK337" s="391"/>
      <c r="AL337" s="390"/>
      <c r="AM337" s="391"/>
      <c r="AN337" s="390"/>
      <c r="AO337" s="391"/>
    </row>
    <row r="338" spans="1:41" s="201" customFormat="1" ht="12.75" hidden="1">
      <c r="A338" s="222" t="s">
        <v>359</v>
      </c>
      <c r="B338" s="220" t="s">
        <v>683</v>
      </c>
      <c r="C338" s="221"/>
      <c r="D338" s="222">
        <v>375708</v>
      </c>
      <c r="E338" s="222">
        <v>13</v>
      </c>
      <c r="F338" s="390">
        <v>1800</v>
      </c>
      <c r="G338" s="391">
        <v>1800</v>
      </c>
      <c r="H338" s="390">
        <v>3600</v>
      </c>
      <c r="I338" s="391">
        <v>3600</v>
      </c>
      <c r="J338" s="390"/>
      <c r="K338" s="391"/>
      <c r="L338" s="390"/>
      <c r="M338" s="391"/>
      <c r="N338" s="390"/>
      <c r="O338" s="391"/>
      <c r="P338" s="390"/>
      <c r="Q338" s="391"/>
      <c r="R338" s="390"/>
      <c r="S338" s="391"/>
      <c r="T338" s="390"/>
      <c r="U338" s="391"/>
      <c r="V338" s="390"/>
      <c r="W338" s="391"/>
      <c r="X338" s="390"/>
      <c r="Y338" s="391"/>
      <c r="Z338" s="390"/>
      <c r="AA338" s="391"/>
      <c r="AB338" s="390"/>
      <c r="AC338" s="391"/>
      <c r="AD338" s="390"/>
      <c r="AE338" s="391"/>
      <c r="AF338" s="390"/>
      <c r="AG338" s="391"/>
      <c r="AH338" s="390"/>
      <c r="AI338" s="391"/>
      <c r="AJ338" s="390"/>
      <c r="AK338" s="391"/>
      <c r="AL338" s="390"/>
      <c r="AM338" s="391"/>
      <c r="AN338" s="390"/>
      <c r="AO338" s="391"/>
    </row>
    <row r="339" spans="1:41" s="201" customFormat="1" ht="12.75" hidden="1">
      <c r="A339" s="222" t="s">
        <v>359</v>
      </c>
      <c r="B339" s="220" t="s">
        <v>684</v>
      </c>
      <c r="C339" s="221"/>
      <c r="D339" s="222">
        <v>375717</v>
      </c>
      <c r="E339" s="222">
        <v>13</v>
      </c>
      <c r="F339" s="390">
        <v>1800</v>
      </c>
      <c r="G339" s="391">
        <v>1800</v>
      </c>
      <c r="H339" s="390">
        <v>3600</v>
      </c>
      <c r="I339" s="391">
        <v>3600</v>
      </c>
      <c r="J339" s="390"/>
      <c r="K339" s="391"/>
      <c r="L339" s="390"/>
      <c r="M339" s="391"/>
      <c r="N339" s="390"/>
      <c r="O339" s="391"/>
      <c r="P339" s="390"/>
      <c r="Q339" s="391"/>
      <c r="R339" s="390"/>
      <c r="S339" s="391"/>
      <c r="T339" s="390"/>
      <c r="U339" s="391"/>
      <c r="V339" s="390"/>
      <c r="W339" s="391"/>
      <c r="X339" s="390"/>
      <c r="Y339" s="391"/>
      <c r="Z339" s="390"/>
      <c r="AA339" s="391"/>
      <c r="AB339" s="390"/>
      <c r="AC339" s="391"/>
      <c r="AD339" s="390"/>
      <c r="AE339" s="391"/>
      <c r="AF339" s="390"/>
      <c r="AG339" s="391"/>
      <c r="AH339" s="390"/>
      <c r="AI339" s="391"/>
      <c r="AJ339" s="390"/>
      <c r="AK339" s="391"/>
      <c r="AL339" s="390"/>
      <c r="AM339" s="391"/>
      <c r="AN339" s="390"/>
      <c r="AO339" s="391"/>
    </row>
    <row r="340" spans="1:41" s="201" customFormat="1" ht="12.75" hidden="1">
      <c r="A340" s="222" t="s">
        <v>359</v>
      </c>
      <c r="B340" s="220" t="s">
        <v>685</v>
      </c>
      <c r="C340" s="221"/>
      <c r="D340" s="222">
        <v>375735</v>
      </c>
      <c r="E340" s="222">
        <v>13</v>
      </c>
      <c r="F340" s="390">
        <v>1800</v>
      </c>
      <c r="G340" s="391">
        <v>1800</v>
      </c>
      <c r="H340" s="390">
        <v>3600</v>
      </c>
      <c r="I340" s="391">
        <v>3600</v>
      </c>
      <c r="J340" s="390"/>
      <c r="K340" s="391"/>
      <c r="L340" s="390"/>
      <c r="M340" s="391"/>
      <c r="N340" s="390"/>
      <c r="O340" s="391"/>
      <c r="P340" s="390"/>
      <c r="Q340" s="391"/>
      <c r="R340" s="390"/>
      <c r="S340" s="391"/>
      <c r="T340" s="390"/>
      <c r="U340" s="391"/>
      <c r="V340" s="390"/>
      <c r="W340" s="391"/>
      <c r="X340" s="390"/>
      <c r="Y340" s="391"/>
      <c r="Z340" s="390"/>
      <c r="AA340" s="391"/>
      <c r="AB340" s="390"/>
      <c r="AC340" s="391"/>
      <c r="AD340" s="390"/>
      <c r="AE340" s="391"/>
      <c r="AF340" s="390"/>
      <c r="AG340" s="391"/>
      <c r="AH340" s="390"/>
      <c r="AI340" s="391"/>
      <c r="AJ340" s="390"/>
      <c r="AK340" s="391"/>
      <c r="AL340" s="390"/>
      <c r="AM340" s="391"/>
      <c r="AN340" s="390"/>
      <c r="AO340" s="391"/>
    </row>
    <row r="341" spans="1:41" s="201" customFormat="1" ht="12.75" hidden="1">
      <c r="A341" s="222" t="s">
        <v>359</v>
      </c>
      <c r="B341" s="220" t="s">
        <v>686</v>
      </c>
      <c r="C341" s="221"/>
      <c r="D341" s="222">
        <v>375726</v>
      </c>
      <c r="E341" s="222">
        <v>13</v>
      </c>
      <c r="F341" s="390">
        <v>1800</v>
      </c>
      <c r="G341" s="391">
        <v>1800</v>
      </c>
      <c r="H341" s="390">
        <v>3600</v>
      </c>
      <c r="I341" s="391">
        <v>3600</v>
      </c>
      <c r="J341" s="390"/>
      <c r="K341" s="391"/>
      <c r="L341" s="390"/>
      <c r="M341" s="391"/>
      <c r="N341" s="390"/>
      <c r="O341" s="391"/>
      <c r="P341" s="390"/>
      <c r="Q341" s="391"/>
      <c r="R341" s="390"/>
      <c r="S341" s="391"/>
      <c r="T341" s="390"/>
      <c r="U341" s="391"/>
      <c r="V341" s="390"/>
      <c r="W341" s="391"/>
      <c r="X341" s="390"/>
      <c r="Y341" s="391"/>
      <c r="Z341" s="390"/>
      <c r="AA341" s="391"/>
      <c r="AB341" s="390"/>
      <c r="AC341" s="391"/>
      <c r="AD341" s="390"/>
      <c r="AE341" s="391"/>
      <c r="AF341" s="390"/>
      <c r="AG341" s="391"/>
      <c r="AH341" s="390"/>
      <c r="AI341" s="391"/>
      <c r="AJ341" s="390"/>
      <c r="AK341" s="391"/>
      <c r="AL341" s="390"/>
      <c r="AM341" s="391"/>
      <c r="AN341" s="390"/>
      <c r="AO341" s="391"/>
    </row>
    <row r="342" spans="1:41" s="201" customFormat="1" ht="12.75" hidden="1">
      <c r="A342" s="222" t="s">
        <v>359</v>
      </c>
      <c r="B342" s="220" t="s">
        <v>687</v>
      </c>
      <c r="C342" s="221"/>
      <c r="D342" s="222">
        <v>375744</v>
      </c>
      <c r="E342" s="222">
        <v>13</v>
      </c>
      <c r="F342" s="390">
        <v>1800</v>
      </c>
      <c r="G342" s="391">
        <v>1800</v>
      </c>
      <c r="H342" s="390">
        <v>3600</v>
      </c>
      <c r="I342" s="391">
        <v>3600</v>
      </c>
      <c r="J342" s="390"/>
      <c r="K342" s="391"/>
      <c r="L342" s="390"/>
      <c r="M342" s="391"/>
      <c r="N342" s="390"/>
      <c r="O342" s="391"/>
      <c r="P342" s="390"/>
      <c r="Q342" s="391"/>
      <c r="R342" s="390"/>
      <c r="S342" s="391"/>
      <c r="T342" s="390"/>
      <c r="U342" s="391"/>
      <c r="V342" s="390"/>
      <c r="W342" s="391"/>
      <c r="X342" s="390"/>
      <c r="Y342" s="391"/>
      <c r="Z342" s="390"/>
      <c r="AA342" s="391"/>
      <c r="AB342" s="390"/>
      <c r="AC342" s="391"/>
      <c r="AD342" s="390"/>
      <c r="AE342" s="391"/>
      <c r="AF342" s="390"/>
      <c r="AG342" s="391"/>
      <c r="AH342" s="390"/>
      <c r="AI342" s="391"/>
      <c r="AJ342" s="390"/>
      <c r="AK342" s="391"/>
      <c r="AL342" s="390"/>
      <c r="AM342" s="391"/>
      <c r="AN342" s="390"/>
      <c r="AO342" s="391"/>
    </row>
    <row r="343" spans="1:41" s="201" customFormat="1" ht="12.75" hidden="1">
      <c r="A343" s="222" t="s">
        <v>359</v>
      </c>
      <c r="B343" s="220" t="s">
        <v>688</v>
      </c>
      <c r="C343" s="221"/>
      <c r="D343" s="222">
        <v>375753</v>
      </c>
      <c r="E343" s="222">
        <v>13</v>
      </c>
      <c r="F343" s="390">
        <v>1800</v>
      </c>
      <c r="G343" s="391">
        <v>1800</v>
      </c>
      <c r="H343" s="390">
        <v>3600</v>
      </c>
      <c r="I343" s="391">
        <v>3600</v>
      </c>
      <c r="J343" s="390"/>
      <c r="K343" s="391"/>
      <c r="L343" s="390"/>
      <c r="M343" s="391"/>
      <c r="N343" s="390"/>
      <c r="O343" s="391"/>
      <c r="P343" s="390"/>
      <c r="Q343" s="391"/>
      <c r="R343" s="390"/>
      <c r="S343" s="391"/>
      <c r="T343" s="390"/>
      <c r="U343" s="391"/>
      <c r="V343" s="390"/>
      <c r="W343" s="391"/>
      <c r="X343" s="390"/>
      <c r="Y343" s="391"/>
      <c r="Z343" s="390"/>
      <c r="AA343" s="391"/>
      <c r="AB343" s="390"/>
      <c r="AC343" s="391"/>
      <c r="AD343" s="390"/>
      <c r="AE343" s="391"/>
      <c r="AF343" s="390"/>
      <c r="AG343" s="391"/>
      <c r="AH343" s="390"/>
      <c r="AI343" s="391"/>
      <c r="AJ343" s="390"/>
      <c r="AK343" s="391"/>
      <c r="AL343" s="390"/>
      <c r="AM343" s="391"/>
      <c r="AN343" s="390"/>
      <c r="AO343" s="391"/>
    </row>
    <row r="344" spans="1:41" s="201" customFormat="1" ht="12.75" hidden="1">
      <c r="A344" s="222" t="s">
        <v>359</v>
      </c>
      <c r="B344" s="220" t="s">
        <v>689</v>
      </c>
      <c r="C344" s="221"/>
      <c r="D344" s="222">
        <v>405748</v>
      </c>
      <c r="E344" s="222">
        <v>13</v>
      </c>
      <c r="F344" s="390">
        <v>1800</v>
      </c>
      <c r="G344" s="391">
        <v>1800</v>
      </c>
      <c r="H344" s="390">
        <v>3600</v>
      </c>
      <c r="I344" s="391">
        <v>3600</v>
      </c>
      <c r="J344" s="390"/>
      <c r="K344" s="391"/>
      <c r="L344" s="390"/>
      <c r="M344" s="391"/>
      <c r="N344" s="390"/>
      <c r="O344" s="391"/>
      <c r="P344" s="390"/>
      <c r="Q344" s="391"/>
      <c r="R344" s="390"/>
      <c r="S344" s="391"/>
      <c r="T344" s="390"/>
      <c r="U344" s="391"/>
      <c r="V344" s="390"/>
      <c r="W344" s="391"/>
      <c r="X344" s="390"/>
      <c r="Y344" s="391"/>
      <c r="Z344" s="390"/>
      <c r="AA344" s="391"/>
      <c r="AB344" s="390"/>
      <c r="AC344" s="391"/>
      <c r="AD344" s="390"/>
      <c r="AE344" s="391"/>
      <c r="AF344" s="390"/>
      <c r="AG344" s="391"/>
      <c r="AH344" s="390"/>
      <c r="AI344" s="391"/>
      <c r="AJ344" s="390"/>
      <c r="AK344" s="391"/>
      <c r="AL344" s="390"/>
      <c r="AM344" s="391"/>
      <c r="AN344" s="390"/>
      <c r="AO344" s="391"/>
    </row>
    <row r="345" spans="1:41" s="201" customFormat="1" ht="12.75" hidden="1">
      <c r="A345" s="222" t="s">
        <v>359</v>
      </c>
      <c r="B345" s="220" t="s">
        <v>690</v>
      </c>
      <c r="C345" s="221"/>
      <c r="D345" s="222">
        <v>375762</v>
      </c>
      <c r="E345" s="222">
        <v>13</v>
      </c>
      <c r="F345" s="390">
        <v>1800</v>
      </c>
      <c r="G345" s="391">
        <v>1800</v>
      </c>
      <c r="H345" s="390">
        <v>3600</v>
      </c>
      <c r="I345" s="391">
        <v>3600</v>
      </c>
      <c r="J345" s="390"/>
      <c r="K345" s="391"/>
      <c r="L345" s="390"/>
      <c r="M345" s="391"/>
      <c r="N345" s="390"/>
      <c r="O345" s="391"/>
      <c r="P345" s="390"/>
      <c r="Q345" s="391"/>
      <c r="R345" s="390"/>
      <c r="S345" s="391"/>
      <c r="T345" s="390"/>
      <c r="U345" s="391"/>
      <c r="V345" s="390"/>
      <c r="W345" s="391"/>
      <c r="X345" s="390"/>
      <c r="Y345" s="391"/>
      <c r="Z345" s="390"/>
      <c r="AA345" s="391"/>
      <c r="AB345" s="390"/>
      <c r="AC345" s="391"/>
      <c r="AD345" s="390"/>
      <c r="AE345" s="391"/>
      <c r="AF345" s="390"/>
      <c r="AG345" s="391"/>
      <c r="AH345" s="390"/>
      <c r="AI345" s="391"/>
      <c r="AJ345" s="390"/>
      <c r="AK345" s="391"/>
      <c r="AL345" s="390"/>
      <c r="AM345" s="391"/>
      <c r="AN345" s="390"/>
      <c r="AO345" s="391"/>
    </row>
    <row r="346" spans="1:41" s="201" customFormat="1" ht="12.75" hidden="1">
      <c r="A346" s="222" t="s">
        <v>359</v>
      </c>
      <c r="B346" s="220" t="s">
        <v>691</v>
      </c>
      <c r="C346" s="221"/>
      <c r="D346" s="222">
        <v>365480</v>
      </c>
      <c r="E346" s="222">
        <v>13</v>
      </c>
      <c r="F346" s="390">
        <v>2700</v>
      </c>
      <c r="G346" s="391">
        <v>2700</v>
      </c>
      <c r="H346" s="390">
        <v>5400</v>
      </c>
      <c r="I346" s="391">
        <v>5400</v>
      </c>
      <c r="J346" s="390"/>
      <c r="K346" s="391"/>
      <c r="L346" s="390"/>
      <c r="M346" s="391"/>
      <c r="N346" s="390"/>
      <c r="O346" s="391"/>
      <c r="P346" s="390"/>
      <c r="Q346" s="391"/>
      <c r="R346" s="390"/>
      <c r="S346" s="391"/>
      <c r="T346" s="390"/>
      <c r="U346" s="391"/>
      <c r="V346" s="390"/>
      <c r="W346" s="391"/>
      <c r="X346" s="390"/>
      <c r="Y346" s="391"/>
      <c r="Z346" s="390"/>
      <c r="AA346" s="391"/>
      <c r="AB346" s="390"/>
      <c r="AC346" s="391"/>
      <c r="AD346" s="390"/>
      <c r="AE346" s="391"/>
      <c r="AF346" s="390"/>
      <c r="AG346" s="391"/>
      <c r="AH346" s="390"/>
      <c r="AI346" s="391"/>
      <c r="AJ346" s="390"/>
      <c r="AK346" s="391"/>
      <c r="AL346" s="390"/>
      <c r="AM346" s="391"/>
      <c r="AN346" s="390"/>
      <c r="AO346" s="391"/>
    </row>
    <row r="347" spans="1:41" s="201" customFormat="1" ht="12.75" hidden="1">
      <c r="A347" s="222" t="s">
        <v>359</v>
      </c>
      <c r="B347" s="220" t="s">
        <v>692</v>
      </c>
      <c r="C347" s="221"/>
      <c r="D347" s="222">
        <v>363165</v>
      </c>
      <c r="E347" s="222">
        <v>13</v>
      </c>
      <c r="F347" s="390">
        <v>2250</v>
      </c>
      <c r="G347" s="391">
        <v>2250</v>
      </c>
      <c r="H347" s="390">
        <v>4500</v>
      </c>
      <c r="I347" s="391">
        <v>4500</v>
      </c>
      <c r="J347" s="390"/>
      <c r="K347" s="391"/>
      <c r="L347" s="390"/>
      <c r="M347" s="391"/>
      <c r="N347" s="390"/>
      <c r="O347" s="391"/>
      <c r="P347" s="390"/>
      <c r="Q347" s="391"/>
      <c r="R347" s="390"/>
      <c r="S347" s="391"/>
      <c r="T347" s="390"/>
      <c r="U347" s="391"/>
      <c r="V347" s="390"/>
      <c r="W347" s="391"/>
      <c r="X347" s="390"/>
      <c r="Y347" s="391"/>
      <c r="Z347" s="390"/>
      <c r="AA347" s="391"/>
      <c r="AB347" s="390"/>
      <c r="AC347" s="391"/>
      <c r="AD347" s="390"/>
      <c r="AE347" s="391"/>
      <c r="AF347" s="390"/>
      <c r="AG347" s="391"/>
      <c r="AH347" s="390"/>
      <c r="AI347" s="391"/>
      <c r="AJ347" s="390"/>
      <c r="AK347" s="391"/>
      <c r="AL347" s="390"/>
      <c r="AM347" s="391"/>
      <c r="AN347" s="390"/>
      <c r="AO347" s="391"/>
    </row>
    <row r="348" spans="1:41" s="201" customFormat="1" ht="12.75" hidden="1">
      <c r="A348" s="222" t="s">
        <v>359</v>
      </c>
      <c r="B348" s="220" t="s">
        <v>693</v>
      </c>
      <c r="C348" s="221"/>
      <c r="D348" s="222">
        <v>418320</v>
      </c>
      <c r="E348" s="222">
        <v>13</v>
      </c>
      <c r="F348" s="390">
        <v>900</v>
      </c>
      <c r="G348" s="391">
        <v>900</v>
      </c>
      <c r="H348" s="390">
        <v>1800</v>
      </c>
      <c r="I348" s="391">
        <v>1800</v>
      </c>
      <c r="J348" s="390"/>
      <c r="K348" s="391"/>
      <c r="L348" s="390"/>
      <c r="M348" s="391"/>
      <c r="N348" s="390"/>
      <c r="O348" s="391"/>
      <c r="P348" s="390"/>
      <c r="Q348" s="391"/>
      <c r="R348" s="390"/>
      <c r="S348" s="391"/>
      <c r="T348" s="390"/>
      <c r="U348" s="391"/>
      <c r="V348" s="390"/>
      <c r="W348" s="391"/>
      <c r="X348" s="390"/>
      <c r="Y348" s="391"/>
      <c r="Z348" s="390"/>
      <c r="AA348" s="391"/>
      <c r="AB348" s="390"/>
      <c r="AC348" s="391"/>
      <c r="AD348" s="390"/>
      <c r="AE348" s="391"/>
      <c r="AF348" s="390"/>
      <c r="AG348" s="391"/>
      <c r="AH348" s="390"/>
      <c r="AI348" s="391"/>
      <c r="AJ348" s="390"/>
      <c r="AK348" s="391"/>
      <c r="AL348" s="390"/>
      <c r="AM348" s="391"/>
      <c r="AN348" s="390"/>
      <c r="AO348" s="391"/>
    </row>
    <row r="349" spans="1:41" s="201" customFormat="1" ht="12.75" hidden="1">
      <c r="A349" s="222" t="s">
        <v>359</v>
      </c>
      <c r="B349" s="220" t="s">
        <v>694</v>
      </c>
      <c r="C349" s="221"/>
      <c r="D349" s="222">
        <v>431017</v>
      </c>
      <c r="E349" s="222">
        <v>13</v>
      </c>
      <c r="F349" s="390">
        <v>1800</v>
      </c>
      <c r="G349" s="391">
        <v>1800</v>
      </c>
      <c r="H349" s="390">
        <v>3600</v>
      </c>
      <c r="I349" s="391">
        <v>3600</v>
      </c>
      <c r="J349" s="390"/>
      <c r="K349" s="391"/>
      <c r="L349" s="390"/>
      <c r="M349" s="391"/>
      <c r="N349" s="390"/>
      <c r="O349" s="391"/>
      <c r="P349" s="390"/>
      <c r="Q349" s="391"/>
      <c r="R349" s="390"/>
      <c r="S349" s="391"/>
      <c r="T349" s="390"/>
      <c r="U349" s="391"/>
      <c r="V349" s="390"/>
      <c r="W349" s="391"/>
      <c r="X349" s="390"/>
      <c r="Y349" s="391"/>
      <c r="Z349" s="390"/>
      <c r="AA349" s="391"/>
      <c r="AB349" s="390"/>
      <c r="AC349" s="391"/>
      <c r="AD349" s="390"/>
      <c r="AE349" s="391"/>
      <c r="AF349" s="390"/>
      <c r="AG349" s="391"/>
      <c r="AH349" s="390"/>
      <c r="AI349" s="391"/>
      <c r="AJ349" s="390"/>
      <c r="AK349" s="391"/>
      <c r="AL349" s="390"/>
      <c r="AM349" s="391"/>
      <c r="AN349" s="390"/>
      <c r="AO349" s="391"/>
    </row>
    <row r="350" spans="1:41" s="201" customFormat="1" ht="12.75" hidden="1">
      <c r="A350" s="222" t="s">
        <v>359</v>
      </c>
      <c r="B350" s="220" t="s">
        <v>695</v>
      </c>
      <c r="C350" s="221" t="s">
        <v>643</v>
      </c>
      <c r="D350" s="222">
        <v>248606</v>
      </c>
      <c r="E350" s="222">
        <v>13</v>
      </c>
      <c r="F350" s="390">
        <v>2250</v>
      </c>
      <c r="G350" s="391">
        <v>2250</v>
      </c>
      <c r="H350" s="390">
        <v>4500</v>
      </c>
      <c r="I350" s="391">
        <v>4500</v>
      </c>
      <c r="J350" s="390"/>
      <c r="K350" s="391"/>
      <c r="L350" s="390"/>
      <c r="M350" s="391"/>
      <c r="N350" s="390"/>
      <c r="O350" s="391"/>
      <c r="P350" s="390"/>
      <c r="Q350" s="391"/>
      <c r="R350" s="390"/>
      <c r="S350" s="391"/>
      <c r="T350" s="390"/>
      <c r="U350" s="391"/>
      <c r="V350" s="390"/>
      <c r="W350" s="391"/>
      <c r="X350" s="390"/>
      <c r="Y350" s="391"/>
      <c r="Z350" s="390"/>
      <c r="AA350" s="391"/>
      <c r="AB350" s="390"/>
      <c r="AC350" s="391"/>
      <c r="AD350" s="390"/>
      <c r="AE350" s="391"/>
      <c r="AF350" s="390"/>
      <c r="AG350" s="391"/>
      <c r="AH350" s="390"/>
      <c r="AI350" s="391"/>
      <c r="AJ350" s="390"/>
      <c r="AK350" s="391"/>
      <c r="AL350" s="390"/>
      <c r="AM350" s="391"/>
      <c r="AN350" s="390"/>
      <c r="AO350" s="391"/>
    </row>
    <row r="351" spans="1:41" s="201" customFormat="1" ht="12.75" hidden="1">
      <c r="A351" s="222" t="s">
        <v>359</v>
      </c>
      <c r="B351" s="220" t="s">
        <v>696</v>
      </c>
      <c r="C351" s="221"/>
      <c r="D351" s="222">
        <v>420459</v>
      </c>
      <c r="E351" s="222">
        <v>13</v>
      </c>
      <c r="F351" s="390">
        <v>1710</v>
      </c>
      <c r="G351" s="391">
        <v>1710</v>
      </c>
      <c r="H351" s="390">
        <v>3420</v>
      </c>
      <c r="I351" s="391">
        <v>3420</v>
      </c>
      <c r="J351" s="390"/>
      <c r="K351" s="391"/>
      <c r="L351" s="390"/>
      <c r="M351" s="391"/>
      <c r="N351" s="390"/>
      <c r="O351" s="391"/>
      <c r="P351" s="390"/>
      <c r="Q351" s="391"/>
      <c r="R351" s="390"/>
      <c r="S351" s="391"/>
      <c r="T351" s="390"/>
      <c r="U351" s="391"/>
      <c r="V351" s="390"/>
      <c r="W351" s="391"/>
      <c r="X351" s="390"/>
      <c r="Y351" s="391"/>
      <c r="Z351" s="390"/>
      <c r="AA351" s="391"/>
      <c r="AB351" s="390"/>
      <c r="AC351" s="391"/>
      <c r="AD351" s="390"/>
      <c r="AE351" s="391"/>
      <c r="AF351" s="390"/>
      <c r="AG351" s="391"/>
      <c r="AH351" s="390"/>
      <c r="AI351" s="391"/>
      <c r="AJ351" s="390"/>
      <c r="AK351" s="391"/>
      <c r="AL351" s="390"/>
      <c r="AM351" s="391"/>
      <c r="AN351" s="390"/>
      <c r="AO351" s="391"/>
    </row>
    <row r="352" spans="1:41" s="201" customFormat="1" ht="12.75" hidden="1">
      <c r="A352" s="222" t="s">
        <v>359</v>
      </c>
      <c r="B352" s="220" t="s">
        <v>697</v>
      </c>
      <c r="C352" s="221"/>
      <c r="D352" s="222">
        <v>456560</v>
      </c>
      <c r="E352" s="222">
        <v>13</v>
      </c>
      <c r="F352" s="390"/>
      <c r="G352" s="391"/>
      <c r="H352" s="390"/>
      <c r="I352" s="391"/>
      <c r="J352" s="390"/>
      <c r="K352" s="391"/>
      <c r="L352" s="390"/>
      <c r="M352" s="391"/>
      <c r="N352" s="390"/>
      <c r="O352" s="391"/>
      <c r="P352" s="390"/>
      <c r="Q352" s="391"/>
      <c r="R352" s="390"/>
      <c r="S352" s="391"/>
      <c r="T352" s="390"/>
      <c r="U352" s="391"/>
      <c r="V352" s="390"/>
      <c r="W352" s="391"/>
      <c r="X352" s="390"/>
      <c r="Y352" s="391"/>
      <c r="Z352" s="390"/>
      <c r="AA352" s="391"/>
      <c r="AB352" s="390"/>
      <c r="AC352" s="391"/>
      <c r="AD352" s="390"/>
      <c r="AE352" s="391"/>
      <c r="AF352" s="390"/>
      <c r="AG352" s="391"/>
      <c r="AH352" s="390"/>
      <c r="AI352" s="391"/>
      <c r="AJ352" s="390"/>
      <c r="AK352" s="391"/>
      <c r="AL352" s="390"/>
      <c r="AM352" s="391"/>
      <c r="AN352" s="390"/>
      <c r="AO352" s="391"/>
    </row>
    <row r="353" spans="1:41" s="201" customFormat="1" ht="12.75" hidden="1">
      <c r="A353" s="222" t="s">
        <v>359</v>
      </c>
      <c r="B353" s="220" t="s">
        <v>698</v>
      </c>
      <c r="C353" s="221"/>
      <c r="D353" s="222">
        <v>432074</v>
      </c>
      <c r="E353" s="222">
        <v>13</v>
      </c>
      <c r="F353" s="390">
        <v>1710</v>
      </c>
      <c r="G353" s="391">
        <v>1710</v>
      </c>
      <c r="H353" s="390">
        <v>3420</v>
      </c>
      <c r="I353" s="391">
        <v>3420</v>
      </c>
      <c r="J353" s="390"/>
      <c r="K353" s="391"/>
      <c r="L353" s="390"/>
      <c r="M353" s="391"/>
      <c r="N353" s="390"/>
      <c r="O353" s="391"/>
      <c r="P353" s="390"/>
      <c r="Q353" s="391"/>
      <c r="R353" s="390"/>
      <c r="S353" s="391"/>
      <c r="T353" s="390"/>
      <c r="U353" s="391"/>
      <c r="V353" s="390"/>
      <c r="W353" s="391"/>
      <c r="X353" s="390"/>
      <c r="Y353" s="391"/>
      <c r="Z353" s="390"/>
      <c r="AA353" s="391"/>
      <c r="AB353" s="390"/>
      <c r="AC353" s="391"/>
      <c r="AD353" s="390"/>
      <c r="AE353" s="391"/>
      <c r="AF353" s="390"/>
      <c r="AG353" s="391"/>
      <c r="AH353" s="390"/>
      <c r="AI353" s="391"/>
      <c r="AJ353" s="390"/>
      <c r="AK353" s="391"/>
      <c r="AL353" s="390"/>
      <c r="AM353" s="391"/>
      <c r="AN353" s="390"/>
      <c r="AO353" s="391"/>
    </row>
    <row r="354" spans="1:41" s="201" customFormat="1" ht="12.75" hidden="1">
      <c r="A354" s="222" t="s">
        <v>359</v>
      </c>
      <c r="B354" s="220" t="s">
        <v>699</v>
      </c>
      <c r="C354" s="221"/>
      <c r="D354" s="222">
        <v>418339</v>
      </c>
      <c r="E354" s="222">
        <v>13</v>
      </c>
      <c r="F354" s="390">
        <v>1710</v>
      </c>
      <c r="G354" s="391">
        <v>1710</v>
      </c>
      <c r="H354" s="390">
        <v>3420</v>
      </c>
      <c r="I354" s="391">
        <v>3420</v>
      </c>
      <c r="J354" s="390"/>
      <c r="K354" s="391"/>
      <c r="L354" s="390"/>
      <c r="M354" s="391"/>
      <c r="N354" s="390"/>
      <c r="O354" s="391"/>
      <c r="P354" s="390"/>
      <c r="Q354" s="391"/>
      <c r="R354" s="390"/>
      <c r="S354" s="391"/>
      <c r="T354" s="390"/>
      <c r="U354" s="391"/>
      <c r="V354" s="390"/>
      <c r="W354" s="391"/>
      <c r="X354" s="390"/>
      <c r="Y354" s="391"/>
      <c r="Z354" s="390"/>
      <c r="AA354" s="391"/>
      <c r="AB354" s="390"/>
      <c r="AC354" s="391"/>
      <c r="AD354" s="390"/>
      <c r="AE354" s="391"/>
      <c r="AF354" s="390"/>
      <c r="AG354" s="391"/>
      <c r="AH354" s="390"/>
      <c r="AI354" s="391"/>
      <c r="AJ354" s="390"/>
      <c r="AK354" s="391"/>
      <c r="AL354" s="390"/>
      <c r="AM354" s="391"/>
      <c r="AN354" s="390"/>
      <c r="AO354" s="391"/>
    </row>
    <row r="355" spans="1:41" s="201" customFormat="1" ht="12.75" hidden="1">
      <c r="A355" s="222" t="s">
        <v>359</v>
      </c>
      <c r="B355" s="220" t="s">
        <v>700</v>
      </c>
      <c r="C355" s="221"/>
      <c r="D355" s="222">
        <v>366623</v>
      </c>
      <c r="E355" s="222">
        <v>13</v>
      </c>
      <c r="F355" s="390">
        <v>1800</v>
      </c>
      <c r="G355" s="391">
        <v>1800</v>
      </c>
      <c r="H355" s="390">
        <v>3600</v>
      </c>
      <c r="I355" s="391">
        <v>3600</v>
      </c>
      <c r="J355" s="390"/>
      <c r="K355" s="391"/>
      <c r="L355" s="390"/>
      <c r="M355" s="391"/>
      <c r="N355" s="390"/>
      <c r="O355" s="391"/>
      <c r="P355" s="390"/>
      <c r="Q355" s="391"/>
      <c r="R355" s="390"/>
      <c r="S355" s="391"/>
      <c r="T355" s="390"/>
      <c r="U355" s="391"/>
      <c r="V355" s="390"/>
      <c r="W355" s="391"/>
      <c r="X355" s="390"/>
      <c r="Y355" s="391"/>
      <c r="Z355" s="390"/>
      <c r="AA355" s="391"/>
      <c r="AB355" s="390"/>
      <c r="AC355" s="391"/>
      <c r="AD355" s="390"/>
      <c r="AE355" s="391"/>
      <c r="AF355" s="390"/>
      <c r="AG355" s="391"/>
      <c r="AH355" s="390"/>
      <c r="AI355" s="391"/>
      <c r="AJ355" s="390"/>
      <c r="AK355" s="391"/>
      <c r="AL355" s="390"/>
      <c r="AM355" s="391"/>
      <c r="AN355" s="390"/>
      <c r="AO355" s="391"/>
    </row>
    <row r="356" spans="1:41" s="201" customFormat="1" ht="12.75" hidden="1">
      <c r="A356" s="222" t="s">
        <v>359</v>
      </c>
      <c r="B356" s="220" t="s">
        <v>701</v>
      </c>
      <c r="C356" s="221"/>
      <c r="D356" s="222">
        <v>407601</v>
      </c>
      <c r="E356" s="222">
        <v>13</v>
      </c>
      <c r="F356" s="390">
        <v>1800</v>
      </c>
      <c r="G356" s="391">
        <v>1800</v>
      </c>
      <c r="H356" s="390">
        <v>3600</v>
      </c>
      <c r="I356" s="391">
        <v>3600</v>
      </c>
      <c r="J356" s="390"/>
      <c r="K356" s="391"/>
      <c r="L356" s="390"/>
      <c r="M356" s="391"/>
      <c r="N356" s="390"/>
      <c r="O356" s="391"/>
      <c r="P356" s="390"/>
      <c r="Q356" s="391"/>
      <c r="R356" s="390"/>
      <c r="S356" s="391"/>
      <c r="T356" s="390"/>
      <c r="U356" s="391"/>
      <c r="V356" s="390"/>
      <c r="W356" s="391"/>
      <c r="X356" s="390"/>
      <c r="Y356" s="391"/>
      <c r="Z356" s="390"/>
      <c r="AA356" s="391"/>
      <c r="AB356" s="390"/>
      <c r="AC356" s="391"/>
      <c r="AD356" s="390"/>
      <c r="AE356" s="391"/>
      <c r="AF356" s="390"/>
      <c r="AG356" s="391"/>
      <c r="AH356" s="390"/>
      <c r="AI356" s="391"/>
      <c r="AJ356" s="390"/>
      <c r="AK356" s="391"/>
      <c r="AL356" s="390"/>
      <c r="AM356" s="391"/>
      <c r="AN356" s="390"/>
      <c r="AO356" s="391"/>
    </row>
    <row r="357" spans="1:41" s="201" customFormat="1" ht="12.75" hidden="1">
      <c r="A357" s="222" t="s">
        <v>359</v>
      </c>
      <c r="B357" s="220" t="s">
        <v>702</v>
      </c>
      <c r="C357" s="221"/>
      <c r="D357" s="222">
        <v>364627</v>
      </c>
      <c r="E357" s="222">
        <v>13</v>
      </c>
      <c r="F357" s="390">
        <v>1800</v>
      </c>
      <c r="G357" s="391">
        <v>1800</v>
      </c>
      <c r="H357" s="390">
        <v>3600</v>
      </c>
      <c r="I357" s="391">
        <v>3600</v>
      </c>
      <c r="J357" s="390"/>
      <c r="K357" s="391"/>
      <c r="L357" s="390"/>
      <c r="M357" s="391"/>
      <c r="N357" s="390"/>
      <c r="O357" s="391"/>
      <c r="P357" s="390"/>
      <c r="Q357" s="391"/>
      <c r="R357" s="390"/>
      <c r="S357" s="391"/>
      <c r="T357" s="390"/>
      <c r="U357" s="391"/>
      <c r="V357" s="390"/>
      <c r="W357" s="391"/>
      <c r="X357" s="390"/>
      <c r="Y357" s="391"/>
      <c r="Z357" s="390"/>
      <c r="AA357" s="391"/>
      <c r="AB357" s="390"/>
      <c r="AC357" s="391"/>
      <c r="AD357" s="390"/>
      <c r="AE357" s="391"/>
      <c r="AF357" s="390"/>
      <c r="AG357" s="391"/>
      <c r="AH357" s="390"/>
      <c r="AI357" s="391"/>
      <c r="AJ357" s="390"/>
      <c r="AK357" s="391"/>
      <c r="AL357" s="390"/>
      <c r="AM357" s="391"/>
      <c r="AN357" s="390"/>
      <c r="AO357" s="391"/>
    </row>
    <row r="358" spans="1:41" s="201" customFormat="1" ht="12.75" hidden="1">
      <c r="A358" s="222" t="s">
        <v>359</v>
      </c>
      <c r="B358" s="220" t="s">
        <v>703</v>
      </c>
      <c r="C358" s="221"/>
      <c r="D358" s="222">
        <v>206905</v>
      </c>
      <c r="E358" s="222">
        <v>13</v>
      </c>
      <c r="F358" s="390">
        <v>2475</v>
      </c>
      <c r="G358" s="391">
        <v>2475</v>
      </c>
      <c r="H358" s="390">
        <v>4950</v>
      </c>
      <c r="I358" s="391">
        <v>4950</v>
      </c>
      <c r="J358" s="390"/>
      <c r="K358" s="391"/>
      <c r="L358" s="390"/>
      <c r="M358" s="391"/>
      <c r="N358" s="390"/>
      <c r="O358" s="391"/>
      <c r="P358" s="390"/>
      <c r="Q358" s="391"/>
      <c r="R358" s="390"/>
      <c r="S358" s="391"/>
      <c r="T358" s="390"/>
      <c r="U358" s="391"/>
      <c r="V358" s="390"/>
      <c r="W358" s="391"/>
      <c r="X358" s="390"/>
      <c r="Y358" s="391"/>
      <c r="Z358" s="390"/>
      <c r="AA358" s="391"/>
      <c r="AB358" s="390"/>
      <c r="AC358" s="391"/>
      <c r="AD358" s="390"/>
      <c r="AE358" s="391"/>
      <c r="AF358" s="390"/>
      <c r="AG358" s="391"/>
      <c r="AH358" s="390"/>
      <c r="AI358" s="391"/>
      <c r="AJ358" s="390"/>
      <c r="AK358" s="391"/>
      <c r="AL358" s="390"/>
      <c r="AM358" s="391"/>
      <c r="AN358" s="390"/>
      <c r="AO358" s="391"/>
    </row>
    <row r="359" spans="1:41" s="201" customFormat="1" ht="12.75" hidden="1">
      <c r="A359" s="222" t="s">
        <v>359</v>
      </c>
      <c r="B359" s="220" t="s">
        <v>704</v>
      </c>
      <c r="C359" s="221"/>
      <c r="D359" s="222">
        <v>250993</v>
      </c>
      <c r="E359" s="222">
        <v>13</v>
      </c>
      <c r="F359" s="390">
        <v>2250</v>
      </c>
      <c r="G359" s="391">
        <v>2250</v>
      </c>
      <c r="H359" s="390">
        <v>4500</v>
      </c>
      <c r="I359" s="391">
        <v>4500</v>
      </c>
      <c r="J359" s="390"/>
      <c r="K359" s="391"/>
      <c r="L359" s="390"/>
      <c r="M359" s="391"/>
      <c r="N359" s="390"/>
      <c r="O359" s="391"/>
      <c r="P359" s="390"/>
      <c r="Q359" s="391"/>
      <c r="R359" s="390"/>
      <c r="S359" s="391"/>
      <c r="T359" s="390"/>
      <c r="U359" s="391"/>
      <c r="V359" s="390"/>
      <c r="W359" s="391"/>
      <c r="X359" s="390"/>
      <c r="Y359" s="391"/>
      <c r="Z359" s="390"/>
      <c r="AA359" s="391"/>
      <c r="AB359" s="390"/>
      <c r="AC359" s="391"/>
      <c r="AD359" s="390"/>
      <c r="AE359" s="391"/>
      <c r="AF359" s="390"/>
      <c r="AG359" s="391"/>
      <c r="AH359" s="390"/>
      <c r="AI359" s="391"/>
      <c r="AJ359" s="390"/>
      <c r="AK359" s="391"/>
      <c r="AL359" s="390"/>
      <c r="AM359" s="391"/>
      <c r="AN359" s="390"/>
      <c r="AO359" s="391"/>
    </row>
    <row r="360" spans="1:41" s="201" customFormat="1" ht="12.75" hidden="1">
      <c r="A360" s="222" t="s">
        <v>359</v>
      </c>
      <c r="B360" s="220" t="s">
        <v>705</v>
      </c>
      <c r="C360" s="221"/>
      <c r="D360" s="222">
        <v>365198</v>
      </c>
      <c r="E360" s="222">
        <v>13</v>
      </c>
      <c r="F360" s="390">
        <v>2250</v>
      </c>
      <c r="G360" s="391">
        <v>2250</v>
      </c>
      <c r="H360" s="390">
        <v>4500</v>
      </c>
      <c r="I360" s="391">
        <v>4500</v>
      </c>
      <c r="J360" s="390"/>
      <c r="K360" s="391"/>
      <c r="L360" s="390"/>
      <c r="M360" s="391"/>
      <c r="N360" s="390"/>
      <c r="O360" s="391"/>
      <c r="P360" s="390"/>
      <c r="Q360" s="391"/>
      <c r="R360" s="390"/>
      <c r="S360" s="391"/>
      <c r="T360" s="390"/>
      <c r="U360" s="391"/>
      <c r="V360" s="390"/>
      <c r="W360" s="391"/>
      <c r="X360" s="390"/>
      <c r="Y360" s="391"/>
      <c r="Z360" s="390"/>
      <c r="AA360" s="391"/>
      <c r="AB360" s="390"/>
      <c r="AC360" s="391"/>
      <c r="AD360" s="390"/>
      <c r="AE360" s="391"/>
      <c r="AF360" s="390"/>
      <c r="AG360" s="391"/>
      <c r="AH360" s="390"/>
      <c r="AI360" s="391"/>
      <c r="AJ360" s="390"/>
      <c r="AK360" s="391"/>
      <c r="AL360" s="390"/>
      <c r="AM360" s="391"/>
      <c r="AN360" s="390"/>
      <c r="AO360" s="391"/>
    </row>
    <row r="361" spans="1:41" s="201" customFormat="1" ht="12.75" hidden="1">
      <c r="A361" s="222" t="s">
        <v>359</v>
      </c>
      <c r="B361" s="220" t="s">
        <v>706</v>
      </c>
      <c r="C361" s="221"/>
      <c r="D361" s="222">
        <v>368364</v>
      </c>
      <c r="E361" s="222">
        <v>13</v>
      </c>
      <c r="F361" s="390">
        <v>2250</v>
      </c>
      <c r="G361" s="391">
        <v>2250</v>
      </c>
      <c r="H361" s="390">
        <v>4500</v>
      </c>
      <c r="I361" s="391">
        <v>4500</v>
      </c>
      <c r="J361" s="390"/>
      <c r="K361" s="391"/>
      <c r="L361" s="390"/>
      <c r="M361" s="391"/>
      <c r="N361" s="390"/>
      <c r="O361" s="391"/>
      <c r="P361" s="390"/>
      <c r="Q361" s="391"/>
      <c r="R361" s="390"/>
      <c r="S361" s="391"/>
      <c r="T361" s="390"/>
      <c r="U361" s="391"/>
      <c r="V361" s="390"/>
      <c r="W361" s="391"/>
      <c r="X361" s="390"/>
      <c r="Y361" s="391"/>
      <c r="Z361" s="390"/>
      <c r="AA361" s="391"/>
      <c r="AB361" s="390"/>
      <c r="AC361" s="391"/>
      <c r="AD361" s="390"/>
      <c r="AE361" s="391"/>
      <c r="AF361" s="390"/>
      <c r="AG361" s="391"/>
      <c r="AH361" s="390"/>
      <c r="AI361" s="391"/>
      <c r="AJ361" s="390"/>
      <c r="AK361" s="391"/>
      <c r="AL361" s="390"/>
      <c r="AM361" s="391"/>
      <c r="AN361" s="390"/>
      <c r="AO361" s="391"/>
    </row>
    <row r="362" spans="1:41" s="201" customFormat="1" ht="12.75" hidden="1">
      <c r="A362" s="222" t="s">
        <v>359</v>
      </c>
      <c r="B362" s="220" t="s">
        <v>707</v>
      </c>
      <c r="C362" s="221"/>
      <c r="D362" s="222">
        <v>418287</v>
      </c>
      <c r="E362" s="222">
        <v>13</v>
      </c>
      <c r="F362" s="390">
        <v>1125</v>
      </c>
      <c r="G362" s="391">
        <v>1125</v>
      </c>
      <c r="H362" s="390">
        <v>2250</v>
      </c>
      <c r="I362" s="391">
        <v>2250</v>
      </c>
      <c r="J362" s="390"/>
      <c r="K362" s="391"/>
      <c r="L362" s="390"/>
      <c r="M362" s="391"/>
      <c r="N362" s="390"/>
      <c r="O362" s="391"/>
      <c r="P362" s="390"/>
      <c r="Q362" s="391"/>
      <c r="R362" s="390"/>
      <c r="S362" s="391"/>
      <c r="T362" s="390"/>
      <c r="U362" s="391"/>
      <c r="V362" s="390"/>
      <c r="W362" s="391"/>
      <c r="X362" s="390"/>
      <c r="Y362" s="391"/>
      <c r="Z362" s="390"/>
      <c r="AA362" s="391"/>
      <c r="AB362" s="390"/>
      <c r="AC362" s="391"/>
      <c r="AD362" s="390"/>
      <c r="AE362" s="391"/>
      <c r="AF362" s="390"/>
      <c r="AG362" s="391"/>
      <c r="AH362" s="390"/>
      <c r="AI362" s="391"/>
      <c r="AJ362" s="390"/>
      <c r="AK362" s="391"/>
      <c r="AL362" s="390"/>
      <c r="AM362" s="391"/>
      <c r="AN362" s="390"/>
      <c r="AO362" s="391"/>
    </row>
    <row r="363" spans="1:41" s="201" customFormat="1" ht="12.75" hidden="1">
      <c r="A363" s="222" t="s">
        <v>359</v>
      </c>
      <c r="B363" s="220" t="s">
        <v>708</v>
      </c>
      <c r="C363" s="221"/>
      <c r="D363" s="222">
        <v>207607</v>
      </c>
      <c r="E363" s="222">
        <v>13</v>
      </c>
      <c r="F363" s="390">
        <v>3600</v>
      </c>
      <c r="G363" s="391">
        <v>3600</v>
      </c>
      <c r="H363" s="390">
        <v>7200</v>
      </c>
      <c r="I363" s="391">
        <v>7200</v>
      </c>
      <c r="J363" s="390"/>
      <c r="K363" s="391"/>
      <c r="L363" s="390"/>
      <c r="M363" s="391"/>
      <c r="N363" s="390"/>
      <c r="O363" s="391"/>
      <c r="P363" s="390"/>
      <c r="Q363" s="391"/>
      <c r="R363" s="390"/>
      <c r="S363" s="391"/>
      <c r="T363" s="390"/>
      <c r="U363" s="391"/>
      <c r="V363" s="390"/>
      <c r="W363" s="391"/>
      <c r="X363" s="390"/>
      <c r="Y363" s="391"/>
      <c r="Z363" s="390"/>
      <c r="AA363" s="391"/>
      <c r="AB363" s="390"/>
      <c r="AC363" s="391"/>
      <c r="AD363" s="390"/>
      <c r="AE363" s="391"/>
      <c r="AF363" s="390"/>
      <c r="AG363" s="391"/>
      <c r="AH363" s="390"/>
      <c r="AI363" s="391"/>
      <c r="AJ363" s="390"/>
      <c r="AK363" s="391"/>
      <c r="AL363" s="390"/>
      <c r="AM363" s="391"/>
      <c r="AN363" s="390"/>
      <c r="AO363" s="391"/>
    </row>
    <row r="364" spans="1:41" s="201" customFormat="1" ht="12.75" hidden="1">
      <c r="A364" s="222" t="s">
        <v>359</v>
      </c>
      <c r="B364" s="220" t="s">
        <v>709</v>
      </c>
      <c r="C364" s="220"/>
      <c r="D364" s="222">
        <v>261393</v>
      </c>
      <c r="E364" s="222">
        <v>13</v>
      </c>
      <c r="F364" s="390">
        <v>3600</v>
      </c>
      <c r="G364" s="391">
        <v>3600</v>
      </c>
      <c r="H364" s="390">
        <v>7200</v>
      </c>
      <c r="I364" s="391">
        <v>7200</v>
      </c>
      <c r="J364" s="390"/>
      <c r="K364" s="391"/>
      <c r="L364" s="390"/>
      <c r="M364" s="391"/>
      <c r="N364" s="390"/>
      <c r="O364" s="391"/>
      <c r="P364" s="390"/>
      <c r="Q364" s="391"/>
      <c r="R364" s="390"/>
      <c r="S364" s="391"/>
      <c r="T364" s="390"/>
      <c r="U364" s="391"/>
      <c r="V364" s="390"/>
      <c r="W364" s="391"/>
      <c r="X364" s="390"/>
      <c r="Y364" s="391"/>
      <c r="Z364" s="390"/>
      <c r="AA364" s="391"/>
      <c r="AB364" s="390"/>
      <c r="AC364" s="391"/>
      <c r="AD364" s="390"/>
      <c r="AE364" s="391"/>
      <c r="AF364" s="390"/>
      <c r="AG364" s="391"/>
      <c r="AH364" s="390"/>
      <c r="AI364" s="391"/>
      <c r="AJ364" s="390"/>
      <c r="AK364" s="391"/>
      <c r="AL364" s="390"/>
      <c r="AM364" s="391"/>
      <c r="AN364" s="390"/>
      <c r="AO364" s="391"/>
    </row>
    <row r="365" spans="1:41" s="201" customFormat="1" ht="12.75" hidden="1">
      <c r="A365" s="219" t="s">
        <v>359</v>
      </c>
      <c r="B365" s="224" t="s">
        <v>710</v>
      </c>
      <c r="C365" s="220"/>
      <c r="D365" s="222">
        <v>482264</v>
      </c>
      <c r="E365" s="222">
        <v>13</v>
      </c>
      <c r="F365" s="390"/>
      <c r="G365" s="391"/>
      <c r="H365" s="390"/>
      <c r="I365" s="391"/>
      <c r="J365" s="390"/>
      <c r="K365" s="391"/>
      <c r="L365" s="390"/>
      <c r="M365" s="391"/>
      <c r="N365" s="390"/>
      <c r="O365" s="391"/>
      <c r="P365" s="390"/>
      <c r="Q365" s="391"/>
      <c r="R365" s="390"/>
      <c r="S365" s="391"/>
      <c r="T365" s="390"/>
      <c r="U365" s="391"/>
      <c r="V365" s="390"/>
      <c r="W365" s="391"/>
      <c r="X365" s="390"/>
      <c r="Y365" s="391"/>
      <c r="Z365" s="390"/>
      <c r="AA365" s="391"/>
      <c r="AB365" s="390"/>
      <c r="AC365" s="391"/>
      <c r="AD365" s="390"/>
      <c r="AE365" s="391"/>
      <c r="AF365" s="390"/>
      <c r="AG365" s="391"/>
      <c r="AH365" s="390"/>
      <c r="AI365" s="391"/>
      <c r="AJ365" s="390"/>
      <c r="AK365" s="391"/>
      <c r="AL365" s="390"/>
      <c r="AM365" s="391"/>
      <c r="AN365" s="390"/>
      <c r="AO365" s="391"/>
    </row>
    <row r="366" spans="1:41" s="201" customFormat="1" ht="12.75" hidden="1">
      <c r="A366" s="222" t="s">
        <v>359</v>
      </c>
      <c r="B366" s="220" t="s">
        <v>711</v>
      </c>
      <c r="C366" s="221"/>
      <c r="D366" s="222">
        <v>261384</v>
      </c>
      <c r="E366" s="222">
        <v>13</v>
      </c>
      <c r="F366" s="390">
        <v>3600</v>
      </c>
      <c r="G366" s="391">
        <v>3600</v>
      </c>
      <c r="H366" s="390">
        <v>7200</v>
      </c>
      <c r="I366" s="391">
        <v>7200</v>
      </c>
      <c r="J366" s="390"/>
      <c r="K366" s="391"/>
      <c r="L366" s="390"/>
      <c r="M366" s="391"/>
      <c r="N366" s="390"/>
      <c r="O366" s="391"/>
      <c r="P366" s="390"/>
      <c r="Q366" s="391"/>
      <c r="R366" s="390"/>
      <c r="S366" s="391"/>
      <c r="T366" s="390"/>
      <c r="U366" s="391"/>
      <c r="V366" s="390"/>
      <c r="W366" s="391"/>
      <c r="X366" s="390"/>
      <c r="Y366" s="391"/>
      <c r="Z366" s="390"/>
      <c r="AA366" s="391"/>
      <c r="AB366" s="390"/>
      <c r="AC366" s="391"/>
      <c r="AD366" s="390"/>
      <c r="AE366" s="391"/>
      <c r="AF366" s="390"/>
      <c r="AG366" s="391"/>
      <c r="AH366" s="390"/>
      <c r="AI366" s="391"/>
      <c r="AJ366" s="390"/>
      <c r="AK366" s="391"/>
      <c r="AL366" s="390"/>
      <c r="AM366" s="391"/>
      <c r="AN366" s="390"/>
      <c r="AO366" s="391"/>
    </row>
    <row r="367" spans="1:41" s="201" customFormat="1" ht="12.75" hidden="1">
      <c r="A367" s="219" t="s">
        <v>359</v>
      </c>
      <c r="B367" s="224" t="s">
        <v>712</v>
      </c>
      <c r="C367" s="221"/>
      <c r="D367" s="222">
        <v>482273</v>
      </c>
      <c r="E367" s="222">
        <v>13</v>
      </c>
      <c r="F367" s="390"/>
      <c r="G367" s="391"/>
      <c r="H367" s="390"/>
      <c r="I367" s="391"/>
      <c r="J367" s="390"/>
      <c r="K367" s="391"/>
      <c r="L367" s="390"/>
      <c r="M367" s="391"/>
      <c r="N367" s="390"/>
      <c r="O367" s="391"/>
      <c r="P367" s="390"/>
      <c r="Q367" s="391"/>
      <c r="R367" s="390"/>
      <c r="S367" s="391"/>
      <c r="T367" s="390"/>
      <c r="U367" s="391"/>
      <c r="V367" s="390"/>
      <c r="W367" s="391"/>
      <c r="X367" s="390"/>
      <c r="Y367" s="391"/>
      <c r="Z367" s="390"/>
      <c r="AA367" s="391"/>
      <c r="AB367" s="390"/>
      <c r="AC367" s="391"/>
      <c r="AD367" s="390"/>
      <c r="AE367" s="391"/>
      <c r="AF367" s="390"/>
      <c r="AG367" s="391"/>
      <c r="AH367" s="390"/>
      <c r="AI367" s="391"/>
      <c r="AJ367" s="390"/>
      <c r="AK367" s="391"/>
      <c r="AL367" s="390"/>
      <c r="AM367" s="391"/>
      <c r="AN367" s="390"/>
      <c r="AO367" s="391"/>
    </row>
    <row r="368" spans="1:41" s="201" customFormat="1" ht="12.75" hidden="1">
      <c r="A368" s="219" t="s">
        <v>359</v>
      </c>
      <c r="B368" s="220" t="s">
        <v>713</v>
      </c>
      <c r="C368" s="221"/>
      <c r="D368" s="222">
        <v>418357</v>
      </c>
      <c r="E368" s="222">
        <v>13</v>
      </c>
      <c r="F368" s="390">
        <v>2430</v>
      </c>
      <c r="G368" s="391">
        <v>2430</v>
      </c>
      <c r="H368" s="390">
        <v>4860</v>
      </c>
      <c r="I368" s="391">
        <v>4860</v>
      </c>
      <c r="J368" s="390"/>
      <c r="K368" s="391"/>
      <c r="L368" s="390"/>
      <c r="M368" s="391"/>
      <c r="N368" s="390"/>
      <c r="O368" s="391"/>
      <c r="P368" s="390"/>
      <c r="Q368" s="391"/>
      <c r="R368" s="390"/>
      <c r="S368" s="391"/>
      <c r="T368" s="390"/>
      <c r="U368" s="391"/>
      <c r="V368" s="390"/>
      <c r="W368" s="391"/>
      <c r="X368" s="390"/>
      <c r="Y368" s="391"/>
      <c r="Z368" s="390"/>
      <c r="AA368" s="391"/>
      <c r="AB368" s="390"/>
      <c r="AC368" s="391"/>
      <c r="AD368" s="390"/>
      <c r="AE368" s="391"/>
      <c r="AF368" s="390"/>
      <c r="AG368" s="391"/>
      <c r="AH368" s="390"/>
      <c r="AI368" s="391"/>
      <c r="AJ368" s="390"/>
      <c r="AK368" s="391"/>
      <c r="AL368" s="390"/>
      <c r="AM368" s="391"/>
      <c r="AN368" s="390"/>
      <c r="AO368" s="391"/>
    </row>
    <row r="369" spans="1:44" s="201" customFormat="1" ht="12.75" hidden="1">
      <c r="A369" s="222" t="s">
        <v>359</v>
      </c>
      <c r="B369" s="220" t="s">
        <v>714</v>
      </c>
      <c r="C369" s="221"/>
      <c r="D369" s="222">
        <v>418302</v>
      </c>
      <c r="E369" s="222">
        <v>13</v>
      </c>
      <c r="F369" s="390">
        <v>1800</v>
      </c>
      <c r="G369" s="391">
        <v>1800</v>
      </c>
      <c r="H369" s="390">
        <v>3600</v>
      </c>
      <c r="I369" s="391">
        <v>3600</v>
      </c>
      <c r="J369" s="390"/>
      <c r="K369" s="391"/>
      <c r="L369" s="390"/>
      <c r="M369" s="391"/>
      <c r="N369" s="390"/>
      <c r="O369" s="391"/>
      <c r="P369" s="390"/>
      <c r="Q369" s="391"/>
      <c r="R369" s="390"/>
      <c r="S369" s="391"/>
      <c r="T369" s="390"/>
      <c r="U369" s="391"/>
      <c r="V369" s="390"/>
      <c r="W369" s="391"/>
      <c r="X369" s="390"/>
      <c r="Y369" s="391"/>
      <c r="Z369" s="390"/>
      <c r="AA369" s="391"/>
      <c r="AB369" s="390"/>
      <c r="AC369" s="391"/>
      <c r="AD369" s="390"/>
      <c r="AE369" s="391"/>
      <c r="AF369" s="390"/>
      <c r="AG369" s="391"/>
      <c r="AH369" s="390"/>
      <c r="AI369" s="391"/>
      <c r="AJ369" s="390"/>
      <c r="AK369" s="391"/>
      <c r="AL369" s="390"/>
      <c r="AM369" s="391"/>
      <c r="AN369" s="390"/>
      <c r="AO369" s="391"/>
    </row>
    <row r="370" spans="1:44" s="201" customFormat="1" ht="12.75" hidden="1">
      <c r="A370" s="216" t="s">
        <v>359</v>
      </c>
      <c r="B370" s="217" t="s">
        <v>898</v>
      </c>
      <c r="C370" s="362"/>
      <c r="D370" s="216">
        <v>207388</v>
      </c>
      <c r="E370" s="216"/>
      <c r="F370" s="383"/>
      <c r="G370" s="384"/>
      <c r="H370" s="383"/>
      <c r="I370" s="384"/>
      <c r="J370" s="383"/>
      <c r="K370" s="384"/>
      <c r="L370" s="383"/>
      <c r="M370" s="384"/>
      <c r="N370" s="383"/>
      <c r="O370" s="384"/>
      <c r="P370" s="383"/>
      <c r="Q370" s="384"/>
      <c r="R370" s="383"/>
      <c r="S370" s="384"/>
      <c r="T370" s="383"/>
      <c r="U370" s="384"/>
      <c r="V370" s="383"/>
      <c r="W370" s="384"/>
      <c r="X370" s="383"/>
      <c r="Y370" s="384"/>
      <c r="Z370" s="383"/>
      <c r="AA370" s="384"/>
      <c r="AB370" s="383"/>
      <c r="AC370" s="384"/>
      <c r="AD370" s="383"/>
      <c r="AE370" s="384"/>
      <c r="AF370" s="383"/>
      <c r="AG370" s="384"/>
      <c r="AH370" s="383"/>
      <c r="AI370" s="384"/>
      <c r="AJ370" s="383"/>
      <c r="AK370" s="384"/>
      <c r="AL370" s="383"/>
      <c r="AM370" s="384"/>
      <c r="AN370" s="383"/>
      <c r="AO370" s="384"/>
      <c r="AP370" s="53"/>
      <c r="AQ370" s="53"/>
      <c r="AR370" s="53"/>
    </row>
    <row r="371" spans="1:44" s="201" customFormat="1" ht="12.75" hidden="1">
      <c r="A371" s="249" t="s">
        <v>360</v>
      </c>
      <c r="B371" s="250" t="s">
        <v>361</v>
      </c>
      <c r="C371" s="251"/>
      <c r="D371" s="252">
        <v>217882</v>
      </c>
      <c r="E371" s="252">
        <v>1</v>
      </c>
      <c r="F371" s="390">
        <v>15120</v>
      </c>
      <c r="G371" s="391">
        <v>15120</v>
      </c>
      <c r="H371" s="390">
        <v>38112</v>
      </c>
      <c r="I371" s="391">
        <v>38112</v>
      </c>
      <c r="J371" s="390">
        <v>11946</v>
      </c>
      <c r="K371" s="391">
        <v>11946</v>
      </c>
      <c r="L371" s="390">
        <v>23846</v>
      </c>
      <c r="M371" s="391">
        <v>23846</v>
      </c>
      <c r="N371" s="390"/>
      <c r="O371" s="391"/>
      <c r="P371" s="390"/>
      <c r="Q371" s="391"/>
      <c r="R371" s="390"/>
      <c r="S371" s="391"/>
      <c r="T371" s="390"/>
      <c r="U371" s="391"/>
      <c r="V371" s="390"/>
      <c r="W371" s="391"/>
      <c r="X371" s="390"/>
      <c r="Y371" s="391"/>
      <c r="Z371" s="390"/>
      <c r="AA371" s="391"/>
      <c r="AB371" s="390"/>
      <c r="AC371" s="391"/>
      <c r="AD371" s="390"/>
      <c r="AE371" s="391"/>
      <c r="AF371" s="390"/>
      <c r="AG371" s="391"/>
      <c r="AH371" s="390"/>
      <c r="AI371" s="391"/>
      <c r="AJ371" s="390"/>
      <c r="AK371" s="391"/>
      <c r="AL371" s="390"/>
      <c r="AM371" s="391"/>
      <c r="AN371" s="390"/>
      <c r="AO371" s="391"/>
    </row>
    <row r="372" spans="1:44" s="201" customFormat="1" ht="12.75" hidden="1">
      <c r="A372" s="249" t="s">
        <v>360</v>
      </c>
      <c r="B372" s="250" t="s">
        <v>362</v>
      </c>
      <c r="C372" s="251"/>
      <c r="D372" s="252">
        <v>218663</v>
      </c>
      <c r="E372" s="252">
        <v>1</v>
      </c>
      <c r="F372" s="390">
        <v>12688</v>
      </c>
      <c r="G372" s="391">
        <v>12688</v>
      </c>
      <c r="H372" s="390">
        <v>33928</v>
      </c>
      <c r="I372" s="391">
        <v>33928</v>
      </c>
      <c r="J372" s="390">
        <v>14132</v>
      </c>
      <c r="K372" s="391">
        <v>14132</v>
      </c>
      <c r="L372" s="390">
        <v>30160</v>
      </c>
      <c r="M372" s="391">
        <v>30160</v>
      </c>
      <c r="N372" s="390">
        <v>21472</v>
      </c>
      <c r="O372" s="391">
        <v>21472</v>
      </c>
      <c r="P372" s="390">
        <v>52480</v>
      </c>
      <c r="Q372" s="391">
        <v>52480</v>
      </c>
      <c r="R372" s="390">
        <v>43488</v>
      </c>
      <c r="S372" s="391">
        <v>43488</v>
      </c>
      <c r="T372" s="390">
        <v>87750</v>
      </c>
      <c r="U372" s="391">
        <v>87750</v>
      </c>
      <c r="V372" s="390"/>
      <c r="W372" s="391"/>
      <c r="X372" s="390"/>
      <c r="Y372" s="391"/>
      <c r="Z372" s="390">
        <v>24130</v>
      </c>
      <c r="AA372" s="391">
        <v>24130</v>
      </c>
      <c r="AB372" s="390">
        <v>36424</v>
      </c>
      <c r="AC372" s="391">
        <v>36424</v>
      </c>
      <c r="AD372" s="390"/>
      <c r="AE372" s="391"/>
      <c r="AF372" s="390"/>
      <c r="AG372" s="391"/>
      <c r="AH372" s="390"/>
      <c r="AI372" s="391"/>
      <c r="AJ372" s="390"/>
      <c r="AK372" s="391"/>
      <c r="AL372" s="390"/>
      <c r="AM372" s="391"/>
      <c r="AN372" s="390"/>
      <c r="AO372" s="391"/>
    </row>
    <row r="373" spans="1:44" s="201" customFormat="1" ht="12.75" hidden="1">
      <c r="A373" s="249" t="s">
        <v>360</v>
      </c>
      <c r="B373" s="250" t="s">
        <v>363</v>
      </c>
      <c r="C373" s="251"/>
      <c r="D373" s="252">
        <v>217819</v>
      </c>
      <c r="E373" s="252">
        <v>3</v>
      </c>
      <c r="F373" s="390">
        <v>12518</v>
      </c>
      <c r="G373" s="391">
        <v>12518</v>
      </c>
      <c r="H373" s="390">
        <v>32848</v>
      </c>
      <c r="I373" s="391">
        <v>32848</v>
      </c>
      <c r="J373" s="390">
        <v>13770</v>
      </c>
      <c r="K373" s="391">
        <v>13770</v>
      </c>
      <c r="L373" s="390">
        <v>36132</v>
      </c>
      <c r="M373" s="391">
        <v>36132</v>
      </c>
      <c r="N373" s="390"/>
      <c r="O373" s="391"/>
      <c r="P373" s="390"/>
      <c r="Q373" s="391"/>
      <c r="R373" s="390"/>
      <c r="S373" s="391"/>
      <c r="T373" s="390"/>
      <c r="U373" s="391"/>
      <c r="V373" s="390"/>
      <c r="W373" s="391"/>
      <c r="X373" s="390"/>
      <c r="Y373" s="391"/>
      <c r="Z373" s="390"/>
      <c r="AA373" s="391"/>
      <c r="AB373" s="390"/>
      <c r="AC373" s="391"/>
      <c r="AD373" s="390"/>
      <c r="AE373" s="391"/>
      <c r="AF373" s="390"/>
      <c r="AG373" s="391"/>
      <c r="AH373" s="390"/>
      <c r="AI373" s="391"/>
      <c r="AJ373" s="390"/>
      <c r="AK373" s="391"/>
      <c r="AL373" s="390"/>
      <c r="AM373" s="391"/>
      <c r="AN373" s="390"/>
      <c r="AO373" s="391"/>
    </row>
    <row r="374" spans="1:44" s="201" customFormat="1" ht="12.75" hidden="1">
      <c r="A374" s="249" t="s">
        <v>360</v>
      </c>
      <c r="B374" s="250" t="s">
        <v>364</v>
      </c>
      <c r="C374" s="253"/>
      <c r="D374" s="252">
        <v>217864</v>
      </c>
      <c r="E374" s="252">
        <v>3</v>
      </c>
      <c r="F374" s="390">
        <v>13140</v>
      </c>
      <c r="G374" s="391">
        <v>13140</v>
      </c>
      <c r="H374" s="390">
        <v>36396</v>
      </c>
      <c r="I374" s="391">
        <v>36396</v>
      </c>
      <c r="J374" s="390">
        <v>11070</v>
      </c>
      <c r="K374" s="391">
        <v>10890</v>
      </c>
      <c r="L374" s="390">
        <v>18720</v>
      </c>
      <c r="M374" s="391">
        <v>18540</v>
      </c>
      <c r="N374" s="390"/>
      <c r="O374" s="391"/>
      <c r="P374" s="390"/>
      <c r="Q374" s="391"/>
      <c r="R374" s="390"/>
      <c r="S374" s="391"/>
      <c r="T374" s="390"/>
      <c r="U374" s="391"/>
      <c r="V374" s="390"/>
      <c r="W374" s="391"/>
      <c r="X374" s="390"/>
      <c r="Y374" s="391"/>
      <c r="Z374" s="390"/>
      <c r="AA374" s="391"/>
      <c r="AB374" s="390"/>
      <c r="AC374" s="391"/>
      <c r="AD374" s="390"/>
      <c r="AE374" s="391"/>
      <c r="AF374" s="390"/>
      <c r="AG374" s="391"/>
      <c r="AH374" s="390"/>
      <c r="AI374" s="391"/>
      <c r="AJ374" s="390"/>
      <c r="AK374" s="391"/>
      <c r="AL374" s="390"/>
      <c r="AM374" s="391"/>
      <c r="AN374" s="390"/>
      <c r="AO374" s="391"/>
    </row>
    <row r="375" spans="1:44" s="201" customFormat="1" ht="12.75" hidden="1">
      <c r="A375" s="249" t="s">
        <v>360</v>
      </c>
      <c r="B375" s="250" t="s">
        <v>365</v>
      </c>
      <c r="C375" s="251"/>
      <c r="D375" s="252">
        <v>218964</v>
      </c>
      <c r="E375" s="252">
        <v>3</v>
      </c>
      <c r="F375" s="390">
        <v>15306</v>
      </c>
      <c r="G375" s="391">
        <v>15306</v>
      </c>
      <c r="H375" s="390">
        <v>29636</v>
      </c>
      <c r="I375" s="391">
        <v>29636</v>
      </c>
      <c r="J375" s="390">
        <v>11538</v>
      </c>
      <c r="K375" s="391">
        <v>11538</v>
      </c>
      <c r="L375" s="390">
        <v>22212</v>
      </c>
      <c r="M375" s="391">
        <v>22212</v>
      </c>
      <c r="N375" s="390"/>
      <c r="O375" s="391"/>
      <c r="P375" s="390"/>
      <c r="Q375" s="391"/>
      <c r="R375" s="390"/>
      <c r="S375" s="391"/>
      <c r="T375" s="390"/>
      <c r="U375" s="391"/>
      <c r="V375" s="390"/>
      <c r="W375" s="391"/>
      <c r="X375" s="390"/>
      <c r="Y375" s="391"/>
      <c r="Z375" s="390"/>
      <c r="AA375" s="391"/>
      <c r="AB375" s="390"/>
      <c r="AC375" s="391"/>
      <c r="AD375" s="390"/>
      <c r="AE375" s="391"/>
      <c r="AF375" s="390"/>
      <c r="AG375" s="391"/>
      <c r="AH375" s="390"/>
      <c r="AI375" s="391"/>
      <c r="AJ375" s="390"/>
      <c r="AK375" s="391"/>
      <c r="AL375" s="390"/>
      <c r="AM375" s="391"/>
      <c r="AN375" s="390"/>
      <c r="AO375" s="391"/>
    </row>
    <row r="376" spans="1:44" ht="15" hidden="1" customHeight="1">
      <c r="A376" s="249" t="s">
        <v>360</v>
      </c>
      <c r="B376" s="250" t="s">
        <v>366</v>
      </c>
      <c r="C376" s="274"/>
      <c r="D376" s="252">
        <v>218724</v>
      </c>
      <c r="E376" s="252">
        <v>4</v>
      </c>
      <c r="F376" s="390">
        <v>11640</v>
      </c>
      <c r="G376" s="391">
        <v>11640</v>
      </c>
      <c r="H376" s="390">
        <v>27394</v>
      </c>
      <c r="I376" s="391">
        <v>27394</v>
      </c>
      <c r="J376" s="390">
        <v>10764</v>
      </c>
      <c r="K376" s="391">
        <v>10764</v>
      </c>
      <c r="L376" s="390">
        <v>19836</v>
      </c>
      <c r="M376" s="391">
        <v>19836</v>
      </c>
      <c r="N376" s="390"/>
      <c r="O376" s="391"/>
      <c r="P376" s="390"/>
      <c r="Q376" s="391"/>
      <c r="R376" s="390"/>
      <c r="S376" s="391"/>
      <c r="T376" s="390"/>
      <c r="U376" s="391"/>
      <c r="V376" s="390"/>
      <c r="W376" s="391"/>
      <c r="X376" s="390"/>
      <c r="Y376" s="391"/>
      <c r="Z376" s="390"/>
      <c r="AA376" s="391"/>
      <c r="AB376" s="390"/>
      <c r="AC376" s="391"/>
      <c r="AD376" s="390"/>
      <c r="AE376" s="391"/>
      <c r="AF376" s="390"/>
      <c r="AG376" s="391"/>
      <c r="AH376" s="390"/>
      <c r="AI376" s="391"/>
      <c r="AJ376" s="390"/>
      <c r="AK376" s="391"/>
      <c r="AL376" s="390"/>
      <c r="AM376" s="391"/>
      <c r="AN376" s="390"/>
      <c r="AO376" s="391"/>
    </row>
    <row r="377" spans="1:44" ht="15" hidden="1" customHeight="1">
      <c r="A377" s="249" t="s">
        <v>360</v>
      </c>
      <c r="B377" s="250" t="s">
        <v>367</v>
      </c>
      <c r="C377" s="275"/>
      <c r="D377" s="252">
        <v>218061</v>
      </c>
      <c r="E377" s="252">
        <v>5</v>
      </c>
      <c r="F377" s="390">
        <v>11160</v>
      </c>
      <c r="G377" s="391">
        <v>11160</v>
      </c>
      <c r="H377" s="390">
        <v>21544</v>
      </c>
      <c r="I377" s="391">
        <v>21544</v>
      </c>
      <c r="J377" s="390">
        <v>11388</v>
      </c>
      <c r="K377" s="391">
        <v>11388</v>
      </c>
      <c r="L377" s="390">
        <v>22000</v>
      </c>
      <c r="M377" s="391">
        <v>22000</v>
      </c>
      <c r="N377" s="390"/>
      <c r="O377" s="391"/>
      <c r="P377" s="390"/>
      <c r="Q377" s="391"/>
      <c r="R377" s="390"/>
      <c r="S377" s="391"/>
      <c r="T377" s="390"/>
      <c r="U377" s="391"/>
      <c r="V377" s="390"/>
      <c r="W377" s="391"/>
      <c r="X377" s="390"/>
      <c r="Y377" s="391"/>
      <c r="Z377" s="390"/>
      <c r="AA377" s="391"/>
      <c r="AB377" s="390"/>
      <c r="AC377" s="391"/>
      <c r="AD377" s="390"/>
      <c r="AE377" s="391"/>
      <c r="AF377" s="390"/>
      <c r="AG377" s="391"/>
      <c r="AH377" s="390"/>
      <c r="AI377" s="391"/>
      <c r="AJ377" s="390"/>
      <c r="AK377" s="391"/>
      <c r="AL377" s="390"/>
      <c r="AM377" s="391"/>
      <c r="AN377" s="390"/>
      <c r="AO377" s="391"/>
    </row>
    <row r="378" spans="1:44" ht="15" hidden="1" customHeight="1">
      <c r="A378" s="249" t="s">
        <v>360</v>
      </c>
      <c r="B378" s="250" t="s">
        <v>368</v>
      </c>
      <c r="C378" s="275"/>
      <c r="D378" s="252">
        <v>218733</v>
      </c>
      <c r="E378" s="252">
        <v>5</v>
      </c>
      <c r="F378" s="390">
        <v>11060</v>
      </c>
      <c r="G378" s="391">
        <v>11060</v>
      </c>
      <c r="H378" s="390">
        <v>21750</v>
      </c>
      <c r="I378" s="391">
        <v>21750</v>
      </c>
      <c r="J378" s="390">
        <v>11460</v>
      </c>
      <c r="K378" s="391">
        <v>11460</v>
      </c>
      <c r="L378" s="390">
        <v>22570</v>
      </c>
      <c r="M378" s="391">
        <v>22570</v>
      </c>
      <c r="N378" s="390"/>
      <c r="O378" s="391"/>
      <c r="P378" s="390"/>
      <c r="Q378" s="391"/>
      <c r="R378" s="390"/>
      <c r="S378" s="391"/>
      <c r="T378" s="390"/>
      <c r="U378" s="391"/>
      <c r="V378" s="390"/>
      <c r="W378" s="391"/>
      <c r="X378" s="390"/>
      <c r="Y378" s="391"/>
      <c r="Z378" s="390"/>
      <c r="AA378" s="391"/>
      <c r="AB378" s="390"/>
      <c r="AC378" s="391"/>
      <c r="AD378" s="390"/>
      <c r="AE378" s="391"/>
      <c r="AF378" s="390"/>
      <c r="AG378" s="391"/>
      <c r="AH378" s="390"/>
      <c r="AI378" s="391"/>
      <c r="AJ378" s="390"/>
      <c r="AK378" s="391"/>
      <c r="AL378" s="390"/>
      <c r="AM378" s="391"/>
      <c r="AN378" s="390"/>
      <c r="AO378" s="391"/>
    </row>
    <row r="379" spans="1:44" ht="15" customHeight="1">
      <c r="A379" s="249" t="s">
        <v>360</v>
      </c>
      <c r="B379" s="250" t="s">
        <v>369</v>
      </c>
      <c r="C379" s="275" t="s">
        <v>625</v>
      </c>
      <c r="D379" s="252">
        <v>218229</v>
      </c>
      <c r="E379" s="252">
        <v>6</v>
      </c>
      <c r="F379" s="390">
        <v>11700</v>
      </c>
      <c r="G379" s="391">
        <v>11700</v>
      </c>
      <c r="H379" s="390">
        <v>21300</v>
      </c>
      <c r="I379" s="391">
        <v>21300</v>
      </c>
      <c r="J379" s="390">
        <v>9856</v>
      </c>
      <c r="K379" s="391">
        <v>9856</v>
      </c>
      <c r="L379" s="390">
        <v>17884</v>
      </c>
      <c r="M379" s="391">
        <v>17884</v>
      </c>
      <c r="N379" s="390"/>
      <c r="O379" s="391"/>
      <c r="P379" s="390"/>
      <c r="Q379" s="391"/>
      <c r="R379" s="390"/>
      <c r="S379" s="391"/>
      <c r="T379" s="390"/>
      <c r="U379" s="391"/>
      <c r="V379" s="390"/>
      <c r="W379" s="391"/>
      <c r="X379" s="390"/>
      <c r="Y379" s="391"/>
      <c r="Z379" s="390"/>
      <c r="AA379" s="391"/>
      <c r="AB379" s="390"/>
      <c r="AC379" s="391"/>
      <c r="AD379" s="390"/>
      <c r="AE379" s="391"/>
      <c r="AF379" s="390"/>
      <c r="AG379" s="391"/>
      <c r="AH379" s="390"/>
      <c r="AI379" s="391"/>
      <c r="AJ379" s="390"/>
      <c r="AK379" s="391"/>
      <c r="AL379" s="390"/>
      <c r="AM379" s="391"/>
      <c r="AN379" s="390"/>
      <c r="AO379" s="391"/>
    </row>
    <row r="380" spans="1:44" ht="15" customHeight="1">
      <c r="A380" s="249" t="s">
        <v>360</v>
      </c>
      <c r="B380" s="250" t="s">
        <v>370</v>
      </c>
      <c r="C380" s="379" t="s">
        <v>904</v>
      </c>
      <c r="D380" s="252">
        <v>218645</v>
      </c>
      <c r="E380" s="252">
        <v>6</v>
      </c>
      <c r="F380" s="390">
        <v>10710</v>
      </c>
      <c r="G380" s="391">
        <v>10710</v>
      </c>
      <c r="H380" s="390">
        <v>21168</v>
      </c>
      <c r="I380" s="391">
        <v>21168</v>
      </c>
      <c r="J380" s="390">
        <v>14132</v>
      </c>
      <c r="K380" s="391">
        <v>14132</v>
      </c>
      <c r="L380" s="390">
        <v>30160</v>
      </c>
      <c r="M380" s="391">
        <v>30160</v>
      </c>
      <c r="N380" s="390"/>
      <c r="O380" s="391"/>
      <c r="P380" s="390"/>
      <c r="Q380" s="391"/>
      <c r="R380" s="390"/>
      <c r="S380" s="391"/>
      <c r="T380" s="390"/>
      <c r="U380" s="391"/>
      <c r="V380" s="390"/>
      <c r="W380" s="391"/>
      <c r="X380" s="390"/>
      <c r="Y380" s="391"/>
      <c r="Z380" s="390"/>
      <c r="AA380" s="391"/>
      <c r="AB380" s="390"/>
      <c r="AC380" s="391"/>
      <c r="AD380" s="390"/>
      <c r="AE380" s="391"/>
      <c r="AF380" s="390"/>
      <c r="AG380" s="391"/>
      <c r="AH380" s="390"/>
      <c r="AI380" s="391"/>
      <c r="AJ380" s="390"/>
      <c r="AK380" s="391"/>
      <c r="AL380" s="390"/>
      <c r="AM380" s="391"/>
      <c r="AN380" s="390"/>
      <c r="AO380" s="391"/>
    </row>
    <row r="381" spans="1:44" ht="15" customHeight="1">
      <c r="A381" s="249" t="s">
        <v>360</v>
      </c>
      <c r="B381" s="250" t="s">
        <v>371</v>
      </c>
      <c r="C381" s="275"/>
      <c r="D381" s="252">
        <v>218654</v>
      </c>
      <c r="E381" s="252">
        <v>6</v>
      </c>
      <c r="F381" s="390">
        <v>10680</v>
      </c>
      <c r="G381" s="391">
        <v>10680</v>
      </c>
      <c r="H381" s="390">
        <v>21726</v>
      </c>
      <c r="I381" s="391">
        <v>21726</v>
      </c>
      <c r="J381" s="390"/>
      <c r="K381" s="391"/>
      <c r="L381" s="390"/>
      <c r="M381" s="391"/>
      <c r="N381" s="390"/>
      <c r="O381" s="391"/>
      <c r="P381" s="390"/>
      <c r="Q381" s="391"/>
      <c r="R381" s="390"/>
      <c r="S381" s="391"/>
      <c r="T381" s="390"/>
      <c r="U381" s="391"/>
      <c r="V381" s="390"/>
      <c r="W381" s="391"/>
      <c r="X381" s="390"/>
      <c r="Y381" s="391"/>
      <c r="Z381" s="390"/>
      <c r="AA381" s="391"/>
      <c r="AB381" s="390"/>
      <c r="AC381" s="391"/>
      <c r="AD381" s="390"/>
      <c r="AE381" s="391"/>
      <c r="AF381" s="390"/>
      <c r="AG381" s="391"/>
      <c r="AH381" s="390"/>
      <c r="AI381" s="391"/>
      <c r="AJ381" s="390"/>
      <c r="AK381" s="391"/>
      <c r="AL381" s="390"/>
      <c r="AM381" s="391"/>
      <c r="AN381" s="390"/>
      <c r="AO381" s="391"/>
    </row>
    <row r="382" spans="1:44" ht="15" customHeight="1">
      <c r="A382" s="249" t="s">
        <v>360</v>
      </c>
      <c r="B382" s="250" t="s">
        <v>372</v>
      </c>
      <c r="C382" s="275"/>
      <c r="D382" s="252">
        <v>218742</v>
      </c>
      <c r="E382" s="252">
        <v>6</v>
      </c>
      <c r="F382" s="390">
        <v>11488</v>
      </c>
      <c r="G382" s="391">
        <v>11488</v>
      </c>
      <c r="H382" s="390">
        <v>22990</v>
      </c>
      <c r="I382" s="391">
        <v>22990</v>
      </c>
      <c r="J382" s="390">
        <v>14132</v>
      </c>
      <c r="K382" s="391">
        <v>14132</v>
      </c>
      <c r="L382" s="390">
        <v>30160</v>
      </c>
      <c r="M382" s="391">
        <v>30160</v>
      </c>
      <c r="N382" s="390"/>
      <c r="O382" s="391"/>
      <c r="P382" s="390"/>
      <c r="Q382" s="391"/>
      <c r="R382" s="390"/>
      <c r="S382" s="391"/>
      <c r="T382" s="390"/>
      <c r="U382" s="391"/>
      <c r="V382" s="390"/>
      <c r="W382" s="391"/>
      <c r="X382" s="390"/>
      <c r="Y382" s="391"/>
      <c r="Z382" s="390"/>
      <c r="AA382" s="391"/>
      <c r="AB382" s="390"/>
      <c r="AC382" s="391"/>
      <c r="AD382" s="390"/>
      <c r="AE382" s="391"/>
      <c r="AF382" s="390"/>
      <c r="AG382" s="391"/>
      <c r="AH382" s="390"/>
      <c r="AI382" s="391"/>
      <c r="AJ382" s="390"/>
      <c r="AK382" s="391"/>
      <c r="AL382" s="390"/>
      <c r="AM382" s="391"/>
      <c r="AN382" s="390"/>
      <c r="AO382" s="391"/>
    </row>
    <row r="383" spans="1:44" ht="15" hidden="1" customHeight="1">
      <c r="A383" s="249" t="s">
        <v>360</v>
      </c>
      <c r="B383" s="250" t="s">
        <v>374</v>
      </c>
      <c r="C383" s="275"/>
      <c r="D383" s="252">
        <v>218113</v>
      </c>
      <c r="E383" s="252">
        <v>8</v>
      </c>
      <c r="F383" s="390">
        <v>5930</v>
      </c>
      <c r="G383" s="391">
        <v>5930</v>
      </c>
      <c r="H383" s="390">
        <v>11720</v>
      </c>
      <c r="I383" s="391">
        <v>11720</v>
      </c>
      <c r="J383" s="390"/>
      <c r="K383" s="391"/>
      <c r="L383" s="390"/>
      <c r="M383" s="391"/>
      <c r="N383" s="390"/>
      <c r="O383" s="391"/>
      <c r="P383" s="390"/>
      <c r="Q383" s="391"/>
      <c r="R383" s="390"/>
      <c r="S383" s="391"/>
      <c r="T383" s="390"/>
      <c r="U383" s="391"/>
      <c r="V383" s="390"/>
      <c r="W383" s="391"/>
      <c r="X383" s="390"/>
      <c r="Y383" s="391"/>
      <c r="Z383" s="390"/>
      <c r="AA383" s="391"/>
      <c r="AB383" s="390"/>
      <c r="AC383" s="391"/>
      <c r="AD383" s="390"/>
      <c r="AE383" s="391"/>
      <c r="AF383" s="390"/>
      <c r="AG383" s="391"/>
      <c r="AH383" s="390"/>
      <c r="AI383" s="391"/>
      <c r="AJ383" s="390"/>
      <c r="AK383" s="391"/>
      <c r="AL383" s="390"/>
      <c r="AM383" s="391"/>
      <c r="AN383" s="390"/>
      <c r="AO383" s="391"/>
    </row>
    <row r="384" spans="1:44" ht="15" hidden="1" customHeight="1">
      <c r="A384" s="249" t="s">
        <v>360</v>
      </c>
      <c r="B384" s="250" t="s">
        <v>375</v>
      </c>
      <c r="C384" s="379" t="s">
        <v>907</v>
      </c>
      <c r="D384" s="252">
        <v>218140</v>
      </c>
      <c r="E384" s="252">
        <v>8</v>
      </c>
      <c r="F384" s="390">
        <v>5398</v>
      </c>
      <c r="G384" s="391">
        <v>5398</v>
      </c>
      <c r="H384" s="390">
        <v>10708</v>
      </c>
      <c r="I384" s="391">
        <v>10708</v>
      </c>
      <c r="J384" s="390"/>
      <c r="K384" s="391"/>
      <c r="L384" s="390"/>
      <c r="M384" s="391"/>
      <c r="N384" s="390"/>
      <c r="O384" s="391"/>
      <c r="P384" s="390"/>
      <c r="Q384" s="391"/>
      <c r="R384" s="390"/>
      <c r="S384" s="391"/>
      <c r="T384" s="390"/>
      <c r="U384" s="391"/>
      <c r="V384" s="390"/>
      <c r="W384" s="391"/>
      <c r="X384" s="390"/>
      <c r="Y384" s="391"/>
      <c r="Z384" s="390"/>
      <c r="AA384" s="391"/>
      <c r="AB384" s="390"/>
      <c r="AC384" s="391"/>
      <c r="AD384" s="390"/>
      <c r="AE384" s="391"/>
      <c r="AF384" s="390"/>
      <c r="AG384" s="391"/>
      <c r="AH384" s="390"/>
      <c r="AI384" s="391"/>
      <c r="AJ384" s="390"/>
      <c r="AK384" s="391"/>
      <c r="AL384" s="390"/>
      <c r="AM384" s="391"/>
      <c r="AN384" s="390"/>
      <c r="AO384" s="391"/>
    </row>
    <row r="385" spans="1:41" ht="15" hidden="1" customHeight="1">
      <c r="A385" s="249" t="s">
        <v>360</v>
      </c>
      <c r="B385" s="250" t="s">
        <v>376</v>
      </c>
      <c r="C385" s="275"/>
      <c r="D385" s="252">
        <v>218353</v>
      </c>
      <c r="E385" s="252">
        <v>8</v>
      </c>
      <c r="F385" s="390">
        <v>5916</v>
      </c>
      <c r="G385" s="391">
        <v>5916</v>
      </c>
      <c r="H385" s="390">
        <v>17196</v>
      </c>
      <c r="I385" s="391">
        <v>17196</v>
      </c>
      <c r="J385" s="390"/>
      <c r="K385" s="391"/>
      <c r="L385" s="390"/>
      <c r="M385" s="391"/>
      <c r="N385" s="390"/>
      <c r="O385" s="391"/>
      <c r="P385" s="390"/>
      <c r="Q385" s="391"/>
      <c r="R385" s="390"/>
      <c r="S385" s="391"/>
      <c r="T385" s="390"/>
      <c r="U385" s="391"/>
      <c r="V385" s="390"/>
      <c r="W385" s="391"/>
      <c r="X385" s="390"/>
      <c r="Y385" s="391"/>
      <c r="Z385" s="390"/>
      <c r="AA385" s="391"/>
      <c r="AB385" s="390"/>
      <c r="AC385" s="391"/>
      <c r="AD385" s="390"/>
      <c r="AE385" s="391"/>
      <c r="AF385" s="390"/>
      <c r="AG385" s="391"/>
      <c r="AH385" s="390"/>
      <c r="AI385" s="391"/>
      <c r="AJ385" s="390"/>
      <c r="AK385" s="391"/>
      <c r="AL385" s="390"/>
      <c r="AM385" s="391"/>
      <c r="AN385" s="390"/>
      <c r="AO385" s="391"/>
    </row>
    <row r="386" spans="1:41" ht="15" hidden="1" customHeight="1">
      <c r="A386" s="249" t="s">
        <v>360</v>
      </c>
      <c r="B386" s="250" t="s">
        <v>379</v>
      </c>
      <c r="C386" s="275"/>
      <c r="D386" s="252">
        <v>218894</v>
      </c>
      <c r="E386" s="252">
        <v>8</v>
      </c>
      <c r="F386" s="390">
        <v>5696</v>
      </c>
      <c r="G386" s="391">
        <v>5696</v>
      </c>
      <c r="H386" s="390">
        <v>10749</v>
      </c>
      <c r="I386" s="391">
        <v>10749</v>
      </c>
      <c r="J386" s="390"/>
      <c r="K386" s="391"/>
      <c r="L386" s="390"/>
      <c r="M386" s="391"/>
      <c r="N386" s="390"/>
      <c r="O386" s="391"/>
      <c r="P386" s="390"/>
      <c r="Q386" s="391"/>
      <c r="R386" s="390"/>
      <c r="S386" s="391"/>
      <c r="T386" s="390"/>
      <c r="U386" s="391"/>
      <c r="V386" s="390"/>
      <c r="W386" s="391"/>
      <c r="X386" s="390"/>
      <c r="Y386" s="391"/>
      <c r="Z386" s="390"/>
      <c r="AA386" s="391"/>
      <c r="AB386" s="390"/>
      <c r="AC386" s="391"/>
      <c r="AD386" s="390"/>
      <c r="AE386" s="391"/>
      <c r="AF386" s="390"/>
      <c r="AG386" s="391"/>
      <c r="AH386" s="390"/>
      <c r="AI386" s="391"/>
      <c r="AJ386" s="390"/>
      <c r="AK386" s="391"/>
      <c r="AL386" s="390"/>
      <c r="AM386" s="391"/>
      <c r="AN386" s="390"/>
      <c r="AO386" s="391"/>
    </row>
    <row r="387" spans="1:41" ht="15" hidden="1" customHeight="1">
      <c r="A387" s="249" t="s">
        <v>360</v>
      </c>
      <c r="B387" s="250" t="s">
        <v>381</v>
      </c>
      <c r="C387" s="275"/>
      <c r="D387" s="252">
        <v>218858</v>
      </c>
      <c r="E387" s="252">
        <v>9</v>
      </c>
      <c r="F387" s="390">
        <v>5940</v>
      </c>
      <c r="G387" s="391">
        <v>6120</v>
      </c>
      <c r="H387" s="390">
        <v>9930</v>
      </c>
      <c r="I387" s="391">
        <v>10230</v>
      </c>
      <c r="J387" s="390"/>
      <c r="K387" s="391"/>
      <c r="L387" s="390"/>
      <c r="M387" s="391"/>
      <c r="N387" s="390"/>
      <c r="O387" s="391"/>
      <c r="P387" s="390"/>
      <c r="Q387" s="391"/>
      <c r="R387" s="390"/>
      <c r="S387" s="391"/>
      <c r="T387" s="390"/>
      <c r="U387" s="391"/>
      <c r="V387" s="390"/>
      <c r="W387" s="391"/>
      <c r="X387" s="390"/>
      <c r="Y387" s="391"/>
      <c r="Z387" s="390"/>
      <c r="AA387" s="391"/>
      <c r="AB387" s="390"/>
      <c r="AC387" s="391"/>
      <c r="AD387" s="390"/>
      <c r="AE387" s="391"/>
      <c r="AF387" s="390"/>
      <c r="AG387" s="391"/>
      <c r="AH387" s="390"/>
      <c r="AI387" s="391"/>
      <c r="AJ387" s="390"/>
      <c r="AK387" s="391"/>
      <c r="AL387" s="390"/>
      <c r="AM387" s="391"/>
      <c r="AN387" s="390"/>
      <c r="AO387" s="391"/>
    </row>
    <row r="388" spans="1:41" ht="15" hidden="1" customHeight="1">
      <c r="A388" s="249" t="s">
        <v>360</v>
      </c>
      <c r="B388" s="250" t="s">
        <v>373</v>
      </c>
      <c r="C388" s="274"/>
      <c r="D388" s="252">
        <v>218025</v>
      </c>
      <c r="E388" s="252">
        <v>9</v>
      </c>
      <c r="F388" s="390">
        <v>5720</v>
      </c>
      <c r="G388" s="391">
        <v>5720</v>
      </c>
      <c r="H388" s="390">
        <v>8390</v>
      </c>
      <c r="I388" s="391">
        <v>8390</v>
      </c>
      <c r="J388" s="390"/>
      <c r="K388" s="391"/>
      <c r="L388" s="390"/>
      <c r="M388" s="391"/>
      <c r="N388" s="390"/>
      <c r="O388" s="391"/>
      <c r="P388" s="390"/>
      <c r="Q388" s="391"/>
      <c r="R388" s="390"/>
      <c r="S388" s="391"/>
      <c r="T388" s="390"/>
      <c r="U388" s="391"/>
      <c r="V388" s="390"/>
      <c r="W388" s="391"/>
      <c r="X388" s="390"/>
      <c r="Y388" s="391"/>
      <c r="Z388" s="390"/>
      <c r="AA388" s="391"/>
      <c r="AB388" s="390"/>
      <c r="AC388" s="391"/>
      <c r="AD388" s="390"/>
      <c r="AE388" s="391"/>
      <c r="AF388" s="390"/>
      <c r="AG388" s="391"/>
      <c r="AH388" s="390"/>
      <c r="AI388" s="391"/>
      <c r="AJ388" s="390"/>
      <c r="AK388" s="391"/>
      <c r="AL388" s="390"/>
      <c r="AM388" s="391"/>
      <c r="AN388" s="390"/>
      <c r="AO388" s="391"/>
    </row>
    <row r="389" spans="1:41" ht="15" hidden="1" customHeight="1">
      <c r="A389" s="249" t="s">
        <v>360</v>
      </c>
      <c r="B389" s="250" t="s">
        <v>377</v>
      </c>
      <c r="C389" s="274"/>
      <c r="D389" s="252">
        <v>218520</v>
      </c>
      <c r="E389" s="252">
        <v>9</v>
      </c>
      <c r="F389" s="390">
        <v>5687.5</v>
      </c>
      <c r="G389" s="391">
        <v>5687.5</v>
      </c>
      <c r="H389" s="390">
        <v>8245</v>
      </c>
      <c r="I389" s="391">
        <v>8245</v>
      </c>
      <c r="J389" s="390"/>
      <c r="K389" s="391"/>
      <c r="L389" s="390"/>
      <c r="M389" s="391"/>
      <c r="N389" s="390"/>
      <c r="O389" s="391"/>
      <c r="P389" s="390"/>
      <c r="Q389" s="391"/>
      <c r="R389" s="390"/>
      <c r="S389" s="391"/>
      <c r="T389" s="390"/>
      <c r="U389" s="391"/>
      <c r="V389" s="390"/>
      <c r="W389" s="391"/>
      <c r="X389" s="390"/>
      <c r="Y389" s="391"/>
      <c r="Z389" s="390"/>
      <c r="AA389" s="391"/>
      <c r="AB389" s="390"/>
      <c r="AC389" s="391"/>
      <c r="AD389" s="390"/>
      <c r="AE389" s="391"/>
      <c r="AF389" s="390"/>
      <c r="AG389" s="391"/>
      <c r="AH389" s="390"/>
      <c r="AI389" s="391"/>
      <c r="AJ389" s="390"/>
      <c r="AK389" s="391"/>
      <c r="AL389" s="390"/>
      <c r="AM389" s="391"/>
      <c r="AN389" s="390"/>
      <c r="AO389" s="391"/>
    </row>
    <row r="390" spans="1:41" ht="15" hidden="1" customHeight="1">
      <c r="A390" s="249" t="s">
        <v>360</v>
      </c>
      <c r="B390" s="250" t="s">
        <v>383</v>
      </c>
      <c r="C390" s="275"/>
      <c r="D390" s="252">
        <v>218830</v>
      </c>
      <c r="E390" s="252">
        <v>9</v>
      </c>
      <c r="F390" s="390">
        <v>5940</v>
      </c>
      <c r="G390" s="391">
        <v>6090</v>
      </c>
      <c r="H390" s="390">
        <v>11940</v>
      </c>
      <c r="I390" s="391">
        <v>12240</v>
      </c>
      <c r="J390" s="390"/>
      <c r="K390" s="391"/>
      <c r="L390" s="390"/>
      <c r="M390" s="391"/>
      <c r="N390" s="390"/>
      <c r="O390" s="391"/>
      <c r="P390" s="390"/>
      <c r="Q390" s="391"/>
      <c r="R390" s="390"/>
      <c r="S390" s="391"/>
      <c r="T390" s="390"/>
      <c r="U390" s="391"/>
      <c r="V390" s="390"/>
      <c r="W390" s="391"/>
      <c r="X390" s="390"/>
      <c r="Y390" s="391"/>
      <c r="Z390" s="390"/>
      <c r="AA390" s="391"/>
      <c r="AB390" s="390"/>
      <c r="AC390" s="391"/>
      <c r="AD390" s="390"/>
      <c r="AE390" s="391"/>
      <c r="AF390" s="390"/>
      <c r="AG390" s="391"/>
      <c r="AH390" s="390"/>
      <c r="AI390" s="391"/>
      <c r="AJ390" s="390"/>
      <c r="AK390" s="391"/>
      <c r="AL390" s="390"/>
      <c r="AM390" s="391"/>
      <c r="AN390" s="390"/>
      <c r="AO390" s="391"/>
    </row>
    <row r="391" spans="1:41" ht="15" hidden="1" customHeight="1">
      <c r="A391" s="249" t="s">
        <v>360</v>
      </c>
      <c r="B391" s="250" t="s">
        <v>378</v>
      </c>
      <c r="C391" s="274"/>
      <c r="D391" s="252">
        <v>218885</v>
      </c>
      <c r="E391" s="252">
        <v>9</v>
      </c>
      <c r="F391" s="390">
        <v>5559.9</v>
      </c>
      <c r="G391" s="391">
        <v>5560</v>
      </c>
      <c r="H391" s="390">
        <v>12549.9</v>
      </c>
      <c r="I391" s="391">
        <v>12760</v>
      </c>
      <c r="J391" s="390"/>
      <c r="K391" s="391"/>
      <c r="L391" s="390"/>
      <c r="M391" s="391"/>
      <c r="N391" s="390"/>
      <c r="O391" s="391"/>
      <c r="P391" s="390"/>
      <c r="Q391" s="391"/>
      <c r="R391" s="390"/>
      <c r="S391" s="391"/>
      <c r="T391" s="390"/>
      <c r="U391" s="391"/>
      <c r="V391" s="390"/>
      <c r="W391" s="391"/>
      <c r="X391" s="390"/>
      <c r="Y391" s="391"/>
      <c r="Z391" s="390"/>
      <c r="AA391" s="391"/>
      <c r="AB391" s="390"/>
      <c r="AC391" s="391"/>
      <c r="AD391" s="390"/>
      <c r="AE391" s="391"/>
      <c r="AF391" s="390"/>
      <c r="AG391" s="391"/>
      <c r="AH391" s="390"/>
      <c r="AI391" s="391"/>
      <c r="AJ391" s="390"/>
      <c r="AK391" s="391"/>
      <c r="AL391" s="390"/>
      <c r="AM391" s="391"/>
      <c r="AN391" s="390"/>
      <c r="AO391" s="391"/>
    </row>
    <row r="392" spans="1:41" ht="15" hidden="1" customHeight="1">
      <c r="A392" s="249" t="s">
        <v>360</v>
      </c>
      <c r="B392" s="250" t="s">
        <v>384</v>
      </c>
      <c r="C392" s="275"/>
      <c r="D392" s="252">
        <v>218991</v>
      </c>
      <c r="E392" s="252">
        <v>9</v>
      </c>
      <c r="F392" s="390">
        <v>5660</v>
      </c>
      <c r="G392" s="391">
        <v>5690</v>
      </c>
      <c r="H392" s="390">
        <v>12290</v>
      </c>
      <c r="I392" s="391">
        <v>12320</v>
      </c>
      <c r="J392" s="390"/>
      <c r="K392" s="391"/>
      <c r="L392" s="390"/>
      <c r="M392" s="391"/>
      <c r="N392" s="390"/>
      <c r="O392" s="391"/>
      <c r="P392" s="390"/>
      <c r="Q392" s="391"/>
      <c r="R392" s="390"/>
      <c r="S392" s="391"/>
      <c r="T392" s="390"/>
      <c r="U392" s="391"/>
      <c r="V392" s="390"/>
      <c r="W392" s="391"/>
      <c r="X392" s="390"/>
      <c r="Y392" s="391"/>
      <c r="Z392" s="390"/>
      <c r="AA392" s="391"/>
      <c r="AB392" s="390"/>
      <c r="AC392" s="391"/>
      <c r="AD392" s="390"/>
      <c r="AE392" s="391"/>
      <c r="AF392" s="390"/>
      <c r="AG392" s="391"/>
      <c r="AH392" s="390"/>
      <c r="AI392" s="391"/>
      <c r="AJ392" s="390"/>
      <c r="AK392" s="391"/>
      <c r="AL392" s="390"/>
      <c r="AM392" s="391"/>
      <c r="AN392" s="390"/>
      <c r="AO392" s="391"/>
    </row>
    <row r="393" spans="1:41" ht="15" hidden="1" customHeight="1">
      <c r="A393" s="249" t="s">
        <v>360</v>
      </c>
      <c r="B393" s="250" t="s">
        <v>380</v>
      </c>
      <c r="C393" s="274"/>
      <c r="D393" s="252">
        <v>217615</v>
      </c>
      <c r="E393" s="252">
        <v>10</v>
      </c>
      <c r="F393" s="390">
        <v>5930</v>
      </c>
      <c r="G393" s="391">
        <v>6060</v>
      </c>
      <c r="H393" s="390">
        <v>8482</v>
      </c>
      <c r="I393" s="391">
        <v>8482</v>
      </c>
      <c r="J393" s="390"/>
      <c r="K393" s="391"/>
      <c r="L393" s="390"/>
      <c r="M393" s="391"/>
      <c r="N393" s="390"/>
      <c r="O393" s="391"/>
      <c r="P393" s="390"/>
      <c r="Q393" s="391"/>
      <c r="R393" s="390"/>
      <c r="S393" s="391"/>
      <c r="T393" s="390"/>
      <c r="U393" s="391"/>
      <c r="V393" s="390"/>
      <c r="W393" s="391"/>
      <c r="X393" s="390"/>
      <c r="Y393" s="391"/>
      <c r="Z393" s="390"/>
      <c r="AA393" s="391"/>
      <c r="AB393" s="390"/>
      <c r="AC393" s="391"/>
      <c r="AD393" s="390"/>
      <c r="AE393" s="391"/>
      <c r="AF393" s="390"/>
      <c r="AG393" s="391"/>
      <c r="AH393" s="390"/>
      <c r="AI393" s="391"/>
      <c r="AJ393" s="390"/>
      <c r="AK393" s="391"/>
      <c r="AL393" s="390"/>
      <c r="AM393" s="391"/>
      <c r="AN393" s="390"/>
      <c r="AO393" s="391"/>
    </row>
    <row r="394" spans="1:41" s="201" customFormat="1" ht="12.75" hidden="1">
      <c r="A394" s="249" t="s">
        <v>360</v>
      </c>
      <c r="B394" s="250" t="s">
        <v>385</v>
      </c>
      <c r="C394" s="251"/>
      <c r="D394" s="252">
        <v>217989</v>
      </c>
      <c r="E394" s="252">
        <v>10</v>
      </c>
      <c r="F394" s="390">
        <v>5647.5</v>
      </c>
      <c r="G394" s="391">
        <v>5947.5</v>
      </c>
      <c r="H394" s="390">
        <v>11055</v>
      </c>
      <c r="I394" s="391">
        <v>11355</v>
      </c>
      <c r="J394" s="390"/>
      <c r="K394" s="391"/>
      <c r="L394" s="390"/>
      <c r="M394" s="391"/>
      <c r="N394" s="390"/>
      <c r="O394" s="391"/>
      <c r="P394" s="390"/>
      <c r="Q394" s="391"/>
      <c r="R394" s="390"/>
      <c r="S394" s="391"/>
      <c r="T394" s="390"/>
      <c r="U394" s="391"/>
      <c r="V394" s="390"/>
      <c r="W394" s="391"/>
      <c r="X394" s="390"/>
      <c r="Y394" s="391"/>
      <c r="Z394" s="390"/>
      <c r="AA394" s="391"/>
      <c r="AB394" s="390"/>
      <c r="AC394" s="391"/>
      <c r="AD394" s="390"/>
      <c r="AE394" s="391"/>
      <c r="AF394" s="390"/>
      <c r="AG394" s="391"/>
      <c r="AH394" s="390"/>
      <c r="AI394" s="391"/>
      <c r="AJ394" s="390"/>
      <c r="AK394" s="391"/>
      <c r="AL394" s="390"/>
      <c r="AM394" s="391"/>
      <c r="AN394" s="390"/>
      <c r="AO394" s="391"/>
    </row>
    <row r="395" spans="1:41" s="201" customFormat="1" ht="12.75" hidden="1">
      <c r="A395" s="249" t="s">
        <v>360</v>
      </c>
      <c r="B395" s="250" t="s">
        <v>386</v>
      </c>
      <c r="C395" s="251"/>
      <c r="D395" s="252">
        <v>217837</v>
      </c>
      <c r="E395" s="252">
        <v>10</v>
      </c>
      <c r="F395" s="390">
        <v>5640</v>
      </c>
      <c r="G395" s="391">
        <v>6120</v>
      </c>
      <c r="H395" s="390">
        <v>9180</v>
      </c>
      <c r="I395" s="391">
        <v>9840</v>
      </c>
      <c r="J395" s="390"/>
      <c r="K395" s="391"/>
      <c r="L395" s="390"/>
      <c r="M395" s="391"/>
      <c r="N395" s="390"/>
      <c r="O395" s="391"/>
      <c r="P395" s="390"/>
      <c r="Q395" s="391"/>
      <c r="R395" s="390"/>
      <c r="S395" s="391"/>
      <c r="T395" s="390"/>
      <c r="U395" s="391"/>
      <c r="V395" s="390"/>
      <c r="W395" s="391"/>
      <c r="X395" s="390"/>
      <c r="Y395" s="391"/>
      <c r="Z395" s="390"/>
      <c r="AA395" s="391"/>
      <c r="AB395" s="390"/>
      <c r="AC395" s="391"/>
      <c r="AD395" s="390"/>
      <c r="AE395" s="391"/>
      <c r="AF395" s="390"/>
      <c r="AG395" s="391"/>
      <c r="AH395" s="390"/>
      <c r="AI395" s="391"/>
      <c r="AJ395" s="390"/>
      <c r="AK395" s="391"/>
      <c r="AL395" s="390"/>
      <c r="AM395" s="391"/>
      <c r="AN395" s="390"/>
      <c r="AO395" s="391"/>
    </row>
    <row r="396" spans="1:41" ht="15" hidden="1" customHeight="1">
      <c r="A396" s="249" t="s">
        <v>360</v>
      </c>
      <c r="B396" s="250" t="s">
        <v>382</v>
      </c>
      <c r="C396" s="274"/>
      <c r="D396" s="252">
        <v>218487</v>
      </c>
      <c r="E396" s="252">
        <v>10</v>
      </c>
      <c r="F396" s="390">
        <v>5750</v>
      </c>
      <c r="G396" s="391">
        <v>5900</v>
      </c>
      <c r="H396" s="390">
        <v>9200</v>
      </c>
      <c r="I396" s="391">
        <v>9350</v>
      </c>
      <c r="J396" s="390"/>
      <c r="K396" s="391"/>
      <c r="L396" s="390"/>
      <c r="M396" s="391"/>
      <c r="N396" s="390"/>
      <c r="O396" s="391"/>
      <c r="P396" s="390"/>
      <c r="Q396" s="391"/>
      <c r="R396" s="390"/>
      <c r="S396" s="391"/>
      <c r="T396" s="390"/>
      <c r="U396" s="391"/>
      <c r="V396" s="390"/>
      <c r="W396" s="391"/>
      <c r="X396" s="390"/>
      <c r="Y396" s="391"/>
      <c r="Z396" s="390"/>
      <c r="AA396" s="391"/>
      <c r="AB396" s="390"/>
      <c r="AC396" s="391"/>
      <c r="AD396" s="390"/>
      <c r="AE396" s="391"/>
      <c r="AF396" s="390"/>
      <c r="AG396" s="391"/>
      <c r="AH396" s="390"/>
      <c r="AI396" s="391"/>
      <c r="AJ396" s="390"/>
      <c r="AK396" s="391"/>
      <c r="AL396" s="390"/>
      <c r="AM396" s="391"/>
      <c r="AN396" s="390"/>
      <c r="AO396" s="391"/>
    </row>
    <row r="397" spans="1:41" s="201" customFormat="1" ht="12.75" hidden="1">
      <c r="A397" s="249" t="s">
        <v>360</v>
      </c>
      <c r="B397" s="250" t="s">
        <v>387</v>
      </c>
      <c r="C397" s="251"/>
      <c r="D397" s="252">
        <v>217712</v>
      </c>
      <c r="E397" s="252">
        <v>10</v>
      </c>
      <c r="F397" s="390">
        <v>6040</v>
      </c>
      <c r="G397" s="391">
        <v>6400</v>
      </c>
      <c r="H397" s="390">
        <v>12970</v>
      </c>
      <c r="I397" s="391">
        <v>13750</v>
      </c>
      <c r="J397" s="390"/>
      <c r="K397" s="391"/>
      <c r="L397" s="390"/>
      <c r="M397" s="391"/>
      <c r="N397" s="390"/>
      <c r="O397" s="391"/>
      <c r="P397" s="390"/>
      <c r="Q397" s="391"/>
      <c r="R397" s="390"/>
      <c r="S397" s="391"/>
      <c r="T397" s="390"/>
      <c r="U397" s="391"/>
      <c r="V397" s="390"/>
      <c r="W397" s="391"/>
      <c r="X397" s="390"/>
      <c r="Y397" s="391"/>
      <c r="Z397" s="390"/>
      <c r="AA397" s="391"/>
      <c r="AB397" s="390"/>
      <c r="AC397" s="391"/>
      <c r="AD397" s="390"/>
      <c r="AE397" s="391"/>
      <c r="AF397" s="390"/>
      <c r="AG397" s="391"/>
      <c r="AH397" s="390"/>
      <c r="AI397" s="391"/>
      <c r="AJ397" s="390"/>
      <c r="AK397" s="391"/>
      <c r="AL397" s="390"/>
      <c r="AM397" s="391"/>
      <c r="AN397" s="390"/>
      <c r="AO397" s="391"/>
    </row>
    <row r="398" spans="1:41" s="201" customFormat="1" ht="12.75" hidden="1">
      <c r="A398" s="249" t="s">
        <v>360</v>
      </c>
      <c r="B398" s="250" t="s">
        <v>388</v>
      </c>
      <c r="C398" s="251"/>
      <c r="D398" s="252">
        <v>218672</v>
      </c>
      <c r="E398" s="252">
        <v>10</v>
      </c>
      <c r="F398" s="390">
        <v>7558</v>
      </c>
      <c r="G398" s="391">
        <v>7558</v>
      </c>
      <c r="H398" s="390">
        <v>18238</v>
      </c>
      <c r="I398" s="391">
        <v>18238</v>
      </c>
      <c r="J398" s="390"/>
      <c r="K398" s="391"/>
      <c r="L398" s="390"/>
      <c r="M398" s="391"/>
      <c r="N398" s="390"/>
      <c r="O398" s="391"/>
      <c r="P398" s="390"/>
      <c r="Q398" s="391"/>
      <c r="R398" s="390"/>
      <c r="S398" s="391"/>
      <c r="T398" s="390"/>
      <c r="U398" s="391"/>
      <c r="V398" s="390"/>
      <c r="W398" s="391"/>
      <c r="X398" s="390"/>
      <c r="Y398" s="391"/>
      <c r="Z398" s="390"/>
      <c r="AA398" s="391"/>
      <c r="AB398" s="390"/>
      <c r="AC398" s="391"/>
      <c r="AD398" s="390"/>
      <c r="AE398" s="391"/>
      <c r="AF398" s="390"/>
      <c r="AG398" s="391"/>
      <c r="AH398" s="390"/>
      <c r="AI398" s="391"/>
      <c r="AJ398" s="390"/>
      <c r="AK398" s="391"/>
      <c r="AL398" s="390"/>
      <c r="AM398" s="391"/>
      <c r="AN398" s="390"/>
      <c r="AO398" s="391"/>
    </row>
    <row r="399" spans="1:41" s="201" customFormat="1" ht="12.75" hidden="1">
      <c r="A399" s="249" t="s">
        <v>360</v>
      </c>
      <c r="B399" s="250" t="s">
        <v>389</v>
      </c>
      <c r="C399" s="251"/>
      <c r="D399" s="252">
        <v>218681</v>
      </c>
      <c r="E399" s="252">
        <v>10</v>
      </c>
      <c r="F399" s="390">
        <v>7558</v>
      </c>
      <c r="G399" s="391">
        <v>7558</v>
      </c>
      <c r="H399" s="390">
        <v>18238</v>
      </c>
      <c r="I399" s="391">
        <v>18238</v>
      </c>
      <c r="J399" s="390"/>
      <c r="K399" s="391"/>
      <c r="L399" s="390"/>
      <c r="M399" s="391"/>
      <c r="N399" s="390"/>
      <c r="O399" s="391"/>
      <c r="P399" s="390"/>
      <c r="Q399" s="391"/>
      <c r="R399" s="390"/>
      <c r="S399" s="391"/>
      <c r="T399" s="390"/>
      <c r="U399" s="391"/>
      <c r="V399" s="390"/>
      <c r="W399" s="391"/>
      <c r="X399" s="390"/>
      <c r="Y399" s="391"/>
      <c r="Z399" s="390"/>
      <c r="AA399" s="391"/>
      <c r="AB399" s="390"/>
      <c r="AC399" s="391"/>
      <c r="AD399" s="390"/>
      <c r="AE399" s="391"/>
      <c r="AF399" s="390"/>
      <c r="AG399" s="391"/>
      <c r="AH399" s="390"/>
      <c r="AI399" s="391"/>
      <c r="AJ399" s="390"/>
      <c r="AK399" s="391"/>
      <c r="AL399" s="390"/>
      <c r="AM399" s="391"/>
      <c r="AN399" s="390"/>
      <c r="AO399" s="391"/>
    </row>
    <row r="400" spans="1:41" ht="15" hidden="1" customHeight="1">
      <c r="A400" s="249" t="s">
        <v>360</v>
      </c>
      <c r="B400" s="250" t="s">
        <v>390</v>
      </c>
      <c r="C400" s="275"/>
      <c r="D400" s="252">
        <v>218690</v>
      </c>
      <c r="E400" s="252">
        <v>10</v>
      </c>
      <c r="F400" s="390">
        <v>7558</v>
      </c>
      <c r="G400" s="391">
        <v>7558</v>
      </c>
      <c r="H400" s="390">
        <v>18238</v>
      </c>
      <c r="I400" s="391">
        <v>18238</v>
      </c>
      <c r="J400" s="390"/>
      <c r="K400" s="391"/>
      <c r="L400" s="390"/>
      <c r="M400" s="391"/>
      <c r="N400" s="390"/>
      <c r="O400" s="391"/>
      <c r="P400" s="390"/>
      <c r="Q400" s="391"/>
      <c r="R400" s="390"/>
      <c r="S400" s="391"/>
      <c r="T400" s="390"/>
      <c r="U400" s="391"/>
      <c r="V400" s="390"/>
      <c r="W400" s="391"/>
      <c r="X400" s="390"/>
      <c r="Y400" s="391"/>
      <c r="Z400" s="390"/>
      <c r="AA400" s="391"/>
      <c r="AB400" s="390"/>
      <c r="AC400" s="391"/>
      <c r="AD400" s="390"/>
      <c r="AE400" s="391"/>
      <c r="AF400" s="390"/>
      <c r="AG400" s="391"/>
      <c r="AH400" s="390"/>
      <c r="AI400" s="391"/>
      <c r="AJ400" s="390"/>
      <c r="AK400" s="391"/>
      <c r="AL400" s="390"/>
      <c r="AM400" s="391"/>
      <c r="AN400" s="390"/>
      <c r="AO400" s="391"/>
    </row>
    <row r="401" spans="1:41" ht="15" hidden="1" customHeight="1">
      <c r="A401" s="249" t="s">
        <v>360</v>
      </c>
      <c r="B401" s="250" t="s">
        <v>391</v>
      </c>
      <c r="C401" s="275"/>
      <c r="D401" s="252">
        <v>218706</v>
      </c>
      <c r="E401" s="252">
        <v>10</v>
      </c>
      <c r="F401" s="390">
        <v>7558</v>
      </c>
      <c r="G401" s="391">
        <v>7558</v>
      </c>
      <c r="H401" s="390">
        <v>18238</v>
      </c>
      <c r="I401" s="391">
        <v>18238</v>
      </c>
      <c r="J401" s="390"/>
      <c r="K401" s="391"/>
      <c r="L401" s="390"/>
      <c r="M401" s="391"/>
      <c r="N401" s="390"/>
      <c r="O401" s="391"/>
      <c r="P401" s="390"/>
      <c r="Q401" s="391"/>
      <c r="R401" s="390"/>
      <c r="S401" s="391"/>
      <c r="T401" s="390"/>
      <c r="U401" s="391"/>
      <c r="V401" s="390"/>
      <c r="W401" s="391"/>
      <c r="X401" s="390"/>
      <c r="Y401" s="391"/>
      <c r="Z401" s="390"/>
      <c r="AA401" s="391"/>
      <c r="AB401" s="390"/>
      <c r="AC401" s="391"/>
      <c r="AD401" s="390"/>
      <c r="AE401" s="391"/>
      <c r="AF401" s="390"/>
      <c r="AG401" s="391"/>
      <c r="AH401" s="390"/>
      <c r="AI401" s="391"/>
      <c r="AJ401" s="390"/>
      <c r="AK401" s="391"/>
      <c r="AL401" s="390"/>
      <c r="AM401" s="391"/>
      <c r="AN401" s="390"/>
      <c r="AO401" s="391"/>
    </row>
    <row r="402" spans="1:41" ht="15" hidden="1" customHeight="1">
      <c r="A402" s="249" t="s">
        <v>360</v>
      </c>
      <c r="B402" s="254" t="s">
        <v>642</v>
      </c>
      <c r="C402" s="275"/>
      <c r="D402" s="252">
        <v>218955</v>
      </c>
      <c r="E402" s="252">
        <v>10</v>
      </c>
      <c r="F402" s="390">
        <v>5610</v>
      </c>
      <c r="G402" s="391">
        <v>5610</v>
      </c>
      <c r="H402" s="390">
        <v>10500</v>
      </c>
      <c r="I402" s="391">
        <v>10500</v>
      </c>
      <c r="J402" s="390"/>
      <c r="K402" s="391"/>
      <c r="L402" s="390"/>
      <c r="M402" s="391"/>
      <c r="N402" s="390"/>
      <c r="O402" s="391"/>
      <c r="P402" s="390"/>
      <c r="Q402" s="391"/>
      <c r="R402" s="390"/>
      <c r="S402" s="391"/>
      <c r="T402" s="390"/>
      <c r="U402" s="391"/>
      <c r="V402" s="390"/>
      <c r="W402" s="391"/>
      <c r="X402" s="390"/>
      <c r="Y402" s="391"/>
      <c r="Z402" s="390"/>
      <c r="AA402" s="391"/>
      <c r="AB402" s="390"/>
      <c r="AC402" s="391"/>
      <c r="AD402" s="390"/>
      <c r="AE402" s="391"/>
      <c r="AF402" s="390"/>
      <c r="AG402" s="391"/>
      <c r="AH402" s="390"/>
      <c r="AI402" s="391"/>
      <c r="AJ402" s="390"/>
      <c r="AK402" s="391"/>
      <c r="AL402" s="390"/>
      <c r="AM402" s="391"/>
      <c r="AN402" s="390"/>
      <c r="AO402" s="391"/>
    </row>
    <row r="403" spans="1:41" s="201" customFormat="1" ht="12.75" hidden="1">
      <c r="A403" s="252" t="s">
        <v>360</v>
      </c>
      <c r="B403" s="250" t="s">
        <v>392</v>
      </c>
      <c r="C403" s="251"/>
      <c r="D403" s="252">
        <v>218335</v>
      </c>
      <c r="E403" s="252">
        <v>15</v>
      </c>
      <c r="F403" s="390">
        <v>14318</v>
      </c>
      <c r="G403" s="391">
        <v>14318</v>
      </c>
      <c r="H403" s="390">
        <v>19425</v>
      </c>
      <c r="I403" s="391">
        <v>20302</v>
      </c>
      <c r="J403" s="390">
        <v>15066</v>
      </c>
      <c r="K403" s="391">
        <v>16761</v>
      </c>
      <c r="L403" s="390">
        <v>20618</v>
      </c>
      <c r="M403" s="391">
        <v>22694</v>
      </c>
      <c r="N403" s="390"/>
      <c r="O403" s="391"/>
      <c r="P403" s="390"/>
      <c r="Q403" s="391"/>
      <c r="R403" s="390">
        <v>35422</v>
      </c>
      <c r="S403" s="391">
        <v>37029</v>
      </c>
      <c r="T403" s="390">
        <v>61869</v>
      </c>
      <c r="U403" s="391">
        <v>64704</v>
      </c>
      <c r="V403" s="390">
        <v>34300</v>
      </c>
      <c r="W403" s="391">
        <v>34300</v>
      </c>
      <c r="X403" s="390">
        <v>60000</v>
      </c>
      <c r="Y403" s="391">
        <v>60000</v>
      </c>
      <c r="Z403" s="390">
        <v>28808</v>
      </c>
      <c r="AA403" s="391">
        <v>29321</v>
      </c>
      <c r="AB403" s="390">
        <v>41985</v>
      </c>
      <c r="AC403" s="391">
        <v>42325</v>
      </c>
      <c r="AD403" s="390"/>
      <c r="AE403" s="391"/>
      <c r="AF403" s="390"/>
      <c r="AG403" s="391"/>
      <c r="AH403" s="390"/>
      <c r="AI403" s="391"/>
      <c r="AJ403" s="390"/>
      <c r="AK403" s="391"/>
      <c r="AL403" s="390"/>
      <c r="AM403" s="391"/>
      <c r="AN403" s="390"/>
      <c r="AO403" s="391"/>
    </row>
    <row r="404" spans="1:41" s="201" customFormat="1" ht="12.75" hidden="1">
      <c r="A404" s="225" t="s">
        <v>393</v>
      </c>
      <c r="B404" s="226" t="s">
        <v>394</v>
      </c>
      <c r="C404" s="227"/>
      <c r="D404" s="225">
        <v>220862</v>
      </c>
      <c r="E404" s="225">
        <v>1</v>
      </c>
      <c r="F404" s="390">
        <v>9936</v>
      </c>
      <c r="G404" s="391">
        <v>9936</v>
      </c>
      <c r="H404" s="390">
        <v>14712</v>
      </c>
      <c r="I404" s="391">
        <v>16794</v>
      </c>
      <c r="J404" s="390">
        <v>11940</v>
      </c>
      <c r="K404" s="391">
        <v>11940</v>
      </c>
      <c r="L404" s="390">
        <v>19160</v>
      </c>
      <c r="M404" s="391">
        <v>18596</v>
      </c>
      <c r="N404" s="390">
        <v>19098</v>
      </c>
      <c r="O404" s="391">
        <v>17496</v>
      </c>
      <c r="P404" s="390">
        <v>23888</v>
      </c>
      <c r="Q404" s="391">
        <v>23848</v>
      </c>
      <c r="R404" s="390"/>
      <c r="S404" s="391"/>
      <c r="T404" s="390"/>
      <c r="U404" s="391"/>
      <c r="V404" s="390"/>
      <c r="W404" s="391"/>
      <c r="X404" s="390"/>
      <c r="Y404" s="391"/>
      <c r="Z404" s="390"/>
      <c r="AA404" s="391"/>
      <c r="AB404" s="390"/>
      <c r="AC404" s="391"/>
      <c r="AD404" s="390"/>
      <c r="AE404" s="391"/>
      <c r="AF404" s="390"/>
      <c r="AG404" s="391"/>
      <c r="AH404" s="390"/>
      <c r="AI404" s="391"/>
      <c r="AJ404" s="390"/>
      <c r="AK404" s="391"/>
      <c r="AL404" s="390"/>
      <c r="AM404" s="391"/>
      <c r="AN404" s="390"/>
      <c r="AO404" s="391"/>
    </row>
    <row r="405" spans="1:41" s="201" customFormat="1" ht="12.75" hidden="1">
      <c r="A405" s="225" t="s">
        <v>393</v>
      </c>
      <c r="B405" s="226" t="s">
        <v>395</v>
      </c>
      <c r="C405" s="228"/>
      <c r="D405" s="225">
        <v>221759</v>
      </c>
      <c r="E405" s="225">
        <v>1</v>
      </c>
      <c r="F405" s="390">
        <v>13264</v>
      </c>
      <c r="G405" s="391">
        <v>13264</v>
      </c>
      <c r="H405" s="390">
        <v>31684</v>
      </c>
      <c r="I405" s="391">
        <v>31684</v>
      </c>
      <c r="J405" s="390">
        <v>13380</v>
      </c>
      <c r="K405" s="391">
        <v>13380</v>
      </c>
      <c r="L405" s="390">
        <v>31798</v>
      </c>
      <c r="M405" s="391">
        <v>31798</v>
      </c>
      <c r="N405" s="390">
        <v>20168</v>
      </c>
      <c r="O405" s="391">
        <v>20168</v>
      </c>
      <c r="P405" s="390">
        <v>38842</v>
      </c>
      <c r="Q405" s="391">
        <v>38842</v>
      </c>
      <c r="R405" s="390"/>
      <c r="S405" s="391"/>
      <c r="T405" s="390"/>
      <c r="U405" s="391"/>
      <c r="V405" s="390"/>
      <c r="W405" s="391"/>
      <c r="X405" s="390"/>
      <c r="Y405" s="391"/>
      <c r="Z405" s="390"/>
      <c r="AA405" s="391"/>
      <c r="AB405" s="390"/>
      <c r="AC405" s="391"/>
      <c r="AD405" s="390"/>
      <c r="AE405" s="391"/>
      <c r="AF405" s="390"/>
      <c r="AG405" s="391"/>
      <c r="AH405" s="390"/>
      <c r="AI405" s="391"/>
      <c r="AJ405" s="390"/>
      <c r="AK405" s="391"/>
      <c r="AL405" s="390">
        <v>29336</v>
      </c>
      <c r="AM405" s="391">
        <v>29336</v>
      </c>
      <c r="AN405" s="390">
        <v>56602</v>
      </c>
      <c r="AO405" s="391">
        <v>56602</v>
      </c>
    </row>
    <row r="406" spans="1:41" s="201" customFormat="1" ht="12.75" hidden="1">
      <c r="A406" s="225" t="s">
        <v>393</v>
      </c>
      <c r="B406" s="226" t="s">
        <v>396</v>
      </c>
      <c r="C406" s="227"/>
      <c r="D406" s="225">
        <v>220075</v>
      </c>
      <c r="E406" s="225">
        <v>2</v>
      </c>
      <c r="F406" s="390">
        <v>9491</v>
      </c>
      <c r="G406" s="391">
        <v>9491</v>
      </c>
      <c r="H406" s="390">
        <v>28673</v>
      </c>
      <c r="I406" s="391">
        <v>28673</v>
      </c>
      <c r="J406" s="390">
        <v>11903</v>
      </c>
      <c r="K406" s="391">
        <v>11903</v>
      </c>
      <c r="L406" s="390">
        <v>27023</v>
      </c>
      <c r="M406" s="391">
        <v>27023</v>
      </c>
      <c r="N406" s="390"/>
      <c r="O406" s="391"/>
      <c r="P406" s="390"/>
      <c r="Q406" s="391"/>
      <c r="R406" s="390">
        <v>34979</v>
      </c>
      <c r="S406" s="391">
        <v>34979</v>
      </c>
      <c r="T406" s="390">
        <v>69066</v>
      </c>
      <c r="U406" s="391">
        <v>44829</v>
      </c>
      <c r="V406" s="390"/>
      <c r="W406" s="391"/>
      <c r="X406" s="390"/>
      <c r="Y406" s="391"/>
      <c r="Z406" s="390">
        <v>39586</v>
      </c>
      <c r="AA406" s="391">
        <v>39586</v>
      </c>
      <c r="AB406" s="393">
        <v>39586</v>
      </c>
      <c r="AC406" s="391">
        <v>39586</v>
      </c>
      <c r="AD406" s="390"/>
      <c r="AE406" s="391"/>
      <c r="AF406" s="390"/>
      <c r="AG406" s="391"/>
      <c r="AH406" s="390"/>
      <c r="AI406" s="391"/>
      <c r="AJ406" s="390"/>
      <c r="AK406" s="391"/>
      <c r="AL406" s="390"/>
      <c r="AM406" s="391"/>
      <c r="AN406" s="390"/>
      <c r="AO406" s="391"/>
    </row>
    <row r="407" spans="1:41" s="179" customFormat="1" ht="15" hidden="1" customHeight="1">
      <c r="A407" s="225" t="s">
        <v>393</v>
      </c>
      <c r="B407" s="226" t="s">
        <v>399</v>
      </c>
      <c r="C407" s="276"/>
      <c r="D407" s="225">
        <v>220978</v>
      </c>
      <c r="E407" s="225">
        <v>2</v>
      </c>
      <c r="F407" s="390">
        <v>9424</v>
      </c>
      <c r="G407" s="391">
        <v>9424</v>
      </c>
      <c r="H407" s="390">
        <v>29038</v>
      </c>
      <c r="I407" s="391">
        <v>29038</v>
      </c>
      <c r="J407" s="390">
        <v>12206</v>
      </c>
      <c r="K407" s="391">
        <v>12206</v>
      </c>
      <c r="L407" s="390">
        <v>30486</v>
      </c>
      <c r="M407" s="391">
        <v>30486</v>
      </c>
      <c r="N407" s="390"/>
      <c r="O407" s="391"/>
      <c r="P407" s="390"/>
      <c r="Q407" s="391"/>
      <c r="R407" s="390"/>
      <c r="S407" s="391"/>
      <c r="T407" s="390"/>
      <c r="U407" s="391"/>
      <c r="V407" s="390"/>
      <c r="W407" s="391"/>
      <c r="X407" s="390"/>
      <c r="Y407" s="391"/>
      <c r="Z407" s="390"/>
      <c r="AA407" s="391"/>
      <c r="AB407" s="390"/>
      <c r="AC407" s="391"/>
      <c r="AD407" s="390"/>
      <c r="AE407" s="391"/>
      <c r="AF407" s="390"/>
      <c r="AG407" s="391"/>
      <c r="AH407" s="390"/>
      <c r="AI407" s="391"/>
      <c r="AJ407" s="390"/>
      <c r="AK407" s="391"/>
      <c r="AL407" s="390"/>
      <c r="AM407" s="391"/>
      <c r="AN407" s="390"/>
      <c r="AO407" s="391"/>
    </row>
    <row r="408" spans="1:41" s="201" customFormat="1" ht="12.75" hidden="1">
      <c r="A408" s="225" t="s">
        <v>393</v>
      </c>
      <c r="B408" s="226" t="s">
        <v>397</v>
      </c>
      <c r="C408" s="227"/>
      <c r="D408" s="225">
        <v>221838</v>
      </c>
      <c r="E408" s="225">
        <v>2</v>
      </c>
      <c r="F408" s="390">
        <v>8183</v>
      </c>
      <c r="G408" s="391">
        <v>8183</v>
      </c>
      <c r="H408" s="390">
        <v>21539</v>
      </c>
      <c r="I408" s="391">
        <v>21539</v>
      </c>
      <c r="J408" s="390">
        <v>10537</v>
      </c>
      <c r="K408" s="391">
        <v>10537</v>
      </c>
      <c r="L408" s="390">
        <v>22641</v>
      </c>
      <c r="M408" s="391">
        <v>22641</v>
      </c>
      <c r="N408" s="390"/>
      <c r="O408" s="391"/>
      <c r="P408" s="390"/>
      <c r="Q408" s="391"/>
      <c r="R408" s="390"/>
      <c r="S408" s="391"/>
      <c r="T408" s="390"/>
      <c r="U408" s="391"/>
      <c r="V408" s="390"/>
      <c r="W408" s="391"/>
      <c r="X408" s="390"/>
      <c r="Y408" s="391"/>
      <c r="Z408" s="390"/>
      <c r="AA408" s="391"/>
      <c r="AB408" s="390"/>
      <c r="AC408" s="391"/>
      <c r="AD408" s="390"/>
      <c r="AE408" s="391"/>
      <c r="AF408" s="390"/>
      <c r="AG408" s="391"/>
      <c r="AH408" s="390"/>
      <c r="AI408" s="391"/>
      <c r="AJ408" s="390"/>
      <c r="AK408" s="391"/>
      <c r="AL408" s="390"/>
      <c r="AM408" s="391"/>
      <c r="AN408" s="390"/>
      <c r="AO408" s="391"/>
    </row>
    <row r="409" spans="1:41" s="201" customFormat="1" ht="12.75" hidden="1">
      <c r="A409" s="225" t="s">
        <v>393</v>
      </c>
      <c r="B409" s="226" t="s">
        <v>398</v>
      </c>
      <c r="C409" s="228"/>
      <c r="D409" s="225">
        <v>219602</v>
      </c>
      <c r="E409" s="225">
        <v>3</v>
      </c>
      <c r="F409" s="390">
        <v>8627</v>
      </c>
      <c r="G409" s="391">
        <v>8627</v>
      </c>
      <c r="H409" s="390">
        <v>14171</v>
      </c>
      <c r="I409" s="391">
        <v>14171</v>
      </c>
      <c r="J409" s="390">
        <v>10931</v>
      </c>
      <c r="K409" s="391">
        <v>10931</v>
      </c>
      <c r="L409" s="390">
        <v>16471</v>
      </c>
      <c r="M409" s="391">
        <v>16471</v>
      </c>
      <c r="N409" s="390"/>
      <c r="O409" s="391"/>
      <c r="P409" s="390"/>
      <c r="Q409" s="391"/>
      <c r="R409" s="390"/>
      <c r="S409" s="391"/>
      <c r="T409" s="390"/>
      <c r="U409" s="391"/>
      <c r="V409" s="390"/>
      <c r="W409" s="391"/>
      <c r="X409" s="390"/>
      <c r="Y409" s="391"/>
      <c r="Z409" s="390"/>
      <c r="AA409" s="391"/>
      <c r="AB409" s="390"/>
      <c r="AC409" s="391"/>
      <c r="AD409" s="390"/>
      <c r="AE409" s="391"/>
      <c r="AF409" s="390"/>
      <c r="AG409" s="391"/>
      <c r="AH409" s="390"/>
      <c r="AI409" s="391"/>
      <c r="AJ409" s="390"/>
      <c r="AK409" s="391"/>
      <c r="AL409" s="390"/>
      <c r="AM409" s="391"/>
      <c r="AN409" s="390"/>
      <c r="AO409" s="391"/>
    </row>
    <row r="410" spans="1:41" s="179" customFormat="1" ht="15" hidden="1" customHeight="1">
      <c r="A410" s="225" t="s">
        <v>393</v>
      </c>
      <c r="B410" s="226" t="s">
        <v>400</v>
      </c>
      <c r="C410" s="277"/>
      <c r="D410" s="225">
        <v>221847</v>
      </c>
      <c r="E410" s="225">
        <v>3</v>
      </c>
      <c r="F410" s="390">
        <v>9318</v>
      </c>
      <c r="G410" s="391">
        <v>10338</v>
      </c>
      <c r="H410" s="390">
        <v>25974</v>
      </c>
      <c r="I410" s="391">
        <v>14538</v>
      </c>
      <c r="J410" s="390">
        <v>11966</v>
      </c>
      <c r="K410" s="391">
        <v>11966</v>
      </c>
      <c r="L410" s="390">
        <v>27066</v>
      </c>
      <c r="M410" s="391">
        <v>15326</v>
      </c>
      <c r="N410" s="390"/>
      <c r="O410" s="391"/>
      <c r="P410" s="390"/>
      <c r="Q410" s="391"/>
      <c r="R410" s="390"/>
      <c r="S410" s="391"/>
      <c r="T410" s="390"/>
      <c r="U410" s="391"/>
      <c r="V410" s="390"/>
      <c r="W410" s="391"/>
      <c r="X410" s="390"/>
      <c r="Y410" s="391"/>
      <c r="Z410" s="390"/>
      <c r="AA410" s="391"/>
      <c r="AB410" s="390"/>
      <c r="AC410" s="391"/>
      <c r="AD410" s="390"/>
      <c r="AE410" s="391"/>
      <c r="AF410" s="390"/>
      <c r="AG410" s="391"/>
      <c r="AH410" s="390"/>
      <c r="AI410" s="391"/>
      <c r="AJ410" s="390"/>
      <c r="AK410" s="391"/>
      <c r="AL410" s="390"/>
      <c r="AM410" s="391"/>
      <c r="AN410" s="390"/>
      <c r="AO410" s="391"/>
    </row>
    <row r="411" spans="1:41" s="179" customFormat="1" ht="15" hidden="1" customHeight="1">
      <c r="A411" s="225" t="s">
        <v>393</v>
      </c>
      <c r="B411" s="226" t="s">
        <v>401</v>
      </c>
      <c r="C411" s="277"/>
      <c r="D411" s="225">
        <v>221740</v>
      </c>
      <c r="E411" s="225">
        <v>3</v>
      </c>
      <c r="F411" s="390">
        <v>9656</v>
      </c>
      <c r="G411" s="391">
        <v>9656</v>
      </c>
      <c r="H411" s="390">
        <v>25774</v>
      </c>
      <c r="I411" s="391">
        <v>25774</v>
      </c>
      <c r="J411" s="390">
        <v>10270</v>
      </c>
      <c r="K411" s="391">
        <v>10270</v>
      </c>
      <c r="L411" s="390">
        <v>18334</v>
      </c>
      <c r="M411" s="391">
        <v>18334</v>
      </c>
      <c r="N411" s="390"/>
      <c r="O411" s="391"/>
      <c r="P411" s="390"/>
      <c r="Q411" s="391"/>
      <c r="R411" s="390"/>
      <c r="S411" s="391"/>
      <c r="T411" s="390"/>
      <c r="U411" s="391"/>
      <c r="V411" s="390"/>
      <c r="W411" s="391"/>
      <c r="X411" s="390"/>
      <c r="Y411" s="391"/>
      <c r="Z411" s="390"/>
      <c r="AA411" s="391"/>
      <c r="AB411" s="390"/>
      <c r="AC411" s="391"/>
      <c r="AD411" s="390"/>
      <c r="AE411" s="391"/>
      <c r="AF411" s="390"/>
      <c r="AG411" s="391"/>
      <c r="AH411" s="390"/>
      <c r="AI411" s="391"/>
      <c r="AJ411" s="390"/>
      <c r="AK411" s="391"/>
      <c r="AL411" s="390"/>
      <c r="AM411" s="391"/>
      <c r="AN411" s="390"/>
      <c r="AO411" s="391"/>
    </row>
    <row r="412" spans="1:41" s="179" customFormat="1" ht="15" hidden="1" customHeight="1">
      <c r="A412" s="225" t="s">
        <v>393</v>
      </c>
      <c r="B412" s="226" t="s">
        <v>402</v>
      </c>
      <c r="C412" s="363" t="s">
        <v>894</v>
      </c>
      <c r="D412" s="364">
        <v>221768</v>
      </c>
      <c r="E412" s="365">
        <v>4</v>
      </c>
      <c r="F412" s="390">
        <v>9748</v>
      </c>
      <c r="G412" s="391">
        <v>9748</v>
      </c>
      <c r="H412" s="390">
        <v>15788</v>
      </c>
      <c r="I412" s="391">
        <v>15788</v>
      </c>
      <c r="J412" s="390">
        <v>10616</v>
      </c>
      <c r="K412" s="391">
        <v>10616</v>
      </c>
      <c r="L412" s="390">
        <v>16656</v>
      </c>
      <c r="M412" s="391">
        <v>16656</v>
      </c>
      <c r="N412" s="390"/>
      <c r="O412" s="391"/>
      <c r="P412" s="390"/>
      <c r="Q412" s="391"/>
      <c r="R412" s="390"/>
      <c r="S412" s="391"/>
      <c r="T412" s="390"/>
      <c r="U412" s="391"/>
      <c r="V412" s="390"/>
      <c r="W412" s="391"/>
      <c r="X412" s="390"/>
      <c r="Y412" s="391"/>
      <c r="Z412" s="390"/>
      <c r="AA412" s="391"/>
      <c r="AB412" s="390"/>
      <c r="AC412" s="391"/>
      <c r="AD412" s="390"/>
      <c r="AE412" s="391"/>
      <c r="AF412" s="390"/>
      <c r="AG412" s="391"/>
      <c r="AH412" s="390"/>
      <c r="AI412" s="391"/>
      <c r="AJ412" s="390"/>
      <c r="AK412" s="391"/>
      <c r="AL412" s="390"/>
      <c r="AM412" s="391"/>
      <c r="AN412" s="390"/>
      <c r="AO412" s="391"/>
    </row>
    <row r="413" spans="1:41" s="179" customFormat="1" ht="15" hidden="1" customHeight="1">
      <c r="A413" s="225" t="s">
        <v>393</v>
      </c>
      <c r="B413" s="226" t="s">
        <v>403</v>
      </c>
      <c r="C413" s="277"/>
      <c r="D413" s="225">
        <v>219824</v>
      </c>
      <c r="E413" s="225">
        <v>8</v>
      </c>
      <c r="F413" s="390">
        <v>4568</v>
      </c>
      <c r="G413" s="391">
        <v>4568</v>
      </c>
      <c r="H413" s="390">
        <v>22016</v>
      </c>
      <c r="I413" s="391">
        <v>22016</v>
      </c>
      <c r="J413" s="390"/>
      <c r="K413" s="391"/>
      <c r="L413" s="390"/>
      <c r="M413" s="391"/>
      <c r="N413" s="390"/>
      <c r="O413" s="391"/>
      <c r="P413" s="390"/>
      <c r="Q413" s="391"/>
      <c r="R413" s="390"/>
      <c r="S413" s="391"/>
      <c r="T413" s="390"/>
      <c r="U413" s="391"/>
      <c r="V413" s="390"/>
      <c r="W413" s="391"/>
      <c r="X413" s="390"/>
      <c r="Y413" s="391"/>
      <c r="Z413" s="390"/>
      <c r="AA413" s="391"/>
      <c r="AB413" s="390"/>
      <c r="AC413" s="391"/>
      <c r="AD413" s="390"/>
      <c r="AE413" s="391"/>
      <c r="AF413" s="390"/>
      <c r="AG413" s="391"/>
      <c r="AH413" s="390"/>
      <c r="AI413" s="391"/>
      <c r="AJ413" s="390"/>
      <c r="AK413" s="391"/>
      <c r="AL413" s="390"/>
      <c r="AM413" s="391"/>
      <c r="AN413" s="390"/>
      <c r="AO413" s="391"/>
    </row>
    <row r="414" spans="1:41" s="179" customFormat="1" ht="15" hidden="1" customHeight="1">
      <c r="A414" s="225" t="s">
        <v>393</v>
      </c>
      <c r="B414" s="226" t="s">
        <v>404</v>
      </c>
      <c r="C414" s="277"/>
      <c r="D414" s="225">
        <v>221184</v>
      </c>
      <c r="E414" s="225">
        <v>8</v>
      </c>
      <c r="F414" s="390">
        <v>4504</v>
      </c>
      <c r="G414" s="391">
        <v>4504</v>
      </c>
      <c r="H414" s="390">
        <v>21952</v>
      </c>
      <c r="I414" s="391">
        <v>21952</v>
      </c>
      <c r="J414" s="390"/>
      <c r="K414" s="391"/>
      <c r="L414" s="390"/>
      <c r="M414" s="391"/>
      <c r="N414" s="390"/>
      <c r="O414" s="391"/>
      <c r="P414" s="390"/>
      <c r="Q414" s="391"/>
      <c r="R414" s="390"/>
      <c r="S414" s="391"/>
      <c r="T414" s="390"/>
      <c r="U414" s="391"/>
      <c r="V414" s="390"/>
      <c r="W414" s="391"/>
      <c r="X414" s="390"/>
      <c r="Y414" s="391"/>
      <c r="Z414" s="390"/>
      <c r="AA414" s="391"/>
      <c r="AB414" s="390"/>
      <c r="AC414" s="391"/>
      <c r="AD414" s="390"/>
      <c r="AE414" s="391"/>
      <c r="AF414" s="390"/>
      <c r="AG414" s="391"/>
      <c r="AH414" s="390"/>
      <c r="AI414" s="391"/>
      <c r="AJ414" s="390"/>
      <c r="AK414" s="391"/>
      <c r="AL414" s="390"/>
      <c r="AM414" s="391"/>
      <c r="AN414" s="390"/>
      <c r="AO414" s="391"/>
    </row>
    <row r="415" spans="1:41" s="179" customFormat="1" ht="15" hidden="1" customHeight="1">
      <c r="A415" s="225" t="s">
        <v>393</v>
      </c>
      <c r="B415" s="226" t="s">
        <v>405</v>
      </c>
      <c r="C415" s="277"/>
      <c r="D415" s="225">
        <v>221643</v>
      </c>
      <c r="E415" s="225">
        <v>8</v>
      </c>
      <c r="F415" s="390">
        <v>4588</v>
      </c>
      <c r="G415" s="391">
        <v>4588</v>
      </c>
      <c r="H415" s="390">
        <v>22036</v>
      </c>
      <c r="I415" s="391">
        <v>22036</v>
      </c>
      <c r="J415" s="390"/>
      <c r="K415" s="391"/>
      <c r="L415" s="390"/>
      <c r="M415" s="391"/>
      <c r="N415" s="390"/>
      <c r="O415" s="391"/>
      <c r="P415" s="390"/>
      <c r="Q415" s="391"/>
      <c r="R415" s="390"/>
      <c r="S415" s="391"/>
      <c r="T415" s="390"/>
      <c r="U415" s="391"/>
      <c r="V415" s="390"/>
      <c r="W415" s="391"/>
      <c r="X415" s="390"/>
      <c r="Y415" s="391"/>
      <c r="Z415" s="390"/>
      <c r="AA415" s="391"/>
      <c r="AB415" s="390"/>
      <c r="AC415" s="391"/>
      <c r="AD415" s="390"/>
      <c r="AE415" s="391"/>
      <c r="AF415" s="390"/>
      <c r="AG415" s="391"/>
      <c r="AH415" s="390"/>
      <c r="AI415" s="391"/>
      <c r="AJ415" s="390"/>
      <c r="AK415" s="391"/>
      <c r="AL415" s="390"/>
      <c r="AM415" s="391"/>
      <c r="AN415" s="390"/>
      <c r="AO415" s="391"/>
    </row>
    <row r="416" spans="1:41" s="179" customFormat="1" ht="15" hidden="1" customHeight="1">
      <c r="A416" s="225" t="s">
        <v>393</v>
      </c>
      <c r="B416" s="226" t="s">
        <v>406</v>
      </c>
      <c r="C416" s="277"/>
      <c r="D416" s="225">
        <v>221485</v>
      </c>
      <c r="E416" s="225">
        <v>8</v>
      </c>
      <c r="F416" s="390">
        <v>4568</v>
      </c>
      <c r="G416" s="391">
        <v>4568</v>
      </c>
      <c r="H416" s="390">
        <v>22016</v>
      </c>
      <c r="I416" s="391">
        <v>22016</v>
      </c>
      <c r="J416" s="390"/>
      <c r="K416" s="391"/>
      <c r="L416" s="390"/>
      <c r="M416" s="391"/>
      <c r="N416" s="390"/>
      <c r="O416" s="391"/>
      <c r="P416" s="390"/>
      <c r="Q416" s="391"/>
      <c r="R416" s="390"/>
      <c r="S416" s="391"/>
      <c r="T416" s="390"/>
      <c r="U416" s="391"/>
      <c r="V416" s="390"/>
      <c r="W416" s="391"/>
      <c r="X416" s="390"/>
      <c r="Y416" s="391"/>
      <c r="Z416" s="390"/>
      <c r="AA416" s="391"/>
      <c r="AB416" s="390"/>
      <c r="AC416" s="391"/>
      <c r="AD416" s="390"/>
      <c r="AE416" s="391"/>
      <c r="AF416" s="390"/>
      <c r="AG416" s="391"/>
      <c r="AH416" s="390"/>
      <c r="AI416" s="391"/>
      <c r="AJ416" s="390"/>
      <c r="AK416" s="391"/>
      <c r="AL416" s="390"/>
      <c r="AM416" s="391"/>
      <c r="AN416" s="390"/>
      <c r="AO416" s="391"/>
    </row>
    <row r="417" spans="1:41" s="179" customFormat="1" ht="15" hidden="1" customHeight="1">
      <c r="A417" s="225" t="s">
        <v>393</v>
      </c>
      <c r="B417" s="226" t="s">
        <v>407</v>
      </c>
      <c r="C417" s="277"/>
      <c r="D417" s="225">
        <v>222053</v>
      </c>
      <c r="E417" s="225">
        <v>8</v>
      </c>
      <c r="F417" s="390">
        <v>4542</v>
      </c>
      <c r="G417" s="391">
        <v>4542</v>
      </c>
      <c r="H417" s="390">
        <v>21990</v>
      </c>
      <c r="I417" s="391">
        <v>21990</v>
      </c>
      <c r="J417" s="390"/>
      <c r="K417" s="391"/>
      <c r="L417" s="390"/>
      <c r="M417" s="391"/>
      <c r="N417" s="390"/>
      <c r="O417" s="391"/>
      <c r="P417" s="390"/>
      <c r="Q417" s="391"/>
      <c r="R417" s="390"/>
      <c r="S417" s="391"/>
      <c r="T417" s="390"/>
      <c r="U417" s="391"/>
      <c r="V417" s="390"/>
      <c r="W417" s="391"/>
      <c r="X417" s="390"/>
      <c r="Y417" s="391"/>
      <c r="Z417" s="390"/>
      <c r="AA417" s="391"/>
      <c r="AB417" s="390"/>
      <c r="AC417" s="391"/>
      <c r="AD417" s="390"/>
      <c r="AE417" s="391"/>
      <c r="AF417" s="390"/>
      <c r="AG417" s="391"/>
      <c r="AH417" s="390"/>
      <c r="AI417" s="391"/>
      <c r="AJ417" s="390"/>
      <c r="AK417" s="391"/>
      <c r="AL417" s="390"/>
      <c r="AM417" s="391"/>
      <c r="AN417" s="390"/>
      <c r="AO417" s="391"/>
    </row>
    <row r="418" spans="1:41" s="179" customFormat="1" ht="15" hidden="1" customHeight="1">
      <c r="A418" s="225" t="s">
        <v>393</v>
      </c>
      <c r="B418" s="226" t="s">
        <v>408</v>
      </c>
      <c r="C418" s="277"/>
      <c r="D418" s="225">
        <v>219879</v>
      </c>
      <c r="E418" s="225">
        <v>9</v>
      </c>
      <c r="F418" s="390">
        <v>4548</v>
      </c>
      <c r="G418" s="391">
        <v>4548</v>
      </c>
      <c r="H418" s="390">
        <v>21996</v>
      </c>
      <c r="I418" s="391">
        <v>21996</v>
      </c>
      <c r="J418" s="390"/>
      <c r="K418" s="391"/>
      <c r="L418" s="390"/>
      <c r="M418" s="391"/>
      <c r="N418" s="390"/>
      <c r="O418" s="391"/>
      <c r="P418" s="390"/>
      <c r="Q418" s="391"/>
      <c r="R418" s="390"/>
      <c r="S418" s="391"/>
      <c r="T418" s="390"/>
      <c r="U418" s="391"/>
      <c r="V418" s="390"/>
      <c r="W418" s="391"/>
      <c r="X418" s="390"/>
      <c r="Y418" s="391"/>
      <c r="Z418" s="390"/>
      <c r="AA418" s="391"/>
      <c r="AB418" s="390"/>
      <c r="AC418" s="391"/>
      <c r="AD418" s="390"/>
      <c r="AE418" s="391"/>
      <c r="AF418" s="390"/>
      <c r="AG418" s="391"/>
      <c r="AH418" s="390"/>
      <c r="AI418" s="391"/>
      <c r="AJ418" s="390"/>
      <c r="AK418" s="391"/>
      <c r="AL418" s="390"/>
      <c r="AM418" s="391"/>
      <c r="AN418" s="390"/>
      <c r="AO418" s="391"/>
    </row>
    <row r="419" spans="1:41" s="179" customFormat="1" ht="15" hidden="1" customHeight="1">
      <c r="A419" s="225" t="s">
        <v>393</v>
      </c>
      <c r="B419" s="226" t="s">
        <v>409</v>
      </c>
      <c r="C419" s="277"/>
      <c r="D419" s="225">
        <v>219888</v>
      </c>
      <c r="E419" s="225">
        <v>9</v>
      </c>
      <c r="F419" s="390">
        <v>4582</v>
      </c>
      <c r="G419" s="391">
        <v>4582</v>
      </c>
      <c r="H419" s="390">
        <v>22030</v>
      </c>
      <c r="I419" s="391">
        <v>22030</v>
      </c>
      <c r="J419" s="390"/>
      <c r="K419" s="391"/>
      <c r="L419" s="390"/>
      <c r="M419" s="391"/>
      <c r="N419" s="390"/>
      <c r="O419" s="391"/>
      <c r="P419" s="390"/>
      <c r="Q419" s="391"/>
      <c r="R419" s="390"/>
      <c r="S419" s="391"/>
      <c r="T419" s="390"/>
      <c r="U419" s="391"/>
      <c r="V419" s="390"/>
      <c r="W419" s="391"/>
      <c r="X419" s="390"/>
      <c r="Y419" s="391"/>
      <c r="Z419" s="390"/>
      <c r="AA419" s="391"/>
      <c r="AB419" s="390"/>
      <c r="AC419" s="391"/>
      <c r="AD419" s="390"/>
      <c r="AE419" s="391"/>
      <c r="AF419" s="390"/>
      <c r="AG419" s="391"/>
      <c r="AH419" s="390"/>
      <c r="AI419" s="391"/>
      <c r="AJ419" s="390"/>
      <c r="AK419" s="391"/>
      <c r="AL419" s="390"/>
      <c r="AM419" s="391"/>
      <c r="AN419" s="390"/>
      <c r="AO419" s="391"/>
    </row>
    <row r="420" spans="1:41" s="179" customFormat="1" ht="15" hidden="1" customHeight="1">
      <c r="A420" s="225" t="s">
        <v>393</v>
      </c>
      <c r="B420" s="226" t="s">
        <v>411</v>
      </c>
      <c r="C420" s="277"/>
      <c r="D420" s="225">
        <v>220400</v>
      </c>
      <c r="E420" s="225">
        <v>9</v>
      </c>
      <c r="F420" s="390">
        <v>4534</v>
      </c>
      <c r="G420" s="391">
        <v>4534</v>
      </c>
      <c r="H420" s="390">
        <v>21982</v>
      </c>
      <c r="I420" s="391">
        <v>21982</v>
      </c>
      <c r="J420" s="390"/>
      <c r="K420" s="391"/>
      <c r="L420" s="390"/>
      <c r="M420" s="391"/>
      <c r="N420" s="390"/>
      <c r="O420" s="391"/>
      <c r="P420" s="390"/>
      <c r="Q420" s="391"/>
      <c r="R420" s="390"/>
      <c r="S420" s="391"/>
      <c r="T420" s="390"/>
      <c r="U420" s="391"/>
      <c r="V420" s="390"/>
      <c r="W420" s="391"/>
      <c r="X420" s="390"/>
      <c r="Y420" s="391"/>
      <c r="Z420" s="390"/>
      <c r="AA420" s="391"/>
      <c r="AB420" s="390"/>
      <c r="AC420" s="391"/>
      <c r="AD420" s="390"/>
      <c r="AE420" s="391"/>
      <c r="AF420" s="390"/>
      <c r="AG420" s="391"/>
      <c r="AH420" s="390"/>
      <c r="AI420" s="391"/>
      <c r="AJ420" s="390"/>
      <c r="AK420" s="391"/>
      <c r="AL420" s="390"/>
      <c r="AM420" s="391"/>
      <c r="AN420" s="390"/>
      <c r="AO420" s="391"/>
    </row>
    <row r="421" spans="1:41" s="179" customFormat="1" ht="15" hidden="1" customHeight="1">
      <c r="A421" s="225" t="s">
        <v>393</v>
      </c>
      <c r="B421" s="226" t="s">
        <v>412</v>
      </c>
      <c r="C421" s="277"/>
      <c r="D421" s="225">
        <v>221096</v>
      </c>
      <c r="E421" s="225">
        <v>9</v>
      </c>
      <c r="F421" s="390">
        <v>4554</v>
      </c>
      <c r="G421" s="391">
        <v>4554</v>
      </c>
      <c r="H421" s="390">
        <v>22002</v>
      </c>
      <c r="I421" s="391">
        <v>22002</v>
      </c>
      <c r="J421" s="390"/>
      <c r="K421" s="391"/>
      <c r="L421" s="390"/>
      <c r="M421" s="391"/>
      <c r="N421" s="390"/>
      <c r="O421" s="391"/>
      <c r="P421" s="390"/>
      <c r="Q421" s="391"/>
      <c r="R421" s="390"/>
      <c r="S421" s="391"/>
      <c r="T421" s="390"/>
      <c r="U421" s="391"/>
      <c r="V421" s="390"/>
      <c r="W421" s="391"/>
      <c r="X421" s="390"/>
      <c r="Y421" s="391"/>
      <c r="Z421" s="390"/>
      <c r="AA421" s="391"/>
      <c r="AB421" s="390"/>
      <c r="AC421" s="391"/>
      <c r="AD421" s="390"/>
      <c r="AE421" s="391"/>
      <c r="AF421" s="390"/>
      <c r="AG421" s="391"/>
      <c r="AH421" s="390"/>
      <c r="AI421" s="391"/>
      <c r="AJ421" s="390"/>
      <c r="AK421" s="391"/>
      <c r="AL421" s="390"/>
      <c r="AM421" s="391"/>
      <c r="AN421" s="390"/>
      <c r="AO421" s="391"/>
    </row>
    <row r="422" spans="1:41" s="179" customFormat="1" ht="15" hidden="1" customHeight="1">
      <c r="A422" s="225" t="s">
        <v>393</v>
      </c>
      <c r="B422" s="226" t="s">
        <v>413</v>
      </c>
      <c r="C422" s="277"/>
      <c r="D422" s="225">
        <v>221908</v>
      </c>
      <c r="E422" s="225">
        <v>9</v>
      </c>
      <c r="F422" s="390">
        <v>4560</v>
      </c>
      <c r="G422" s="391">
        <v>4560</v>
      </c>
      <c r="H422" s="390">
        <v>22008</v>
      </c>
      <c r="I422" s="391">
        <v>22008</v>
      </c>
      <c r="J422" s="390"/>
      <c r="K422" s="391"/>
      <c r="L422" s="390"/>
      <c r="M422" s="391"/>
      <c r="N422" s="390"/>
      <c r="O422" s="391"/>
      <c r="P422" s="390"/>
      <c r="Q422" s="391"/>
      <c r="R422" s="390"/>
      <c r="S422" s="391"/>
      <c r="T422" s="390"/>
      <c r="U422" s="391"/>
      <c r="V422" s="390"/>
      <c r="W422" s="391"/>
      <c r="X422" s="390"/>
      <c r="Y422" s="391"/>
      <c r="Z422" s="390"/>
      <c r="AA422" s="391"/>
      <c r="AB422" s="390"/>
      <c r="AC422" s="391"/>
      <c r="AD422" s="390"/>
      <c r="AE422" s="391"/>
      <c r="AF422" s="390"/>
      <c r="AG422" s="391"/>
      <c r="AH422" s="390"/>
      <c r="AI422" s="391"/>
      <c r="AJ422" s="390"/>
      <c r="AK422" s="391"/>
      <c r="AL422" s="390"/>
      <c r="AM422" s="391"/>
      <c r="AN422" s="390"/>
      <c r="AO422" s="391"/>
    </row>
    <row r="423" spans="1:41" s="179" customFormat="1" ht="15" hidden="1" customHeight="1">
      <c r="A423" s="225" t="s">
        <v>393</v>
      </c>
      <c r="B423" s="226" t="s">
        <v>414</v>
      </c>
      <c r="C423" s="277"/>
      <c r="D423" s="225">
        <v>221397</v>
      </c>
      <c r="E423" s="225">
        <v>9</v>
      </c>
      <c r="F423" s="390">
        <v>4552</v>
      </c>
      <c r="G423" s="391">
        <v>4552</v>
      </c>
      <c r="H423" s="390">
        <v>22000</v>
      </c>
      <c r="I423" s="391">
        <v>22000</v>
      </c>
      <c r="J423" s="390"/>
      <c r="K423" s="391"/>
      <c r="L423" s="390"/>
      <c r="M423" s="391"/>
      <c r="N423" s="390"/>
      <c r="O423" s="391"/>
      <c r="P423" s="390"/>
      <c r="Q423" s="391"/>
      <c r="R423" s="390"/>
      <c r="S423" s="391"/>
      <c r="T423" s="390"/>
      <c r="U423" s="391"/>
      <c r="V423" s="390"/>
      <c r="W423" s="391"/>
      <c r="X423" s="390"/>
      <c r="Y423" s="391"/>
      <c r="Z423" s="390"/>
      <c r="AA423" s="391"/>
      <c r="AB423" s="390"/>
      <c r="AC423" s="391"/>
      <c r="AD423" s="390"/>
      <c r="AE423" s="391"/>
      <c r="AF423" s="390"/>
      <c r="AG423" s="391"/>
      <c r="AH423" s="390"/>
      <c r="AI423" s="391"/>
      <c r="AJ423" s="390"/>
      <c r="AK423" s="391"/>
      <c r="AL423" s="390"/>
      <c r="AM423" s="391"/>
      <c r="AN423" s="390"/>
      <c r="AO423" s="391"/>
    </row>
    <row r="424" spans="1:41" s="179" customFormat="1" ht="15" hidden="1" customHeight="1">
      <c r="A424" s="225" t="s">
        <v>393</v>
      </c>
      <c r="B424" s="226" t="s">
        <v>415</v>
      </c>
      <c r="C424" s="277"/>
      <c r="D424" s="225">
        <v>222062</v>
      </c>
      <c r="E424" s="225">
        <v>9</v>
      </c>
      <c r="F424" s="390">
        <v>4537</v>
      </c>
      <c r="G424" s="391">
        <v>4537</v>
      </c>
      <c r="H424" s="390">
        <v>21985</v>
      </c>
      <c r="I424" s="391">
        <v>21985</v>
      </c>
      <c r="J424" s="390"/>
      <c r="K424" s="391"/>
      <c r="L424" s="390"/>
      <c r="M424" s="391"/>
      <c r="N424" s="390"/>
      <c r="O424" s="391"/>
      <c r="P424" s="390"/>
      <c r="Q424" s="391"/>
      <c r="R424" s="390"/>
      <c r="S424" s="391"/>
      <c r="T424" s="390"/>
      <c r="U424" s="391"/>
      <c r="V424" s="390"/>
      <c r="W424" s="391"/>
      <c r="X424" s="390"/>
      <c r="Y424" s="391"/>
      <c r="Z424" s="390"/>
      <c r="AA424" s="391"/>
      <c r="AB424" s="390"/>
      <c r="AC424" s="391"/>
      <c r="AD424" s="390"/>
      <c r="AE424" s="391"/>
      <c r="AF424" s="390"/>
      <c r="AG424" s="391"/>
      <c r="AH424" s="390"/>
      <c r="AI424" s="391"/>
      <c r="AJ424" s="390"/>
      <c r="AK424" s="391"/>
      <c r="AL424" s="390"/>
      <c r="AM424" s="391"/>
      <c r="AN424" s="390"/>
      <c r="AO424" s="391"/>
    </row>
    <row r="425" spans="1:41" s="179" customFormat="1" ht="15" hidden="1" customHeight="1">
      <c r="A425" s="225" t="s">
        <v>393</v>
      </c>
      <c r="B425" s="226" t="s">
        <v>410</v>
      </c>
      <c r="C425" s="276"/>
      <c r="D425" s="225">
        <v>220057</v>
      </c>
      <c r="E425" s="225">
        <v>10</v>
      </c>
      <c r="F425" s="390">
        <v>4548</v>
      </c>
      <c r="G425" s="391">
        <v>4548</v>
      </c>
      <c r="H425" s="390">
        <v>21996</v>
      </c>
      <c r="I425" s="391">
        <v>21996</v>
      </c>
      <c r="J425" s="390"/>
      <c r="K425" s="391"/>
      <c r="L425" s="390"/>
      <c r="M425" s="391"/>
      <c r="N425" s="390"/>
      <c r="O425" s="391"/>
      <c r="P425" s="390"/>
      <c r="Q425" s="391"/>
      <c r="R425" s="390"/>
      <c r="S425" s="391"/>
      <c r="T425" s="390"/>
      <c r="U425" s="391"/>
      <c r="V425" s="390"/>
      <c r="W425" s="391"/>
      <c r="X425" s="390"/>
      <c r="Y425" s="391"/>
      <c r="Z425" s="390"/>
      <c r="AA425" s="391"/>
      <c r="AB425" s="390"/>
      <c r="AC425" s="391"/>
      <c r="AD425" s="390"/>
      <c r="AE425" s="391"/>
      <c r="AF425" s="390"/>
      <c r="AG425" s="391"/>
      <c r="AH425" s="390"/>
      <c r="AI425" s="391"/>
      <c r="AJ425" s="390"/>
      <c r="AK425" s="391"/>
      <c r="AL425" s="390"/>
      <c r="AM425" s="391"/>
      <c r="AN425" s="390"/>
      <c r="AO425" s="391"/>
    </row>
    <row r="426" spans="1:41" s="201" customFormat="1" ht="12.75" hidden="1">
      <c r="A426" s="225" t="s">
        <v>393</v>
      </c>
      <c r="B426" s="226" t="s">
        <v>418</v>
      </c>
      <c r="C426" s="278"/>
      <c r="D426" s="225">
        <v>219596</v>
      </c>
      <c r="E426" s="225">
        <v>13</v>
      </c>
      <c r="F426" s="390">
        <v>3936</v>
      </c>
      <c r="G426" s="391">
        <v>3936</v>
      </c>
      <c r="H426" s="390"/>
      <c r="I426" s="391"/>
      <c r="J426" s="390"/>
      <c r="K426" s="391"/>
      <c r="L426" s="390"/>
      <c r="M426" s="391"/>
      <c r="N426" s="390"/>
      <c r="O426" s="391"/>
      <c r="P426" s="390"/>
      <c r="Q426" s="391"/>
      <c r="R426" s="390"/>
      <c r="S426" s="391"/>
      <c r="T426" s="390"/>
      <c r="U426" s="391"/>
      <c r="V426" s="390"/>
      <c r="W426" s="391"/>
      <c r="X426" s="390"/>
      <c r="Y426" s="391"/>
      <c r="Z426" s="390"/>
      <c r="AA426" s="391"/>
      <c r="AB426" s="390"/>
      <c r="AC426" s="391"/>
      <c r="AD426" s="390"/>
      <c r="AE426" s="391"/>
      <c r="AF426" s="390"/>
      <c r="AG426" s="391"/>
      <c r="AH426" s="390"/>
      <c r="AI426" s="391"/>
      <c r="AJ426" s="390"/>
      <c r="AK426" s="391"/>
      <c r="AL426" s="390"/>
      <c r="AM426" s="391"/>
      <c r="AN426" s="390"/>
      <c r="AO426" s="391"/>
    </row>
    <row r="427" spans="1:41" s="179" customFormat="1" ht="15" hidden="1" customHeight="1">
      <c r="A427" s="225" t="s">
        <v>393</v>
      </c>
      <c r="B427" s="226" t="s">
        <v>416</v>
      </c>
      <c r="C427" s="366"/>
      <c r="D427" s="225" t="s">
        <v>417</v>
      </c>
      <c r="E427" s="225">
        <v>13</v>
      </c>
      <c r="F427" s="390">
        <v>3936</v>
      </c>
      <c r="G427" s="391">
        <v>3936</v>
      </c>
      <c r="H427" s="390"/>
      <c r="I427" s="391"/>
      <c r="J427" s="390"/>
      <c r="K427" s="391"/>
      <c r="L427" s="390"/>
      <c r="M427" s="391"/>
      <c r="N427" s="390"/>
      <c r="O427" s="391"/>
      <c r="P427" s="390"/>
      <c r="Q427" s="391"/>
      <c r="R427" s="390"/>
      <c r="S427" s="391"/>
      <c r="T427" s="390"/>
      <c r="U427" s="391"/>
      <c r="V427" s="390"/>
      <c r="W427" s="391"/>
      <c r="X427" s="390"/>
      <c r="Y427" s="391"/>
      <c r="Z427" s="390"/>
      <c r="AA427" s="391"/>
      <c r="AB427" s="390"/>
      <c r="AC427" s="391"/>
      <c r="AD427" s="390"/>
      <c r="AE427" s="391"/>
      <c r="AF427" s="390"/>
      <c r="AG427" s="391"/>
      <c r="AH427" s="390"/>
      <c r="AI427" s="391"/>
      <c r="AJ427" s="390"/>
      <c r="AK427" s="391"/>
      <c r="AL427" s="390"/>
      <c r="AM427" s="391"/>
      <c r="AN427" s="390"/>
      <c r="AO427" s="391"/>
    </row>
    <row r="428" spans="1:41" s="201" customFormat="1" ht="12.75" hidden="1">
      <c r="A428" s="225" t="s">
        <v>393</v>
      </c>
      <c r="B428" s="226" t="s">
        <v>419</v>
      </c>
      <c r="C428" s="278"/>
      <c r="D428" s="225">
        <v>219921</v>
      </c>
      <c r="E428" s="225">
        <v>13</v>
      </c>
      <c r="F428" s="390">
        <v>3936</v>
      </c>
      <c r="G428" s="391">
        <v>3936</v>
      </c>
      <c r="H428" s="390"/>
      <c r="I428" s="391"/>
      <c r="J428" s="390"/>
      <c r="K428" s="391"/>
      <c r="L428" s="390"/>
      <c r="M428" s="391"/>
      <c r="N428" s="390"/>
      <c r="O428" s="391"/>
      <c r="P428" s="390"/>
      <c r="Q428" s="391"/>
      <c r="R428" s="390"/>
      <c r="S428" s="391"/>
      <c r="T428" s="390"/>
      <c r="U428" s="391"/>
      <c r="V428" s="390"/>
      <c r="W428" s="391"/>
      <c r="X428" s="390"/>
      <c r="Y428" s="391"/>
      <c r="Z428" s="390"/>
      <c r="AA428" s="391"/>
      <c r="AB428" s="390"/>
      <c r="AC428" s="391"/>
      <c r="AD428" s="390"/>
      <c r="AE428" s="391"/>
      <c r="AF428" s="390"/>
      <c r="AG428" s="391"/>
      <c r="AH428" s="390"/>
      <c r="AI428" s="391"/>
      <c r="AJ428" s="390"/>
      <c r="AK428" s="391"/>
      <c r="AL428" s="390"/>
      <c r="AM428" s="391"/>
      <c r="AN428" s="390"/>
      <c r="AO428" s="391"/>
    </row>
    <row r="429" spans="1:41" s="201" customFormat="1" ht="12.75" hidden="1">
      <c r="A429" s="225" t="s">
        <v>393</v>
      </c>
      <c r="B429" s="226" t="s">
        <v>420</v>
      </c>
      <c r="C429" s="278"/>
      <c r="D429" s="225">
        <v>221591</v>
      </c>
      <c r="E429" s="225">
        <v>13</v>
      </c>
      <c r="F429" s="390">
        <v>3936</v>
      </c>
      <c r="G429" s="391">
        <v>3936</v>
      </c>
      <c r="H429" s="390"/>
      <c r="I429" s="391"/>
      <c r="J429" s="390"/>
      <c r="K429" s="391"/>
      <c r="L429" s="390"/>
      <c r="M429" s="391"/>
      <c r="N429" s="390"/>
      <c r="O429" s="391"/>
      <c r="P429" s="390"/>
      <c r="Q429" s="391"/>
      <c r="R429" s="390"/>
      <c r="S429" s="391"/>
      <c r="T429" s="390"/>
      <c r="U429" s="391"/>
      <c r="V429" s="390"/>
      <c r="W429" s="391"/>
      <c r="X429" s="390"/>
      <c r="Y429" s="391"/>
      <c r="Z429" s="390"/>
      <c r="AA429" s="391"/>
      <c r="AB429" s="390"/>
      <c r="AC429" s="391"/>
      <c r="AD429" s="390"/>
      <c r="AE429" s="391"/>
      <c r="AF429" s="390"/>
      <c r="AG429" s="391"/>
      <c r="AH429" s="390"/>
      <c r="AI429" s="391"/>
      <c r="AJ429" s="390"/>
      <c r="AK429" s="391"/>
      <c r="AL429" s="390"/>
      <c r="AM429" s="391"/>
      <c r="AN429" s="390"/>
      <c r="AO429" s="391"/>
    </row>
    <row r="430" spans="1:41" s="201" customFormat="1" ht="12.75" hidden="1">
      <c r="A430" s="225" t="s">
        <v>393</v>
      </c>
      <c r="B430" s="226" t="s">
        <v>421</v>
      </c>
      <c r="C430" s="278"/>
      <c r="D430" s="225">
        <v>221430</v>
      </c>
      <c r="E430" s="225">
        <v>13</v>
      </c>
      <c r="F430" s="390">
        <v>3936</v>
      </c>
      <c r="G430" s="391">
        <v>3936</v>
      </c>
      <c r="H430" s="390"/>
      <c r="I430" s="391"/>
      <c r="J430" s="390"/>
      <c r="K430" s="391"/>
      <c r="L430" s="390"/>
      <c r="M430" s="391"/>
      <c r="N430" s="390"/>
      <c r="O430" s="391"/>
      <c r="P430" s="390"/>
      <c r="Q430" s="391"/>
      <c r="R430" s="390"/>
      <c r="S430" s="391"/>
      <c r="T430" s="390"/>
      <c r="U430" s="391"/>
      <c r="V430" s="390"/>
      <c r="W430" s="391"/>
      <c r="X430" s="390"/>
      <c r="Y430" s="391"/>
      <c r="Z430" s="390"/>
      <c r="AA430" s="391"/>
      <c r="AB430" s="390"/>
      <c r="AC430" s="391"/>
      <c r="AD430" s="390"/>
      <c r="AE430" s="391"/>
      <c r="AF430" s="390"/>
      <c r="AG430" s="391"/>
      <c r="AH430" s="390"/>
      <c r="AI430" s="391"/>
      <c r="AJ430" s="390"/>
      <c r="AK430" s="391"/>
      <c r="AL430" s="390"/>
      <c r="AM430" s="391"/>
      <c r="AN430" s="390"/>
      <c r="AO430" s="391"/>
    </row>
    <row r="431" spans="1:41" s="201" customFormat="1" ht="12.75" hidden="1">
      <c r="A431" s="225" t="s">
        <v>393</v>
      </c>
      <c r="B431" s="226" t="s">
        <v>422</v>
      </c>
      <c r="C431" s="278"/>
      <c r="D431" s="225">
        <v>219994</v>
      </c>
      <c r="E431" s="225">
        <v>13</v>
      </c>
      <c r="F431" s="390">
        <v>3936</v>
      </c>
      <c r="G431" s="391">
        <v>3936</v>
      </c>
      <c r="H431" s="390"/>
      <c r="I431" s="391"/>
      <c r="J431" s="390"/>
      <c r="K431" s="391"/>
      <c r="L431" s="390"/>
      <c r="M431" s="391"/>
      <c r="N431" s="390"/>
      <c r="O431" s="391"/>
      <c r="P431" s="390"/>
      <c r="Q431" s="391"/>
      <c r="R431" s="390"/>
      <c r="S431" s="391"/>
      <c r="T431" s="390"/>
      <c r="U431" s="391"/>
      <c r="V431" s="390"/>
      <c r="W431" s="391"/>
      <c r="X431" s="390"/>
      <c r="Y431" s="391"/>
      <c r="Z431" s="390"/>
      <c r="AA431" s="391"/>
      <c r="AB431" s="390"/>
      <c r="AC431" s="391"/>
      <c r="AD431" s="390"/>
      <c r="AE431" s="391"/>
      <c r="AF431" s="390"/>
      <c r="AG431" s="391"/>
      <c r="AH431" s="390"/>
      <c r="AI431" s="391"/>
      <c r="AJ431" s="390"/>
      <c r="AK431" s="391"/>
      <c r="AL431" s="390"/>
      <c r="AM431" s="391"/>
      <c r="AN431" s="390"/>
      <c r="AO431" s="391"/>
    </row>
    <row r="432" spans="1:41" s="201" customFormat="1" ht="12.75" hidden="1">
      <c r="A432" s="225" t="s">
        <v>393</v>
      </c>
      <c r="B432" s="226" t="s">
        <v>423</v>
      </c>
      <c r="C432" s="278"/>
      <c r="D432" s="225">
        <v>220127</v>
      </c>
      <c r="E432" s="225">
        <v>13</v>
      </c>
      <c r="F432" s="390">
        <v>3936</v>
      </c>
      <c r="G432" s="391">
        <v>3936</v>
      </c>
      <c r="H432" s="390"/>
      <c r="I432" s="391"/>
      <c r="J432" s="390"/>
      <c r="K432" s="391"/>
      <c r="L432" s="390"/>
      <c r="M432" s="391"/>
      <c r="N432" s="390"/>
      <c r="O432" s="391"/>
      <c r="P432" s="390"/>
      <c r="Q432" s="391"/>
      <c r="R432" s="390"/>
      <c r="S432" s="391"/>
      <c r="T432" s="390"/>
      <c r="U432" s="391"/>
      <c r="V432" s="390"/>
      <c r="W432" s="391"/>
      <c r="X432" s="390"/>
      <c r="Y432" s="391"/>
      <c r="Z432" s="390"/>
      <c r="AA432" s="391"/>
      <c r="AB432" s="390"/>
      <c r="AC432" s="391"/>
      <c r="AD432" s="390"/>
      <c r="AE432" s="391"/>
      <c r="AF432" s="390"/>
      <c r="AG432" s="391"/>
      <c r="AH432" s="390"/>
      <c r="AI432" s="391"/>
      <c r="AJ432" s="390"/>
      <c r="AK432" s="391"/>
      <c r="AL432" s="390"/>
      <c r="AM432" s="391"/>
      <c r="AN432" s="390"/>
      <c r="AO432" s="391"/>
    </row>
    <row r="433" spans="1:41" s="201" customFormat="1" ht="12.75" hidden="1">
      <c r="A433" s="225" t="s">
        <v>393</v>
      </c>
      <c r="B433" s="226" t="s">
        <v>424</v>
      </c>
      <c r="C433" s="278"/>
      <c r="D433" s="225">
        <v>220251</v>
      </c>
      <c r="E433" s="225">
        <v>13</v>
      </c>
      <c r="F433" s="390">
        <v>3936</v>
      </c>
      <c r="G433" s="391">
        <v>3936</v>
      </c>
      <c r="H433" s="390"/>
      <c r="I433" s="391"/>
      <c r="J433" s="390"/>
      <c r="K433" s="391"/>
      <c r="L433" s="390"/>
      <c r="M433" s="391"/>
      <c r="N433" s="390"/>
      <c r="O433" s="391"/>
      <c r="P433" s="390"/>
      <c r="Q433" s="391"/>
      <c r="R433" s="390"/>
      <c r="S433" s="391"/>
      <c r="T433" s="390"/>
      <c r="U433" s="391"/>
      <c r="V433" s="390"/>
      <c r="W433" s="391"/>
      <c r="X433" s="390"/>
      <c r="Y433" s="391"/>
      <c r="Z433" s="390"/>
      <c r="AA433" s="391"/>
      <c r="AB433" s="390"/>
      <c r="AC433" s="391"/>
      <c r="AD433" s="390"/>
      <c r="AE433" s="391"/>
      <c r="AF433" s="390"/>
      <c r="AG433" s="391"/>
      <c r="AH433" s="390"/>
      <c r="AI433" s="391"/>
      <c r="AJ433" s="390"/>
      <c r="AK433" s="391"/>
      <c r="AL433" s="390"/>
      <c r="AM433" s="391"/>
      <c r="AN433" s="390"/>
      <c r="AO433" s="391"/>
    </row>
    <row r="434" spans="1:41" s="201" customFormat="1" ht="12.75" hidden="1">
      <c r="A434" s="225" t="s">
        <v>393</v>
      </c>
      <c r="B434" s="226" t="s">
        <v>425</v>
      </c>
      <c r="C434" s="278"/>
      <c r="D434" s="225">
        <v>220279</v>
      </c>
      <c r="E434" s="225">
        <v>13</v>
      </c>
      <c r="F434" s="390">
        <v>3936</v>
      </c>
      <c r="G434" s="391">
        <v>3936</v>
      </c>
      <c r="H434" s="390"/>
      <c r="I434" s="391"/>
      <c r="J434" s="390"/>
      <c r="K434" s="391"/>
      <c r="L434" s="390"/>
      <c r="M434" s="391"/>
      <c r="N434" s="390"/>
      <c r="O434" s="391"/>
      <c r="P434" s="390"/>
      <c r="Q434" s="391"/>
      <c r="R434" s="390"/>
      <c r="S434" s="391"/>
      <c r="T434" s="390"/>
      <c r="U434" s="391"/>
      <c r="V434" s="390"/>
      <c r="W434" s="391"/>
      <c r="X434" s="390"/>
      <c r="Y434" s="391"/>
      <c r="Z434" s="390"/>
      <c r="AA434" s="391"/>
      <c r="AB434" s="390"/>
      <c r="AC434" s="391"/>
      <c r="AD434" s="390"/>
      <c r="AE434" s="391"/>
      <c r="AF434" s="390"/>
      <c r="AG434" s="391"/>
      <c r="AH434" s="390"/>
      <c r="AI434" s="391"/>
      <c r="AJ434" s="390"/>
      <c r="AK434" s="391"/>
      <c r="AL434" s="390"/>
      <c r="AM434" s="391"/>
      <c r="AN434" s="390"/>
      <c r="AO434" s="391"/>
    </row>
    <row r="435" spans="1:41" s="201" customFormat="1" ht="12.75" hidden="1">
      <c r="A435" s="225" t="s">
        <v>393</v>
      </c>
      <c r="B435" s="226" t="s">
        <v>426</v>
      </c>
      <c r="C435" s="278"/>
      <c r="D435" s="225">
        <v>220321</v>
      </c>
      <c r="E435" s="225">
        <v>13</v>
      </c>
      <c r="F435" s="390">
        <v>3936</v>
      </c>
      <c r="G435" s="391">
        <v>3936</v>
      </c>
      <c r="H435" s="390"/>
      <c r="I435" s="391"/>
      <c r="J435" s="390"/>
      <c r="K435" s="391"/>
      <c r="L435" s="390"/>
      <c r="M435" s="391"/>
      <c r="N435" s="390"/>
      <c r="O435" s="391"/>
      <c r="P435" s="390"/>
      <c r="Q435" s="391"/>
      <c r="R435" s="390"/>
      <c r="S435" s="391"/>
      <c r="T435" s="390"/>
      <c r="U435" s="391"/>
      <c r="V435" s="390"/>
      <c r="W435" s="391"/>
      <c r="X435" s="390"/>
      <c r="Y435" s="391"/>
      <c r="Z435" s="390"/>
      <c r="AA435" s="391"/>
      <c r="AB435" s="390"/>
      <c r="AC435" s="391"/>
      <c r="AD435" s="390"/>
      <c r="AE435" s="391"/>
      <c r="AF435" s="390"/>
      <c r="AG435" s="391"/>
      <c r="AH435" s="390"/>
      <c r="AI435" s="391"/>
      <c r="AJ435" s="390"/>
      <c r="AK435" s="391"/>
      <c r="AL435" s="390"/>
      <c r="AM435" s="391"/>
      <c r="AN435" s="390"/>
      <c r="AO435" s="391"/>
    </row>
    <row r="436" spans="1:41" s="201" customFormat="1" ht="12.75" hidden="1">
      <c r="A436" s="225" t="s">
        <v>393</v>
      </c>
      <c r="B436" s="226" t="s">
        <v>427</v>
      </c>
      <c r="C436" s="278"/>
      <c r="D436" s="225">
        <v>220394</v>
      </c>
      <c r="E436" s="225">
        <v>13</v>
      </c>
      <c r="F436" s="390">
        <v>3936</v>
      </c>
      <c r="G436" s="391">
        <v>3936</v>
      </c>
      <c r="H436" s="390"/>
      <c r="I436" s="391"/>
      <c r="J436" s="390"/>
      <c r="K436" s="391"/>
      <c r="L436" s="390"/>
      <c r="M436" s="391"/>
      <c r="N436" s="390"/>
      <c r="O436" s="391"/>
      <c r="P436" s="390"/>
      <c r="Q436" s="391"/>
      <c r="R436" s="390"/>
      <c r="S436" s="391"/>
      <c r="T436" s="390"/>
      <c r="U436" s="391"/>
      <c r="V436" s="390"/>
      <c r="W436" s="391"/>
      <c r="X436" s="390"/>
      <c r="Y436" s="391"/>
      <c r="Z436" s="390"/>
      <c r="AA436" s="391"/>
      <c r="AB436" s="390"/>
      <c r="AC436" s="391"/>
      <c r="AD436" s="390"/>
      <c r="AE436" s="391"/>
      <c r="AF436" s="390"/>
      <c r="AG436" s="391"/>
      <c r="AH436" s="390"/>
      <c r="AI436" s="391"/>
      <c r="AJ436" s="390"/>
      <c r="AK436" s="391"/>
      <c r="AL436" s="390"/>
      <c r="AM436" s="391"/>
      <c r="AN436" s="390"/>
      <c r="AO436" s="391"/>
    </row>
    <row r="437" spans="1:41" s="201" customFormat="1" ht="12.75" hidden="1">
      <c r="A437" s="225" t="s">
        <v>393</v>
      </c>
      <c r="B437" s="226" t="s">
        <v>428</v>
      </c>
      <c r="C437" s="278"/>
      <c r="D437" s="225">
        <v>221616</v>
      </c>
      <c r="E437" s="225">
        <v>13</v>
      </c>
      <c r="F437" s="390">
        <v>3936</v>
      </c>
      <c r="G437" s="391">
        <v>3936</v>
      </c>
      <c r="H437" s="390"/>
      <c r="I437" s="391"/>
      <c r="J437" s="390"/>
      <c r="K437" s="391"/>
      <c r="L437" s="390"/>
      <c r="M437" s="391"/>
      <c r="N437" s="390"/>
      <c r="O437" s="391"/>
      <c r="P437" s="390"/>
      <c r="Q437" s="391"/>
      <c r="R437" s="390"/>
      <c r="S437" s="391"/>
      <c r="T437" s="390"/>
      <c r="U437" s="391"/>
      <c r="V437" s="390"/>
      <c r="W437" s="391"/>
      <c r="X437" s="390"/>
      <c r="Y437" s="391"/>
      <c r="Z437" s="390"/>
      <c r="AA437" s="391"/>
      <c r="AB437" s="390"/>
      <c r="AC437" s="391"/>
      <c r="AD437" s="390"/>
      <c r="AE437" s="391"/>
      <c r="AF437" s="390"/>
      <c r="AG437" s="391"/>
      <c r="AH437" s="390"/>
      <c r="AI437" s="391"/>
      <c r="AJ437" s="390"/>
      <c r="AK437" s="391"/>
      <c r="AL437" s="390"/>
      <c r="AM437" s="391"/>
      <c r="AN437" s="390"/>
      <c r="AO437" s="391"/>
    </row>
    <row r="438" spans="1:41" s="201" customFormat="1" ht="12.75" hidden="1">
      <c r="A438" s="225" t="s">
        <v>393</v>
      </c>
      <c r="B438" s="226" t="s">
        <v>429</v>
      </c>
      <c r="C438" s="278"/>
      <c r="D438" s="225">
        <v>221625</v>
      </c>
      <c r="E438" s="225">
        <v>13</v>
      </c>
      <c r="F438" s="390">
        <v>3936</v>
      </c>
      <c r="G438" s="391">
        <v>3936</v>
      </c>
      <c r="H438" s="390"/>
      <c r="I438" s="391"/>
      <c r="J438" s="390"/>
      <c r="K438" s="391"/>
      <c r="L438" s="390"/>
      <c r="M438" s="391"/>
      <c r="N438" s="390"/>
      <c r="O438" s="391"/>
      <c r="P438" s="390"/>
      <c r="Q438" s="391"/>
      <c r="R438" s="390"/>
      <c r="S438" s="391"/>
      <c r="T438" s="390"/>
      <c r="U438" s="391"/>
      <c r="V438" s="390"/>
      <c r="W438" s="391"/>
      <c r="X438" s="390"/>
      <c r="Y438" s="391"/>
      <c r="Z438" s="390"/>
      <c r="AA438" s="391"/>
      <c r="AB438" s="390"/>
      <c r="AC438" s="391"/>
      <c r="AD438" s="390"/>
      <c r="AE438" s="391"/>
      <c r="AF438" s="390"/>
      <c r="AG438" s="391"/>
      <c r="AH438" s="390"/>
      <c r="AI438" s="391"/>
      <c r="AJ438" s="390"/>
      <c r="AK438" s="391"/>
      <c r="AL438" s="390"/>
      <c r="AM438" s="391"/>
      <c r="AN438" s="390"/>
      <c r="AO438" s="391"/>
    </row>
    <row r="439" spans="1:41" s="201" customFormat="1" ht="12.75" hidden="1">
      <c r="A439" s="225" t="s">
        <v>393</v>
      </c>
      <c r="B439" s="226" t="s">
        <v>430</v>
      </c>
      <c r="C439" s="278"/>
      <c r="D439" s="225">
        <v>220640</v>
      </c>
      <c r="E439" s="225">
        <v>13</v>
      </c>
      <c r="F439" s="390">
        <v>3936</v>
      </c>
      <c r="G439" s="391">
        <v>3936</v>
      </c>
      <c r="H439" s="390"/>
      <c r="I439" s="391"/>
      <c r="J439" s="390"/>
      <c r="K439" s="391"/>
      <c r="L439" s="390"/>
      <c r="M439" s="391"/>
      <c r="N439" s="390"/>
      <c r="O439" s="391"/>
      <c r="P439" s="390"/>
      <c r="Q439" s="391"/>
      <c r="R439" s="390"/>
      <c r="S439" s="391"/>
      <c r="T439" s="390"/>
      <c r="U439" s="391"/>
      <c r="V439" s="390"/>
      <c r="W439" s="391"/>
      <c r="X439" s="390"/>
      <c r="Y439" s="391"/>
      <c r="Z439" s="390"/>
      <c r="AA439" s="391"/>
      <c r="AB439" s="390"/>
      <c r="AC439" s="391"/>
      <c r="AD439" s="390"/>
      <c r="AE439" s="391"/>
      <c r="AF439" s="390"/>
      <c r="AG439" s="391"/>
      <c r="AH439" s="390"/>
      <c r="AI439" s="391"/>
      <c r="AJ439" s="390"/>
      <c r="AK439" s="391"/>
      <c r="AL439" s="390"/>
      <c r="AM439" s="391"/>
      <c r="AN439" s="390"/>
      <c r="AO439" s="391"/>
    </row>
    <row r="440" spans="1:41" s="201" customFormat="1" ht="12.75" hidden="1">
      <c r="A440" s="225" t="s">
        <v>393</v>
      </c>
      <c r="B440" s="226" t="s">
        <v>431</v>
      </c>
      <c r="C440" s="278"/>
      <c r="D440" s="225">
        <v>220756</v>
      </c>
      <c r="E440" s="225">
        <v>13</v>
      </c>
      <c r="F440" s="390">
        <v>3936</v>
      </c>
      <c r="G440" s="391">
        <v>3936</v>
      </c>
      <c r="H440" s="390"/>
      <c r="I440" s="391"/>
      <c r="J440" s="390"/>
      <c r="K440" s="391"/>
      <c r="L440" s="390"/>
      <c r="M440" s="391"/>
      <c r="N440" s="390"/>
      <c r="O440" s="391"/>
      <c r="P440" s="390"/>
      <c r="Q440" s="391"/>
      <c r="R440" s="390"/>
      <c r="S440" s="391"/>
      <c r="T440" s="390"/>
      <c r="U440" s="391"/>
      <c r="V440" s="390"/>
      <c r="W440" s="391"/>
      <c r="X440" s="390"/>
      <c r="Y440" s="391"/>
      <c r="Z440" s="390"/>
      <c r="AA440" s="391"/>
      <c r="AB440" s="390"/>
      <c r="AC440" s="391"/>
      <c r="AD440" s="390"/>
      <c r="AE440" s="391"/>
      <c r="AF440" s="390"/>
      <c r="AG440" s="391"/>
      <c r="AH440" s="390"/>
      <c r="AI440" s="391"/>
      <c r="AJ440" s="390"/>
      <c r="AK440" s="391"/>
      <c r="AL440" s="390"/>
      <c r="AM440" s="391"/>
      <c r="AN440" s="390"/>
      <c r="AO440" s="391"/>
    </row>
    <row r="441" spans="1:41" s="201" customFormat="1" ht="12.75" hidden="1">
      <c r="A441" s="225" t="s">
        <v>393</v>
      </c>
      <c r="B441" s="226" t="s">
        <v>432</v>
      </c>
      <c r="C441" s="278"/>
      <c r="D441" s="225">
        <v>221607</v>
      </c>
      <c r="E441" s="225">
        <v>13</v>
      </c>
      <c r="F441" s="390">
        <v>3936</v>
      </c>
      <c r="G441" s="391">
        <v>3936</v>
      </c>
      <c r="H441" s="390"/>
      <c r="I441" s="391"/>
      <c r="J441" s="390"/>
      <c r="K441" s="391"/>
      <c r="L441" s="390"/>
      <c r="M441" s="391"/>
      <c r="N441" s="390"/>
      <c r="O441" s="391"/>
      <c r="P441" s="390"/>
      <c r="Q441" s="391"/>
      <c r="R441" s="390"/>
      <c r="S441" s="391"/>
      <c r="T441" s="390"/>
      <c r="U441" s="391"/>
      <c r="V441" s="390"/>
      <c r="W441" s="391"/>
      <c r="X441" s="390"/>
      <c r="Y441" s="391"/>
      <c r="Z441" s="390"/>
      <c r="AA441" s="391"/>
      <c r="AB441" s="390"/>
      <c r="AC441" s="391"/>
      <c r="AD441" s="390"/>
      <c r="AE441" s="391"/>
      <c r="AF441" s="390"/>
      <c r="AG441" s="391"/>
      <c r="AH441" s="390"/>
      <c r="AI441" s="391"/>
      <c r="AJ441" s="390"/>
      <c r="AK441" s="391"/>
      <c r="AL441" s="390"/>
      <c r="AM441" s="391"/>
      <c r="AN441" s="390"/>
      <c r="AO441" s="391"/>
    </row>
    <row r="442" spans="1:41" s="201" customFormat="1" ht="12.75" hidden="1">
      <c r="A442" s="225" t="s">
        <v>393</v>
      </c>
      <c r="B442" s="226" t="s">
        <v>433</v>
      </c>
      <c r="C442" s="376" t="s">
        <v>912</v>
      </c>
      <c r="D442" s="225">
        <v>220853</v>
      </c>
      <c r="E442" s="225">
        <v>13</v>
      </c>
      <c r="F442" s="390">
        <v>3936</v>
      </c>
      <c r="G442" s="391">
        <v>3936</v>
      </c>
      <c r="H442" s="390"/>
      <c r="I442" s="391"/>
      <c r="J442" s="390"/>
      <c r="K442" s="391"/>
      <c r="L442" s="390"/>
      <c r="M442" s="391"/>
      <c r="N442" s="390"/>
      <c r="O442" s="391"/>
      <c r="P442" s="390"/>
      <c r="Q442" s="391"/>
      <c r="R442" s="390"/>
      <c r="S442" s="391"/>
      <c r="T442" s="390"/>
      <c r="U442" s="391"/>
      <c r="V442" s="390"/>
      <c r="W442" s="391"/>
      <c r="X442" s="390"/>
      <c r="Y442" s="391"/>
      <c r="Z442" s="390"/>
      <c r="AA442" s="391"/>
      <c r="AB442" s="390"/>
      <c r="AC442" s="391"/>
      <c r="AD442" s="390"/>
      <c r="AE442" s="391"/>
      <c r="AF442" s="390"/>
      <c r="AG442" s="391"/>
      <c r="AH442" s="390"/>
      <c r="AI442" s="391"/>
      <c r="AJ442" s="390"/>
      <c r="AK442" s="391"/>
      <c r="AL442" s="390"/>
      <c r="AM442" s="391"/>
      <c r="AN442" s="390"/>
      <c r="AO442" s="391"/>
    </row>
    <row r="443" spans="1:41" s="201" customFormat="1" ht="12.75" hidden="1">
      <c r="A443" s="225" t="s">
        <v>393</v>
      </c>
      <c r="B443" s="226" t="s">
        <v>434</v>
      </c>
      <c r="C443" s="278"/>
      <c r="D443" s="225">
        <v>221050</v>
      </c>
      <c r="E443" s="225">
        <v>13</v>
      </c>
      <c r="F443" s="390">
        <v>3936</v>
      </c>
      <c r="G443" s="391">
        <v>3936</v>
      </c>
      <c r="H443" s="390"/>
      <c r="I443" s="391"/>
      <c r="J443" s="390"/>
      <c r="K443" s="391"/>
      <c r="L443" s="390"/>
      <c r="M443" s="391"/>
      <c r="N443" s="390"/>
      <c r="O443" s="391"/>
      <c r="P443" s="390"/>
      <c r="Q443" s="391"/>
      <c r="R443" s="390"/>
      <c r="S443" s="391"/>
      <c r="T443" s="390"/>
      <c r="U443" s="391"/>
      <c r="V443" s="390"/>
      <c r="W443" s="391"/>
      <c r="X443" s="390"/>
      <c r="Y443" s="391"/>
      <c r="Z443" s="390"/>
      <c r="AA443" s="391"/>
      <c r="AB443" s="390"/>
      <c r="AC443" s="391"/>
      <c r="AD443" s="390"/>
      <c r="AE443" s="391"/>
      <c r="AF443" s="390"/>
      <c r="AG443" s="391"/>
      <c r="AH443" s="390"/>
      <c r="AI443" s="391"/>
      <c r="AJ443" s="390"/>
      <c r="AK443" s="391"/>
      <c r="AL443" s="390"/>
      <c r="AM443" s="391"/>
      <c r="AN443" s="390"/>
      <c r="AO443" s="391"/>
    </row>
    <row r="444" spans="1:41" s="201" customFormat="1" ht="12.75" hidden="1">
      <c r="A444" s="225" t="s">
        <v>393</v>
      </c>
      <c r="B444" s="279" t="s">
        <v>435</v>
      </c>
      <c r="C444" s="278"/>
      <c r="D444" s="225">
        <v>221102</v>
      </c>
      <c r="E444" s="225">
        <v>13</v>
      </c>
      <c r="F444" s="390">
        <v>3936</v>
      </c>
      <c r="G444" s="391">
        <v>3936</v>
      </c>
      <c r="H444" s="390"/>
      <c r="I444" s="391"/>
      <c r="J444" s="390"/>
      <c r="K444" s="391"/>
      <c r="L444" s="390"/>
      <c r="M444" s="391"/>
      <c r="N444" s="390"/>
      <c r="O444" s="391"/>
      <c r="P444" s="390"/>
      <c r="Q444" s="391"/>
      <c r="R444" s="390"/>
      <c r="S444" s="391"/>
      <c r="T444" s="390"/>
      <c r="U444" s="391"/>
      <c r="V444" s="390"/>
      <c r="W444" s="391"/>
      <c r="X444" s="390"/>
      <c r="Y444" s="391"/>
      <c r="Z444" s="390"/>
      <c r="AA444" s="391"/>
      <c r="AB444" s="390"/>
      <c r="AC444" s="391"/>
      <c r="AD444" s="390"/>
      <c r="AE444" s="391"/>
      <c r="AF444" s="390"/>
      <c r="AG444" s="391"/>
      <c r="AH444" s="390"/>
      <c r="AI444" s="391"/>
      <c r="AJ444" s="390"/>
      <c r="AK444" s="391"/>
      <c r="AL444" s="390"/>
      <c r="AM444" s="391"/>
      <c r="AN444" s="390"/>
      <c r="AO444" s="391"/>
    </row>
    <row r="445" spans="1:41" s="201" customFormat="1" ht="12.75" hidden="1">
      <c r="A445" s="225" t="s">
        <v>393</v>
      </c>
      <c r="B445" s="226" t="s">
        <v>436</v>
      </c>
      <c r="C445" s="278"/>
      <c r="D445" s="225">
        <v>248925</v>
      </c>
      <c r="E445" s="225">
        <v>13</v>
      </c>
      <c r="F445" s="390">
        <v>3936</v>
      </c>
      <c r="G445" s="391">
        <v>3936</v>
      </c>
      <c r="H445" s="390"/>
      <c r="I445" s="391"/>
      <c r="J445" s="390"/>
      <c r="K445" s="391"/>
      <c r="L445" s="390"/>
      <c r="M445" s="391"/>
      <c r="N445" s="390"/>
      <c r="O445" s="391"/>
      <c r="P445" s="390"/>
      <c r="Q445" s="391"/>
      <c r="R445" s="390"/>
      <c r="S445" s="391"/>
      <c r="T445" s="390"/>
      <c r="U445" s="391"/>
      <c r="V445" s="390"/>
      <c r="W445" s="391"/>
      <c r="X445" s="390"/>
      <c r="Y445" s="391"/>
      <c r="Z445" s="390"/>
      <c r="AA445" s="391"/>
      <c r="AB445" s="390"/>
      <c r="AC445" s="391"/>
      <c r="AD445" s="390"/>
      <c r="AE445" s="391"/>
      <c r="AF445" s="390"/>
      <c r="AG445" s="391"/>
      <c r="AH445" s="390"/>
      <c r="AI445" s="391"/>
      <c r="AJ445" s="390"/>
      <c r="AK445" s="391"/>
      <c r="AL445" s="390"/>
      <c r="AM445" s="391"/>
      <c r="AN445" s="390"/>
      <c r="AO445" s="391"/>
    </row>
    <row r="446" spans="1:41" s="201" customFormat="1" ht="12.75" hidden="1">
      <c r="A446" s="225" t="s">
        <v>393</v>
      </c>
      <c r="B446" s="226" t="s">
        <v>437</v>
      </c>
      <c r="C446" s="278"/>
      <c r="D446" s="225">
        <v>221236</v>
      </c>
      <c r="E446" s="225">
        <v>13</v>
      </c>
      <c r="F446" s="390">
        <v>3936</v>
      </c>
      <c r="G446" s="391">
        <v>3936</v>
      </c>
      <c r="H446" s="390"/>
      <c r="I446" s="391"/>
      <c r="J446" s="390"/>
      <c r="K446" s="391"/>
      <c r="L446" s="390"/>
      <c r="M446" s="391"/>
      <c r="N446" s="390"/>
      <c r="O446" s="391"/>
      <c r="P446" s="390"/>
      <c r="Q446" s="391"/>
      <c r="R446" s="390"/>
      <c r="S446" s="391"/>
      <c r="T446" s="390"/>
      <c r="U446" s="391"/>
      <c r="V446" s="390"/>
      <c r="W446" s="391"/>
      <c r="X446" s="390"/>
      <c r="Y446" s="391"/>
      <c r="Z446" s="390"/>
      <c r="AA446" s="391"/>
      <c r="AB446" s="390"/>
      <c r="AC446" s="391"/>
      <c r="AD446" s="390"/>
      <c r="AE446" s="391"/>
      <c r="AF446" s="390"/>
      <c r="AG446" s="391"/>
      <c r="AH446" s="390"/>
      <c r="AI446" s="391"/>
      <c r="AJ446" s="390"/>
      <c r="AK446" s="391"/>
      <c r="AL446" s="390"/>
      <c r="AM446" s="391"/>
      <c r="AN446" s="390"/>
      <c r="AO446" s="391"/>
    </row>
    <row r="447" spans="1:41" s="201" customFormat="1" ht="12.75" hidden="1">
      <c r="A447" s="225" t="s">
        <v>393</v>
      </c>
      <c r="B447" s="226" t="s">
        <v>438</v>
      </c>
      <c r="C447" s="278"/>
      <c r="D447" s="225">
        <v>221582</v>
      </c>
      <c r="E447" s="225">
        <v>13</v>
      </c>
      <c r="F447" s="390">
        <v>3936</v>
      </c>
      <c r="G447" s="391">
        <v>3936</v>
      </c>
      <c r="H447" s="390"/>
      <c r="I447" s="391"/>
      <c r="J447" s="390"/>
      <c r="K447" s="391"/>
      <c r="L447" s="390"/>
      <c r="M447" s="391"/>
      <c r="N447" s="390"/>
      <c r="O447" s="391"/>
      <c r="P447" s="390"/>
      <c r="Q447" s="391"/>
      <c r="R447" s="390"/>
      <c r="S447" s="391"/>
      <c r="T447" s="390"/>
      <c r="U447" s="391"/>
      <c r="V447" s="390"/>
      <c r="W447" s="391"/>
      <c r="X447" s="390"/>
      <c r="Y447" s="391"/>
      <c r="Z447" s="390"/>
      <c r="AA447" s="391"/>
      <c r="AB447" s="390"/>
      <c r="AC447" s="391"/>
      <c r="AD447" s="390"/>
      <c r="AE447" s="391"/>
      <c r="AF447" s="390"/>
      <c r="AG447" s="391"/>
      <c r="AH447" s="390"/>
      <c r="AI447" s="391"/>
      <c r="AJ447" s="390"/>
      <c r="AK447" s="391"/>
      <c r="AL447" s="390"/>
      <c r="AM447" s="391"/>
      <c r="AN447" s="390"/>
      <c r="AO447" s="391"/>
    </row>
    <row r="448" spans="1:41" s="201" customFormat="1" ht="12.75" hidden="1">
      <c r="A448" s="225" t="s">
        <v>393</v>
      </c>
      <c r="B448" s="226" t="s">
        <v>439</v>
      </c>
      <c r="C448" s="278"/>
      <c r="D448" s="225">
        <v>221281</v>
      </c>
      <c r="E448" s="225">
        <v>13</v>
      </c>
      <c r="F448" s="390">
        <v>3936</v>
      </c>
      <c r="G448" s="391">
        <v>3936</v>
      </c>
      <c r="H448" s="390"/>
      <c r="I448" s="391"/>
      <c r="J448" s="390"/>
      <c r="K448" s="391"/>
      <c r="L448" s="390"/>
      <c r="M448" s="391"/>
      <c r="N448" s="390"/>
      <c r="O448" s="391"/>
      <c r="P448" s="390"/>
      <c r="Q448" s="391"/>
      <c r="R448" s="390"/>
      <c r="S448" s="391"/>
      <c r="T448" s="390"/>
      <c r="U448" s="391"/>
      <c r="V448" s="390"/>
      <c r="W448" s="391"/>
      <c r="X448" s="390"/>
      <c r="Y448" s="391"/>
      <c r="Z448" s="390"/>
      <c r="AA448" s="391"/>
      <c r="AB448" s="390"/>
      <c r="AC448" s="391"/>
      <c r="AD448" s="390"/>
      <c r="AE448" s="391"/>
      <c r="AF448" s="390"/>
      <c r="AG448" s="391"/>
      <c r="AH448" s="390"/>
      <c r="AI448" s="391"/>
      <c r="AJ448" s="390"/>
      <c r="AK448" s="391"/>
      <c r="AL448" s="390"/>
      <c r="AM448" s="391"/>
      <c r="AN448" s="390"/>
      <c r="AO448" s="391"/>
    </row>
    <row r="449" spans="1:41" s="201" customFormat="1" ht="12.75" hidden="1">
      <c r="A449" s="225" t="s">
        <v>393</v>
      </c>
      <c r="B449" s="226" t="s">
        <v>440</v>
      </c>
      <c r="C449" s="278"/>
      <c r="D449" s="225">
        <v>221333</v>
      </c>
      <c r="E449" s="225">
        <v>13</v>
      </c>
      <c r="F449" s="390">
        <v>3936</v>
      </c>
      <c r="G449" s="391">
        <v>3936</v>
      </c>
      <c r="H449" s="390"/>
      <c r="I449" s="391"/>
      <c r="J449" s="390"/>
      <c r="K449" s="391"/>
      <c r="L449" s="390"/>
      <c r="M449" s="391"/>
      <c r="N449" s="390"/>
      <c r="O449" s="391"/>
      <c r="P449" s="390"/>
      <c r="Q449" s="391"/>
      <c r="R449" s="390"/>
      <c r="S449" s="391"/>
      <c r="T449" s="390"/>
      <c r="U449" s="391"/>
      <c r="V449" s="390"/>
      <c r="W449" s="391"/>
      <c r="X449" s="390"/>
      <c r="Y449" s="391"/>
      <c r="Z449" s="390"/>
      <c r="AA449" s="391"/>
      <c r="AB449" s="390"/>
      <c r="AC449" s="391"/>
      <c r="AD449" s="390"/>
      <c r="AE449" s="391"/>
      <c r="AF449" s="390"/>
      <c r="AG449" s="391"/>
      <c r="AH449" s="390"/>
      <c r="AI449" s="391"/>
      <c r="AJ449" s="390"/>
      <c r="AK449" s="391"/>
      <c r="AL449" s="390"/>
      <c r="AM449" s="391"/>
      <c r="AN449" s="390"/>
      <c r="AO449" s="391"/>
    </row>
    <row r="450" spans="1:41" s="201" customFormat="1" ht="12.75" hidden="1">
      <c r="A450" s="225" t="s">
        <v>393</v>
      </c>
      <c r="B450" s="226" t="s">
        <v>441</v>
      </c>
      <c r="C450" s="278"/>
      <c r="D450" s="225">
        <v>221388</v>
      </c>
      <c r="E450" s="225">
        <v>13</v>
      </c>
      <c r="F450" s="390">
        <v>3936</v>
      </c>
      <c r="G450" s="391">
        <v>3936</v>
      </c>
      <c r="H450" s="390"/>
      <c r="I450" s="391"/>
      <c r="J450" s="390"/>
      <c r="K450" s="391"/>
      <c r="L450" s="390"/>
      <c r="M450" s="391"/>
      <c r="N450" s="390"/>
      <c r="O450" s="391"/>
      <c r="P450" s="390"/>
      <c r="Q450" s="391"/>
      <c r="R450" s="390"/>
      <c r="S450" s="391"/>
      <c r="T450" s="390"/>
      <c r="U450" s="391"/>
      <c r="V450" s="390"/>
      <c r="W450" s="391"/>
      <c r="X450" s="390"/>
      <c r="Y450" s="391"/>
      <c r="Z450" s="390"/>
      <c r="AA450" s="391"/>
      <c r="AB450" s="390"/>
      <c r="AC450" s="391"/>
      <c r="AD450" s="390"/>
      <c r="AE450" s="391"/>
      <c r="AF450" s="390"/>
      <c r="AG450" s="391"/>
      <c r="AH450" s="390"/>
      <c r="AI450" s="391"/>
      <c r="AJ450" s="390"/>
      <c r="AK450" s="391"/>
      <c r="AL450" s="390"/>
      <c r="AM450" s="391"/>
      <c r="AN450" s="390"/>
      <c r="AO450" s="391"/>
    </row>
    <row r="451" spans="1:41" s="201" customFormat="1" ht="12.75" hidden="1">
      <c r="A451" s="225" t="s">
        <v>393</v>
      </c>
      <c r="B451" s="226" t="s">
        <v>442</v>
      </c>
      <c r="C451" s="278"/>
      <c r="D451" s="225">
        <v>221494</v>
      </c>
      <c r="E451" s="225">
        <v>13</v>
      </c>
      <c r="F451" s="390">
        <v>3936</v>
      </c>
      <c r="G451" s="391">
        <v>3936</v>
      </c>
      <c r="H451" s="390"/>
      <c r="I451" s="391"/>
      <c r="J451" s="390"/>
      <c r="K451" s="391"/>
      <c r="L451" s="390"/>
      <c r="M451" s="391"/>
      <c r="N451" s="390"/>
      <c r="O451" s="391"/>
      <c r="P451" s="390"/>
      <c r="Q451" s="391"/>
      <c r="R451" s="390"/>
      <c r="S451" s="391"/>
      <c r="T451" s="390"/>
      <c r="U451" s="391"/>
      <c r="V451" s="390"/>
      <c r="W451" s="391"/>
      <c r="X451" s="390"/>
      <c r="Y451" s="391"/>
      <c r="Z451" s="390"/>
      <c r="AA451" s="391"/>
      <c r="AB451" s="390"/>
      <c r="AC451" s="391"/>
      <c r="AD451" s="390"/>
      <c r="AE451" s="391"/>
      <c r="AF451" s="390"/>
      <c r="AG451" s="391"/>
      <c r="AH451" s="390"/>
      <c r="AI451" s="391"/>
      <c r="AJ451" s="390"/>
      <c r="AK451" s="391"/>
      <c r="AL451" s="390"/>
      <c r="AM451" s="391"/>
      <c r="AN451" s="390"/>
      <c r="AO451" s="391"/>
    </row>
    <row r="452" spans="1:41" s="201" customFormat="1" ht="12.75" hidden="1">
      <c r="A452" s="225" t="s">
        <v>393</v>
      </c>
      <c r="B452" s="226" t="s">
        <v>443</v>
      </c>
      <c r="C452" s="278"/>
      <c r="D452" s="225">
        <v>221634</v>
      </c>
      <c r="E452" s="225">
        <v>13</v>
      </c>
      <c r="F452" s="390">
        <v>3936</v>
      </c>
      <c r="G452" s="391">
        <v>3936</v>
      </c>
      <c r="H452" s="390"/>
      <c r="I452" s="391"/>
      <c r="J452" s="390"/>
      <c r="K452" s="391"/>
      <c r="L452" s="390"/>
      <c r="M452" s="391"/>
      <c r="N452" s="390"/>
      <c r="O452" s="391"/>
      <c r="P452" s="390"/>
      <c r="Q452" s="391"/>
      <c r="R452" s="390"/>
      <c r="S452" s="391"/>
      <c r="T452" s="390"/>
      <c r="U452" s="391"/>
      <c r="V452" s="390"/>
      <c r="W452" s="391"/>
      <c r="X452" s="390"/>
      <c r="Y452" s="391"/>
      <c r="Z452" s="390"/>
      <c r="AA452" s="391"/>
      <c r="AB452" s="390"/>
      <c r="AC452" s="391"/>
      <c r="AD452" s="390"/>
      <c r="AE452" s="391"/>
      <c r="AF452" s="390"/>
      <c r="AG452" s="391"/>
      <c r="AH452" s="390"/>
      <c r="AI452" s="391"/>
      <c r="AJ452" s="390"/>
      <c r="AK452" s="391"/>
      <c r="AL452" s="390"/>
      <c r="AM452" s="391"/>
      <c r="AN452" s="390"/>
      <c r="AO452" s="391"/>
    </row>
    <row r="453" spans="1:41" s="201" customFormat="1" ht="12.75" hidden="1">
      <c r="A453" s="225" t="s">
        <v>393</v>
      </c>
      <c r="B453" s="226" t="s">
        <v>444</v>
      </c>
      <c r="C453" s="227"/>
      <c r="D453" s="225">
        <v>221704</v>
      </c>
      <c r="E453" s="225">
        <v>15</v>
      </c>
      <c r="F453" s="390"/>
      <c r="G453" s="391"/>
      <c r="H453" s="390"/>
      <c r="I453" s="391"/>
      <c r="J453" s="390"/>
      <c r="K453" s="391"/>
      <c r="L453" s="390"/>
      <c r="M453" s="391"/>
      <c r="N453" s="390"/>
      <c r="O453" s="391"/>
      <c r="P453" s="390"/>
      <c r="Q453" s="391"/>
      <c r="R453" s="390">
        <v>39150</v>
      </c>
      <c r="S453" s="391">
        <v>39466</v>
      </c>
      <c r="T453" s="390">
        <v>72242</v>
      </c>
      <c r="U453" s="391">
        <v>65389</v>
      </c>
      <c r="V453" s="390">
        <v>38071</v>
      </c>
      <c r="W453" s="391">
        <v>38387</v>
      </c>
      <c r="X453" s="390">
        <v>76831</v>
      </c>
      <c r="Y453" s="391">
        <v>77147</v>
      </c>
      <c r="Z453" s="390">
        <v>26951</v>
      </c>
      <c r="AA453" s="391">
        <v>27685.5</v>
      </c>
      <c r="AB453" s="390">
        <v>31955</v>
      </c>
      <c r="AC453" s="391">
        <v>32689.5</v>
      </c>
      <c r="AD453" s="390"/>
      <c r="AE453" s="391"/>
      <c r="AF453" s="390"/>
      <c r="AG453" s="391"/>
      <c r="AH453" s="390"/>
      <c r="AI453" s="391"/>
      <c r="AJ453" s="390"/>
      <c r="AK453" s="391"/>
      <c r="AL453" s="390"/>
      <c r="AM453" s="391"/>
      <c r="AN453" s="390"/>
      <c r="AO453" s="391"/>
    </row>
    <row r="454" spans="1:41" s="201" customFormat="1" ht="12.75" hidden="1">
      <c r="A454" s="259" t="s">
        <v>507</v>
      </c>
      <c r="B454" s="260" t="s">
        <v>715</v>
      </c>
      <c r="C454" s="261"/>
      <c r="D454" s="259">
        <v>228723</v>
      </c>
      <c r="E454" s="259">
        <v>1</v>
      </c>
      <c r="F454" s="390">
        <v>11732</v>
      </c>
      <c r="G454" s="391">
        <v>12098</v>
      </c>
      <c r="H454" s="390">
        <v>37591</v>
      </c>
      <c r="I454" s="391">
        <v>39136</v>
      </c>
      <c r="J454" s="390">
        <v>11766.666666666701</v>
      </c>
      <c r="K454" s="391">
        <v>10708</v>
      </c>
      <c r="L454" s="390">
        <v>23789.333333333299</v>
      </c>
      <c r="M454" s="391">
        <v>22982.666666666701</v>
      </c>
      <c r="N454" s="390"/>
      <c r="O454" s="391"/>
      <c r="P454" s="390"/>
      <c r="Q454" s="391"/>
      <c r="R454" s="390"/>
      <c r="S454" s="391"/>
      <c r="T454" s="390"/>
      <c r="U454" s="391"/>
      <c r="V454" s="390"/>
      <c r="W454" s="391"/>
      <c r="X454" s="390"/>
      <c r="Y454" s="391"/>
      <c r="Z454" s="390"/>
      <c r="AA454" s="391"/>
      <c r="AB454" s="390"/>
      <c r="AC454" s="391"/>
      <c r="AD454" s="390"/>
      <c r="AE454" s="391"/>
      <c r="AF454" s="390"/>
      <c r="AG454" s="391"/>
      <c r="AH454" s="390"/>
      <c r="AI454" s="391"/>
      <c r="AJ454" s="390"/>
      <c r="AK454" s="391"/>
      <c r="AL454" s="390">
        <v>29584.799999999999</v>
      </c>
      <c r="AM454" s="391">
        <v>31430.400000000001</v>
      </c>
      <c r="AN454" s="390">
        <v>46144.800000000003</v>
      </c>
      <c r="AO454" s="391">
        <v>49426.8</v>
      </c>
    </row>
    <row r="455" spans="1:41" s="201" customFormat="1" ht="12.75" hidden="1">
      <c r="A455" s="259" t="s">
        <v>507</v>
      </c>
      <c r="B455" s="260" t="s">
        <v>716</v>
      </c>
      <c r="C455" s="261"/>
      <c r="D455" s="259">
        <v>229115</v>
      </c>
      <c r="E455" s="259">
        <v>1</v>
      </c>
      <c r="F455" s="390">
        <v>10946</v>
      </c>
      <c r="G455" s="391">
        <v>11234</v>
      </c>
      <c r="H455" s="390">
        <v>23770</v>
      </c>
      <c r="I455" s="391">
        <v>23870</v>
      </c>
      <c r="J455" s="390">
        <v>11938.666666666701</v>
      </c>
      <c r="K455" s="391">
        <v>11386.666666666701</v>
      </c>
      <c r="L455" s="390">
        <v>23005.333333333299</v>
      </c>
      <c r="M455" s="391">
        <v>21202.666666666701</v>
      </c>
      <c r="N455" s="390">
        <v>18523.2</v>
      </c>
      <c r="O455" s="391">
        <v>21617.142857142899</v>
      </c>
      <c r="P455" s="390">
        <v>27712</v>
      </c>
      <c r="Q455" s="391">
        <v>30713.142857142899</v>
      </c>
      <c r="R455" s="390"/>
      <c r="S455" s="391"/>
      <c r="T455" s="390"/>
      <c r="U455" s="391"/>
      <c r="V455" s="390"/>
      <c r="W455" s="391"/>
      <c r="X455" s="390"/>
      <c r="Y455" s="391"/>
      <c r="Z455" s="390"/>
      <c r="AA455" s="391"/>
      <c r="AB455" s="390"/>
      <c r="AC455" s="391"/>
      <c r="AD455" s="390"/>
      <c r="AE455" s="391"/>
      <c r="AF455" s="390"/>
      <c r="AG455" s="391"/>
      <c r="AH455" s="390"/>
      <c r="AI455" s="391"/>
      <c r="AJ455" s="390"/>
      <c r="AK455" s="391"/>
      <c r="AL455" s="390"/>
      <c r="AM455" s="391"/>
      <c r="AN455" s="390"/>
      <c r="AO455" s="391"/>
    </row>
    <row r="456" spans="1:41" s="201" customFormat="1" ht="12.75" hidden="1">
      <c r="A456" s="259" t="s">
        <v>507</v>
      </c>
      <c r="B456" s="260" t="s">
        <v>717</v>
      </c>
      <c r="C456" s="261"/>
      <c r="D456" s="259">
        <v>225511</v>
      </c>
      <c r="E456" s="259">
        <v>1</v>
      </c>
      <c r="F456" s="390">
        <v>12020</v>
      </c>
      <c r="G456" s="391">
        <v>12386</v>
      </c>
      <c r="H456" s="390">
        <v>26936</v>
      </c>
      <c r="I456" s="391">
        <v>26839</v>
      </c>
      <c r="J456" s="390">
        <v>9016</v>
      </c>
      <c r="K456" s="391">
        <v>11944</v>
      </c>
      <c r="L456" s="390">
        <v>21376</v>
      </c>
      <c r="M456" s="391">
        <v>24304</v>
      </c>
      <c r="N456" s="390">
        <v>25072.080000000002</v>
      </c>
      <c r="O456" s="391">
        <v>24912.48</v>
      </c>
      <c r="P456" s="390">
        <v>36712.080000000002</v>
      </c>
      <c r="Q456" s="391">
        <v>36720.480000000003</v>
      </c>
      <c r="R456" s="390"/>
      <c r="S456" s="391"/>
      <c r="T456" s="390"/>
      <c r="U456" s="391"/>
      <c r="V456" s="390"/>
      <c r="W456" s="391"/>
      <c r="X456" s="390"/>
      <c r="Y456" s="391"/>
      <c r="Z456" s="390">
        <v>25496</v>
      </c>
      <c r="AA456" s="398">
        <v>10152</v>
      </c>
      <c r="AB456" s="390">
        <v>38221.333333333299</v>
      </c>
      <c r="AC456" s="391">
        <v>22344</v>
      </c>
      <c r="AD456" s="390">
        <v>6807</v>
      </c>
      <c r="AE456" s="391">
        <v>6807</v>
      </c>
      <c r="AF456" s="390">
        <v>19023</v>
      </c>
      <c r="AG456" s="391">
        <v>19023</v>
      </c>
      <c r="AH456" s="390"/>
      <c r="AI456" s="391"/>
      <c r="AJ456" s="390"/>
      <c r="AK456" s="391"/>
      <c r="AL456" s="390"/>
      <c r="AM456" s="391"/>
      <c r="AN456" s="390"/>
      <c r="AO456" s="391"/>
    </row>
    <row r="457" spans="1:41" s="201" customFormat="1" ht="12.75" hidden="1">
      <c r="A457" s="259" t="s">
        <v>507</v>
      </c>
      <c r="B457" s="260" t="s">
        <v>718</v>
      </c>
      <c r="C457" s="261"/>
      <c r="D457" s="259">
        <v>227216</v>
      </c>
      <c r="E457" s="259">
        <v>1</v>
      </c>
      <c r="F457" s="390">
        <v>11838</v>
      </c>
      <c r="G457" s="391">
        <v>11952</v>
      </c>
      <c r="H457" s="390">
        <v>24372</v>
      </c>
      <c r="I457" s="391">
        <v>24654</v>
      </c>
      <c r="J457" s="390">
        <v>10877.333333333299</v>
      </c>
      <c r="K457" s="391">
        <v>10968</v>
      </c>
      <c r="L457" s="390">
        <v>21005.333333333299</v>
      </c>
      <c r="M457" s="391">
        <v>21096</v>
      </c>
      <c r="N457" s="390"/>
      <c r="O457" s="391"/>
      <c r="P457" s="390"/>
      <c r="Q457" s="391"/>
      <c r="R457" s="390"/>
      <c r="S457" s="391"/>
      <c r="T457" s="390"/>
      <c r="U457" s="391"/>
      <c r="V457" s="390"/>
      <c r="W457" s="391"/>
      <c r="X457" s="390"/>
      <c r="Y457" s="391"/>
      <c r="Z457" s="390"/>
      <c r="AA457" s="391"/>
      <c r="AB457" s="390"/>
      <c r="AC457" s="391"/>
      <c r="AD457" s="390"/>
      <c r="AE457" s="391"/>
      <c r="AF457" s="390"/>
      <c r="AG457" s="391"/>
      <c r="AH457" s="390"/>
      <c r="AI457" s="391"/>
      <c r="AJ457" s="390"/>
      <c r="AK457" s="391"/>
      <c r="AL457" s="390"/>
      <c r="AM457" s="391"/>
      <c r="AN457" s="390"/>
      <c r="AO457" s="391"/>
    </row>
    <row r="458" spans="1:41" s="201" customFormat="1" ht="12.75" hidden="1">
      <c r="A458" s="259" t="s">
        <v>507</v>
      </c>
      <c r="B458" s="260" t="s">
        <v>719</v>
      </c>
      <c r="C458" s="261"/>
      <c r="D458" s="259">
        <v>228769</v>
      </c>
      <c r="E458" s="259">
        <v>1</v>
      </c>
      <c r="F458" s="390">
        <v>11040</v>
      </c>
      <c r="G458" s="391">
        <v>11376</v>
      </c>
      <c r="H458" s="390">
        <v>27920</v>
      </c>
      <c r="I458" s="391">
        <v>28500</v>
      </c>
      <c r="J458" s="390">
        <v>14624</v>
      </c>
      <c r="K458" s="391">
        <v>15205.333333333299</v>
      </c>
      <c r="L458" s="390">
        <v>31077.333333333299</v>
      </c>
      <c r="M458" s="391">
        <v>33882.666666666701</v>
      </c>
      <c r="N458" s="390"/>
      <c r="O458" s="391"/>
      <c r="P458" s="390"/>
      <c r="Q458" s="391"/>
      <c r="R458" s="390"/>
      <c r="S458" s="391"/>
      <c r="T458" s="390"/>
      <c r="U458" s="391"/>
      <c r="V458" s="390"/>
      <c r="W458" s="391"/>
      <c r="X458" s="390"/>
      <c r="Y458" s="391"/>
      <c r="Z458" s="390"/>
      <c r="AA458" s="391"/>
      <c r="AB458" s="390"/>
      <c r="AC458" s="391"/>
      <c r="AD458" s="390"/>
      <c r="AE458" s="391"/>
      <c r="AF458" s="390"/>
      <c r="AG458" s="391"/>
      <c r="AH458" s="390"/>
      <c r="AI458" s="391"/>
      <c r="AJ458" s="390"/>
      <c r="AK458" s="391"/>
      <c r="AL458" s="390"/>
      <c r="AM458" s="391"/>
      <c r="AN458" s="390"/>
      <c r="AO458" s="391"/>
    </row>
    <row r="459" spans="1:41" s="201" customFormat="1" ht="12.75" hidden="1">
      <c r="A459" s="259" t="s">
        <v>507</v>
      </c>
      <c r="B459" s="260" t="s">
        <v>720</v>
      </c>
      <c r="C459" s="261"/>
      <c r="D459" s="259">
        <v>228778</v>
      </c>
      <c r="E459" s="259">
        <v>1</v>
      </c>
      <c r="F459" s="390">
        <v>10824</v>
      </c>
      <c r="G459" s="391">
        <v>11448</v>
      </c>
      <c r="H459" s="390">
        <v>36716</v>
      </c>
      <c r="I459" s="391">
        <v>37670</v>
      </c>
      <c r="J459" s="390">
        <v>14072</v>
      </c>
      <c r="K459" s="391">
        <v>14072</v>
      </c>
      <c r="L459" s="390">
        <v>25760</v>
      </c>
      <c r="M459" s="391">
        <v>25760</v>
      </c>
      <c r="N459" s="390">
        <v>29143.200000000001</v>
      </c>
      <c r="O459" s="391">
        <v>29143.200000000001</v>
      </c>
      <c r="P459" s="390">
        <v>42428</v>
      </c>
      <c r="Q459" s="391">
        <v>43276.800000000003</v>
      </c>
      <c r="R459" s="390"/>
      <c r="S459" s="391"/>
      <c r="T459" s="390"/>
      <c r="U459" s="391"/>
      <c r="V459" s="390"/>
      <c r="W459" s="391"/>
      <c r="X459" s="390"/>
      <c r="Y459" s="391"/>
      <c r="Z459" s="390">
        <v>21548</v>
      </c>
      <c r="AA459" s="391">
        <v>21548</v>
      </c>
      <c r="AB459" s="390">
        <v>49240</v>
      </c>
      <c r="AC459" s="391">
        <v>49240</v>
      </c>
      <c r="AD459" s="390"/>
      <c r="AE459" s="391"/>
      <c r="AF459" s="390"/>
      <c r="AG459" s="391"/>
      <c r="AH459" s="390"/>
      <c r="AI459" s="391"/>
      <c r="AJ459" s="390"/>
      <c r="AK459" s="391"/>
      <c r="AL459" s="390"/>
      <c r="AM459" s="391"/>
      <c r="AN459" s="390"/>
      <c r="AO459" s="391"/>
    </row>
    <row r="460" spans="1:41" s="201" customFormat="1" ht="12.75" hidden="1">
      <c r="A460" s="259" t="s">
        <v>507</v>
      </c>
      <c r="B460" s="260" t="s">
        <v>721</v>
      </c>
      <c r="C460" s="261"/>
      <c r="D460" s="259">
        <v>228787</v>
      </c>
      <c r="E460" s="259">
        <v>1</v>
      </c>
      <c r="F460" s="390">
        <v>13910</v>
      </c>
      <c r="G460" s="391">
        <v>15114</v>
      </c>
      <c r="H460" s="390">
        <v>38000</v>
      </c>
      <c r="I460" s="391">
        <v>39050</v>
      </c>
      <c r="J460" s="390">
        <v>18498.666666666701</v>
      </c>
      <c r="K460" s="391">
        <v>19712</v>
      </c>
      <c r="L460" s="390">
        <v>36893.333333333299</v>
      </c>
      <c r="M460" s="391">
        <v>38445.333333333299</v>
      </c>
      <c r="N460" s="390"/>
      <c r="O460" s="391"/>
      <c r="P460" s="390"/>
      <c r="Q460" s="391"/>
      <c r="R460" s="390"/>
      <c r="S460" s="391"/>
      <c r="T460" s="390"/>
      <c r="U460" s="391"/>
      <c r="V460" s="390"/>
      <c r="W460" s="391"/>
      <c r="X460" s="390"/>
      <c r="Y460" s="391"/>
      <c r="Z460" s="390"/>
      <c r="AA460" s="391"/>
      <c r="AB460" s="390"/>
      <c r="AC460" s="391"/>
      <c r="AD460" s="390"/>
      <c r="AE460" s="391"/>
      <c r="AF460" s="390"/>
      <c r="AG460" s="391"/>
      <c r="AH460" s="390"/>
      <c r="AI460" s="391"/>
      <c r="AJ460" s="390"/>
      <c r="AK460" s="391"/>
      <c r="AL460" s="390"/>
      <c r="AM460" s="391"/>
      <c r="AN460" s="390"/>
      <c r="AO460" s="391"/>
    </row>
    <row r="461" spans="1:41" ht="15" hidden="1" customHeight="1">
      <c r="A461" s="259" t="s">
        <v>507</v>
      </c>
      <c r="B461" s="260" t="s">
        <v>722</v>
      </c>
      <c r="C461" s="262"/>
      <c r="D461" s="259">
        <v>229027</v>
      </c>
      <c r="E461" s="259">
        <v>1</v>
      </c>
      <c r="F461" s="390">
        <v>10160</v>
      </c>
      <c r="G461" s="391">
        <v>10760</v>
      </c>
      <c r="H461" s="390">
        <v>24724</v>
      </c>
      <c r="I461" s="391">
        <v>25606</v>
      </c>
      <c r="J461" s="390">
        <v>10338.666666666701</v>
      </c>
      <c r="K461" s="391">
        <v>12064</v>
      </c>
      <c r="L461" s="390">
        <v>33714.666666666701</v>
      </c>
      <c r="M461" s="391">
        <v>35418.666666666701</v>
      </c>
      <c r="N461" s="390"/>
      <c r="O461" s="391"/>
      <c r="P461" s="390"/>
      <c r="Q461" s="391"/>
      <c r="R461" s="390"/>
      <c r="S461" s="391"/>
      <c r="T461" s="390"/>
      <c r="U461" s="391"/>
      <c r="V461" s="390"/>
      <c r="W461" s="391"/>
      <c r="X461" s="390"/>
      <c r="Y461" s="391"/>
      <c r="Z461" s="390"/>
      <c r="AA461" s="391"/>
      <c r="AB461" s="390"/>
      <c r="AC461" s="391"/>
      <c r="AD461" s="390"/>
      <c r="AE461" s="391"/>
      <c r="AF461" s="390"/>
      <c r="AG461" s="391"/>
      <c r="AH461" s="390"/>
      <c r="AI461" s="391"/>
      <c r="AJ461" s="390"/>
      <c r="AK461" s="391"/>
      <c r="AL461" s="390"/>
      <c r="AM461" s="391"/>
      <c r="AN461" s="390"/>
      <c r="AO461" s="391"/>
    </row>
    <row r="462" spans="1:41" ht="15" hidden="1" customHeight="1">
      <c r="A462" s="259" t="s">
        <v>507</v>
      </c>
      <c r="B462" s="280" t="s">
        <v>723</v>
      </c>
      <c r="C462" s="262"/>
      <c r="D462" s="259">
        <v>228459</v>
      </c>
      <c r="E462" s="259">
        <v>2</v>
      </c>
      <c r="F462" s="390">
        <v>11258</v>
      </c>
      <c r="G462" s="391">
        <v>11550</v>
      </c>
      <c r="H462" s="390">
        <v>23900</v>
      </c>
      <c r="I462" s="391">
        <v>23820</v>
      </c>
      <c r="J462" s="390">
        <v>10506.666666666701</v>
      </c>
      <c r="K462" s="391">
        <v>10746.666666666701</v>
      </c>
      <c r="L462" s="390">
        <v>20640</v>
      </c>
      <c r="M462" s="391">
        <v>20560</v>
      </c>
      <c r="N462" s="390"/>
      <c r="O462" s="391"/>
      <c r="P462" s="390"/>
      <c r="Q462" s="391"/>
      <c r="R462" s="390"/>
      <c r="S462" s="391"/>
      <c r="T462" s="390"/>
      <c r="U462" s="391"/>
      <c r="V462" s="390"/>
      <c r="W462" s="391"/>
      <c r="X462" s="390"/>
      <c r="Y462" s="391"/>
      <c r="Z462" s="390"/>
      <c r="AA462" s="391"/>
      <c r="AB462" s="390"/>
      <c r="AC462" s="391"/>
      <c r="AD462" s="390"/>
      <c r="AE462" s="391"/>
      <c r="AF462" s="390"/>
      <c r="AG462" s="391"/>
      <c r="AH462" s="390"/>
      <c r="AI462" s="391"/>
      <c r="AJ462" s="390"/>
      <c r="AK462" s="391"/>
      <c r="AL462" s="390"/>
      <c r="AM462" s="391"/>
      <c r="AN462" s="390"/>
      <c r="AO462" s="391"/>
    </row>
    <row r="463" spans="1:41" ht="15" hidden="1" customHeight="1">
      <c r="A463" s="259" t="s">
        <v>507</v>
      </c>
      <c r="B463" s="260" t="s">
        <v>724</v>
      </c>
      <c r="C463" s="380" t="s">
        <v>913</v>
      </c>
      <c r="D463" s="259">
        <v>229179</v>
      </c>
      <c r="E463" s="259">
        <v>2</v>
      </c>
      <c r="F463" s="390">
        <v>9846</v>
      </c>
      <c r="G463" s="391">
        <v>10158</v>
      </c>
      <c r="H463" s="390">
        <v>21930</v>
      </c>
      <c r="I463" s="391">
        <v>22290</v>
      </c>
      <c r="J463" s="390">
        <v>9624</v>
      </c>
      <c r="K463" s="391">
        <v>10224</v>
      </c>
      <c r="L463" s="390">
        <v>19584</v>
      </c>
      <c r="M463" s="391">
        <v>20352</v>
      </c>
      <c r="N463" s="390"/>
      <c r="O463" s="391"/>
      <c r="P463" s="390"/>
      <c r="Q463" s="391"/>
      <c r="R463" s="390"/>
      <c r="S463" s="391"/>
      <c r="T463" s="390"/>
      <c r="U463" s="391"/>
      <c r="V463" s="390"/>
      <c r="W463" s="391"/>
      <c r="X463" s="390"/>
      <c r="Y463" s="391"/>
      <c r="Z463" s="390"/>
      <c r="AA463" s="391"/>
      <c r="AB463" s="390"/>
      <c r="AC463" s="391"/>
      <c r="AD463" s="390"/>
      <c r="AE463" s="391"/>
      <c r="AF463" s="390"/>
      <c r="AG463" s="391"/>
      <c r="AH463" s="390"/>
      <c r="AI463" s="391"/>
      <c r="AJ463" s="390"/>
      <c r="AK463" s="391"/>
      <c r="AL463" s="390"/>
      <c r="AM463" s="391"/>
      <c r="AN463" s="390"/>
      <c r="AO463" s="391"/>
    </row>
    <row r="464" spans="1:41" ht="15" hidden="1" customHeight="1">
      <c r="A464" s="259" t="s">
        <v>507</v>
      </c>
      <c r="B464" s="260" t="s">
        <v>725</v>
      </c>
      <c r="C464" s="381" t="s">
        <v>914</v>
      </c>
      <c r="D464" s="259">
        <v>228796</v>
      </c>
      <c r="E464" s="259">
        <v>2</v>
      </c>
      <c r="F464" s="390">
        <v>9364</v>
      </c>
      <c r="G464" s="391">
        <v>9538</v>
      </c>
      <c r="H464" s="390">
        <v>23493</v>
      </c>
      <c r="I464" s="391">
        <v>23718</v>
      </c>
      <c r="J464" s="390">
        <v>8637.3333333333303</v>
      </c>
      <c r="K464" s="391">
        <v>8920</v>
      </c>
      <c r="L464" s="390">
        <v>20829.333333333299</v>
      </c>
      <c r="M464" s="391">
        <v>21218.666666666701</v>
      </c>
      <c r="N464" s="390"/>
      <c r="O464" s="391"/>
      <c r="P464" s="390"/>
      <c r="Q464" s="391"/>
      <c r="R464" s="390"/>
      <c r="S464" s="391"/>
      <c r="T464" s="390"/>
      <c r="U464" s="391"/>
      <c r="V464" s="390"/>
      <c r="W464" s="391"/>
      <c r="X464" s="390"/>
      <c r="Y464" s="391"/>
      <c r="Z464" s="390"/>
      <c r="AA464" s="391"/>
      <c r="AB464" s="390"/>
      <c r="AC464" s="391"/>
      <c r="AD464" s="390"/>
      <c r="AE464" s="391"/>
      <c r="AF464" s="390"/>
      <c r="AG464" s="391"/>
      <c r="AH464" s="390"/>
      <c r="AI464" s="391"/>
      <c r="AJ464" s="390"/>
      <c r="AK464" s="391"/>
      <c r="AL464" s="390"/>
      <c r="AM464" s="391"/>
      <c r="AN464" s="390"/>
      <c r="AO464" s="391"/>
    </row>
    <row r="465" spans="1:41" ht="15" hidden="1" customHeight="1">
      <c r="A465" s="259" t="s">
        <v>507</v>
      </c>
      <c r="B465" s="260" t="s">
        <v>726</v>
      </c>
      <c r="C465" s="281"/>
      <c r="D465" s="259">
        <v>222831</v>
      </c>
      <c r="E465" s="259">
        <v>3</v>
      </c>
      <c r="F465" s="390">
        <v>8722</v>
      </c>
      <c r="G465" s="391">
        <v>9010</v>
      </c>
      <c r="H465" s="390">
        <v>21380</v>
      </c>
      <c r="I465" s="391">
        <v>21280</v>
      </c>
      <c r="J465" s="390">
        <v>9146.6666666666697</v>
      </c>
      <c r="K465" s="391">
        <v>9378.6666666666697</v>
      </c>
      <c r="L465" s="390">
        <v>19273.333333333299</v>
      </c>
      <c r="M465" s="391">
        <v>19194.666666666701</v>
      </c>
      <c r="N465" s="390"/>
      <c r="O465" s="391"/>
      <c r="P465" s="390"/>
      <c r="Q465" s="391"/>
      <c r="R465" s="390"/>
      <c r="S465" s="391"/>
      <c r="T465" s="390"/>
      <c r="U465" s="391"/>
      <c r="V465" s="390"/>
      <c r="W465" s="391"/>
      <c r="X465" s="390"/>
      <c r="Y465" s="391"/>
      <c r="Z465" s="390"/>
      <c r="AA465" s="391"/>
      <c r="AB465" s="390"/>
      <c r="AC465" s="391"/>
      <c r="AD465" s="390"/>
      <c r="AE465" s="391"/>
      <c r="AF465" s="390"/>
      <c r="AG465" s="391"/>
      <c r="AH465" s="390"/>
      <c r="AI465" s="391"/>
      <c r="AJ465" s="390"/>
      <c r="AK465" s="391"/>
      <c r="AL465" s="390"/>
      <c r="AM465" s="391"/>
      <c r="AN465" s="390"/>
      <c r="AO465" s="391"/>
    </row>
    <row r="466" spans="1:41" ht="15" hidden="1" customHeight="1">
      <c r="A466" s="259" t="s">
        <v>507</v>
      </c>
      <c r="B466" s="260" t="s">
        <v>727</v>
      </c>
      <c r="C466" s="281"/>
      <c r="D466" s="259">
        <v>226091</v>
      </c>
      <c r="E466" s="259">
        <v>3</v>
      </c>
      <c r="F466" s="390">
        <v>10342</v>
      </c>
      <c r="G466" s="391">
        <v>10462</v>
      </c>
      <c r="H466" s="390">
        <v>23004</v>
      </c>
      <c r="I466" s="391">
        <v>22734</v>
      </c>
      <c r="J466" s="390">
        <v>11018.666666666701</v>
      </c>
      <c r="K466" s="391">
        <v>11114.666666666701</v>
      </c>
      <c r="L466" s="390">
        <v>25152</v>
      </c>
      <c r="M466" s="391">
        <v>20930.666666666701</v>
      </c>
      <c r="N466" s="390"/>
      <c r="O466" s="391"/>
      <c r="P466" s="390"/>
      <c r="Q466" s="391"/>
      <c r="R466" s="390"/>
      <c r="S466" s="391"/>
      <c r="T466" s="390"/>
      <c r="U466" s="391"/>
      <c r="V466" s="390"/>
      <c r="W466" s="391"/>
      <c r="X466" s="390"/>
      <c r="Y466" s="391"/>
      <c r="Z466" s="390"/>
      <c r="AA466" s="391"/>
      <c r="AB466" s="390"/>
      <c r="AC466" s="391"/>
      <c r="AD466" s="390"/>
      <c r="AE466" s="391"/>
      <c r="AF466" s="390"/>
      <c r="AG466" s="391"/>
      <c r="AH466" s="390"/>
      <c r="AI466" s="391"/>
      <c r="AJ466" s="390"/>
      <c r="AK466" s="391"/>
      <c r="AL466" s="390"/>
      <c r="AM466" s="391"/>
      <c r="AN466" s="390"/>
      <c r="AO466" s="391"/>
    </row>
    <row r="467" spans="1:41" ht="15" hidden="1" customHeight="1">
      <c r="A467" s="282" t="s">
        <v>507</v>
      </c>
      <c r="B467" s="260" t="s">
        <v>728</v>
      </c>
      <c r="C467" s="281"/>
      <c r="D467" s="259">
        <v>226833</v>
      </c>
      <c r="E467" s="259">
        <v>3</v>
      </c>
      <c r="F467" s="390">
        <v>9634</v>
      </c>
      <c r="G467" s="391">
        <v>9954</v>
      </c>
      <c r="H467" s="390">
        <v>11551</v>
      </c>
      <c r="I467" s="391">
        <v>11746</v>
      </c>
      <c r="J467" s="390">
        <v>8989.3333333333303</v>
      </c>
      <c r="K467" s="391">
        <v>9192</v>
      </c>
      <c r="L467" s="390">
        <v>10549.333333333299</v>
      </c>
      <c r="M467" s="391">
        <v>10752</v>
      </c>
      <c r="N467" s="390"/>
      <c r="O467" s="391"/>
      <c r="P467" s="390"/>
      <c r="Q467" s="391"/>
      <c r="R467" s="390"/>
      <c r="S467" s="391"/>
      <c r="T467" s="390"/>
      <c r="U467" s="391"/>
      <c r="V467" s="390"/>
      <c r="W467" s="391"/>
      <c r="X467" s="390"/>
      <c r="Y467" s="391"/>
      <c r="Z467" s="390"/>
      <c r="AA467" s="391"/>
      <c r="AB467" s="390"/>
      <c r="AC467" s="391"/>
      <c r="AD467" s="390"/>
      <c r="AE467" s="391"/>
      <c r="AF467" s="390"/>
      <c r="AG467" s="391"/>
      <c r="AH467" s="390"/>
      <c r="AI467" s="391"/>
      <c r="AJ467" s="390"/>
      <c r="AK467" s="391"/>
      <c r="AL467" s="390"/>
      <c r="AM467" s="391"/>
      <c r="AN467" s="390"/>
      <c r="AO467" s="391"/>
    </row>
    <row r="468" spans="1:41" ht="15" hidden="1" customHeight="1">
      <c r="A468" s="282" t="s">
        <v>507</v>
      </c>
      <c r="B468" s="260" t="s">
        <v>729</v>
      </c>
      <c r="C468" s="281"/>
      <c r="D468" s="259">
        <v>227526</v>
      </c>
      <c r="E468" s="259">
        <v>3</v>
      </c>
      <c r="F468" s="390">
        <v>10328</v>
      </c>
      <c r="G468" s="391">
        <v>10676</v>
      </c>
      <c r="H468" s="390">
        <v>25653</v>
      </c>
      <c r="I468" s="391">
        <v>26398</v>
      </c>
      <c r="J468" s="390">
        <v>10169.333333333299</v>
      </c>
      <c r="K468" s="391">
        <v>10468</v>
      </c>
      <c r="L468" s="390">
        <v>22117.333333333299</v>
      </c>
      <c r="M468" s="391">
        <v>22761.333333333299</v>
      </c>
      <c r="N468" s="390"/>
      <c r="O468" s="391"/>
      <c r="P468" s="390"/>
      <c r="Q468" s="391"/>
      <c r="R468" s="390"/>
      <c r="S468" s="391"/>
      <c r="T468" s="390"/>
      <c r="U468" s="391"/>
      <c r="V468" s="390"/>
      <c r="W468" s="391"/>
      <c r="X468" s="390"/>
      <c r="Y468" s="391"/>
      <c r="Z468" s="390"/>
      <c r="AA468" s="391"/>
      <c r="AB468" s="390"/>
      <c r="AC468" s="391"/>
      <c r="AD468" s="390"/>
      <c r="AE468" s="391"/>
      <c r="AF468" s="390"/>
      <c r="AG468" s="391"/>
      <c r="AH468" s="390"/>
      <c r="AI468" s="391"/>
      <c r="AJ468" s="390"/>
      <c r="AK468" s="391"/>
      <c r="AL468" s="390"/>
      <c r="AM468" s="391"/>
      <c r="AN468" s="390"/>
      <c r="AO468" s="391"/>
    </row>
    <row r="469" spans="1:41" ht="15" hidden="1" customHeight="1">
      <c r="A469" s="263" t="s">
        <v>507</v>
      </c>
      <c r="B469" s="260" t="s">
        <v>730</v>
      </c>
      <c r="C469" s="281"/>
      <c r="D469" s="259">
        <v>227881</v>
      </c>
      <c r="E469" s="259">
        <v>3</v>
      </c>
      <c r="F469" s="390">
        <v>10496</v>
      </c>
      <c r="G469" s="391">
        <v>10806</v>
      </c>
      <c r="H469" s="390">
        <v>22932</v>
      </c>
      <c r="I469" s="391">
        <v>23026</v>
      </c>
      <c r="J469" s="390">
        <v>11762.666666666701</v>
      </c>
      <c r="K469" s="391">
        <v>12277.333333333299</v>
      </c>
      <c r="L469" s="390">
        <v>22829.333333333299</v>
      </c>
      <c r="M469" s="391">
        <v>23184</v>
      </c>
      <c r="N469" s="390"/>
      <c r="O469" s="391"/>
      <c r="P469" s="390"/>
      <c r="Q469" s="391"/>
      <c r="R469" s="390"/>
      <c r="S469" s="391"/>
      <c r="T469" s="390"/>
      <c r="U469" s="391"/>
      <c r="V469" s="390"/>
      <c r="W469" s="391"/>
      <c r="X469" s="390"/>
      <c r="Y469" s="391"/>
      <c r="Z469" s="390"/>
      <c r="AA469" s="391"/>
      <c r="AB469" s="390"/>
      <c r="AC469" s="391"/>
      <c r="AD469" s="390"/>
      <c r="AE469" s="391"/>
      <c r="AF469" s="390"/>
      <c r="AG469" s="391"/>
      <c r="AH469" s="390"/>
      <c r="AI469" s="391"/>
      <c r="AJ469" s="390"/>
      <c r="AK469" s="391"/>
      <c r="AL469" s="390"/>
      <c r="AM469" s="391"/>
      <c r="AN469" s="390"/>
      <c r="AO469" s="391"/>
    </row>
    <row r="470" spans="1:41" ht="15" hidden="1" customHeight="1">
      <c r="A470" s="263" t="s">
        <v>507</v>
      </c>
      <c r="B470" s="260" t="s">
        <v>731</v>
      </c>
      <c r="C470" s="281"/>
      <c r="D470" s="259">
        <v>228431</v>
      </c>
      <c r="E470" s="259">
        <v>3</v>
      </c>
      <c r="F470" s="390">
        <v>11030</v>
      </c>
      <c r="G470" s="391">
        <v>10704</v>
      </c>
      <c r="H470" s="390">
        <v>23398</v>
      </c>
      <c r="I470" s="391">
        <v>22870</v>
      </c>
      <c r="J470" s="390">
        <v>9696</v>
      </c>
      <c r="K470" s="391">
        <v>9912</v>
      </c>
      <c r="L470" s="390">
        <v>19656</v>
      </c>
      <c r="M470" s="391">
        <v>19728</v>
      </c>
      <c r="N470" s="390"/>
      <c r="O470" s="391"/>
      <c r="P470" s="390"/>
      <c r="Q470" s="391"/>
      <c r="R470" s="390"/>
      <c r="S470" s="391"/>
      <c r="T470" s="390"/>
      <c r="U470" s="391"/>
      <c r="V470" s="390"/>
      <c r="W470" s="391"/>
      <c r="X470" s="390"/>
      <c r="Y470" s="391"/>
      <c r="Z470" s="390"/>
      <c r="AA470" s="391"/>
      <c r="AB470" s="390"/>
      <c r="AC470" s="391"/>
      <c r="AD470" s="390"/>
      <c r="AE470" s="391"/>
      <c r="AF470" s="390"/>
      <c r="AG470" s="391"/>
      <c r="AH470" s="390"/>
      <c r="AI470" s="391"/>
      <c r="AJ470" s="390"/>
      <c r="AK470" s="391"/>
      <c r="AL470" s="390"/>
      <c r="AM470" s="391"/>
      <c r="AN470" s="390"/>
      <c r="AO470" s="391"/>
    </row>
    <row r="471" spans="1:41" ht="15" hidden="1" customHeight="1">
      <c r="A471" s="259" t="s">
        <v>507</v>
      </c>
      <c r="B471" s="260" t="s">
        <v>732</v>
      </c>
      <c r="C471" s="281"/>
      <c r="D471" s="259">
        <v>228501</v>
      </c>
      <c r="E471" s="259">
        <v>3</v>
      </c>
      <c r="F471" s="390">
        <v>8586</v>
      </c>
      <c r="G471" s="391">
        <v>8808</v>
      </c>
      <c r="H471" s="390">
        <v>21214</v>
      </c>
      <c r="I471" s="391">
        <v>21046</v>
      </c>
      <c r="J471" s="390">
        <v>7464</v>
      </c>
      <c r="K471" s="391">
        <v>7662.6666666666697</v>
      </c>
      <c r="L471" s="390">
        <v>17592</v>
      </c>
      <c r="M471" s="391">
        <v>17477.333333333299</v>
      </c>
      <c r="N471" s="390"/>
      <c r="O471" s="391"/>
      <c r="P471" s="390"/>
      <c r="Q471" s="391"/>
      <c r="R471" s="390"/>
      <c r="S471" s="391"/>
      <c r="T471" s="390"/>
      <c r="U471" s="391"/>
      <c r="V471" s="390"/>
      <c r="W471" s="391"/>
      <c r="X471" s="390"/>
      <c r="Y471" s="391"/>
      <c r="Z471" s="390"/>
      <c r="AA471" s="391"/>
      <c r="AB471" s="390"/>
      <c r="AC471" s="391"/>
      <c r="AD471" s="390"/>
      <c r="AE471" s="391"/>
      <c r="AF471" s="390"/>
      <c r="AG471" s="391"/>
      <c r="AH471" s="390"/>
      <c r="AI471" s="391"/>
      <c r="AJ471" s="390"/>
      <c r="AK471" s="391"/>
      <c r="AL471" s="390"/>
      <c r="AM471" s="391"/>
      <c r="AN471" s="390"/>
      <c r="AO471" s="391"/>
    </row>
    <row r="472" spans="1:41" ht="15" hidden="1" customHeight="1">
      <c r="A472" s="259" t="s">
        <v>507</v>
      </c>
      <c r="B472" s="260" t="s">
        <v>733</v>
      </c>
      <c r="C472" s="281"/>
      <c r="D472" s="259">
        <v>228529</v>
      </c>
      <c r="E472" s="259">
        <v>3</v>
      </c>
      <c r="F472" s="390">
        <v>9708</v>
      </c>
      <c r="G472" s="391">
        <v>10312</v>
      </c>
      <c r="H472" s="390">
        <v>21618</v>
      </c>
      <c r="I472" s="391">
        <v>21799</v>
      </c>
      <c r="J472" s="390">
        <v>9353.3333333333303</v>
      </c>
      <c r="K472" s="391">
        <v>9880</v>
      </c>
      <c r="L472" s="390">
        <v>19614.666666666701</v>
      </c>
      <c r="M472" s="391">
        <v>19696</v>
      </c>
      <c r="N472" s="390"/>
      <c r="O472" s="391"/>
      <c r="P472" s="390"/>
      <c r="Q472" s="391"/>
      <c r="R472" s="390"/>
      <c r="S472" s="391"/>
      <c r="T472" s="390"/>
      <c r="U472" s="391"/>
      <c r="V472" s="390"/>
      <c r="W472" s="391"/>
      <c r="X472" s="390"/>
      <c r="Y472" s="391"/>
      <c r="Z472" s="390"/>
      <c r="AA472" s="391"/>
      <c r="AB472" s="390"/>
      <c r="AC472" s="391"/>
      <c r="AD472" s="390"/>
      <c r="AE472" s="391"/>
      <c r="AF472" s="390"/>
      <c r="AG472" s="391"/>
      <c r="AH472" s="390"/>
      <c r="AI472" s="391"/>
      <c r="AJ472" s="390"/>
      <c r="AK472" s="391"/>
      <c r="AL472" s="390"/>
      <c r="AM472" s="391"/>
      <c r="AN472" s="390"/>
      <c r="AO472" s="391"/>
    </row>
    <row r="473" spans="1:41" ht="15" hidden="1" customHeight="1">
      <c r="A473" s="259" t="s">
        <v>507</v>
      </c>
      <c r="B473" s="260" t="s">
        <v>734</v>
      </c>
      <c r="C473" s="281"/>
      <c r="D473" s="259">
        <v>226152</v>
      </c>
      <c r="E473" s="259">
        <v>3</v>
      </c>
      <c r="F473" s="390">
        <v>8844</v>
      </c>
      <c r="G473" s="391">
        <v>9254</v>
      </c>
      <c r="H473" s="390">
        <v>23002</v>
      </c>
      <c r="I473" s="391">
        <v>23390</v>
      </c>
      <c r="J473" s="390">
        <v>8253.3333333333303</v>
      </c>
      <c r="K473" s="391">
        <v>8612</v>
      </c>
      <c r="L473" s="390">
        <v>19794.666666666701</v>
      </c>
      <c r="M473" s="391">
        <v>20141.333333333299</v>
      </c>
      <c r="N473" s="390"/>
      <c r="O473" s="391"/>
      <c r="P473" s="390"/>
      <c r="Q473" s="391"/>
      <c r="R473" s="390"/>
      <c r="S473" s="391"/>
      <c r="T473" s="390"/>
      <c r="U473" s="391"/>
      <c r="V473" s="390"/>
      <c r="W473" s="391"/>
      <c r="X473" s="390"/>
      <c r="Y473" s="391"/>
      <c r="Z473" s="390"/>
      <c r="AA473" s="391"/>
      <c r="AB473" s="390"/>
      <c r="AC473" s="391"/>
      <c r="AD473" s="390"/>
      <c r="AE473" s="391"/>
      <c r="AF473" s="390"/>
      <c r="AG473" s="391"/>
      <c r="AH473" s="390"/>
      <c r="AI473" s="391"/>
      <c r="AJ473" s="390"/>
      <c r="AK473" s="391"/>
      <c r="AL473" s="390"/>
      <c r="AM473" s="391"/>
      <c r="AN473" s="390"/>
      <c r="AO473" s="391"/>
    </row>
    <row r="474" spans="1:41" ht="15" hidden="1" customHeight="1">
      <c r="A474" s="259" t="s">
        <v>507</v>
      </c>
      <c r="B474" s="260" t="s">
        <v>735</v>
      </c>
      <c r="C474" s="281"/>
      <c r="D474" s="259">
        <v>224554</v>
      </c>
      <c r="E474" s="259">
        <v>3</v>
      </c>
      <c r="F474" s="390">
        <v>8958</v>
      </c>
      <c r="G474" s="391">
        <v>9820</v>
      </c>
      <c r="H474" s="390">
        <v>21618</v>
      </c>
      <c r="I474" s="391">
        <v>22090</v>
      </c>
      <c r="J474" s="390">
        <v>8770.6666666666697</v>
      </c>
      <c r="K474" s="391">
        <v>9584</v>
      </c>
      <c r="L474" s="390">
        <v>18898.666666666701</v>
      </c>
      <c r="M474" s="391">
        <v>19400</v>
      </c>
      <c r="N474" s="390"/>
      <c r="O474" s="391"/>
      <c r="P474" s="390"/>
      <c r="Q474" s="391"/>
      <c r="R474" s="390"/>
      <c r="S474" s="391"/>
      <c r="T474" s="390"/>
      <c r="U474" s="391"/>
      <c r="V474" s="390"/>
      <c r="W474" s="391"/>
      <c r="X474" s="390"/>
      <c r="Y474" s="391"/>
      <c r="Z474" s="390"/>
      <c r="AA474" s="391"/>
      <c r="AB474" s="390"/>
      <c r="AC474" s="391"/>
      <c r="AD474" s="390"/>
      <c r="AE474" s="391"/>
      <c r="AF474" s="390"/>
      <c r="AG474" s="391"/>
      <c r="AH474" s="390"/>
      <c r="AI474" s="391"/>
      <c r="AJ474" s="390"/>
      <c r="AK474" s="391"/>
      <c r="AL474" s="390"/>
      <c r="AM474" s="391"/>
      <c r="AN474" s="390"/>
      <c r="AO474" s="391"/>
    </row>
    <row r="475" spans="1:41" ht="15" hidden="1" customHeight="1">
      <c r="A475" s="259" t="s">
        <v>507</v>
      </c>
      <c r="B475" s="260" t="s">
        <v>736</v>
      </c>
      <c r="C475" s="281" t="s">
        <v>635</v>
      </c>
      <c r="D475" s="259">
        <v>224147</v>
      </c>
      <c r="E475" s="259">
        <v>3</v>
      </c>
      <c r="F475" s="390">
        <v>9838</v>
      </c>
      <c r="G475" s="391">
        <v>10142</v>
      </c>
      <c r="H475" s="390">
        <v>23338</v>
      </c>
      <c r="I475" s="391">
        <v>23937</v>
      </c>
      <c r="J475" s="390">
        <v>10005.333333333299</v>
      </c>
      <c r="K475" s="391">
        <v>10312</v>
      </c>
      <c r="L475" s="390">
        <v>22681.333333333299</v>
      </c>
      <c r="M475" s="391">
        <v>23130.666666666701</v>
      </c>
      <c r="N475" s="390"/>
      <c r="O475" s="391"/>
      <c r="P475" s="390"/>
      <c r="Q475" s="391"/>
      <c r="R475" s="390"/>
      <c r="S475" s="391"/>
      <c r="T475" s="390"/>
      <c r="U475" s="391"/>
      <c r="V475" s="390"/>
      <c r="W475" s="391"/>
      <c r="X475" s="390"/>
      <c r="Y475" s="391"/>
      <c r="Z475" s="390"/>
      <c r="AA475" s="391"/>
      <c r="AB475" s="390"/>
      <c r="AC475" s="391"/>
      <c r="AD475" s="390"/>
      <c r="AE475" s="391"/>
      <c r="AF475" s="390"/>
      <c r="AG475" s="391"/>
      <c r="AH475" s="390"/>
      <c r="AI475" s="391"/>
      <c r="AJ475" s="390"/>
      <c r="AK475" s="391"/>
      <c r="AL475" s="390"/>
      <c r="AM475" s="391"/>
      <c r="AN475" s="390"/>
      <c r="AO475" s="391"/>
    </row>
    <row r="476" spans="1:41" ht="15" hidden="1" customHeight="1">
      <c r="A476" s="259" t="s">
        <v>507</v>
      </c>
      <c r="B476" s="260" t="s">
        <v>737</v>
      </c>
      <c r="C476" s="281"/>
      <c r="D476" s="259">
        <v>228705</v>
      </c>
      <c r="E476" s="259">
        <v>3</v>
      </c>
      <c r="F476" s="390">
        <v>8478</v>
      </c>
      <c r="G476" s="391">
        <v>8914</v>
      </c>
      <c r="H476" s="390">
        <v>24687</v>
      </c>
      <c r="I476" s="391">
        <v>25266</v>
      </c>
      <c r="J476" s="390">
        <v>7602.6666666666697</v>
      </c>
      <c r="K476" s="391">
        <v>8040</v>
      </c>
      <c r="L476" s="390">
        <v>18350.666666666701</v>
      </c>
      <c r="M476" s="391">
        <v>18756</v>
      </c>
      <c r="N476" s="390"/>
      <c r="O476" s="391"/>
      <c r="P476" s="390"/>
      <c r="Q476" s="391"/>
      <c r="R476" s="390"/>
      <c r="S476" s="391"/>
      <c r="T476" s="390"/>
      <c r="U476" s="391"/>
      <c r="V476" s="390"/>
      <c r="W476" s="391"/>
      <c r="X476" s="390"/>
      <c r="Y476" s="391"/>
      <c r="Z476" s="390"/>
      <c r="AA476" s="391"/>
      <c r="AB476" s="390"/>
      <c r="AC476" s="391"/>
      <c r="AD476" s="390"/>
      <c r="AE476" s="391"/>
      <c r="AF476" s="390"/>
      <c r="AG476" s="391"/>
      <c r="AH476" s="390"/>
      <c r="AI476" s="391"/>
      <c r="AJ476" s="390"/>
      <c r="AK476" s="391"/>
      <c r="AL476" s="390"/>
      <c r="AM476" s="391"/>
      <c r="AN476" s="390"/>
      <c r="AO476" s="391"/>
    </row>
    <row r="477" spans="1:41" ht="15" hidden="1" customHeight="1">
      <c r="A477" s="259" t="s">
        <v>507</v>
      </c>
      <c r="B477" s="260" t="s">
        <v>738</v>
      </c>
      <c r="C477" s="281"/>
      <c r="D477" s="259">
        <v>229063</v>
      </c>
      <c r="E477" s="259">
        <v>3</v>
      </c>
      <c r="F477" s="390">
        <v>9174</v>
      </c>
      <c r="G477" s="391">
        <v>9174</v>
      </c>
      <c r="H477" s="390">
        <v>21834</v>
      </c>
      <c r="I477" s="391">
        <v>21834</v>
      </c>
      <c r="J477" s="390">
        <v>10212</v>
      </c>
      <c r="K477" s="391">
        <v>10212</v>
      </c>
      <c r="L477" s="390">
        <v>20146.666666666701</v>
      </c>
      <c r="M477" s="391">
        <v>20146.666666666701</v>
      </c>
      <c r="N477" s="390">
        <v>21037.71</v>
      </c>
      <c r="O477" s="391">
        <v>21037.71</v>
      </c>
      <c r="P477" s="390">
        <v>27618</v>
      </c>
      <c r="Q477" s="391">
        <v>28694.71</v>
      </c>
      <c r="R477" s="390"/>
      <c r="S477" s="391"/>
      <c r="T477" s="390"/>
      <c r="U477" s="391"/>
      <c r="V477" s="390"/>
      <c r="W477" s="391"/>
      <c r="X477" s="390"/>
      <c r="Y477" s="391"/>
      <c r="Z477" s="390">
        <v>23698.666666666701</v>
      </c>
      <c r="AA477" s="391">
        <v>20512</v>
      </c>
      <c r="AB477" s="390">
        <v>33145.333333333299</v>
      </c>
      <c r="AC477" s="391">
        <v>33392</v>
      </c>
      <c r="AD477" s="390"/>
      <c r="AE477" s="391"/>
      <c r="AF477" s="390"/>
      <c r="AG477" s="391"/>
      <c r="AH477" s="390"/>
      <c r="AI477" s="391"/>
      <c r="AJ477" s="390"/>
      <c r="AK477" s="391"/>
      <c r="AL477" s="390"/>
      <c r="AM477" s="391"/>
      <c r="AN477" s="390"/>
      <c r="AO477" s="391"/>
    </row>
    <row r="478" spans="1:41" ht="15" hidden="1" customHeight="1">
      <c r="A478" s="259" t="s">
        <v>507</v>
      </c>
      <c r="B478" s="260" t="s">
        <v>739</v>
      </c>
      <c r="C478" s="281"/>
      <c r="D478" s="259">
        <v>225414</v>
      </c>
      <c r="E478" s="259">
        <v>3</v>
      </c>
      <c r="F478" s="390">
        <v>8780</v>
      </c>
      <c r="G478" s="391">
        <v>9314</v>
      </c>
      <c r="H478" s="390">
        <v>24545</v>
      </c>
      <c r="I478" s="391">
        <v>25772</v>
      </c>
      <c r="J478" s="390">
        <v>12461.333333333299</v>
      </c>
      <c r="K478" s="391">
        <v>13122.666666666701</v>
      </c>
      <c r="L478" s="390">
        <v>25157.333333333299</v>
      </c>
      <c r="M478" s="391">
        <v>25674.666666666701</v>
      </c>
      <c r="N478" s="390"/>
      <c r="O478" s="391"/>
      <c r="P478" s="390"/>
      <c r="Q478" s="391"/>
      <c r="R478" s="390"/>
      <c r="S478" s="391"/>
      <c r="T478" s="390"/>
      <c r="U478" s="391"/>
      <c r="V478" s="390"/>
      <c r="W478" s="391"/>
      <c r="X478" s="390"/>
      <c r="Y478" s="391"/>
      <c r="Z478" s="390"/>
      <c r="AA478" s="391"/>
      <c r="AB478" s="390"/>
      <c r="AC478" s="391"/>
      <c r="AD478" s="390"/>
      <c r="AE478" s="391"/>
      <c r="AF478" s="390"/>
      <c r="AG478" s="391"/>
      <c r="AH478" s="390"/>
      <c r="AI478" s="391"/>
      <c r="AJ478" s="390"/>
      <c r="AK478" s="391"/>
      <c r="AL478" s="390"/>
      <c r="AM478" s="391"/>
      <c r="AN478" s="390"/>
      <c r="AO478" s="391"/>
    </row>
    <row r="479" spans="1:41" ht="15" hidden="1" customHeight="1">
      <c r="A479" s="259" t="s">
        <v>507</v>
      </c>
      <c r="B479" s="260" t="s">
        <v>740</v>
      </c>
      <c r="C479" s="281"/>
      <c r="D479" s="259">
        <v>228802</v>
      </c>
      <c r="E479" s="259">
        <v>3</v>
      </c>
      <c r="F479" s="390">
        <v>8512</v>
      </c>
      <c r="G479" s="391">
        <v>8982</v>
      </c>
      <c r="H479" s="390">
        <v>22752</v>
      </c>
      <c r="I479" s="391">
        <v>23736</v>
      </c>
      <c r="J479" s="390">
        <v>10104</v>
      </c>
      <c r="K479" s="391">
        <v>10536</v>
      </c>
      <c r="L479" s="390">
        <v>22464</v>
      </c>
      <c r="M479" s="391">
        <v>22136</v>
      </c>
      <c r="N479" s="390"/>
      <c r="O479" s="391"/>
      <c r="P479" s="390"/>
      <c r="Q479" s="391"/>
      <c r="R479" s="390"/>
      <c r="S479" s="391"/>
      <c r="T479" s="390"/>
      <c r="U479" s="391"/>
      <c r="V479" s="390"/>
      <c r="W479" s="391"/>
      <c r="X479" s="390"/>
      <c r="Y479" s="391"/>
      <c r="Z479" s="390"/>
      <c r="AA479" s="391"/>
      <c r="AB479" s="390"/>
      <c r="AC479" s="391"/>
      <c r="AD479" s="390"/>
      <c r="AE479" s="391"/>
      <c r="AF479" s="390"/>
      <c r="AG479" s="391"/>
      <c r="AH479" s="390"/>
      <c r="AI479" s="391"/>
      <c r="AJ479" s="390"/>
      <c r="AK479" s="391"/>
      <c r="AL479" s="390"/>
      <c r="AM479" s="391"/>
      <c r="AN479" s="390"/>
      <c r="AO479" s="391"/>
    </row>
    <row r="480" spans="1:41" ht="15" hidden="1" customHeight="1">
      <c r="A480" s="259" t="s">
        <v>507</v>
      </c>
      <c r="B480" s="283" t="s">
        <v>741</v>
      </c>
      <c r="C480" s="281"/>
      <c r="D480" s="259">
        <v>229018</v>
      </c>
      <c r="E480" s="259">
        <v>3</v>
      </c>
      <c r="F480" s="390">
        <v>8172</v>
      </c>
      <c r="G480" s="391">
        <v>8686</v>
      </c>
      <c r="H480" s="390">
        <v>20834</v>
      </c>
      <c r="I480" s="391">
        <v>21076</v>
      </c>
      <c r="J480" s="390">
        <v>8254.6666666666697</v>
      </c>
      <c r="K480" s="391">
        <v>8586.6666666666697</v>
      </c>
      <c r="L480" s="390">
        <v>18214.666666666701</v>
      </c>
      <c r="M480" s="391">
        <v>18402.666666666701</v>
      </c>
      <c r="N480" s="390"/>
      <c r="O480" s="391"/>
      <c r="P480" s="390"/>
      <c r="Q480" s="391"/>
      <c r="R480" s="390"/>
      <c r="S480" s="391"/>
      <c r="T480" s="390"/>
      <c r="U480" s="391"/>
      <c r="V480" s="390"/>
      <c r="W480" s="391"/>
      <c r="X480" s="390"/>
      <c r="Y480" s="391"/>
      <c r="Z480" s="390"/>
      <c r="AA480" s="391"/>
      <c r="AB480" s="390"/>
      <c r="AC480" s="391"/>
      <c r="AD480" s="390"/>
      <c r="AE480" s="391"/>
      <c r="AF480" s="390"/>
      <c r="AG480" s="391"/>
      <c r="AH480" s="390"/>
      <c r="AI480" s="391"/>
      <c r="AJ480" s="390"/>
      <c r="AK480" s="391"/>
      <c r="AL480" s="390"/>
      <c r="AM480" s="391"/>
      <c r="AN480" s="390"/>
      <c r="AO480" s="391"/>
    </row>
    <row r="481" spans="1:41" ht="15" hidden="1" customHeight="1">
      <c r="A481" s="263" t="s">
        <v>507</v>
      </c>
      <c r="B481" s="280" t="s">
        <v>742</v>
      </c>
      <c r="C481" s="281"/>
      <c r="D481" s="259">
        <v>227368</v>
      </c>
      <c r="E481" s="259">
        <v>3</v>
      </c>
      <c r="F481" s="390">
        <v>7706</v>
      </c>
      <c r="G481" s="391">
        <v>8090</v>
      </c>
      <c r="H481" s="390">
        <v>20792</v>
      </c>
      <c r="I481" s="391">
        <v>21187</v>
      </c>
      <c r="J481" s="390">
        <v>9504</v>
      </c>
      <c r="K481" s="391">
        <v>10385.333333333299</v>
      </c>
      <c r="L481" s="390">
        <v>19632</v>
      </c>
      <c r="M481" s="391">
        <v>20201.333333333299</v>
      </c>
      <c r="N481" s="390"/>
      <c r="O481" s="391"/>
      <c r="P481" s="390"/>
      <c r="Q481" s="391"/>
      <c r="R481" s="390"/>
      <c r="S481" s="391"/>
      <c r="T481" s="390"/>
      <c r="U481" s="391"/>
      <c r="V481" s="390"/>
      <c r="W481" s="391"/>
      <c r="X481" s="390"/>
      <c r="Y481" s="391"/>
      <c r="Z481" s="390"/>
      <c r="AA481" s="391"/>
      <c r="AB481" s="390"/>
      <c r="AC481" s="391"/>
      <c r="AD481" s="390"/>
      <c r="AE481" s="391"/>
      <c r="AF481" s="390"/>
      <c r="AG481" s="391"/>
      <c r="AH481" s="390"/>
      <c r="AI481" s="391"/>
      <c r="AJ481" s="390"/>
      <c r="AK481" s="391"/>
      <c r="AL481" s="390"/>
      <c r="AM481" s="391"/>
      <c r="AN481" s="390"/>
      <c r="AO481" s="391"/>
    </row>
    <row r="482" spans="1:41" ht="15" hidden="1" customHeight="1">
      <c r="A482" s="259" t="s">
        <v>507</v>
      </c>
      <c r="B482" s="260" t="s">
        <v>743</v>
      </c>
      <c r="C482" s="281"/>
      <c r="D482" s="259">
        <v>229814</v>
      </c>
      <c r="E482" s="259">
        <v>3</v>
      </c>
      <c r="F482" s="390">
        <v>8704</v>
      </c>
      <c r="G482" s="391">
        <v>9030</v>
      </c>
      <c r="H482" s="390">
        <v>22034</v>
      </c>
      <c r="I482" s="391">
        <v>23342</v>
      </c>
      <c r="J482" s="390">
        <v>9173.3333333333303</v>
      </c>
      <c r="K482" s="391">
        <v>9556</v>
      </c>
      <c r="L482" s="390">
        <v>19712</v>
      </c>
      <c r="M482" s="391">
        <v>20468</v>
      </c>
      <c r="N482" s="390"/>
      <c r="O482" s="391"/>
      <c r="P482" s="390"/>
      <c r="Q482" s="391"/>
      <c r="R482" s="390"/>
      <c r="S482" s="391"/>
      <c r="T482" s="390"/>
      <c r="U482" s="391"/>
      <c r="V482" s="390"/>
      <c r="W482" s="391"/>
      <c r="X482" s="390"/>
      <c r="Y482" s="391"/>
      <c r="Z482" s="390"/>
      <c r="AA482" s="391"/>
      <c r="AB482" s="390"/>
      <c r="AC482" s="391"/>
      <c r="AD482" s="390"/>
      <c r="AE482" s="391"/>
      <c r="AF482" s="390"/>
      <c r="AG482" s="391"/>
      <c r="AH482" s="390"/>
      <c r="AI482" s="391"/>
      <c r="AJ482" s="390"/>
      <c r="AK482" s="391"/>
      <c r="AL482" s="390"/>
      <c r="AM482" s="391"/>
      <c r="AN482" s="390"/>
      <c r="AO482" s="391"/>
    </row>
    <row r="483" spans="1:41" ht="15" hidden="1" customHeight="1">
      <c r="A483" s="259" t="s">
        <v>507</v>
      </c>
      <c r="B483" s="260" t="s">
        <v>744</v>
      </c>
      <c r="C483" s="281"/>
      <c r="D483" s="259">
        <v>224545</v>
      </c>
      <c r="E483" s="259">
        <v>4</v>
      </c>
      <c r="F483" s="390">
        <v>8474</v>
      </c>
      <c r="G483" s="391">
        <v>8722</v>
      </c>
      <c r="H483" s="390">
        <v>23870</v>
      </c>
      <c r="I483" s="391">
        <v>24523</v>
      </c>
      <c r="J483" s="390">
        <v>7453.3333333333303</v>
      </c>
      <c r="K483" s="391">
        <v>7617.3333333333303</v>
      </c>
      <c r="L483" s="390">
        <v>19466.666666666701</v>
      </c>
      <c r="M483" s="391">
        <v>19992</v>
      </c>
      <c r="N483" s="390"/>
      <c r="O483" s="391"/>
      <c r="P483" s="390"/>
      <c r="Q483" s="391"/>
      <c r="R483" s="390"/>
      <c r="S483" s="391"/>
      <c r="T483" s="390"/>
      <c r="U483" s="391"/>
      <c r="V483" s="390"/>
      <c r="W483" s="391"/>
      <c r="X483" s="390"/>
      <c r="Y483" s="391"/>
      <c r="Z483" s="390"/>
      <c r="AA483" s="391"/>
      <c r="AB483" s="390"/>
      <c r="AC483" s="391"/>
      <c r="AD483" s="390"/>
      <c r="AE483" s="391"/>
      <c r="AF483" s="390"/>
      <c r="AG483" s="391"/>
      <c r="AH483" s="390"/>
      <c r="AI483" s="391"/>
      <c r="AJ483" s="390"/>
      <c r="AK483" s="391"/>
      <c r="AL483" s="390"/>
      <c r="AM483" s="391"/>
      <c r="AN483" s="390"/>
      <c r="AO483" s="391"/>
    </row>
    <row r="484" spans="1:41" ht="15" hidden="1" customHeight="1">
      <c r="A484" s="259" t="s">
        <v>507</v>
      </c>
      <c r="B484" s="260" t="s">
        <v>745</v>
      </c>
      <c r="C484" s="367" t="s">
        <v>899</v>
      </c>
      <c r="D484" s="2">
        <v>483036</v>
      </c>
      <c r="E484" s="368">
        <v>3</v>
      </c>
      <c r="F484" s="390">
        <v>6858</v>
      </c>
      <c r="G484" s="391">
        <v>6986</v>
      </c>
      <c r="H484" s="390">
        <v>0</v>
      </c>
      <c r="I484" s="399">
        <v>16299</v>
      </c>
      <c r="J484" s="390">
        <v>0</v>
      </c>
      <c r="K484" s="399">
        <v>8262.6666666666697</v>
      </c>
      <c r="L484" s="390">
        <v>0</v>
      </c>
      <c r="M484" s="399">
        <v>19169.333333333299</v>
      </c>
      <c r="N484" s="390"/>
      <c r="O484" s="391"/>
      <c r="P484" s="390"/>
      <c r="Q484" s="391"/>
      <c r="R484" s="390"/>
      <c r="S484" s="391"/>
      <c r="T484" s="390"/>
      <c r="U484" s="391"/>
      <c r="V484" s="390"/>
      <c r="W484" s="391"/>
      <c r="X484" s="390"/>
      <c r="Y484" s="391"/>
      <c r="Z484" s="390"/>
      <c r="AA484" s="391"/>
      <c r="AB484" s="390"/>
      <c r="AC484" s="391"/>
      <c r="AD484" s="390"/>
      <c r="AE484" s="391"/>
      <c r="AF484" s="390"/>
      <c r="AG484" s="391"/>
      <c r="AH484" s="390"/>
      <c r="AI484" s="391"/>
      <c r="AJ484" s="390"/>
      <c r="AK484" s="391"/>
      <c r="AL484" s="390"/>
      <c r="AM484" s="391"/>
      <c r="AN484" s="390"/>
      <c r="AO484" s="391"/>
    </row>
    <row r="485" spans="1:41" ht="15" hidden="1" customHeight="1">
      <c r="A485" s="259" t="s">
        <v>507</v>
      </c>
      <c r="B485" s="260" t="s">
        <v>746</v>
      </c>
      <c r="C485" s="369"/>
      <c r="D485" s="259">
        <v>225432</v>
      </c>
      <c r="E485" s="259">
        <v>4</v>
      </c>
      <c r="F485" s="390">
        <v>8340</v>
      </c>
      <c r="G485" s="391">
        <v>8686</v>
      </c>
      <c r="H485" s="390">
        <v>21046</v>
      </c>
      <c r="I485" s="391">
        <v>20874</v>
      </c>
      <c r="J485" s="390">
        <v>12885.333333333299</v>
      </c>
      <c r="K485" s="391">
        <v>13209.333333333299</v>
      </c>
      <c r="L485" s="390">
        <v>21813.333333333299</v>
      </c>
      <c r="M485" s="391">
        <v>21825.333333333299</v>
      </c>
      <c r="N485" s="390"/>
      <c r="O485" s="391"/>
      <c r="P485" s="390"/>
      <c r="Q485" s="391"/>
      <c r="R485" s="390"/>
      <c r="S485" s="391"/>
      <c r="T485" s="390"/>
      <c r="U485" s="391"/>
      <c r="V485" s="390"/>
      <c r="W485" s="391"/>
      <c r="X485" s="390"/>
      <c r="Y485" s="391"/>
      <c r="Z485" s="390"/>
      <c r="AA485" s="391"/>
      <c r="AB485" s="390"/>
      <c r="AC485" s="391"/>
      <c r="AD485" s="390"/>
      <c r="AE485" s="391"/>
      <c r="AF485" s="390"/>
      <c r="AG485" s="391"/>
      <c r="AH485" s="390"/>
      <c r="AI485" s="391"/>
      <c r="AJ485" s="390"/>
      <c r="AK485" s="391"/>
      <c r="AL485" s="390"/>
      <c r="AM485" s="391"/>
      <c r="AN485" s="390"/>
      <c r="AO485" s="391"/>
    </row>
    <row r="486" spans="1:41" ht="15" hidden="1" customHeight="1">
      <c r="A486" s="259" t="s">
        <v>507</v>
      </c>
      <c r="B486" s="260" t="s">
        <v>747</v>
      </c>
      <c r="C486" s="281"/>
      <c r="D486" s="259">
        <v>225502</v>
      </c>
      <c r="E486" s="259">
        <v>4</v>
      </c>
      <c r="F486" s="390">
        <v>8328</v>
      </c>
      <c r="G486" s="391">
        <v>8544</v>
      </c>
      <c r="H486" s="390">
        <v>20988</v>
      </c>
      <c r="I486" s="391">
        <v>20814</v>
      </c>
      <c r="J486" s="390">
        <v>10533.333333333299</v>
      </c>
      <c r="K486" s="391">
        <v>10805.333333333299</v>
      </c>
      <c r="L486" s="390">
        <v>20661.333333333299</v>
      </c>
      <c r="M486" s="391">
        <v>20621.333333333299</v>
      </c>
      <c r="N486" s="390"/>
      <c r="O486" s="391"/>
      <c r="P486" s="390"/>
      <c r="Q486" s="391"/>
      <c r="R486" s="390"/>
      <c r="S486" s="391"/>
      <c r="T486" s="390"/>
      <c r="U486" s="391"/>
      <c r="V486" s="390"/>
      <c r="W486" s="391"/>
      <c r="X486" s="390"/>
      <c r="Y486" s="391"/>
      <c r="Z486" s="390"/>
      <c r="AA486" s="391"/>
      <c r="AB486" s="390"/>
      <c r="AC486" s="391"/>
      <c r="AD486" s="390"/>
      <c r="AE486" s="391"/>
      <c r="AF486" s="390"/>
      <c r="AG486" s="391"/>
      <c r="AH486" s="390"/>
      <c r="AI486" s="391"/>
      <c r="AJ486" s="390"/>
      <c r="AK486" s="391"/>
      <c r="AL486" s="390"/>
      <c r="AM486" s="391"/>
      <c r="AN486" s="390"/>
      <c r="AO486" s="391"/>
    </row>
    <row r="487" spans="1:41" ht="15" hidden="1" customHeight="1">
      <c r="A487" s="259" t="s">
        <v>507</v>
      </c>
      <c r="B487" s="260" t="s">
        <v>748</v>
      </c>
      <c r="C487" s="281"/>
      <c r="D487" s="259" t="s">
        <v>749</v>
      </c>
      <c r="E487" s="259">
        <v>5</v>
      </c>
      <c r="F487" s="390">
        <v>8586</v>
      </c>
      <c r="G487" s="391">
        <v>8808</v>
      </c>
      <c r="H487" s="390">
        <v>21214</v>
      </c>
      <c r="I487" s="391">
        <v>21046</v>
      </c>
      <c r="J487" s="390">
        <v>7464</v>
      </c>
      <c r="K487" s="391">
        <v>7662.6666666666697</v>
      </c>
      <c r="L487" s="390">
        <v>17592</v>
      </c>
      <c r="M487" s="391">
        <v>17477.333333333299</v>
      </c>
      <c r="N487" s="390"/>
      <c r="O487" s="391"/>
      <c r="P487" s="390"/>
      <c r="Q487" s="391"/>
      <c r="R487" s="390"/>
      <c r="S487" s="391"/>
      <c r="T487" s="390"/>
      <c r="U487" s="391"/>
      <c r="V487" s="390"/>
      <c r="W487" s="391"/>
      <c r="X487" s="390"/>
      <c r="Y487" s="391"/>
      <c r="Z487" s="390"/>
      <c r="AA487" s="391"/>
      <c r="AB487" s="390"/>
      <c r="AC487" s="391"/>
      <c r="AD487" s="390"/>
      <c r="AE487" s="391"/>
      <c r="AF487" s="390"/>
      <c r="AG487" s="391"/>
      <c r="AH487" s="390"/>
      <c r="AI487" s="391"/>
      <c r="AJ487" s="390"/>
      <c r="AK487" s="391"/>
      <c r="AL487" s="390"/>
      <c r="AM487" s="391"/>
      <c r="AN487" s="390"/>
      <c r="AO487" s="391"/>
    </row>
    <row r="488" spans="1:41" ht="15" hidden="1" customHeight="1">
      <c r="A488" s="259" t="s">
        <v>507</v>
      </c>
      <c r="B488" s="260" t="s">
        <v>750</v>
      </c>
      <c r="C488" s="262"/>
      <c r="D488" s="259">
        <v>228714</v>
      </c>
      <c r="E488" s="259">
        <v>5</v>
      </c>
      <c r="F488" s="390">
        <v>11438</v>
      </c>
      <c r="G488" s="391">
        <v>10118</v>
      </c>
      <c r="H488" s="390">
        <v>38913</v>
      </c>
      <c r="I488" s="391">
        <v>39533</v>
      </c>
      <c r="J488" s="390">
        <v>11414.666666666701</v>
      </c>
      <c r="K488" s="391">
        <v>11710.666666666701</v>
      </c>
      <c r="L488" s="390">
        <v>23436</v>
      </c>
      <c r="M488" s="391">
        <v>23984</v>
      </c>
      <c r="N488" s="390"/>
      <c r="O488" s="391"/>
      <c r="P488" s="390"/>
      <c r="Q488" s="391"/>
      <c r="R488" s="390"/>
      <c r="S488" s="391"/>
      <c r="T488" s="390"/>
      <c r="U488" s="391"/>
      <c r="V488" s="390"/>
      <c r="W488" s="391"/>
      <c r="X488" s="390"/>
      <c r="Y488" s="391"/>
      <c r="Z488" s="390"/>
      <c r="AA488" s="391"/>
      <c r="AB488" s="390"/>
      <c r="AC488" s="391"/>
      <c r="AD488" s="390"/>
      <c r="AE488" s="391"/>
      <c r="AF488" s="390"/>
      <c r="AG488" s="391"/>
      <c r="AH488" s="390"/>
      <c r="AI488" s="391"/>
      <c r="AJ488" s="390"/>
      <c r="AK488" s="391"/>
      <c r="AL488" s="390"/>
      <c r="AM488" s="391"/>
      <c r="AN488" s="390"/>
      <c r="AO488" s="391"/>
    </row>
    <row r="489" spans="1:41" ht="15" hidden="1" customHeight="1">
      <c r="A489" s="259" t="s">
        <v>507</v>
      </c>
      <c r="B489" s="260" t="s">
        <v>751</v>
      </c>
      <c r="C489" s="367" t="s">
        <v>900</v>
      </c>
      <c r="D489" s="2">
        <v>870501</v>
      </c>
      <c r="E489" s="368">
        <v>4</v>
      </c>
      <c r="F489" s="390">
        <v>8786</v>
      </c>
      <c r="G489" s="391">
        <v>8900</v>
      </c>
      <c r="H489" s="390">
        <v>0</v>
      </c>
      <c r="I489" s="399">
        <v>22168</v>
      </c>
      <c r="J489" s="390">
        <v>0</v>
      </c>
      <c r="K489" s="399">
        <v>8802.6666666666697</v>
      </c>
      <c r="L489" s="390">
        <v>0</v>
      </c>
      <c r="M489" s="399">
        <v>19125.333333333299</v>
      </c>
      <c r="N489" s="390"/>
      <c r="O489" s="391"/>
      <c r="P489" s="390"/>
      <c r="Q489" s="391"/>
      <c r="R489" s="390"/>
      <c r="S489" s="391"/>
      <c r="T489" s="390"/>
      <c r="U489" s="391"/>
      <c r="V489" s="390"/>
      <c r="W489" s="391"/>
      <c r="X489" s="390"/>
      <c r="Y489" s="391"/>
      <c r="Z489" s="390"/>
      <c r="AA489" s="391"/>
      <c r="AB489" s="390"/>
      <c r="AC489" s="391"/>
      <c r="AD489" s="390"/>
      <c r="AE489" s="391"/>
      <c r="AF489" s="390"/>
      <c r="AG489" s="391"/>
      <c r="AH489" s="390"/>
      <c r="AI489" s="391"/>
      <c r="AJ489" s="390"/>
      <c r="AK489" s="391"/>
      <c r="AL489" s="390"/>
      <c r="AM489" s="391"/>
      <c r="AN489" s="390"/>
      <c r="AO489" s="391"/>
    </row>
    <row r="490" spans="1:41" ht="15" hidden="1" customHeight="1">
      <c r="A490" s="259" t="s">
        <v>507</v>
      </c>
      <c r="B490" s="260" t="s">
        <v>752</v>
      </c>
      <c r="C490" s="281" t="s">
        <v>915</v>
      </c>
      <c r="D490" s="259">
        <v>223506</v>
      </c>
      <c r="E490" s="259">
        <v>7</v>
      </c>
      <c r="F490" s="390">
        <v>2714</v>
      </c>
      <c r="G490" s="391">
        <v>2714</v>
      </c>
      <c r="H490" s="390">
        <v>0</v>
      </c>
      <c r="I490" s="399">
        <v>5355</v>
      </c>
      <c r="J490" s="390">
        <v>0</v>
      </c>
      <c r="K490" s="391">
        <v>0</v>
      </c>
      <c r="L490" s="390">
        <v>0</v>
      </c>
      <c r="M490" s="391">
        <v>0</v>
      </c>
      <c r="N490" s="390"/>
      <c r="O490" s="391"/>
      <c r="P490" s="390"/>
      <c r="Q490" s="391"/>
      <c r="R490" s="390"/>
      <c r="S490" s="391"/>
      <c r="T490" s="390"/>
      <c r="U490" s="391"/>
      <c r="V490" s="390"/>
      <c r="W490" s="391"/>
      <c r="X490" s="390"/>
      <c r="Y490" s="391"/>
      <c r="Z490" s="390"/>
      <c r="AA490" s="391"/>
      <c r="AB490" s="390"/>
      <c r="AC490" s="391"/>
      <c r="AD490" s="390"/>
      <c r="AE490" s="391"/>
      <c r="AF490" s="390"/>
      <c r="AG490" s="391"/>
      <c r="AH490" s="390"/>
      <c r="AI490" s="391"/>
      <c r="AJ490" s="390"/>
      <c r="AK490" s="391"/>
      <c r="AL490" s="390"/>
      <c r="AM490" s="391"/>
      <c r="AN490" s="390"/>
      <c r="AO490" s="391"/>
    </row>
    <row r="491" spans="1:41" ht="15" hidden="1" customHeight="1">
      <c r="A491" s="259" t="s">
        <v>507</v>
      </c>
      <c r="B491" s="260" t="s">
        <v>753</v>
      </c>
      <c r="C491" s="281" t="s">
        <v>915</v>
      </c>
      <c r="D491" s="259">
        <v>226806</v>
      </c>
      <c r="E491" s="259">
        <v>7</v>
      </c>
      <c r="F491" s="390">
        <v>2798</v>
      </c>
      <c r="G491" s="391">
        <v>2878</v>
      </c>
      <c r="H491" s="390">
        <v>5550</v>
      </c>
      <c r="I491" s="391">
        <v>5610</v>
      </c>
      <c r="J491" s="390">
        <v>0</v>
      </c>
      <c r="K491" s="391">
        <v>0</v>
      </c>
      <c r="L491" s="390">
        <v>0</v>
      </c>
      <c r="M491" s="391">
        <v>0</v>
      </c>
      <c r="N491" s="390"/>
      <c r="O491" s="391"/>
      <c r="P491" s="390"/>
      <c r="Q491" s="391"/>
      <c r="R491" s="390"/>
      <c r="S491" s="391"/>
      <c r="T491" s="390"/>
      <c r="U491" s="391"/>
      <c r="V491" s="390"/>
      <c r="W491" s="391"/>
      <c r="X491" s="390"/>
      <c r="Y491" s="391"/>
      <c r="Z491" s="390"/>
      <c r="AA491" s="391"/>
      <c r="AB491" s="390"/>
      <c r="AC491" s="391"/>
      <c r="AD491" s="390"/>
      <c r="AE491" s="391"/>
      <c r="AF491" s="390"/>
      <c r="AG491" s="391"/>
      <c r="AH491" s="390"/>
      <c r="AI491" s="391"/>
      <c r="AJ491" s="390"/>
      <c r="AK491" s="391"/>
      <c r="AL491" s="390"/>
      <c r="AM491" s="391"/>
      <c r="AN491" s="390"/>
      <c r="AO491" s="391"/>
    </row>
    <row r="492" spans="1:41" ht="15" hidden="1" customHeight="1">
      <c r="A492" s="259" t="s">
        <v>507</v>
      </c>
      <c r="B492" s="260" t="s">
        <v>754</v>
      </c>
      <c r="C492" s="281" t="s">
        <v>916</v>
      </c>
      <c r="D492" s="259">
        <v>409315</v>
      </c>
      <c r="E492" s="259">
        <v>7</v>
      </c>
      <c r="F492" s="390">
        <v>4430</v>
      </c>
      <c r="G492" s="391">
        <v>4550</v>
      </c>
      <c r="H492" s="390">
        <v>7680</v>
      </c>
      <c r="I492" s="391">
        <v>7770</v>
      </c>
      <c r="J492" s="390">
        <v>0</v>
      </c>
      <c r="K492" s="391">
        <v>0</v>
      </c>
      <c r="L492" s="390">
        <v>0</v>
      </c>
      <c r="M492" s="391">
        <v>0</v>
      </c>
      <c r="N492" s="390"/>
      <c r="O492" s="391"/>
      <c r="P492" s="390"/>
      <c r="Q492" s="391"/>
      <c r="R492" s="390"/>
      <c r="S492" s="391"/>
      <c r="T492" s="390"/>
      <c r="U492" s="391"/>
      <c r="V492" s="390"/>
      <c r="W492" s="391"/>
      <c r="X492" s="390"/>
      <c r="Y492" s="391"/>
      <c r="Z492" s="390"/>
      <c r="AA492" s="391"/>
      <c r="AB492" s="390"/>
      <c r="AC492" s="391"/>
      <c r="AD492" s="390"/>
      <c r="AE492" s="391"/>
      <c r="AF492" s="390"/>
      <c r="AG492" s="391"/>
      <c r="AH492" s="390"/>
      <c r="AI492" s="391"/>
      <c r="AJ492" s="390"/>
      <c r="AK492" s="391"/>
      <c r="AL492" s="390"/>
      <c r="AM492" s="391"/>
      <c r="AN492" s="390"/>
      <c r="AO492" s="391"/>
    </row>
    <row r="493" spans="1:41" ht="15" hidden="1" customHeight="1">
      <c r="A493" s="282" t="s">
        <v>507</v>
      </c>
      <c r="B493" s="260" t="s">
        <v>755</v>
      </c>
      <c r="C493" s="281"/>
      <c r="D493" s="259">
        <v>222576</v>
      </c>
      <c r="E493" s="259">
        <v>8</v>
      </c>
      <c r="F493" s="390">
        <v>2710</v>
      </c>
      <c r="G493" s="391">
        <v>2710</v>
      </c>
      <c r="H493" s="390">
        <v>5880</v>
      </c>
      <c r="I493" s="391">
        <v>5880</v>
      </c>
      <c r="J493" s="390">
        <v>0</v>
      </c>
      <c r="K493" s="391">
        <v>0</v>
      </c>
      <c r="L493" s="390">
        <v>0</v>
      </c>
      <c r="M493" s="391">
        <v>0</v>
      </c>
      <c r="N493" s="390"/>
      <c r="O493" s="391"/>
      <c r="P493" s="390"/>
      <c r="Q493" s="391"/>
      <c r="R493" s="390"/>
      <c r="S493" s="391"/>
      <c r="T493" s="390"/>
      <c r="U493" s="391"/>
      <c r="V493" s="390"/>
      <c r="W493" s="391"/>
      <c r="X493" s="390"/>
      <c r="Y493" s="391"/>
      <c r="Z493" s="390"/>
      <c r="AA493" s="391"/>
      <c r="AB493" s="390"/>
      <c r="AC493" s="391"/>
      <c r="AD493" s="390"/>
      <c r="AE493" s="391"/>
      <c r="AF493" s="390"/>
      <c r="AG493" s="391"/>
      <c r="AH493" s="390"/>
      <c r="AI493" s="391"/>
      <c r="AJ493" s="390"/>
      <c r="AK493" s="391"/>
      <c r="AL493" s="390"/>
      <c r="AM493" s="391"/>
      <c r="AN493" s="390"/>
      <c r="AO493" s="391"/>
    </row>
    <row r="494" spans="1:41" ht="15" hidden="1" customHeight="1">
      <c r="A494" s="282" t="s">
        <v>507</v>
      </c>
      <c r="B494" s="260" t="s">
        <v>756</v>
      </c>
      <c r="C494" s="281" t="s">
        <v>757</v>
      </c>
      <c r="D494" s="259">
        <v>222992</v>
      </c>
      <c r="E494" s="259">
        <v>8</v>
      </c>
      <c r="F494" s="390">
        <v>3812</v>
      </c>
      <c r="G494" s="391">
        <v>3866</v>
      </c>
      <c r="H494" s="390">
        <v>13020</v>
      </c>
      <c r="I494" s="391">
        <v>13020</v>
      </c>
      <c r="J494" s="390">
        <v>0</v>
      </c>
      <c r="K494" s="391">
        <v>0</v>
      </c>
      <c r="L494" s="390">
        <v>0</v>
      </c>
      <c r="M494" s="391">
        <v>0</v>
      </c>
      <c r="N494" s="390"/>
      <c r="O494" s="391"/>
      <c r="P494" s="390"/>
      <c r="Q494" s="391"/>
      <c r="R494" s="390"/>
      <c r="S494" s="391"/>
      <c r="T494" s="390"/>
      <c r="U494" s="391"/>
      <c r="V494" s="390"/>
      <c r="W494" s="391"/>
      <c r="X494" s="390"/>
      <c r="Y494" s="391"/>
      <c r="Z494" s="390"/>
      <c r="AA494" s="391"/>
      <c r="AB494" s="390"/>
      <c r="AC494" s="391"/>
      <c r="AD494" s="390"/>
      <c r="AE494" s="391"/>
      <c r="AF494" s="390"/>
      <c r="AG494" s="391"/>
      <c r="AH494" s="390"/>
      <c r="AI494" s="391"/>
      <c r="AJ494" s="390"/>
      <c r="AK494" s="391"/>
      <c r="AL494" s="390"/>
      <c r="AM494" s="391"/>
      <c r="AN494" s="390"/>
      <c r="AO494" s="391"/>
    </row>
    <row r="495" spans="1:41" ht="15" hidden="1" customHeight="1">
      <c r="A495" s="282" t="s">
        <v>507</v>
      </c>
      <c r="B495" s="260" t="s">
        <v>758</v>
      </c>
      <c r="C495" s="281"/>
      <c r="D495" s="259">
        <v>223427</v>
      </c>
      <c r="E495" s="259">
        <v>8</v>
      </c>
      <c r="F495" s="390">
        <v>5970</v>
      </c>
      <c r="G495" s="391">
        <v>6150</v>
      </c>
      <c r="H495" s="390">
        <v>10274</v>
      </c>
      <c r="I495" s="391">
        <v>10470</v>
      </c>
      <c r="J495" s="390">
        <v>0</v>
      </c>
      <c r="K495" s="391">
        <v>0</v>
      </c>
      <c r="L495" s="390">
        <v>0</v>
      </c>
      <c r="M495" s="391">
        <v>0</v>
      </c>
      <c r="N495" s="390"/>
      <c r="O495" s="391"/>
      <c r="P495" s="390"/>
      <c r="Q495" s="391"/>
      <c r="R495" s="390"/>
      <c r="S495" s="391"/>
      <c r="T495" s="390"/>
      <c r="U495" s="391"/>
      <c r="V495" s="390"/>
      <c r="W495" s="391"/>
      <c r="X495" s="390"/>
      <c r="Y495" s="391"/>
      <c r="Z495" s="390"/>
      <c r="AA495" s="391"/>
      <c r="AB495" s="390"/>
      <c r="AC495" s="391"/>
      <c r="AD495" s="390"/>
      <c r="AE495" s="391"/>
      <c r="AF495" s="390"/>
      <c r="AG495" s="391"/>
      <c r="AH495" s="390"/>
      <c r="AI495" s="391"/>
      <c r="AJ495" s="390"/>
      <c r="AK495" s="391"/>
      <c r="AL495" s="390"/>
      <c r="AM495" s="391"/>
      <c r="AN495" s="390"/>
      <c r="AO495" s="391"/>
    </row>
    <row r="496" spans="1:41" ht="15" hidden="1" customHeight="1">
      <c r="A496" s="282" t="s">
        <v>507</v>
      </c>
      <c r="B496" s="260" t="s">
        <v>759</v>
      </c>
      <c r="C496" s="381" t="s">
        <v>915</v>
      </c>
      <c r="D496" s="259">
        <v>223524</v>
      </c>
      <c r="E496" s="259">
        <v>8</v>
      </c>
      <c r="F496" s="390">
        <v>1770</v>
      </c>
      <c r="G496" s="391">
        <v>2370</v>
      </c>
      <c r="H496" s="390">
        <v>5220</v>
      </c>
      <c r="I496" s="391">
        <v>6000</v>
      </c>
      <c r="J496" s="390">
        <v>0</v>
      </c>
      <c r="K496" s="391">
        <v>0</v>
      </c>
      <c r="L496" s="390">
        <v>0</v>
      </c>
      <c r="M496" s="391">
        <v>0</v>
      </c>
      <c r="N496" s="390"/>
      <c r="O496" s="391"/>
      <c r="P496" s="390"/>
      <c r="Q496" s="391"/>
      <c r="R496" s="390"/>
      <c r="S496" s="391"/>
      <c r="T496" s="390"/>
      <c r="U496" s="391"/>
      <c r="V496" s="390"/>
      <c r="W496" s="391"/>
      <c r="X496" s="390"/>
      <c r="Y496" s="391"/>
      <c r="Z496" s="390"/>
      <c r="AA496" s="391"/>
      <c r="AB496" s="390"/>
      <c r="AC496" s="391"/>
      <c r="AD496" s="390"/>
      <c r="AE496" s="391"/>
      <c r="AF496" s="390"/>
      <c r="AG496" s="391"/>
      <c r="AH496" s="390"/>
      <c r="AI496" s="391"/>
      <c r="AJ496" s="390"/>
      <c r="AK496" s="391"/>
      <c r="AL496" s="390"/>
      <c r="AM496" s="391"/>
      <c r="AN496" s="390"/>
      <c r="AO496" s="391"/>
    </row>
    <row r="497" spans="1:41" ht="15" hidden="1" customHeight="1">
      <c r="A497" s="282" t="s">
        <v>507</v>
      </c>
      <c r="B497" s="260" t="s">
        <v>760</v>
      </c>
      <c r="C497" s="281"/>
      <c r="D497" s="259">
        <v>223816</v>
      </c>
      <c r="E497" s="259">
        <v>8</v>
      </c>
      <c r="F497" s="390">
        <v>3544</v>
      </c>
      <c r="G497" s="391">
        <v>2710</v>
      </c>
      <c r="H497" s="390">
        <v>7050</v>
      </c>
      <c r="I497" s="391">
        <v>7200</v>
      </c>
      <c r="J497" s="390">
        <v>0</v>
      </c>
      <c r="K497" s="391">
        <v>0</v>
      </c>
      <c r="L497" s="390">
        <v>0</v>
      </c>
      <c r="M497" s="391">
        <v>0</v>
      </c>
      <c r="N497" s="390"/>
      <c r="O497" s="391"/>
      <c r="P497" s="390"/>
      <c r="Q497" s="391"/>
      <c r="R497" s="390"/>
      <c r="S497" s="391"/>
      <c r="T497" s="390"/>
      <c r="U497" s="391"/>
      <c r="V497" s="390"/>
      <c r="W497" s="391"/>
      <c r="X497" s="390"/>
      <c r="Y497" s="391"/>
      <c r="Z497" s="390"/>
      <c r="AA497" s="391"/>
      <c r="AB497" s="390"/>
      <c r="AC497" s="391"/>
      <c r="AD497" s="390"/>
      <c r="AE497" s="391"/>
      <c r="AF497" s="390"/>
      <c r="AG497" s="391"/>
      <c r="AH497" s="390"/>
      <c r="AI497" s="391"/>
      <c r="AJ497" s="390"/>
      <c r="AK497" s="391"/>
      <c r="AL497" s="390"/>
      <c r="AM497" s="391"/>
      <c r="AN497" s="390"/>
      <c r="AO497" s="391"/>
    </row>
    <row r="498" spans="1:41" ht="15" hidden="1" customHeight="1">
      <c r="A498" s="282" t="s">
        <v>507</v>
      </c>
      <c r="B498" s="260" t="s">
        <v>761</v>
      </c>
      <c r="C498" s="281"/>
      <c r="D498" s="259">
        <v>247834</v>
      </c>
      <c r="E498" s="259">
        <v>8</v>
      </c>
      <c r="F498" s="390">
        <v>1624</v>
      </c>
      <c r="G498" s="391">
        <v>1684</v>
      </c>
      <c r="H498" s="390">
        <v>5060</v>
      </c>
      <c r="I498" s="391">
        <v>5060</v>
      </c>
      <c r="J498" s="390">
        <v>0</v>
      </c>
      <c r="K498" s="391">
        <v>0</v>
      </c>
      <c r="L498" s="390">
        <v>0</v>
      </c>
      <c r="M498" s="391">
        <v>0</v>
      </c>
      <c r="N498" s="390"/>
      <c r="O498" s="391"/>
      <c r="P498" s="390"/>
      <c r="Q498" s="391"/>
      <c r="R498" s="390"/>
      <c r="S498" s="391"/>
      <c r="T498" s="390"/>
      <c r="U498" s="391"/>
      <c r="V498" s="390"/>
      <c r="W498" s="391"/>
      <c r="X498" s="390"/>
      <c r="Y498" s="391"/>
      <c r="Z498" s="390"/>
      <c r="AA498" s="391"/>
      <c r="AB498" s="390"/>
      <c r="AC498" s="391"/>
      <c r="AD498" s="390"/>
      <c r="AE498" s="391"/>
      <c r="AF498" s="390"/>
      <c r="AG498" s="391"/>
      <c r="AH498" s="390"/>
      <c r="AI498" s="391"/>
      <c r="AJ498" s="390"/>
      <c r="AK498" s="391"/>
      <c r="AL498" s="390"/>
      <c r="AM498" s="391"/>
      <c r="AN498" s="390"/>
      <c r="AO498" s="391"/>
    </row>
    <row r="499" spans="1:41" ht="15" hidden="1" customHeight="1">
      <c r="A499" s="282" t="s">
        <v>507</v>
      </c>
      <c r="B499" s="260" t="s">
        <v>762</v>
      </c>
      <c r="C499" s="281"/>
      <c r="D499" s="259">
        <v>224350</v>
      </c>
      <c r="E499" s="259">
        <v>8</v>
      </c>
      <c r="F499" s="390">
        <v>3260</v>
      </c>
      <c r="G499" s="391">
        <v>3320</v>
      </c>
      <c r="H499" s="390">
        <v>5870</v>
      </c>
      <c r="I499" s="391">
        <v>5930</v>
      </c>
      <c r="J499" s="390">
        <v>0</v>
      </c>
      <c r="K499" s="391">
        <v>0</v>
      </c>
      <c r="L499" s="390">
        <v>0</v>
      </c>
      <c r="M499" s="391">
        <v>0</v>
      </c>
      <c r="N499" s="390"/>
      <c r="O499" s="391"/>
      <c r="P499" s="390"/>
      <c r="Q499" s="391"/>
      <c r="R499" s="390"/>
      <c r="S499" s="391"/>
      <c r="T499" s="390"/>
      <c r="U499" s="391"/>
      <c r="V499" s="390"/>
      <c r="W499" s="391"/>
      <c r="X499" s="390"/>
      <c r="Y499" s="391"/>
      <c r="Z499" s="390"/>
      <c r="AA499" s="391"/>
      <c r="AB499" s="390"/>
      <c r="AC499" s="391"/>
      <c r="AD499" s="390"/>
      <c r="AE499" s="391"/>
      <c r="AF499" s="390"/>
      <c r="AG499" s="391"/>
      <c r="AH499" s="390"/>
      <c r="AI499" s="391"/>
      <c r="AJ499" s="390"/>
      <c r="AK499" s="391"/>
      <c r="AL499" s="390"/>
      <c r="AM499" s="391"/>
      <c r="AN499" s="390"/>
      <c r="AO499" s="391"/>
    </row>
    <row r="500" spans="1:41" ht="15" hidden="1" customHeight="1">
      <c r="A500" s="282" t="s">
        <v>507</v>
      </c>
      <c r="B500" s="260" t="s">
        <v>763</v>
      </c>
      <c r="C500" s="281"/>
      <c r="D500" s="259">
        <v>224572</v>
      </c>
      <c r="E500" s="259">
        <v>8</v>
      </c>
      <c r="F500" s="390">
        <v>1770</v>
      </c>
      <c r="G500" s="391">
        <v>2370</v>
      </c>
      <c r="H500" s="390">
        <v>5220</v>
      </c>
      <c r="I500" s="391">
        <v>6000</v>
      </c>
      <c r="J500" s="390">
        <v>0</v>
      </c>
      <c r="K500" s="391">
        <v>0</v>
      </c>
      <c r="L500" s="390">
        <v>0</v>
      </c>
      <c r="M500" s="391">
        <v>0</v>
      </c>
      <c r="N500" s="390"/>
      <c r="O500" s="391"/>
      <c r="P500" s="390"/>
      <c r="Q500" s="391"/>
      <c r="R500" s="390"/>
      <c r="S500" s="391"/>
      <c r="T500" s="390"/>
      <c r="U500" s="391"/>
      <c r="V500" s="390"/>
      <c r="W500" s="391"/>
      <c r="X500" s="390"/>
      <c r="Y500" s="391"/>
      <c r="Z500" s="390"/>
      <c r="AA500" s="391"/>
      <c r="AB500" s="390"/>
      <c r="AC500" s="391"/>
      <c r="AD500" s="390"/>
      <c r="AE500" s="391"/>
      <c r="AF500" s="390"/>
      <c r="AG500" s="391"/>
      <c r="AH500" s="390"/>
      <c r="AI500" s="391"/>
      <c r="AJ500" s="390"/>
      <c r="AK500" s="391"/>
      <c r="AL500" s="390"/>
      <c r="AM500" s="391"/>
      <c r="AN500" s="390"/>
      <c r="AO500" s="391"/>
    </row>
    <row r="501" spans="1:41" ht="15" hidden="1" customHeight="1">
      <c r="A501" s="263" t="s">
        <v>507</v>
      </c>
      <c r="B501" s="260" t="s">
        <v>764</v>
      </c>
      <c r="C501" s="281"/>
      <c r="D501" s="259">
        <v>224615</v>
      </c>
      <c r="E501" s="259">
        <v>8</v>
      </c>
      <c r="F501" s="390">
        <v>1770</v>
      </c>
      <c r="G501" s="391">
        <v>2370</v>
      </c>
      <c r="H501" s="390">
        <v>5220</v>
      </c>
      <c r="I501" s="391">
        <v>6000</v>
      </c>
      <c r="J501" s="390">
        <v>0</v>
      </c>
      <c r="K501" s="391">
        <v>0</v>
      </c>
      <c r="L501" s="390">
        <v>0</v>
      </c>
      <c r="M501" s="391">
        <v>0</v>
      </c>
      <c r="N501" s="390"/>
      <c r="O501" s="391"/>
      <c r="P501" s="390"/>
      <c r="Q501" s="391"/>
      <c r="R501" s="390"/>
      <c r="S501" s="391"/>
      <c r="T501" s="390"/>
      <c r="U501" s="391"/>
      <c r="V501" s="390"/>
      <c r="W501" s="391"/>
      <c r="X501" s="390"/>
      <c r="Y501" s="391"/>
      <c r="Z501" s="390"/>
      <c r="AA501" s="391"/>
      <c r="AB501" s="390"/>
      <c r="AC501" s="391"/>
      <c r="AD501" s="390"/>
      <c r="AE501" s="391"/>
      <c r="AF501" s="390"/>
      <c r="AG501" s="391"/>
      <c r="AH501" s="390"/>
      <c r="AI501" s="391"/>
      <c r="AJ501" s="390"/>
      <c r="AK501" s="391"/>
      <c r="AL501" s="390"/>
      <c r="AM501" s="391"/>
      <c r="AN501" s="390"/>
      <c r="AO501" s="391"/>
    </row>
    <row r="502" spans="1:41" ht="15" hidden="1" customHeight="1">
      <c r="A502" s="263" t="s">
        <v>507</v>
      </c>
      <c r="B502" s="260" t="s">
        <v>765</v>
      </c>
      <c r="C502" s="281"/>
      <c r="D502" s="259">
        <v>224642</v>
      </c>
      <c r="E502" s="259">
        <v>8</v>
      </c>
      <c r="F502" s="390">
        <v>3790</v>
      </c>
      <c r="G502" s="391">
        <v>4120</v>
      </c>
      <c r="H502" s="390">
        <v>6060</v>
      </c>
      <c r="I502" s="391">
        <v>6630</v>
      </c>
      <c r="J502" s="390">
        <v>0</v>
      </c>
      <c r="K502" s="391">
        <v>0</v>
      </c>
      <c r="L502" s="390">
        <v>0</v>
      </c>
      <c r="M502" s="391">
        <v>0</v>
      </c>
      <c r="N502" s="390"/>
      <c r="O502" s="391"/>
      <c r="P502" s="390"/>
      <c r="Q502" s="391"/>
      <c r="R502" s="390"/>
      <c r="S502" s="391"/>
      <c r="T502" s="390"/>
      <c r="U502" s="391"/>
      <c r="V502" s="390"/>
      <c r="W502" s="391"/>
      <c r="X502" s="390"/>
      <c r="Y502" s="391"/>
      <c r="Z502" s="390"/>
      <c r="AA502" s="391"/>
      <c r="AB502" s="390"/>
      <c r="AC502" s="391"/>
      <c r="AD502" s="390"/>
      <c r="AE502" s="391"/>
      <c r="AF502" s="390"/>
      <c r="AG502" s="391"/>
      <c r="AH502" s="390"/>
      <c r="AI502" s="391"/>
      <c r="AJ502" s="390"/>
      <c r="AK502" s="391"/>
      <c r="AL502" s="390"/>
      <c r="AM502" s="391"/>
      <c r="AN502" s="390"/>
      <c r="AO502" s="391"/>
    </row>
    <row r="503" spans="1:41" ht="15" hidden="1" customHeight="1">
      <c r="A503" s="263" t="s">
        <v>507</v>
      </c>
      <c r="B503" s="260" t="s">
        <v>766</v>
      </c>
      <c r="C503" s="281"/>
      <c r="D503" s="259">
        <v>225423</v>
      </c>
      <c r="E503" s="259">
        <v>8</v>
      </c>
      <c r="F503" s="390">
        <v>2302</v>
      </c>
      <c r="G503" s="391">
        <v>2542</v>
      </c>
      <c r="H503" s="390">
        <v>6474</v>
      </c>
      <c r="I503" s="391">
        <v>6570</v>
      </c>
      <c r="J503" s="390">
        <v>0</v>
      </c>
      <c r="K503" s="391">
        <v>0</v>
      </c>
      <c r="L503" s="390">
        <v>0</v>
      </c>
      <c r="M503" s="391">
        <v>0</v>
      </c>
      <c r="N503" s="390"/>
      <c r="O503" s="391"/>
      <c r="P503" s="390"/>
      <c r="Q503" s="391"/>
      <c r="R503" s="390"/>
      <c r="S503" s="391"/>
      <c r="T503" s="390"/>
      <c r="U503" s="391"/>
      <c r="V503" s="390"/>
      <c r="W503" s="391"/>
      <c r="X503" s="390"/>
      <c r="Y503" s="391"/>
      <c r="Z503" s="390"/>
      <c r="AA503" s="391"/>
      <c r="AB503" s="390"/>
      <c r="AC503" s="391"/>
      <c r="AD503" s="390"/>
      <c r="AE503" s="391"/>
      <c r="AF503" s="390"/>
      <c r="AG503" s="391"/>
      <c r="AH503" s="390"/>
      <c r="AI503" s="391"/>
      <c r="AJ503" s="390"/>
      <c r="AK503" s="391"/>
      <c r="AL503" s="390"/>
      <c r="AM503" s="391"/>
      <c r="AN503" s="390"/>
      <c r="AO503" s="391"/>
    </row>
    <row r="504" spans="1:41" ht="15" hidden="1" customHeight="1">
      <c r="A504" s="263" t="s">
        <v>507</v>
      </c>
      <c r="B504" s="260" t="s">
        <v>767</v>
      </c>
      <c r="C504" s="281"/>
      <c r="D504" s="259">
        <v>226134</v>
      </c>
      <c r="E504" s="259">
        <v>8</v>
      </c>
      <c r="F504" s="390">
        <v>4130</v>
      </c>
      <c r="G504" s="391">
        <v>4110</v>
      </c>
      <c r="H504" s="390">
        <v>7140</v>
      </c>
      <c r="I504" s="391">
        <v>7140</v>
      </c>
      <c r="J504" s="390">
        <v>0</v>
      </c>
      <c r="K504" s="391">
        <v>0</v>
      </c>
      <c r="L504" s="390">
        <v>0</v>
      </c>
      <c r="M504" s="391">
        <v>0</v>
      </c>
      <c r="N504" s="390"/>
      <c r="O504" s="391"/>
      <c r="P504" s="390"/>
      <c r="Q504" s="391"/>
      <c r="R504" s="390"/>
      <c r="S504" s="391"/>
      <c r="T504" s="390"/>
      <c r="U504" s="391"/>
      <c r="V504" s="390"/>
      <c r="W504" s="391"/>
      <c r="X504" s="390"/>
      <c r="Y504" s="391"/>
      <c r="Z504" s="390"/>
      <c r="AA504" s="391"/>
      <c r="AB504" s="390"/>
      <c r="AC504" s="391"/>
      <c r="AD504" s="390"/>
      <c r="AE504" s="391"/>
      <c r="AF504" s="390"/>
      <c r="AG504" s="391"/>
      <c r="AH504" s="390"/>
      <c r="AI504" s="391"/>
      <c r="AJ504" s="390"/>
      <c r="AK504" s="391"/>
      <c r="AL504" s="390"/>
      <c r="AM504" s="391"/>
      <c r="AN504" s="390"/>
      <c r="AO504" s="391"/>
    </row>
    <row r="505" spans="1:41" ht="15" hidden="1" customHeight="1">
      <c r="A505" s="259" t="s">
        <v>507</v>
      </c>
      <c r="B505" s="260" t="s">
        <v>768</v>
      </c>
      <c r="C505" s="281"/>
      <c r="D505" s="259">
        <v>227182</v>
      </c>
      <c r="E505" s="259">
        <v>8</v>
      </c>
      <c r="F505" s="390">
        <v>3060</v>
      </c>
      <c r="G505" s="391">
        <v>2758</v>
      </c>
      <c r="H505" s="390">
        <v>6904</v>
      </c>
      <c r="I505" s="391">
        <v>7695</v>
      </c>
      <c r="J505" s="390">
        <v>0</v>
      </c>
      <c r="K505" s="391">
        <v>0</v>
      </c>
      <c r="L505" s="390">
        <v>0</v>
      </c>
      <c r="M505" s="391">
        <v>0</v>
      </c>
      <c r="N505" s="390"/>
      <c r="O505" s="391"/>
      <c r="P505" s="390"/>
      <c r="Q505" s="391"/>
      <c r="R505" s="390"/>
      <c r="S505" s="391"/>
      <c r="T505" s="390"/>
      <c r="U505" s="391"/>
      <c r="V505" s="390"/>
      <c r="W505" s="391"/>
      <c r="X505" s="390"/>
      <c r="Y505" s="391"/>
      <c r="Z505" s="390"/>
      <c r="AA505" s="391"/>
      <c r="AB505" s="390"/>
      <c r="AC505" s="391"/>
      <c r="AD505" s="390"/>
      <c r="AE505" s="391"/>
      <c r="AF505" s="390"/>
      <c r="AG505" s="391"/>
      <c r="AH505" s="390"/>
      <c r="AI505" s="391"/>
      <c r="AJ505" s="390"/>
      <c r="AK505" s="391"/>
      <c r="AL505" s="390"/>
      <c r="AM505" s="391"/>
      <c r="AN505" s="390"/>
      <c r="AO505" s="391"/>
    </row>
    <row r="506" spans="1:41" ht="15" hidden="1" customHeight="1">
      <c r="A506" s="259" t="s">
        <v>507</v>
      </c>
      <c r="B506" s="260" t="s">
        <v>769</v>
      </c>
      <c r="C506" s="281"/>
      <c r="D506" s="259">
        <v>226578</v>
      </c>
      <c r="E506" s="259">
        <v>8</v>
      </c>
      <c r="F506" s="390">
        <v>3490</v>
      </c>
      <c r="G506" s="391">
        <v>3700</v>
      </c>
      <c r="H506" s="390">
        <v>5700</v>
      </c>
      <c r="I506" s="391">
        <v>5910</v>
      </c>
      <c r="J506" s="390">
        <v>0</v>
      </c>
      <c r="K506" s="391">
        <v>0</v>
      </c>
      <c r="L506" s="390">
        <v>0</v>
      </c>
      <c r="M506" s="391">
        <v>0</v>
      </c>
      <c r="N506" s="390"/>
      <c r="O506" s="391"/>
      <c r="P506" s="390"/>
      <c r="Q506" s="391"/>
      <c r="R506" s="390"/>
      <c r="S506" s="391"/>
      <c r="T506" s="390"/>
      <c r="U506" s="391"/>
      <c r="V506" s="390"/>
      <c r="W506" s="391"/>
      <c r="X506" s="390"/>
      <c r="Y506" s="391"/>
      <c r="Z506" s="390"/>
      <c r="AA506" s="391"/>
      <c r="AB506" s="390"/>
      <c r="AC506" s="391"/>
      <c r="AD506" s="390"/>
      <c r="AE506" s="391"/>
      <c r="AF506" s="390"/>
      <c r="AG506" s="391"/>
      <c r="AH506" s="390"/>
      <c r="AI506" s="391"/>
      <c r="AJ506" s="390"/>
      <c r="AK506" s="391"/>
      <c r="AL506" s="390"/>
      <c r="AM506" s="391"/>
      <c r="AN506" s="390"/>
      <c r="AO506" s="391"/>
    </row>
    <row r="507" spans="1:41" ht="15" hidden="1" customHeight="1">
      <c r="A507" s="259" t="s">
        <v>507</v>
      </c>
      <c r="B507" s="260" t="s">
        <v>770</v>
      </c>
      <c r="C507" s="262"/>
      <c r="D507" s="259">
        <v>226930</v>
      </c>
      <c r="E507" s="259">
        <v>8</v>
      </c>
      <c r="F507" s="390">
        <v>1770</v>
      </c>
      <c r="G507" s="391">
        <v>2370</v>
      </c>
      <c r="H507" s="390">
        <v>5220</v>
      </c>
      <c r="I507" s="391">
        <v>6000</v>
      </c>
      <c r="J507" s="390">
        <v>0</v>
      </c>
      <c r="K507" s="391">
        <v>0</v>
      </c>
      <c r="L507" s="390">
        <v>0</v>
      </c>
      <c r="M507" s="391">
        <v>0</v>
      </c>
      <c r="N507" s="390"/>
      <c r="O507" s="391"/>
      <c r="P507" s="390"/>
      <c r="Q507" s="391"/>
      <c r="R507" s="390"/>
      <c r="S507" s="391"/>
      <c r="T507" s="390"/>
      <c r="U507" s="391"/>
      <c r="V507" s="390"/>
      <c r="W507" s="391"/>
      <c r="X507" s="390"/>
      <c r="Y507" s="391"/>
      <c r="Z507" s="390"/>
      <c r="AA507" s="391"/>
      <c r="AB507" s="390"/>
      <c r="AC507" s="391"/>
      <c r="AD507" s="390"/>
      <c r="AE507" s="391"/>
      <c r="AF507" s="390"/>
      <c r="AG507" s="391"/>
      <c r="AH507" s="390"/>
      <c r="AI507" s="391"/>
      <c r="AJ507" s="390"/>
      <c r="AK507" s="391"/>
      <c r="AL507" s="390"/>
      <c r="AM507" s="391"/>
      <c r="AN507" s="390"/>
      <c r="AO507" s="391"/>
    </row>
    <row r="508" spans="1:41" ht="15" hidden="1" customHeight="1">
      <c r="A508" s="259" t="s">
        <v>507</v>
      </c>
      <c r="B508" s="260" t="s">
        <v>771</v>
      </c>
      <c r="C508" s="281"/>
      <c r="D508" s="259">
        <v>227146</v>
      </c>
      <c r="E508" s="259">
        <v>8</v>
      </c>
      <c r="F508" s="390">
        <v>3886</v>
      </c>
      <c r="G508" s="391">
        <v>4642</v>
      </c>
      <c r="H508" s="390">
        <v>6222</v>
      </c>
      <c r="I508" s="391">
        <v>6368</v>
      </c>
      <c r="J508" s="390">
        <v>0</v>
      </c>
      <c r="K508" s="391">
        <v>0</v>
      </c>
      <c r="L508" s="390">
        <v>0</v>
      </c>
      <c r="M508" s="391">
        <v>0</v>
      </c>
      <c r="N508" s="390"/>
      <c r="O508" s="391"/>
      <c r="P508" s="390"/>
      <c r="Q508" s="391"/>
      <c r="R508" s="390"/>
      <c r="S508" s="391"/>
      <c r="T508" s="390"/>
      <c r="U508" s="391"/>
      <c r="V508" s="390"/>
      <c r="W508" s="391"/>
      <c r="X508" s="390"/>
      <c r="Y508" s="391"/>
      <c r="Z508" s="390"/>
      <c r="AA508" s="391"/>
      <c r="AB508" s="390"/>
      <c r="AC508" s="391"/>
      <c r="AD508" s="390"/>
      <c r="AE508" s="391"/>
      <c r="AF508" s="390"/>
      <c r="AG508" s="391"/>
      <c r="AH508" s="390"/>
      <c r="AI508" s="391"/>
      <c r="AJ508" s="390"/>
      <c r="AK508" s="391"/>
      <c r="AL508" s="390"/>
      <c r="AM508" s="391"/>
      <c r="AN508" s="390"/>
      <c r="AO508" s="391"/>
    </row>
    <row r="509" spans="1:41" ht="15" hidden="1" customHeight="1">
      <c r="A509" s="259" t="s">
        <v>507</v>
      </c>
      <c r="B509" s="260" t="s">
        <v>772</v>
      </c>
      <c r="C509" s="281"/>
      <c r="D509" s="259">
        <v>224110</v>
      </c>
      <c r="E509" s="259">
        <v>8</v>
      </c>
      <c r="F509" s="390">
        <v>3000</v>
      </c>
      <c r="G509" s="391">
        <v>3000</v>
      </c>
      <c r="H509" s="390">
        <v>8850</v>
      </c>
      <c r="I509" s="391">
        <v>8850</v>
      </c>
      <c r="J509" s="390">
        <v>0</v>
      </c>
      <c r="K509" s="391">
        <v>0</v>
      </c>
      <c r="L509" s="390">
        <v>0</v>
      </c>
      <c r="M509" s="391">
        <v>0</v>
      </c>
      <c r="N509" s="390"/>
      <c r="O509" s="391"/>
      <c r="P509" s="390"/>
      <c r="Q509" s="391"/>
      <c r="R509" s="390"/>
      <c r="S509" s="391"/>
      <c r="T509" s="390"/>
      <c r="U509" s="391"/>
      <c r="V509" s="390"/>
      <c r="W509" s="391"/>
      <c r="X509" s="390"/>
      <c r="Y509" s="391"/>
      <c r="Z509" s="390"/>
      <c r="AA509" s="391"/>
      <c r="AB509" s="390"/>
      <c r="AC509" s="391"/>
      <c r="AD509" s="390"/>
      <c r="AE509" s="391"/>
      <c r="AF509" s="390"/>
      <c r="AG509" s="391"/>
      <c r="AH509" s="390"/>
      <c r="AI509" s="391"/>
      <c r="AJ509" s="390"/>
      <c r="AK509" s="391"/>
      <c r="AL509" s="390"/>
      <c r="AM509" s="391"/>
      <c r="AN509" s="390"/>
      <c r="AO509" s="391"/>
    </row>
    <row r="510" spans="1:41" ht="15" hidden="1" customHeight="1">
      <c r="A510" s="259" t="s">
        <v>507</v>
      </c>
      <c r="B510" s="260" t="s">
        <v>773</v>
      </c>
      <c r="C510" s="281"/>
      <c r="D510" s="259">
        <v>227191</v>
      </c>
      <c r="E510" s="259">
        <v>8</v>
      </c>
      <c r="F510" s="390">
        <v>1770</v>
      </c>
      <c r="G510" s="391">
        <v>2370</v>
      </c>
      <c r="H510" s="390">
        <v>5220</v>
      </c>
      <c r="I510" s="391">
        <v>6000</v>
      </c>
      <c r="J510" s="390">
        <v>0</v>
      </c>
      <c r="K510" s="391">
        <v>0</v>
      </c>
      <c r="L510" s="390">
        <v>0</v>
      </c>
      <c r="M510" s="391">
        <v>0</v>
      </c>
      <c r="N510" s="390"/>
      <c r="O510" s="391"/>
      <c r="P510" s="390"/>
      <c r="Q510" s="391"/>
      <c r="R510" s="390"/>
      <c r="S510" s="391"/>
      <c r="T510" s="390"/>
      <c r="U510" s="391"/>
      <c r="V510" s="390"/>
      <c r="W510" s="391"/>
      <c r="X510" s="390"/>
      <c r="Y510" s="391"/>
      <c r="Z510" s="390"/>
      <c r="AA510" s="391"/>
      <c r="AB510" s="390"/>
      <c r="AC510" s="391"/>
      <c r="AD510" s="390"/>
      <c r="AE510" s="391"/>
      <c r="AF510" s="390"/>
      <c r="AG510" s="391"/>
      <c r="AH510" s="390"/>
      <c r="AI510" s="391"/>
      <c r="AJ510" s="390"/>
      <c r="AK510" s="391"/>
      <c r="AL510" s="390"/>
      <c r="AM510" s="391"/>
      <c r="AN510" s="390"/>
      <c r="AO510" s="391"/>
    </row>
    <row r="511" spans="1:41" ht="15" hidden="1" customHeight="1">
      <c r="A511" s="259" t="s">
        <v>507</v>
      </c>
      <c r="B511" s="260" t="s">
        <v>774</v>
      </c>
      <c r="C511" s="281"/>
      <c r="D511" s="259">
        <v>420398</v>
      </c>
      <c r="E511" s="259">
        <v>8</v>
      </c>
      <c r="F511" s="390">
        <v>3140</v>
      </c>
      <c r="G511" s="391">
        <v>3140</v>
      </c>
      <c r="H511" s="390">
        <v>14072</v>
      </c>
      <c r="I511" s="398">
        <v>0</v>
      </c>
      <c r="J511" s="390">
        <v>0</v>
      </c>
      <c r="K511" s="391">
        <v>0</v>
      </c>
      <c r="L511" s="390">
        <v>0</v>
      </c>
      <c r="M511" s="391">
        <v>0</v>
      </c>
      <c r="N511" s="390"/>
      <c r="O511" s="391"/>
      <c r="P511" s="390"/>
      <c r="Q511" s="391"/>
      <c r="R511" s="390"/>
      <c r="S511" s="391"/>
      <c r="T511" s="390"/>
      <c r="U511" s="391"/>
      <c r="V511" s="390"/>
      <c r="W511" s="391"/>
      <c r="X511" s="390"/>
      <c r="Y511" s="391"/>
      <c r="Z511" s="390"/>
      <c r="AA511" s="391"/>
      <c r="AB511" s="390"/>
      <c r="AC511" s="391"/>
      <c r="AD511" s="390"/>
      <c r="AE511" s="391"/>
      <c r="AF511" s="390"/>
      <c r="AG511" s="391"/>
      <c r="AH511" s="390"/>
      <c r="AI511" s="391"/>
      <c r="AJ511" s="390"/>
      <c r="AK511" s="391"/>
      <c r="AL511" s="390"/>
      <c r="AM511" s="391"/>
      <c r="AN511" s="390"/>
      <c r="AO511" s="391"/>
    </row>
    <row r="512" spans="1:41" ht="15" hidden="1" customHeight="1">
      <c r="A512" s="259" t="s">
        <v>507</v>
      </c>
      <c r="B512" s="260" t="s">
        <v>775</v>
      </c>
      <c r="C512" s="281"/>
      <c r="D512" s="259">
        <v>246354</v>
      </c>
      <c r="E512" s="259">
        <v>8</v>
      </c>
      <c r="F512" s="390">
        <v>3140</v>
      </c>
      <c r="G512" s="391">
        <v>3140</v>
      </c>
      <c r="H512" s="390">
        <v>14072</v>
      </c>
      <c r="I512" s="398">
        <v>0</v>
      </c>
      <c r="J512" s="390">
        <v>0</v>
      </c>
      <c r="K512" s="391">
        <v>0</v>
      </c>
      <c r="L512" s="390">
        <v>0</v>
      </c>
      <c r="M512" s="391">
        <v>0</v>
      </c>
      <c r="N512" s="390"/>
      <c r="O512" s="391"/>
      <c r="P512" s="390"/>
      <c r="Q512" s="391"/>
      <c r="R512" s="390"/>
      <c r="S512" s="391"/>
      <c r="T512" s="390"/>
      <c r="U512" s="391"/>
      <c r="V512" s="390"/>
      <c r="W512" s="391"/>
      <c r="X512" s="390"/>
      <c r="Y512" s="391"/>
      <c r="Z512" s="390"/>
      <c r="AA512" s="391"/>
      <c r="AB512" s="390"/>
      <c r="AC512" s="391"/>
      <c r="AD512" s="390"/>
      <c r="AE512" s="391"/>
      <c r="AF512" s="390"/>
      <c r="AG512" s="391"/>
      <c r="AH512" s="390"/>
      <c r="AI512" s="391"/>
      <c r="AJ512" s="390"/>
      <c r="AK512" s="391"/>
      <c r="AL512" s="390"/>
      <c r="AM512" s="391"/>
      <c r="AN512" s="390"/>
      <c r="AO512" s="391"/>
    </row>
    <row r="513" spans="1:41" ht="15" hidden="1" customHeight="1">
      <c r="A513" s="259" t="s">
        <v>507</v>
      </c>
      <c r="B513" s="260" t="s">
        <v>776</v>
      </c>
      <c r="C513" s="281"/>
      <c r="D513" s="259">
        <v>227766</v>
      </c>
      <c r="E513" s="259">
        <v>8</v>
      </c>
      <c r="F513" s="390">
        <v>1770</v>
      </c>
      <c r="G513" s="391">
        <v>2370</v>
      </c>
      <c r="H513" s="390">
        <v>5220</v>
      </c>
      <c r="I513" s="391">
        <v>6000</v>
      </c>
      <c r="J513" s="390">
        <v>0</v>
      </c>
      <c r="K513" s="391">
        <v>0</v>
      </c>
      <c r="L513" s="390">
        <v>0</v>
      </c>
      <c r="M513" s="391">
        <v>0</v>
      </c>
      <c r="N513" s="390"/>
      <c r="O513" s="391"/>
      <c r="P513" s="390"/>
      <c r="Q513" s="391"/>
      <c r="R513" s="390"/>
      <c r="S513" s="391"/>
      <c r="T513" s="390"/>
      <c r="U513" s="391"/>
      <c r="V513" s="390"/>
      <c r="W513" s="391"/>
      <c r="X513" s="390"/>
      <c r="Y513" s="391"/>
      <c r="Z513" s="390"/>
      <c r="AA513" s="391"/>
      <c r="AB513" s="390"/>
      <c r="AC513" s="391"/>
      <c r="AD513" s="390"/>
      <c r="AE513" s="391"/>
      <c r="AF513" s="390"/>
      <c r="AG513" s="391"/>
      <c r="AH513" s="390"/>
      <c r="AI513" s="391"/>
      <c r="AJ513" s="390"/>
      <c r="AK513" s="391"/>
      <c r="AL513" s="390"/>
      <c r="AM513" s="391"/>
      <c r="AN513" s="390"/>
      <c r="AO513" s="391"/>
    </row>
    <row r="514" spans="1:41" ht="15" hidden="1" customHeight="1">
      <c r="A514" s="259" t="s">
        <v>507</v>
      </c>
      <c r="B514" s="260" t="s">
        <v>777</v>
      </c>
      <c r="C514" s="281"/>
      <c r="D514" s="259">
        <v>227924</v>
      </c>
      <c r="E514" s="259">
        <v>8</v>
      </c>
      <c r="F514" s="390">
        <v>3140</v>
      </c>
      <c r="G514" s="391">
        <v>3140</v>
      </c>
      <c r="H514" s="390">
        <v>14072</v>
      </c>
      <c r="I514" s="398">
        <v>0</v>
      </c>
      <c r="J514" s="390">
        <v>0</v>
      </c>
      <c r="K514" s="391">
        <v>0</v>
      </c>
      <c r="L514" s="390">
        <v>0</v>
      </c>
      <c r="M514" s="391">
        <v>0</v>
      </c>
      <c r="N514" s="390"/>
      <c r="O514" s="391"/>
      <c r="P514" s="390"/>
      <c r="Q514" s="391"/>
      <c r="R514" s="390"/>
      <c r="S514" s="391"/>
      <c r="T514" s="390"/>
      <c r="U514" s="391"/>
      <c r="V514" s="390"/>
      <c r="W514" s="391"/>
      <c r="X514" s="390"/>
      <c r="Y514" s="391"/>
      <c r="Z514" s="390"/>
      <c r="AA514" s="391"/>
      <c r="AB514" s="390"/>
      <c r="AC514" s="391"/>
      <c r="AD514" s="390"/>
      <c r="AE514" s="391"/>
      <c r="AF514" s="390"/>
      <c r="AG514" s="391"/>
      <c r="AH514" s="390"/>
      <c r="AI514" s="391"/>
      <c r="AJ514" s="390"/>
      <c r="AK514" s="391"/>
      <c r="AL514" s="390"/>
      <c r="AM514" s="391"/>
      <c r="AN514" s="390"/>
      <c r="AO514" s="391"/>
    </row>
    <row r="515" spans="1:41" ht="15" hidden="1" customHeight="1">
      <c r="A515" s="259" t="s">
        <v>507</v>
      </c>
      <c r="B515" s="260" t="s">
        <v>778</v>
      </c>
      <c r="C515" s="281"/>
      <c r="D515" s="259">
        <v>227979</v>
      </c>
      <c r="E515" s="259">
        <v>8</v>
      </c>
      <c r="F515" s="390">
        <v>2340</v>
      </c>
      <c r="G515" s="391">
        <v>2340</v>
      </c>
      <c r="H515" s="390">
        <v>6300</v>
      </c>
      <c r="I515" s="391">
        <v>6300</v>
      </c>
      <c r="J515" s="390">
        <v>0</v>
      </c>
      <c r="K515" s="391">
        <v>0</v>
      </c>
      <c r="L515" s="390">
        <v>0</v>
      </c>
      <c r="M515" s="391">
        <v>0</v>
      </c>
      <c r="N515" s="390"/>
      <c r="O515" s="391"/>
      <c r="P515" s="390"/>
      <c r="Q515" s="391"/>
      <c r="R515" s="390"/>
      <c r="S515" s="391"/>
      <c r="T515" s="390"/>
      <c r="U515" s="391"/>
      <c r="V515" s="390"/>
      <c r="W515" s="391"/>
      <c r="X515" s="390"/>
      <c r="Y515" s="391"/>
      <c r="Z515" s="390"/>
      <c r="AA515" s="391"/>
      <c r="AB515" s="390"/>
      <c r="AC515" s="391"/>
      <c r="AD515" s="390"/>
      <c r="AE515" s="391"/>
      <c r="AF515" s="390"/>
      <c r="AG515" s="391"/>
      <c r="AH515" s="390"/>
      <c r="AI515" s="391"/>
      <c r="AJ515" s="390"/>
      <c r="AK515" s="391"/>
      <c r="AL515" s="390"/>
      <c r="AM515" s="391"/>
      <c r="AN515" s="390"/>
      <c r="AO515" s="391"/>
    </row>
    <row r="516" spans="1:41" ht="15" hidden="1" customHeight="1">
      <c r="A516" s="259" t="s">
        <v>507</v>
      </c>
      <c r="B516" s="260" t="s">
        <v>779</v>
      </c>
      <c r="C516" s="281"/>
      <c r="D516" s="259">
        <v>228158</v>
      </c>
      <c r="E516" s="259">
        <v>8</v>
      </c>
      <c r="F516" s="390">
        <v>5206</v>
      </c>
      <c r="G516" s="391">
        <v>5588</v>
      </c>
      <c r="H516" s="390">
        <v>5227</v>
      </c>
      <c r="I516" s="391">
        <v>5907</v>
      </c>
      <c r="J516" s="390">
        <v>0</v>
      </c>
      <c r="K516" s="391">
        <v>0</v>
      </c>
      <c r="L516" s="390">
        <v>0</v>
      </c>
      <c r="M516" s="391">
        <v>0</v>
      </c>
      <c r="N516" s="390"/>
      <c r="O516" s="391"/>
      <c r="P516" s="390"/>
      <c r="Q516" s="391"/>
      <c r="R516" s="390"/>
      <c r="S516" s="391"/>
      <c r="T516" s="390"/>
      <c r="U516" s="391"/>
      <c r="V516" s="390"/>
      <c r="W516" s="391"/>
      <c r="X516" s="390"/>
      <c r="Y516" s="391"/>
      <c r="Z516" s="390"/>
      <c r="AA516" s="391"/>
      <c r="AB516" s="390"/>
      <c r="AC516" s="391"/>
      <c r="AD516" s="390"/>
      <c r="AE516" s="391"/>
      <c r="AF516" s="390"/>
      <c r="AG516" s="391"/>
      <c r="AH516" s="390"/>
      <c r="AI516" s="391"/>
      <c r="AJ516" s="390"/>
      <c r="AK516" s="391"/>
      <c r="AL516" s="390"/>
      <c r="AM516" s="391"/>
      <c r="AN516" s="390"/>
      <c r="AO516" s="391"/>
    </row>
    <row r="517" spans="1:41" ht="15" hidden="1" customHeight="1">
      <c r="A517" s="259" t="s">
        <v>507</v>
      </c>
      <c r="B517" s="260" t="s">
        <v>780</v>
      </c>
      <c r="C517" s="281"/>
      <c r="D517" s="259">
        <v>227854</v>
      </c>
      <c r="E517" s="259">
        <v>8</v>
      </c>
      <c r="F517" s="390">
        <v>3140</v>
      </c>
      <c r="G517" s="391">
        <v>3140</v>
      </c>
      <c r="H517" s="390">
        <v>14072</v>
      </c>
      <c r="I517" s="398">
        <v>0</v>
      </c>
      <c r="J517" s="390">
        <v>0</v>
      </c>
      <c r="K517" s="391">
        <v>0</v>
      </c>
      <c r="L517" s="390">
        <v>0</v>
      </c>
      <c r="M517" s="391">
        <v>0</v>
      </c>
      <c r="N517" s="390"/>
      <c r="O517" s="391"/>
      <c r="P517" s="390"/>
      <c r="Q517" s="391"/>
      <c r="R517" s="390"/>
      <c r="S517" s="391"/>
      <c r="T517" s="390"/>
      <c r="U517" s="391"/>
      <c r="V517" s="390"/>
      <c r="W517" s="391"/>
      <c r="X517" s="390"/>
      <c r="Y517" s="391"/>
      <c r="Z517" s="390"/>
      <c r="AA517" s="391"/>
      <c r="AB517" s="390"/>
      <c r="AC517" s="391"/>
      <c r="AD517" s="390"/>
      <c r="AE517" s="391"/>
      <c r="AF517" s="390"/>
      <c r="AG517" s="391"/>
      <c r="AH517" s="390"/>
      <c r="AI517" s="391"/>
      <c r="AJ517" s="390"/>
      <c r="AK517" s="391"/>
      <c r="AL517" s="390"/>
      <c r="AM517" s="391"/>
      <c r="AN517" s="390"/>
      <c r="AO517" s="391"/>
    </row>
    <row r="518" spans="1:41" ht="15" hidden="1" customHeight="1">
      <c r="A518" s="259" t="s">
        <v>507</v>
      </c>
      <c r="B518" s="260" t="s">
        <v>781</v>
      </c>
      <c r="C518" s="281"/>
      <c r="D518" s="259">
        <v>228547</v>
      </c>
      <c r="E518" s="259">
        <v>8</v>
      </c>
      <c r="F518" s="390">
        <v>1920</v>
      </c>
      <c r="G518" s="391">
        <v>1920</v>
      </c>
      <c r="H518" s="390">
        <v>9150</v>
      </c>
      <c r="I518" s="391">
        <v>9150</v>
      </c>
      <c r="J518" s="390">
        <v>0</v>
      </c>
      <c r="K518" s="391">
        <v>0</v>
      </c>
      <c r="L518" s="390">
        <v>0</v>
      </c>
      <c r="M518" s="391">
        <v>0</v>
      </c>
      <c r="N518" s="390"/>
      <c r="O518" s="391"/>
      <c r="P518" s="390"/>
      <c r="Q518" s="391"/>
      <c r="R518" s="390"/>
      <c r="S518" s="391"/>
      <c r="T518" s="390"/>
      <c r="U518" s="391"/>
      <c r="V518" s="390"/>
      <c r="W518" s="391"/>
      <c r="X518" s="390"/>
      <c r="Y518" s="391"/>
      <c r="Z518" s="390"/>
      <c r="AA518" s="391"/>
      <c r="AB518" s="390"/>
      <c r="AC518" s="391"/>
      <c r="AD518" s="390"/>
      <c r="AE518" s="391"/>
      <c r="AF518" s="390"/>
      <c r="AG518" s="391"/>
      <c r="AH518" s="390"/>
      <c r="AI518" s="391"/>
      <c r="AJ518" s="390"/>
      <c r="AK518" s="391"/>
      <c r="AL518" s="390"/>
      <c r="AM518" s="391"/>
      <c r="AN518" s="390"/>
      <c r="AO518" s="391"/>
    </row>
    <row r="519" spans="1:41" ht="15" hidden="1" customHeight="1">
      <c r="A519" s="259" t="s">
        <v>507</v>
      </c>
      <c r="B519" s="260" t="s">
        <v>782</v>
      </c>
      <c r="C519" s="281"/>
      <c r="D519" s="259">
        <v>225308</v>
      </c>
      <c r="E519" s="259">
        <v>8</v>
      </c>
      <c r="F519" s="390">
        <v>2836</v>
      </c>
      <c r="G519" s="391">
        <v>2836</v>
      </c>
      <c r="H519" s="390">
        <v>5970</v>
      </c>
      <c r="I519" s="391">
        <v>5970</v>
      </c>
      <c r="J519" s="390">
        <v>0</v>
      </c>
      <c r="K519" s="391">
        <v>0</v>
      </c>
      <c r="L519" s="390">
        <v>0</v>
      </c>
      <c r="M519" s="391">
        <v>0</v>
      </c>
      <c r="N519" s="390"/>
      <c r="O519" s="391"/>
      <c r="P519" s="390"/>
      <c r="Q519" s="391"/>
      <c r="R519" s="390"/>
      <c r="S519" s="391"/>
      <c r="T519" s="390"/>
      <c r="U519" s="391"/>
      <c r="V519" s="390"/>
      <c r="W519" s="391"/>
      <c r="X519" s="390"/>
      <c r="Y519" s="391"/>
      <c r="Z519" s="390"/>
      <c r="AA519" s="391"/>
      <c r="AB519" s="390"/>
      <c r="AC519" s="391"/>
      <c r="AD519" s="390"/>
      <c r="AE519" s="391"/>
      <c r="AF519" s="390"/>
      <c r="AG519" s="391"/>
      <c r="AH519" s="390"/>
      <c r="AI519" s="391"/>
      <c r="AJ519" s="390"/>
      <c r="AK519" s="391"/>
      <c r="AL519" s="390"/>
      <c r="AM519" s="391"/>
      <c r="AN519" s="390"/>
      <c r="AO519" s="391"/>
    </row>
    <row r="520" spans="1:41" ht="15" hidden="1" customHeight="1">
      <c r="A520" s="259" t="s">
        <v>507</v>
      </c>
      <c r="B520" s="260" t="s">
        <v>783</v>
      </c>
      <c r="C520" s="281" t="s">
        <v>633</v>
      </c>
      <c r="D520" s="259">
        <v>229355</v>
      </c>
      <c r="E520" s="259">
        <v>8</v>
      </c>
      <c r="F520" s="390">
        <v>3442</v>
      </c>
      <c r="G520" s="391">
        <v>3442</v>
      </c>
      <c r="H520" s="390">
        <v>5482</v>
      </c>
      <c r="I520" s="391">
        <v>5482</v>
      </c>
      <c r="J520" s="390">
        <v>0</v>
      </c>
      <c r="K520" s="391">
        <v>0</v>
      </c>
      <c r="L520" s="390">
        <v>0</v>
      </c>
      <c r="M520" s="391">
        <v>0</v>
      </c>
      <c r="N520" s="390"/>
      <c r="O520" s="391"/>
      <c r="P520" s="390"/>
      <c r="Q520" s="391"/>
      <c r="R520" s="390"/>
      <c r="S520" s="391"/>
      <c r="T520" s="390"/>
      <c r="U520" s="391"/>
      <c r="V520" s="390"/>
      <c r="W520" s="391"/>
      <c r="X520" s="390"/>
      <c r="Y520" s="391"/>
      <c r="Z520" s="390"/>
      <c r="AA520" s="391"/>
      <c r="AB520" s="390"/>
      <c r="AC520" s="391"/>
      <c r="AD520" s="390"/>
      <c r="AE520" s="391"/>
      <c r="AF520" s="390"/>
      <c r="AG520" s="391"/>
      <c r="AH520" s="390"/>
      <c r="AI520" s="391"/>
      <c r="AJ520" s="390"/>
      <c r="AK520" s="391"/>
      <c r="AL520" s="390"/>
      <c r="AM520" s="391"/>
      <c r="AN520" s="390"/>
      <c r="AO520" s="391"/>
    </row>
    <row r="521" spans="1:41" ht="15" hidden="1" customHeight="1">
      <c r="A521" s="259" t="s">
        <v>507</v>
      </c>
      <c r="B521" s="260" t="s">
        <v>784</v>
      </c>
      <c r="C521" s="281"/>
      <c r="D521" s="259">
        <v>222567</v>
      </c>
      <c r="E521" s="259">
        <v>9</v>
      </c>
      <c r="F521" s="390">
        <v>2000</v>
      </c>
      <c r="G521" s="391">
        <v>2030</v>
      </c>
      <c r="H521" s="390">
        <v>4820</v>
      </c>
      <c r="I521" s="391">
        <v>4910</v>
      </c>
      <c r="J521" s="390">
        <v>0</v>
      </c>
      <c r="K521" s="391">
        <v>0</v>
      </c>
      <c r="L521" s="390">
        <v>0</v>
      </c>
      <c r="M521" s="391">
        <v>0</v>
      </c>
      <c r="N521" s="390"/>
      <c r="O521" s="391"/>
      <c r="P521" s="390"/>
      <c r="Q521" s="391"/>
      <c r="R521" s="390"/>
      <c r="S521" s="391"/>
      <c r="T521" s="390"/>
      <c r="U521" s="391"/>
      <c r="V521" s="390"/>
      <c r="W521" s="391"/>
      <c r="X521" s="390"/>
      <c r="Y521" s="391"/>
      <c r="Z521" s="390"/>
      <c r="AA521" s="391"/>
      <c r="AB521" s="390"/>
      <c r="AC521" s="391"/>
      <c r="AD521" s="390"/>
      <c r="AE521" s="391"/>
      <c r="AF521" s="390"/>
      <c r="AG521" s="391"/>
      <c r="AH521" s="390"/>
      <c r="AI521" s="391"/>
      <c r="AJ521" s="390"/>
      <c r="AK521" s="391"/>
      <c r="AL521" s="390"/>
      <c r="AM521" s="391"/>
      <c r="AN521" s="390"/>
      <c r="AO521" s="391"/>
    </row>
    <row r="522" spans="1:41" ht="15" hidden="1" customHeight="1">
      <c r="A522" s="259" t="s">
        <v>507</v>
      </c>
      <c r="B522" s="260" t="s">
        <v>785</v>
      </c>
      <c r="C522" s="281"/>
      <c r="D522" s="259">
        <v>222822</v>
      </c>
      <c r="E522" s="259">
        <v>9</v>
      </c>
      <c r="F522" s="390">
        <v>2890</v>
      </c>
      <c r="G522" s="391">
        <v>3072</v>
      </c>
      <c r="H522" s="390">
        <v>5920</v>
      </c>
      <c r="I522" s="391">
        <v>5920</v>
      </c>
      <c r="J522" s="390">
        <v>0</v>
      </c>
      <c r="K522" s="391">
        <v>0</v>
      </c>
      <c r="L522" s="390">
        <v>0</v>
      </c>
      <c r="M522" s="391">
        <v>0</v>
      </c>
      <c r="N522" s="390"/>
      <c r="O522" s="391"/>
      <c r="P522" s="390"/>
      <c r="Q522" s="391"/>
      <c r="R522" s="390"/>
      <c r="S522" s="391"/>
      <c r="T522" s="390"/>
      <c r="U522" s="391"/>
      <c r="V522" s="390"/>
      <c r="W522" s="391"/>
      <c r="X522" s="390"/>
      <c r="Y522" s="391"/>
      <c r="Z522" s="390"/>
      <c r="AA522" s="391"/>
      <c r="AB522" s="390"/>
      <c r="AC522" s="391"/>
      <c r="AD522" s="390"/>
      <c r="AE522" s="391"/>
      <c r="AF522" s="390"/>
      <c r="AG522" s="391"/>
      <c r="AH522" s="390"/>
      <c r="AI522" s="391"/>
      <c r="AJ522" s="390"/>
      <c r="AK522" s="391"/>
      <c r="AL522" s="390"/>
      <c r="AM522" s="391"/>
      <c r="AN522" s="390"/>
      <c r="AO522" s="391"/>
    </row>
    <row r="523" spans="1:41" ht="15" hidden="1" customHeight="1">
      <c r="A523" s="259" t="s">
        <v>507</v>
      </c>
      <c r="B523" s="260" t="s">
        <v>786</v>
      </c>
      <c r="C523" s="281"/>
      <c r="D523" s="259">
        <v>223773</v>
      </c>
      <c r="E523" s="259">
        <v>9</v>
      </c>
      <c r="F523" s="390">
        <v>1770</v>
      </c>
      <c r="G523" s="391">
        <v>2370</v>
      </c>
      <c r="H523" s="390">
        <v>5220</v>
      </c>
      <c r="I523" s="391">
        <v>6000</v>
      </c>
      <c r="J523" s="390">
        <v>0</v>
      </c>
      <c r="K523" s="391">
        <v>0</v>
      </c>
      <c r="L523" s="390">
        <v>0</v>
      </c>
      <c r="M523" s="391">
        <v>0</v>
      </c>
      <c r="N523" s="390"/>
      <c r="O523" s="391"/>
      <c r="P523" s="390"/>
      <c r="Q523" s="391"/>
      <c r="R523" s="390"/>
      <c r="S523" s="391"/>
      <c r="T523" s="390"/>
      <c r="U523" s="391"/>
      <c r="V523" s="390"/>
      <c r="W523" s="391"/>
      <c r="X523" s="390"/>
      <c r="Y523" s="391"/>
      <c r="Z523" s="390"/>
      <c r="AA523" s="391"/>
      <c r="AB523" s="390"/>
      <c r="AC523" s="391"/>
      <c r="AD523" s="390"/>
      <c r="AE523" s="391"/>
      <c r="AF523" s="390"/>
      <c r="AG523" s="391"/>
      <c r="AH523" s="390"/>
      <c r="AI523" s="391"/>
      <c r="AJ523" s="390"/>
      <c r="AK523" s="391"/>
      <c r="AL523" s="390"/>
      <c r="AM523" s="391"/>
      <c r="AN523" s="390"/>
      <c r="AO523" s="391"/>
    </row>
    <row r="524" spans="1:41" ht="15" hidden="1" customHeight="1">
      <c r="A524" s="259" t="s">
        <v>507</v>
      </c>
      <c r="B524" s="284" t="s">
        <v>787</v>
      </c>
      <c r="C524" s="281"/>
      <c r="D524" s="259">
        <v>223898</v>
      </c>
      <c r="E524" s="259">
        <v>9</v>
      </c>
      <c r="F524" s="390">
        <v>4770</v>
      </c>
      <c r="G524" s="391">
        <v>4830</v>
      </c>
      <c r="H524" s="390">
        <v>5880</v>
      </c>
      <c r="I524" s="391">
        <v>5940</v>
      </c>
      <c r="J524" s="390">
        <v>0</v>
      </c>
      <c r="K524" s="391">
        <v>0</v>
      </c>
      <c r="L524" s="390">
        <v>0</v>
      </c>
      <c r="M524" s="391">
        <v>0</v>
      </c>
      <c r="N524" s="390"/>
      <c r="O524" s="391"/>
      <c r="P524" s="390"/>
      <c r="Q524" s="391"/>
      <c r="R524" s="390"/>
      <c r="S524" s="391"/>
      <c r="T524" s="390"/>
      <c r="U524" s="391"/>
      <c r="V524" s="390"/>
      <c r="W524" s="391"/>
      <c r="X524" s="390"/>
      <c r="Y524" s="391"/>
      <c r="Z524" s="390"/>
      <c r="AA524" s="391"/>
      <c r="AB524" s="390"/>
      <c r="AC524" s="391"/>
      <c r="AD524" s="390"/>
      <c r="AE524" s="391"/>
      <c r="AF524" s="390"/>
      <c r="AG524" s="391"/>
      <c r="AH524" s="390"/>
      <c r="AI524" s="391"/>
      <c r="AJ524" s="390"/>
      <c r="AK524" s="391"/>
      <c r="AL524" s="390"/>
      <c r="AM524" s="391"/>
      <c r="AN524" s="390"/>
      <c r="AO524" s="391"/>
    </row>
    <row r="525" spans="1:41" ht="15" hidden="1" customHeight="1">
      <c r="A525" s="259" t="s">
        <v>507</v>
      </c>
      <c r="B525" s="260" t="s">
        <v>788</v>
      </c>
      <c r="C525" s="281"/>
      <c r="D525" s="259">
        <v>223320</v>
      </c>
      <c r="E525" s="259">
        <v>9</v>
      </c>
      <c r="F525" s="390">
        <v>4406</v>
      </c>
      <c r="G525" s="391">
        <v>4406</v>
      </c>
      <c r="H525" s="390">
        <v>4956</v>
      </c>
      <c r="I525" s="391">
        <v>4956</v>
      </c>
      <c r="J525" s="390">
        <v>0</v>
      </c>
      <c r="K525" s="391">
        <v>0</v>
      </c>
      <c r="L525" s="390">
        <v>0</v>
      </c>
      <c r="M525" s="391">
        <v>0</v>
      </c>
      <c r="N525" s="390"/>
      <c r="O525" s="391"/>
      <c r="P525" s="390"/>
      <c r="Q525" s="391"/>
      <c r="R525" s="390"/>
      <c r="S525" s="391"/>
      <c r="T525" s="390"/>
      <c r="U525" s="391"/>
      <c r="V525" s="390"/>
      <c r="W525" s="391"/>
      <c r="X525" s="390"/>
      <c r="Y525" s="391"/>
      <c r="Z525" s="390"/>
      <c r="AA525" s="391"/>
      <c r="AB525" s="390"/>
      <c r="AC525" s="391"/>
      <c r="AD525" s="390"/>
      <c r="AE525" s="391"/>
      <c r="AF525" s="390"/>
      <c r="AG525" s="391"/>
      <c r="AH525" s="390"/>
      <c r="AI525" s="391"/>
      <c r="AJ525" s="390"/>
      <c r="AK525" s="391"/>
      <c r="AL525" s="390"/>
      <c r="AM525" s="391"/>
      <c r="AN525" s="390"/>
      <c r="AO525" s="391"/>
    </row>
    <row r="526" spans="1:41" ht="15" hidden="1" customHeight="1">
      <c r="A526" s="259" t="s">
        <v>507</v>
      </c>
      <c r="B526" s="260" t="s">
        <v>789</v>
      </c>
      <c r="C526" s="281"/>
      <c r="D526" s="259">
        <v>226408</v>
      </c>
      <c r="E526" s="259">
        <v>9</v>
      </c>
      <c r="F526" s="390">
        <v>1774</v>
      </c>
      <c r="G526" s="391">
        <v>1774</v>
      </c>
      <c r="H526" s="390">
        <v>3873</v>
      </c>
      <c r="I526" s="391">
        <v>3873</v>
      </c>
      <c r="J526" s="390">
        <v>0</v>
      </c>
      <c r="K526" s="391">
        <v>0</v>
      </c>
      <c r="L526" s="390">
        <v>0</v>
      </c>
      <c r="M526" s="391">
        <v>0</v>
      </c>
      <c r="N526" s="390"/>
      <c r="O526" s="391"/>
      <c r="P526" s="390"/>
      <c r="Q526" s="391"/>
      <c r="R526" s="390"/>
      <c r="S526" s="391"/>
      <c r="T526" s="390"/>
      <c r="U526" s="391"/>
      <c r="V526" s="390"/>
      <c r="W526" s="391"/>
      <c r="X526" s="390"/>
      <c r="Y526" s="391"/>
      <c r="Z526" s="390"/>
      <c r="AA526" s="391"/>
      <c r="AB526" s="390"/>
      <c r="AC526" s="391"/>
      <c r="AD526" s="390"/>
      <c r="AE526" s="391"/>
      <c r="AF526" s="390"/>
      <c r="AG526" s="391"/>
      <c r="AH526" s="390"/>
      <c r="AI526" s="391"/>
      <c r="AJ526" s="390"/>
      <c r="AK526" s="391"/>
      <c r="AL526" s="390"/>
      <c r="AM526" s="391"/>
      <c r="AN526" s="390"/>
      <c r="AO526" s="391"/>
    </row>
    <row r="527" spans="1:41" ht="15" hidden="1" customHeight="1">
      <c r="A527" s="282" t="s">
        <v>507</v>
      </c>
      <c r="B527" s="284" t="s">
        <v>790</v>
      </c>
      <c r="C527" s="281"/>
      <c r="D527" s="259">
        <v>225070</v>
      </c>
      <c r="E527" s="259">
        <v>9</v>
      </c>
      <c r="F527" s="390">
        <v>3202</v>
      </c>
      <c r="G527" s="391">
        <v>3476</v>
      </c>
      <c r="H527" s="390">
        <v>5162</v>
      </c>
      <c r="I527" s="391">
        <v>5312</v>
      </c>
      <c r="J527" s="390">
        <v>0</v>
      </c>
      <c r="K527" s="391">
        <v>0</v>
      </c>
      <c r="L527" s="390">
        <v>0</v>
      </c>
      <c r="M527" s="391">
        <v>0</v>
      </c>
      <c r="N527" s="390"/>
      <c r="O527" s="391"/>
      <c r="P527" s="390"/>
      <c r="Q527" s="391"/>
      <c r="R527" s="390"/>
      <c r="S527" s="391"/>
      <c r="T527" s="390"/>
      <c r="U527" s="391"/>
      <c r="V527" s="390"/>
      <c r="W527" s="391"/>
      <c r="X527" s="390"/>
      <c r="Y527" s="391"/>
      <c r="Z527" s="390"/>
      <c r="AA527" s="391"/>
      <c r="AB527" s="390"/>
      <c r="AC527" s="391"/>
      <c r="AD527" s="390"/>
      <c r="AE527" s="391"/>
      <c r="AF527" s="390"/>
      <c r="AG527" s="391"/>
      <c r="AH527" s="390"/>
      <c r="AI527" s="391"/>
      <c r="AJ527" s="390"/>
      <c r="AK527" s="391"/>
      <c r="AL527" s="390"/>
      <c r="AM527" s="391"/>
      <c r="AN527" s="390"/>
      <c r="AO527" s="391"/>
    </row>
    <row r="528" spans="1:41" ht="15" hidden="1" customHeight="1">
      <c r="A528" s="282" t="s">
        <v>507</v>
      </c>
      <c r="B528" s="260" t="s">
        <v>791</v>
      </c>
      <c r="C528" s="281"/>
      <c r="D528" s="259">
        <v>225371</v>
      </c>
      <c r="E528" s="259">
        <v>9</v>
      </c>
      <c r="F528" s="390">
        <v>3224</v>
      </c>
      <c r="G528" s="391">
        <v>3224</v>
      </c>
      <c r="H528" s="390">
        <v>4140</v>
      </c>
      <c r="I528" s="391">
        <v>4140</v>
      </c>
      <c r="J528" s="390">
        <v>0</v>
      </c>
      <c r="K528" s="391">
        <v>0</v>
      </c>
      <c r="L528" s="390">
        <v>0</v>
      </c>
      <c r="M528" s="391">
        <v>0</v>
      </c>
      <c r="N528" s="390"/>
      <c r="O528" s="391"/>
      <c r="P528" s="390"/>
      <c r="Q528" s="391"/>
      <c r="R528" s="390"/>
      <c r="S528" s="391"/>
      <c r="T528" s="390"/>
      <c r="U528" s="391"/>
      <c r="V528" s="390"/>
      <c r="W528" s="391"/>
      <c r="X528" s="390"/>
      <c r="Y528" s="391"/>
      <c r="Z528" s="390"/>
      <c r="AA528" s="391"/>
      <c r="AB528" s="390"/>
      <c r="AC528" s="391"/>
      <c r="AD528" s="390"/>
      <c r="AE528" s="391"/>
      <c r="AF528" s="390"/>
      <c r="AG528" s="391"/>
      <c r="AH528" s="390"/>
      <c r="AI528" s="391"/>
      <c r="AJ528" s="390"/>
      <c r="AK528" s="391"/>
      <c r="AL528" s="390"/>
      <c r="AM528" s="391"/>
      <c r="AN528" s="390"/>
      <c r="AO528" s="391"/>
    </row>
    <row r="529" spans="1:41" ht="15" hidden="1" customHeight="1">
      <c r="A529" s="259" t="s">
        <v>507</v>
      </c>
      <c r="B529" s="260" t="s">
        <v>792</v>
      </c>
      <c r="C529" s="281"/>
      <c r="D529" s="259">
        <v>225520</v>
      </c>
      <c r="E529" s="259">
        <v>9</v>
      </c>
      <c r="F529" s="390">
        <v>2600</v>
      </c>
      <c r="G529" s="391">
        <v>2610</v>
      </c>
      <c r="H529" s="390">
        <v>0</v>
      </c>
      <c r="I529" s="391">
        <v>0</v>
      </c>
      <c r="J529" s="390">
        <v>0</v>
      </c>
      <c r="K529" s="391">
        <v>0</v>
      </c>
      <c r="L529" s="390">
        <v>0</v>
      </c>
      <c r="M529" s="391">
        <v>0</v>
      </c>
      <c r="N529" s="390"/>
      <c r="O529" s="391"/>
      <c r="P529" s="390"/>
      <c r="Q529" s="391"/>
      <c r="R529" s="390"/>
      <c r="S529" s="391"/>
      <c r="T529" s="390"/>
      <c r="U529" s="391"/>
      <c r="V529" s="390"/>
      <c r="W529" s="391"/>
      <c r="X529" s="390"/>
      <c r="Y529" s="391"/>
      <c r="Z529" s="390"/>
      <c r="AA529" s="391"/>
      <c r="AB529" s="390"/>
      <c r="AC529" s="391"/>
      <c r="AD529" s="390"/>
      <c r="AE529" s="391"/>
      <c r="AF529" s="390"/>
      <c r="AG529" s="391"/>
      <c r="AH529" s="390"/>
      <c r="AI529" s="391"/>
      <c r="AJ529" s="390"/>
      <c r="AK529" s="391"/>
      <c r="AL529" s="390"/>
      <c r="AM529" s="391"/>
      <c r="AN529" s="390"/>
      <c r="AO529" s="391"/>
    </row>
    <row r="530" spans="1:41" ht="15" hidden="1" customHeight="1">
      <c r="A530" s="259" t="s">
        <v>507</v>
      </c>
      <c r="B530" s="260" t="s">
        <v>793</v>
      </c>
      <c r="C530" s="281"/>
      <c r="D530" s="259">
        <v>226019</v>
      </c>
      <c r="E530" s="259">
        <v>9</v>
      </c>
      <c r="F530" s="390">
        <v>2888</v>
      </c>
      <c r="G530" s="391">
        <v>2970</v>
      </c>
      <c r="H530" s="390">
        <v>6450</v>
      </c>
      <c r="I530" s="391">
        <v>6570</v>
      </c>
      <c r="J530" s="390">
        <v>0</v>
      </c>
      <c r="K530" s="391">
        <v>0</v>
      </c>
      <c r="L530" s="390">
        <v>0</v>
      </c>
      <c r="M530" s="391">
        <v>0</v>
      </c>
      <c r="N530" s="390"/>
      <c r="O530" s="391"/>
      <c r="P530" s="390"/>
      <c r="Q530" s="391"/>
      <c r="R530" s="390"/>
      <c r="S530" s="391"/>
      <c r="T530" s="390"/>
      <c r="U530" s="391"/>
      <c r="V530" s="390"/>
      <c r="W530" s="391"/>
      <c r="X530" s="390"/>
      <c r="Y530" s="391"/>
      <c r="Z530" s="390"/>
      <c r="AA530" s="391"/>
      <c r="AB530" s="390"/>
      <c r="AC530" s="391"/>
      <c r="AD530" s="390"/>
      <c r="AE530" s="391"/>
      <c r="AF530" s="390"/>
      <c r="AG530" s="391"/>
      <c r="AH530" s="390"/>
      <c r="AI530" s="391"/>
      <c r="AJ530" s="390"/>
      <c r="AK530" s="391"/>
      <c r="AL530" s="390"/>
      <c r="AM530" s="391"/>
      <c r="AN530" s="390"/>
      <c r="AO530" s="391"/>
    </row>
    <row r="531" spans="1:41" ht="15" hidden="1" customHeight="1">
      <c r="A531" s="259" t="s">
        <v>507</v>
      </c>
      <c r="B531" s="260" t="s">
        <v>794</v>
      </c>
      <c r="C531" s="281"/>
      <c r="D531" s="259">
        <v>441760</v>
      </c>
      <c r="E531" s="259">
        <v>9</v>
      </c>
      <c r="F531" s="390">
        <v>4400</v>
      </c>
      <c r="G531" s="391">
        <v>4400</v>
      </c>
      <c r="H531" s="390">
        <v>0</v>
      </c>
      <c r="I531" s="399">
        <v>15320</v>
      </c>
      <c r="J531" s="390">
        <v>0</v>
      </c>
      <c r="K531" s="391">
        <v>0</v>
      </c>
      <c r="L531" s="390">
        <v>0</v>
      </c>
      <c r="M531" s="391">
        <v>0</v>
      </c>
      <c r="N531" s="390"/>
      <c r="O531" s="391"/>
      <c r="P531" s="390"/>
      <c r="Q531" s="391"/>
      <c r="R531" s="390"/>
      <c r="S531" s="391"/>
      <c r="T531" s="390"/>
      <c r="U531" s="391"/>
      <c r="V531" s="390"/>
      <c r="W531" s="391"/>
      <c r="X531" s="390"/>
      <c r="Y531" s="391"/>
      <c r="Z531" s="390"/>
      <c r="AA531" s="391"/>
      <c r="AB531" s="390"/>
      <c r="AC531" s="391"/>
      <c r="AD531" s="390"/>
      <c r="AE531" s="391"/>
      <c r="AF531" s="390"/>
      <c r="AG531" s="391"/>
      <c r="AH531" s="390"/>
      <c r="AI531" s="391"/>
      <c r="AJ531" s="390"/>
      <c r="AK531" s="391"/>
      <c r="AL531" s="390"/>
      <c r="AM531" s="391"/>
      <c r="AN531" s="390"/>
      <c r="AO531" s="391"/>
    </row>
    <row r="532" spans="1:41" ht="15" hidden="1" customHeight="1">
      <c r="A532" s="259" t="s">
        <v>507</v>
      </c>
      <c r="B532" s="260" t="s">
        <v>795</v>
      </c>
      <c r="C532" s="281"/>
      <c r="D532" s="259">
        <v>226204</v>
      </c>
      <c r="E532" s="259">
        <v>9</v>
      </c>
      <c r="F532" s="390">
        <v>2684</v>
      </c>
      <c r="G532" s="391">
        <v>2684</v>
      </c>
      <c r="H532" s="390">
        <v>5313</v>
      </c>
      <c r="I532" s="391">
        <v>5313</v>
      </c>
      <c r="J532" s="390">
        <v>0</v>
      </c>
      <c r="K532" s="391">
        <v>0</v>
      </c>
      <c r="L532" s="390">
        <v>0</v>
      </c>
      <c r="M532" s="391">
        <v>0</v>
      </c>
      <c r="N532" s="390"/>
      <c r="O532" s="391"/>
      <c r="P532" s="390"/>
      <c r="Q532" s="391"/>
      <c r="R532" s="390"/>
      <c r="S532" s="391"/>
      <c r="T532" s="390"/>
      <c r="U532" s="391"/>
      <c r="V532" s="390"/>
      <c r="W532" s="391"/>
      <c r="X532" s="390"/>
      <c r="Y532" s="391"/>
      <c r="Z532" s="390"/>
      <c r="AA532" s="391"/>
      <c r="AB532" s="390"/>
      <c r="AC532" s="391"/>
      <c r="AD532" s="390"/>
      <c r="AE532" s="391"/>
      <c r="AF532" s="390"/>
      <c r="AG532" s="391"/>
      <c r="AH532" s="390"/>
      <c r="AI532" s="391"/>
      <c r="AJ532" s="390"/>
      <c r="AK532" s="391"/>
      <c r="AL532" s="390"/>
      <c r="AM532" s="391"/>
      <c r="AN532" s="390"/>
      <c r="AO532" s="391"/>
    </row>
    <row r="533" spans="1:41" s="201" customFormat="1" ht="12.75" hidden="1">
      <c r="A533" s="259" t="s">
        <v>507</v>
      </c>
      <c r="B533" s="260" t="s">
        <v>796</v>
      </c>
      <c r="C533" s="261" t="s">
        <v>917</v>
      </c>
      <c r="D533" s="259">
        <v>227225</v>
      </c>
      <c r="E533" s="259">
        <v>9</v>
      </c>
      <c r="F533" s="390">
        <v>3196</v>
      </c>
      <c r="G533" s="391">
        <v>3390</v>
      </c>
      <c r="H533" s="390">
        <v>6269</v>
      </c>
      <c r="I533" s="391">
        <v>6449</v>
      </c>
      <c r="J533" s="390">
        <v>0</v>
      </c>
      <c r="K533" s="391">
        <v>0</v>
      </c>
      <c r="L533" s="390">
        <v>0</v>
      </c>
      <c r="M533" s="391">
        <v>0</v>
      </c>
      <c r="N533" s="390"/>
      <c r="O533" s="391"/>
      <c r="P533" s="390"/>
      <c r="Q533" s="391"/>
      <c r="R533" s="390"/>
      <c r="S533" s="391"/>
      <c r="T533" s="390"/>
      <c r="U533" s="391"/>
      <c r="V533" s="390"/>
      <c r="W533" s="391"/>
      <c r="X533" s="390"/>
      <c r="Y533" s="391"/>
      <c r="Z533" s="390"/>
      <c r="AA533" s="391"/>
      <c r="AB533" s="390"/>
      <c r="AC533" s="391"/>
      <c r="AD533" s="390"/>
      <c r="AE533" s="391"/>
      <c r="AF533" s="390"/>
      <c r="AG533" s="391"/>
      <c r="AH533" s="390"/>
      <c r="AI533" s="391"/>
      <c r="AJ533" s="390"/>
      <c r="AK533" s="391"/>
      <c r="AL533" s="390"/>
      <c r="AM533" s="391"/>
      <c r="AN533" s="390"/>
      <c r="AO533" s="391"/>
    </row>
    <row r="534" spans="1:41" s="201" customFormat="1" ht="12.75" hidden="1">
      <c r="A534" s="259" t="s">
        <v>507</v>
      </c>
      <c r="B534" s="260" t="s">
        <v>797</v>
      </c>
      <c r="C534" s="261"/>
      <c r="D534" s="259">
        <v>227304</v>
      </c>
      <c r="E534" s="259">
        <v>9</v>
      </c>
      <c r="F534" s="390">
        <v>2800</v>
      </c>
      <c r="G534" s="391">
        <v>2920</v>
      </c>
      <c r="H534" s="390">
        <v>5340</v>
      </c>
      <c r="I534" s="391">
        <v>5610</v>
      </c>
      <c r="J534" s="390">
        <v>0</v>
      </c>
      <c r="K534" s="391">
        <v>0</v>
      </c>
      <c r="L534" s="390">
        <v>0</v>
      </c>
      <c r="M534" s="391">
        <v>0</v>
      </c>
      <c r="N534" s="390"/>
      <c r="O534" s="391"/>
      <c r="P534" s="390"/>
      <c r="Q534" s="391"/>
      <c r="R534" s="390"/>
      <c r="S534" s="391"/>
      <c r="T534" s="390"/>
      <c r="U534" s="391"/>
      <c r="V534" s="390"/>
      <c r="W534" s="391"/>
      <c r="X534" s="390"/>
      <c r="Y534" s="391"/>
      <c r="Z534" s="390"/>
      <c r="AA534" s="391"/>
      <c r="AB534" s="390"/>
      <c r="AC534" s="391"/>
      <c r="AD534" s="390"/>
      <c r="AE534" s="391"/>
      <c r="AF534" s="390"/>
      <c r="AG534" s="391"/>
      <c r="AH534" s="390"/>
      <c r="AI534" s="391"/>
      <c r="AJ534" s="390"/>
      <c r="AK534" s="391"/>
      <c r="AL534" s="390"/>
      <c r="AM534" s="391"/>
      <c r="AN534" s="390"/>
      <c r="AO534" s="391"/>
    </row>
    <row r="535" spans="1:41" s="201" customFormat="1" ht="12.75" hidden="1">
      <c r="A535" s="259" t="s">
        <v>507</v>
      </c>
      <c r="B535" s="260" t="s">
        <v>798</v>
      </c>
      <c r="C535" s="261"/>
      <c r="D535" s="259">
        <v>227401</v>
      </c>
      <c r="E535" s="259">
        <v>9</v>
      </c>
      <c r="F535" s="390">
        <v>3930</v>
      </c>
      <c r="G535" s="391">
        <v>3960</v>
      </c>
      <c r="H535" s="390">
        <v>5430</v>
      </c>
      <c r="I535" s="391">
        <v>5460</v>
      </c>
      <c r="J535" s="390">
        <v>0</v>
      </c>
      <c r="K535" s="391">
        <v>0</v>
      </c>
      <c r="L535" s="390">
        <v>0</v>
      </c>
      <c r="M535" s="391">
        <v>0</v>
      </c>
      <c r="N535" s="390"/>
      <c r="O535" s="391"/>
      <c r="P535" s="390"/>
      <c r="Q535" s="391"/>
      <c r="R535" s="390"/>
      <c r="S535" s="391"/>
      <c r="T535" s="390"/>
      <c r="U535" s="391"/>
      <c r="V535" s="390"/>
      <c r="W535" s="391"/>
      <c r="X535" s="390"/>
      <c r="Y535" s="391"/>
      <c r="Z535" s="390"/>
      <c r="AA535" s="391"/>
      <c r="AB535" s="390"/>
      <c r="AC535" s="391"/>
      <c r="AD535" s="390"/>
      <c r="AE535" s="391"/>
      <c r="AF535" s="390"/>
      <c r="AG535" s="391"/>
      <c r="AH535" s="390"/>
      <c r="AI535" s="391"/>
      <c r="AJ535" s="390"/>
      <c r="AK535" s="391"/>
      <c r="AL535" s="390"/>
      <c r="AM535" s="391"/>
      <c r="AN535" s="390"/>
      <c r="AO535" s="391"/>
    </row>
    <row r="536" spans="1:41" s="201" customFormat="1" ht="12.75" hidden="1">
      <c r="A536" s="259" t="s">
        <v>507</v>
      </c>
      <c r="B536" s="260" t="s">
        <v>799</v>
      </c>
      <c r="C536" s="261"/>
      <c r="D536" s="259">
        <v>228316</v>
      </c>
      <c r="E536" s="259">
        <v>9</v>
      </c>
      <c r="F536" s="390">
        <v>3174</v>
      </c>
      <c r="G536" s="391">
        <v>3174</v>
      </c>
      <c r="H536" s="390">
        <v>7612</v>
      </c>
      <c r="I536" s="391">
        <v>7612</v>
      </c>
      <c r="J536" s="390">
        <v>0</v>
      </c>
      <c r="K536" s="391">
        <v>0</v>
      </c>
      <c r="L536" s="390">
        <v>0</v>
      </c>
      <c r="M536" s="391">
        <v>0</v>
      </c>
      <c r="N536" s="390"/>
      <c r="O536" s="391"/>
      <c r="P536" s="390"/>
      <c r="Q536" s="391"/>
      <c r="R536" s="390"/>
      <c r="S536" s="391"/>
      <c r="T536" s="390"/>
      <c r="U536" s="391"/>
      <c r="V536" s="390"/>
      <c r="W536" s="391"/>
      <c r="X536" s="390"/>
      <c r="Y536" s="391"/>
      <c r="Z536" s="390"/>
      <c r="AA536" s="391"/>
      <c r="AB536" s="390"/>
      <c r="AC536" s="391"/>
      <c r="AD536" s="390"/>
      <c r="AE536" s="391"/>
      <c r="AF536" s="390"/>
      <c r="AG536" s="391"/>
      <c r="AH536" s="390"/>
      <c r="AI536" s="391"/>
      <c r="AJ536" s="390"/>
      <c r="AK536" s="391"/>
      <c r="AL536" s="390"/>
      <c r="AM536" s="391"/>
      <c r="AN536" s="390"/>
      <c r="AO536" s="391"/>
    </row>
    <row r="537" spans="1:41" s="201" customFormat="1" ht="12.75" hidden="1">
      <c r="A537" s="259" t="s">
        <v>507</v>
      </c>
      <c r="B537" s="260" t="s">
        <v>800</v>
      </c>
      <c r="C537" s="261"/>
      <c r="D537" s="259">
        <v>228608</v>
      </c>
      <c r="E537" s="259">
        <v>9</v>
      </c>
      <c r="F537" s="390">
        <v>3108</v>
      </c>
      <c r="G537" s="391">
        <v>3428</v>
      </c>
      <c r="H537" s="390">
        <v>7650</v>
      </c>
      <c r="I537" s="391">
        <v>10500</v>
      </c>
      <c r="J537" s="390">
        <v>0</v>
      </c>
      <c r="K537" s="391">
        <v>0</v>
      </c>
      <c r="L537" s="390">
        <v>0</v>
      </c>
      <c r="M537" s="391">
        <v>0</v>
      </c>
      <c r="N537" s="390"/>
      <c r="O537" s="391"/>
      <c r="P537" s="390"/>
      <c r="Q537" s="391"/>
      <c r="R537" s="390"/>
      <c r="S537" s="391"/>
      <c r="T537" s="390"/>
      <c r="U537" s="391"/>
      <c r="V537" s="390"/>
      <c r="W537" s="391"/>
      <c r="X537" s="390"/>
      <c r="Y537" s="391"/>
      <c r="Z537" s="390"/>
      <c r="AA537" s="391"/>
      <c r="AB537" s="390"/>
      <c r="AC537" s="391"/>
      <c r="AD537" s="390"/>
      <c r="AE537" s="391"/>
      <c r="AF537" s="390"/>
      <c r="AG537" s="391"/>
      <c r="AH537" s="390"/>
      <c r="AI537" s="391"/>
      <c r="AJ537" s="390"/>
      <c r="AK537" s="391"/>
      <c r="AL537" s="390"/>
      <c r="AM537" s="391"/>
      <c r="AN537" s="390"/>
      <c r="AO537" s="391"/>
    </row>
    <row r="538" spans="1:41" s="201" customFormat="1" ht="12.75" hidden="1">
      <c r="A538" s="259" t="s">
        <v>507</v>
      </c>
      <c r="B538" s="260" t="s">
        <v>801</v>
      </c>
      <c r="C538" s="261"/>
      <c r="D538" s="259">
        <v>228699</v>
      </c>
      <c r="E538" s="259">
        <v>9</v>
      </c>
      <c r="F538" s="390">
        <v>3020</v>
      </c>
      <c r="G538" s="391">
        <v>3140</v>
      </c>
      <c r="H538" s="390">
        <v>6190</v>
      </c>
      <c r="I538" s="391">
        <v>6520</v>
      </c>
      <c r="J538" s="390">
        <v>0</v>
      </c>
      <c r="K538" s="391">
        <v>0</v>
      </c>
      <c r="L538" s="390">
        <v>0</v>
      </c>
      <c r="M538" s="391">
        <v>0</v>
      </c>
      <c r="N538" s="390"/>
      <c r="O538" s="391"/>
      <c r="P538" s="390"/>
      <c r="Q538" s="391"/>
      <c r="R538" s="390"/>
      <c r="S538" s="391"/>
      <c r="T538" s="390"/>
      <c r="U538" s="391"/>
      <c r="V538" s="390"/>
      <c r="W538" s="391"/>
      <c r="X538" s="390"/>
      <c r="Y538" s="391"/>
      <c r="Z538" s="390"/>
      <c r="AA538" s="391"/>
      <c r="AB538" s="390"/>
      <c r="AC538" s="391"/>
      <c r="AD538" s="390"/>
      <c r="AE538" s="391"/>
      <c r="AF538" s="390"/>
      <c r="AG538" s="391"/>
      <c r="AH538" s="390"/>
      <c r="AI538" s="391"/>
      <c r="AJ538" s="390"/>
      <c r="AK538" s="391"/>
      <c r="AL538" s="390"/>
      <c r="AM538" s="391"/>
      <c r="AN538" s="390"/>
      <c r="AO538" s="391"/>
    </row>
    <row r="539" spans="1:41" s="201" customFormat="1" ht="12.75" hidden="1">
      <c r="A539" s="259" t="s">
        <v>507</v>
      </c>
      <c r="B539" s="260" t="s">
        <v>802</v>
      </c>
      <c r="C539" s="261" t="s">
        <v>803</v>
      </c>
      <c r="D539" s="248">
        <v>227377</v>
      </c>
      <c r="E539" s="259">
        <v>9</v>
      </c>
      <c r="F539" s="390">
        <v>3906</v>
      </c>
      <c r="G539" s="391">
        <v>3850</v>
      </c>
      <c r="H539" s="390">
        <v>6900</v>
      </c>
      <c r="I539" s="391">
        <v>6100</v>
      </c>
      <c r="J539" s="390">
        <v>0</v>
      </c>
      <c r="K539" s="391">
        <v>0</v>
      </c>
      <c r="L539" s="390">
        <v>0</v>
      </c>
      <c r="M539" s="391">
        <v>0</v>
      </c>
      <c r="N539" s="390"/>
      <c r="O539" s="391"/>
      <c r="P539" s="390"/>
      <c r="Q539" s="391"/>
      <c r="R539" s="390"/>
      <c r="S539" s="391"/>
      <c r="T539" s="390"/>
      <c r="U539" s="391"/>
      <c r="V539" s="390"/>
      <c r="W539" s="391"/>
      <c r="X539" s="390"/>
      <c r="Y539" s="391"/>
      <c r="Z539" s="390"/>
      <c r="AA539" s="391"/>
      <c r="AB539" s="390"/>
      <c r="AC539" s="391"/>
      <c r="AD539" s="390"/>
      <c r="AE539" s="391"/>
      <c r="AF539" s="390"/>
      <c r="AG539" s="391"/>
      <c r="AH539" s="390"/>
      <c r="AI539" s="391"/>
      <c r="AJ539" s="390"/>
      <c r="AK539" s="391"/>
      <c r="AL539" s="390"/>
      <c r="AM539" s="391"/>
      <c r="AN539" s="390"/>
      <c r="AO539" s="391"/>
    </row>
    <row r="540" spans="1:41" s="201" customFormat="1" ht="12.75" hidden="1">
      <c r="A540" s="259" t="s">
        <v>507</v>
      </c>
      <c r="B540" s="260" t="s">
        <v>804</v>
      </c>
      <c r="C540" s="264"/>
      <c r="D540" s="259">
        <v>229319</v>
      </c>
      <c r="E540" s="259">
        <v>9</v>
      </c>
      <c r="F540" s="390">
        <v>5786</v>
      </c>
      <c r="G540" s="391">
        <v>6322</v>
      </c>
      <c r="H540" s="390">
        <v>0</v>
      </c>
      <c r="I540" s="391">
        <v>0</v>
      </c>
      <c r="J540" s="390">
        <v>0</v>
      </c>
      <c r="K540" s="391">
        <v>0</v>
      </c>
      <c r="L540" s="390">
        <v>0</v>
      </c>
      <c r="M540" s="391">
        <v>0</v>
      </c>
      <c r="N540" s="390"/>
      <c r="O540" s="391"/>
      <c r="P540" s="390"/>
      <c r="Q540" s="391"/>
      <c r="R540" s="390"/>
      <c r="S540" s="391"/>
      <c r="T540" s="390"/>
      <c r="U540" s="391"/>
      <c r="V540" s="390"/>
      <c r="W540" s="391"/>
      <c r="X540" s="390"/>
      <c r="Y540" s="391"/>
      <c r="Z540" s="390"/>
      <c r="AA540" s="391"/>
      <c r="AB540" s="390"/>
      <c r="AC540" s="391"/>
      <c r="AD540" s="390"/>
      <c r="AE540" s="391"/>
      <c r="AF540" s="390"/>
      <c r="AG540" s="391"/>
      <c r="AH540" s="390"/>
      <c r="AI540" s="391"/>
      <c r="AJ540" s="390"/>
      <c r="AK540" s="391"/>
      <c r="AL540" s="390"/>
      <c r="AM540" s="391"/>
      <c r="AN540" s="390"/>
      <c r="AO540" s="391"/>
    </row>
    <row r="541" spans="1:41" s="201" customFormat="1" ht="12.75" hidden="1">
      <c r="A541" s="259" t="s">
        <v>507</v>
      </c>
      <c r="B541" s="260" t="s">
        <v>805</v>
      </c>
      <c r="C541" s="264"/>
      <c r="D541" s="259">
        <v>228680</v>
      </c>
      <c r="E541" s="259">
        <v>9</v>
      </c>
      <c r="F541" s="390">
        <v>5786</v>
      </c>
      <c r="G541" s="391">
        <v>6322</v>
      </c>
      <c r="H541" s="390">
        <v>10210</v>
      </c>
      <c r="I541" s="391">
        <v>10530</v>
      </c>
      <c r="J541" s="390">
        <v>0</v>
      </c>
      <c r="K541" s="391">
        <v>0</v>
      </c>
      <c r="L541" s="390">
        <v>0</v>
      </c>
      <c r="M541" s="391">
        <v>0</v>
      </c>
      <c r="N541" s="390"/>
      <c r="O541" s="391"/>
      <c r="P541" s="390"/>
      <c r="Q541" s="391"/>
      <c r="R541" s="390"/>
      <c r="S541" s="391"/>
      <c r="T541" s="390"/>
      <c r="U541" s="391"/>
      <c r="V541" s="390"/>
      <c r="W541" s="391"/>
      <c r="X541" s="390"/>
      <c r="Y541" s="391"/>
      <c r="Z541" s="390"/>
      <c r="AA541" s="391"/>
      <c r="AB541" s="390"/>
      <c r="AC541" s="391"/>
      <c r="AD541" s="390"/>
      <c r="AE541" s="391"/>
      <c r="AF541" s="390"/>
      <c r="AG541" s="391"/>
      <c r="AH541" s="390"/>
      <c r="AI541" s="391"/>
      <c r="AJ541" s="390"/>
      <c r="AK541" s="391"/>
      <c r="AL541" s="390"/>
      <c r="AM541" s="391"/>
      <c r="AN541" s="390"/>
      <c r="AO541" s="391"/>
    </row>
    <row r="542" spans="1:41" s="201" customFormat="1" ht="12.75" hidden="1">
      <c r="A542" s="259" t="s">
        <v>507</v>
      </c>
      <c r="B542" s="260" t="s">
        <v>806</v>
      </c>
      <c r="C542" s="261" t="s">
        <v>917</v>
      </c>
      <c r="D542" s="259">
        <v>229504</v>
      </c>
      <c r="E542" s="259">
        <v>9</v>
      </c>
      <c r="F542" s="390">
        <v>3096</v>
      </c>
      <c r="G542" s="391">
        <v>3096</v>
      </c>
      <c r="H542" s="390">
        <v>6600</v>
      </c>
      <c r="I542" s="391">
        <v>6600</v>
      </c>
      <c r="J542" s="390">
        <v>0</v>
      </c>
      <c r="K542" s="391">
        <v>0</v>
      </c>
      <c r="L542" s="390">
        <v>0</v>
      </c>
      <c r="M542" s="391">
        <v>0</v>
      </c>
      <c r="N542" s="390"/>
      <c r="O542" s="391"/>
      <c r="P542" s="390"/>
      <c r="Q542" s="391"/>
      <c r="R542" s="390"/>
      <c r="S542" s="391"/>
      <c r="T542" s="390"/>
      <c r="U542" s="391"/>
      <c r="V542" s="390"/>
      <c r="W542" s="391"/>
      <c r="X542" s="390"/>
      <c r="Y542" s="391"/>
      <c r="Z542" s="390"/>
      <c r="AA542" s="391"/>
      <c r="AB542" s="390"/>
      <c r="AC542" s="391"/>
      <c r="AD542" s="390"/>
      <c r="AE542" s="391"/>
      <c r="AF542" s="390"/>
      <c r="AG542" s="391"/>
      <c r="AH542" s="390"/>
      <c r="AI542" s="391"/>
      <c r="AJ542" s="390"/>
      <c r="AK542" s="391"/>
      <c r="AL542" s="390"/>
      <c r="AM542" s="391"/>
      <c r="AN542" s="390"/>
      <c r="AO542" s="391"/>
    </row>
    <row r="543" spans="1:41" s="201" customFormat="1" ht="12.75" hidden="1">
      <c r="A543" s="259" t="s">
        <v>507</v>
      </c>
      <c r="B543" s="260" t="s">
        <v>807</v>
      </c>
      <c r="C543" s="261"/>
      <c r="D543" s="259">
        <v>229540</v>
      </c>
      <c r="E543" s="259">
        <v>9</v>
      </c>
      <c r="F543" s="390">
        <v>4952</v>
      </c>
      <c r="G543" s="391">
        <v>4288</v>
      </c>
      <c r="H543" s="390">
        <v>5490</v>
      </c>
      <c r="I543" s="391">
        <v>5880</v>
      </c>
      <c r="J543" s="390">
        <v>0</v>
      </c>
      <c r="K543" s="391">
        <v>0</v>
      </c>
      <c r="L543" s="390">
        <v>0</v>
      </c>
      <c r="M543" s="391">
        <v>0</v>
      </c>
      <c r="N543" s="390"/>
      <c r="O543" s="391"/>
      <c r="P543" s="390"/>
      <c r="Q543" s="391"/>
      <c r="R543" s="390"/>
      <c r="S543" s="391"/>
      <c r="T543" s="390"/>
      <c r="U543" s="391"/>
      <c r="V543" s="390"/>
      <c r="W543" s="391"/>
      <c r="X543" s="390"/>
      <c r="Y543" s="391"/>
      <c r="Z543" s="390"/>
      <c r="AA543" s="391"/>
      <c r="AB543" s="390"/>
      <c r="AC543" s="391"/>
      <c r="AD543" s="390"/>
      <c r="AE543" s="391"/>
      <c r="AF543" s="390"/>
      <c r="AG543" s="391"/>
      <c r="AH543" s="390"/>
      <c r="AI543" s="391"/>
      <c r="AJ543" s="390"/>
      <c r="AK543" s="391"/>
      <c r="AL543" s="390"/>
      <c r="AM543" s="391"/>
      <c r="AN543" s="390"/>
      <c r="AO543" s="391"/>
    </row>
    <row r="544" spans="1:41" s="201" customFormat="1" ht="12.75" hidden="1">
      <c r="A544" s="259" t="s">
        <v>507</v>
      </c>
      <c r="B544" s="260" t="s">
        <v>808</v>
      </c>
      <c r="C544" s="261"/>
      <c r="D544" s="259">
        <v>229799</v>
      </c>
      <c r="E544" s="259">
        <v>9</v>
      </c>
      <c r="F544" s="390">
        <v>2718</v>
      </c>
      <c r="G544" s="391">
        <v>3348</v>
      </c>
      <c r="H544" s="390">
        <v>6100</v>
      </c>
      <c r="I544" s="391">
        <v>7000</v>
      </c>
      <c r="J544" s="390">
        <v>0</v>
      </c>
      <c r="K544" s="391">
        <v>0</v>
      </c>
      <c r="L544" s="390">
        <v>0</v>
      </c>
      <c r="M544" s="391">
        <v>0</v>
      </c>
      <c r="N544" s="390"/>
      <c r="O544" s="391"/>
      <c r="P544" s="390"/>
      <c r="Q544" s="391"/>
      <c r="R544" s="390"/>
      <c r="S544" s="391"/>
      <c r="T544" s="390"/>
      <c r="U544" s="391"/>
      <c r="V544" s="390"/>
      <c r="W544" s="391"/>
      <c r="X544" s="390"/>
      <c r="Y544" s="391"/>
      <c r="Z544" s="390"/>
      <c r="AA544" s="391"/>
      <c r="AB544" s="390"/>
      <c r="AC544" s="391"/>
      <c r="AD544" s="390"/>
      <c r="AE544" s="391"/>
      <c r="AF544" s="390"/>
      <c r="AG544" s="391"/>
      <c r="AH544" s="390"/>
      <c r="AI544" s="391"/>
      <c r="AJ544" s="390"/>
      <c r="AK544" s="391"/>
      <c r="AL544" s="390"/>
      <c r="AM544" s="391"/>
      <c r="AN544" s="390"/>
      <c r="AO544" s="391"/>
    </row>
    <row r="545" spans="1:41" s="201" customFormat="1" ht="12.75" hidden="1">
      <c r="A545" s="259" t="s">
        <v>507</v>
      </c>
      <c r="B545" s="260" t="s">
        <v>809</v>
      </c>
      <c r="C545" s="261"/>
      <c r="D545" s="259">
        <v>229841</v>
      </c>
      <c r="E545" s="259">
        <v>9</v>
      </c>
      <c r="F545" s="390">
        <v>2920</v>
      </c>
      <c r="G545" s="391">
        <v>2980</v>
      </c>
      <c r="H545" s="390">
        <v>5600</v>
      </c>
      <c r="I545" s="391">
        <v>6360</v>
      </c>
      <c r="J545" s="390">
        <v>0</v>
      </c>
      <c r="K545" s="391">
        <v>0</v>
      </c>
      <c r="L545" s="390">
        <v>0</v>
      </c>
      <c r="M545" s="391">
        <v>0</v>
      </c>
      <c r="N545" s="390"/>
      <c r="O545" s="391"/>
      <c r="P545" s="390"/>
      <c r="Q545" s="391"/>
      <c r="R545" s="390"/>
      <c r="S545" s="391"/>
      <c r="T545" s="390"/>
      <c r="U545" s="391"/>
      <c r="V545" s="390"/>
      <c r="W545" s="391"/>
      <c r="X545" s="390"/>
      <c r="Y545" s="391"/>
      <c r="Z545" s="390"/>
      <c r="AA545" s="391"/>
      <c r="AB545" s="390"/>
      <c r="AC545" s="391"/>
      <c r="AD545" s="390"/>
      <c r="AE545" s="391"/>
      <c r="AF545" s="390"/>
      <c r="AG545" s="391"/>
      <c r="AH545" s="390"/>
      <c r="AI545" s="391"/>
      <c r="AJ545" s="390"/>
      <c r="AK545" s="391"/>
      <c r="AL545" s="390"/>
      <c r="AM545" s="391"/>
      <c r="AN545" s="390"/>
      <c r="AO545" s="391"/>
    </row>
    <row r="546" spans="1:41" s="201" customFormat="1" ht="12.75" hidden="1">
      <c r="A546" s="259" t="s">
        <v>507</v>
      </c>
      <c r="B546" s="260" t="s">
        <v>810</v>
      </c>
      <c r="C546" s="261"/>
      <c r="D546" s="259">
        <v>223922</v>
      </c>
      <c r="E546" s="259">
        <v>10</v>
      </c>
      <c r="F546" s="390">
        <v>3616</v>
      </c>
      <c r="G546" s="391">
        <v>3840</v>
      </c>
      <c r="H546" s="390">
        <v>5010</v>
      </c>
      <c r="I546" s="391">
        <v>5220</v>
      </c>
      <c r="J546" s="390">
        <v>0</v>
      </c>
      <c r="K546" s="391">
        <v>0</v>
      </c>
      <c r="L546" s="390">
        <v>0</v>
      </c>
      <c r="M546" s="391">
        <v>0</v>
      </c>
      <c r="N546" s="390"/>
      <c r="O546" s="391"/>
      <c r="P546" s="390"/>
      <c r="Q546" s="391"/>
      <c r="R546" s="390"/>
      <c r="S546" s="391"/>
      <c r="T546" s="390"/>
      <c r="U546" s="391"/>
      <c r="V546" s="390"/>
      <c r="W546" s="391"/>
      <c r="X546" s="390"/>
      <c r="Y546" s="391"/>
      <c r="Z546" s="390"/>
      <c r="AA546" s="391"/>
      <c r="AB546" s="390"/>
      <c r="AC546" s="391"/>
      <c r="AD546" s="390"/>
      <c r="AE546" s="391"/>
      <c r="AF546" s="390"/>
      <c r="AG546" s="391"/>
      <c r="AH546" s="390"/>
      <c r="AI546" s="391"/>
      <c r="AJ546" s="390"/>
      <c r="AK546" s="391"/>
      <c r="AL546" s="390"/>
      <c r="AM546" s="391"/>
      <c r="AN546" s="390"/>
      <c r="AO546" s="391"/>
    </row>
    <row r="547" spans="1:41" s="201" customFormat="1" ht="12.75" hidden="1">
      <c r="A547" s="259" t="s">
        <v>507</v>
      </c>
      <c r="B547" s="260" t="s">
        <v>811</v>
      </c>
      <c r="C547" s="261"/>
      <c r="D547" s="259">
        <v>224891</v>
      </c>
      <c r="E547" s="259">
        <v>10</v>
      </c>
      <c r="F547" s="390">
        <v>3272</v>
      </c>
      <c r="G547" s="391">
        <v>3272</v>
      </c>
      <c r="H547" s="390">
        <v>4294</v>
      </c>
      <c r="I547" s="391">
        <v>4294</v>
      </c>
      <c r="J547" s="390">
        <v>0</v>
      </c>
      <c r="K547" s="391">
        <v>0</v>
      </c>
      <c r="L547" s="390">
        <v>0</v>
      </c>
      <c r="M547" s="391">
        <v>0</v>
      </c>
      <c r="N547" s="390"/>
      <c r="O547" s="391"/>
      <c r="P547" s="390"/>
      <c r="Q547" s="391"/>
      <c r="R547" s="390"/>
      <c r="S547" s="391"/>
      <c r="T547" s="390"/>
      <c r="U547" s="391"/>
      <c r="V547" s="390"/>
      <c r="W547" s="391"/>
      <c r="X547" s="390"/>
      <c r="Y547" s="391"/>
      <c r="Z547" s="390"/>
      <c r="AA547" s="391"/>
      <c r="AB547" s="390"/>
      <c r="AC547" s="391"/>
      <c r="AD547" s="390"/>
      <c r="AE547" s="391"/>
      <c r="AF547" s="390"/>
      <c r="AG547" s="391"/>
      <c r="AH547" s="390"/>
      <c r="AI547" s="391"/>
      <c r="AJ547" s="390"/>
      <c r="AK547" s="391"/>
      <c r="AL547" s="390"/>
      <c r="AM547" s="391"/>
      <c r="AN547" s="390"/>
      <c r="AO547" s="391"/>
    </row>
    <row r="548" spans="1:41" s="201" customFormat="1" ht="12.75" hidden="1">
      <c r="A548" s="259" t="s">
        <v>507</v>
      </c>
      <c r="B548" s="260" t="s">
        <v>812</v>
      </c>
      <c r="C548" s="261"/>
      <c r="D548" s="259">
        <v>224961</v>
      </c>
      <c r="E548" s="259">
        <v>10</v>
      </c>
      <c r="F548" s="390">
        <v>2098</v>
      </c>
      <c r="G548" s="391">
        <v>2338</v>
      </c>
      <c r="H548" s="390">
        <v>0</v>
      </c>
      <c r="I548" s="399">
        <v>5200</v>
      </c>
      <c r="J548" s="390">
        <v>0</v>
      </c>
      <c r="K548" s="391">
        <v>0</v>
      </c>
      <c r="L548" s="390">
        <v>0</v>
      </c>
      <c r="M548" s="391">
        <v>0</v>
      </c>
      <c r="N548" s="390"/>
      <c r="O548" s="391"/>
      <c r="P548" s="390"/>
      <c r="Q548" s="391"/>
      <c r="R548" s="390"/>
      <c r="S548" s="391"/>
      <c r="T548" s="390"/>
      <c r="U548" s="391"/>
      <c r="V548" s="390"/>
      <c r="W548" s="391"/>
      <c r="X548" s="390"/>
      <c r="Y548" s="391"/>
      <c r="Z548" s="390"/>
      <c r="AA548" s="391"/>
      <c r="AB548" s="390"/>
      <c r="AC548" s="391"/>
      <c r="AD548" s="390"/>
      <c r="AE548" s="391"/>
      <c r="AF548" s="390"/>
      <c r="AG548" s="391"/>
      <c r="AH548" s="390"/>
      <c r="AI548" s="391"/>
      <c r="AJ548" s="390"/>
      <c r="AK548" s="391"/>
      <c r="AL548" s="390"/>
      <c r="AM548" s="391"/>
      <c r="AN548" s="390"/>
      <c r="AO548" s="391"/>
    </row>
    <row r="549" spans="1:41" s="201" customFormat="1" ht="12.75" hidden="1">
      <c r="A549" s="259" t="s">
        <v>507</v>
      </c>
      <c r="B549" s="260" t="s">
        <v>813</v>
      </c>
      <c r="C549" s="261"/>
      <c r="D549" s="259">
        <v>226107</v>
      </c>
      <c r="E549" s="259">
        <v>10</v>
      </c>
      <c r="F549" s="390">
        <v>4050</v>
      </c>
      <c r="G549" s="391">
        <v>4046</v>
      </c>
      <c r="H549" s="390">
        <v>18050</v>
      </c>
      <c r="I549" s="391">
        <v>16650</v>
      </c>
      <c r="J549" s="390">
        <v>0</v>
      </c>
      <c r="K549" s="391">
        <v>0</v>
      </c>
      <c r="L549" s="390">
        <v>0</v>
      </c>
      <c r="M549" s="391">
        <v>0</v>
      </c>
      <c r="N549" s="390"/>
      <c r="O549" s="391"/>
      <c r="P549" s="390"/>
      <c r="Q549" s="391"/>
      <c r="R549" s="390"/>
      <c r="S549" s="391"/>
      <c r="T549" s="390"/>
      <c r="U549" s="391"/>
      <c r="V549" s="390"/>
      <c r="W549" s="391"/>
      <c r="X549" s="390"/>
      <c r="Y549" s="391"/>
      <c r="Z549" s="390"/>
      <c r="AA549" s="391"/>
      <c r="AB549" s="390"/>
      <c r="AC549" s="391"/>
      <c r="AD549" s="390"/>
      <c r="AE549" s="391"/>
      <c r="AF549" s="390"/>
      <c r="AG549" s="391"/>
      <c r="AH549" s="390"/>
      <c r="AI549" s="391"/>
      <c r="AJ549" s="390"/>
      <c r="AK549" s="391"/>
      <c r="AL549" s="390"/>
      <c r="AM549" s="391"/>
      <c r="AN549" s="390"/>
      <c r="AO549" s="391"/>
    </row>
    <row r="550" spans="1:41" ht="15" hidden="1" customHeight="1">
      <c r="A550" s="259" t="s">
        <v>507</v>
      </c>
      <c r="B550" s="260" t="s">
        <v>814</v>
      </c>
      <c r="C550" s="281" t="s">
        <v>641</v>
      </c>
      <c r="D550" s="259">
        <v>226116</v>
      </c>
      <c r="E550" s="259">
        <v>10</v>
      </c>
      <c r="F550" s="390">
        <v>4332</v>
      </c>
      <c r="G550" s="391">
        <v>4332</v>
      </c>
      <c r="H550" s="390">
        <v>18763</v>
      </c>
      <c r="I550" s="391">
        <v>16602</v>
      </c>
      <c r="J550" s="390">
        <v>0</v>
      </c>
      <c r="K550" s="391">
        <v>0</v>
      </c>
      <c r="L550" s="390">
        <v>0</v>
      </c>
      <c r="M550" s="391">
        <v>0</v>
      </c>
      <c r="N550" s="390"/>
      <c r="O550" s="391"/>
      <c r="P550" s="390"/>
      <c r="Q550" s="391"/>
      <c r="R550" s="390"/>
      <c r="S550" s="391"/>
      <c r="T550" s="390"/>
      <c r="U550" s="391"/>
      <c r="V550" s="390"/>
      <c r="W550" s="391"/>
      <c r="X550" s="390"/>
      <c r="Y550" s="391"/>
      <c r="Z550" s="390"/>
      <c r="AA550" s="391"/>
      <c r="AB550" s="390"/>
      <c r="AC550" s="391"/>
      <c r="AD550" s="390"/>
      <c r="AE550" s="391"/>
      <c r="AF550" s="390"/>
      <c r="AG550" s="391"/>
      <c r="AH550" s="390"/>
      <c r="AI550" s="391"/>
      <c r="AJ550" s="390"/>
      <c r="AK550" s="391"/>
      <c r="AL550" s="390"/>
      <c r="AM550" s="391"/>
      <c r="AN550" s="390"/>
      <c r="AO550" s="391"/>
    </row>
    <row r="551" spans="1:41" ht="15" hidden="1" customHeight="1">
      <c r="A551" s="259" t="s">
        <v>507</v>
      </c>
      <c r="B551" s="260" t="s">
        <v>815</v>
      </c>
      <c r="C551" s="367" t="s">
        <v>901</v>
      </c>
      <c r="D551" s="2">
        <v>488730</v>
      </c>
      <c r="E551" s="370">
        <v>9</v>
      </c>
      <c r="F551" s="390">
        <v>3140</v>
      </c>
      <c r="G551" s="391">
        <v>3140</v>
      </c>
      <c r="H551" s="390">
        <v>14072</v>
      </c>
      <c r="I551" s="398">
        <v>0</v>
      </c>
      <c r="J551" s="390">
        <v>0</v>
      </c>
      <c r="K551" s="391">
        <v>0</v>
      </c>
      <c r="L551" s="390">
        <v>0</v>
      </c>
      <c r="M551" s="391">
        <v>0</v>
      </c>
      <c r="N551" s="390"/>
      <c r="O551" s="391"/>
      <c r="P551" s="390"/>
      <c r="Q551" s="391"/>
      <c r="R551" s="390"/>
      <c r="S551" s="391"/>
      <c r="T551" s="390"/>
      <c r="U551" s="391"/>
      <c r="V551" s="390"/>
      <c r="W551" s="391"/>
      <c r="X551" s="390"/>
      <c r="Y551" s="391"/>
      <c r="Z551" s="390"/>
      <c r="AA551" s="391"/>
      <c r="AB551" s="390"/>
      <c r="AC551" s="391"/>
      <c r="AD551" s="390"/>
      <c r="AE551" s="391"/>
      <c r="AF551" s="390"/>
      <c r="AG551" s="391"/>
      <c r="AH551" s="390"/>
      <c r="AI551" s="391"/>
      <c r="AJ551" s="390"/>
      <c r="AK551" s="391"/>
      <c r="AL551" s="390"/>
      <c r="AM551" s="391"/>
      <c r="AN551" s="390"/>
      <c r="AO551" s="391"/>
    </row>
    <row r="552" spans="1:41" s="201" customFormat="1" ht="12.75" hidden="1">
      <c r="A552" s="259" t="s">
        <v>507</v>
      </c>
      <c r="B552" s="260" t="s">
        <v>816</v>
      </c>
      <c r="C552" s="261"/>
      <c r="D552" s="259">
        <v>227386</v>
      </c>
      <c r="E552" s="259">
        <v>10</v>
      </c>
      <c r="F552" s="390">
        <v>2840</v>
      </c>
      <c r="G552" s="391">
        <v>2900</v>
      </c>
      <c r="H552" s="390">
        <v>5460</v>
      </c>
      <c r="I552" s="391">
        <v>5700</v>
      </c>
      <c r="J552" s="390">
        <v>0</v>
      </c>
      <c r="K552" s="391">
        <v>0</v>
      </c>
      <c r="L552" s="390">
        <v>0</v>
      </c>
      <c r="M552" s="391">
        <v>0</v>
      </c>
      <c r="N552" s="390"/>
      <c r="O552" s="391"/>
      <c r="P552" s="390"/>
      <c r="Q552" s="391"/>
      <c r="R552" s="390"/>
      <c r="S552" s="391"/>
      <c r="T552" s="390"/>
      <c r="U552" s="391"/>
      <c r="V552" s="390"/>
      <c r="W552" s="391"/>
      <c r="X552" s="390"/>
      <c r="Y552" s="391"/>
      <c r="Z552" s="390"/>
      <c r="AA552" s="391"/>
      <c r="AB552" s="390"/>
      <c r="AC552" s="391"/>
      <c r="AD552" s="390"/>
      <c r="AE552" s="391"/>
      <c r="AF552" s="390"/>
      <c r="AG552" s="391"/>
      <c r="AH552" s="390"/>
      <c r="AI552" s="391"/>
      <c r="AJ552" s="390"/>
      <c r="AK552" s="391"/>
      <c r="AL552" s="390"/>
      <c r="AM552" s="391"/>
      <c r="AN552" s="390"/>
      <c r="AO552" s="391"/>
    </row>
    <row r="553" spans="1:41" s="201" customFormat="1" ht="12.75" hidden="1">
      <c r="A553" s="259" t="s">
        <v>507</v>
      </c>
      <c r="B553" s="260" t="s">
        <v>817</v>
      </c>
      <c r="C553" s="261"/>
      <c r="D553" s="259">
        <v>227687</v>
      </c>
      <c r="E553" s="259">
        <v>10</v>
      </c>
      <c r="F553" s="390">
        <v>4840</v>
      </c>
      <c r="G553" s="391">
        <v>4990</v>
      </c>
      <c r="H553" s="390">
        <v>5740</v>
      </c>
      <c r="I553" s="391">
        <v>6010</v>
      </c>
      <c r="J553" s="390">
        <v>0</v>
      </c>
      <c r="K553" s="391">
        <v>0</v>
      </c>
      <c r="L553" s="390">
        <v>0</v>
      </c>
      <c r="M553" s="391">
        <v>0</v>
      </c>
      <c r="N553" s="390"/>
      <c r="O553" s="391"/>
      <c r="P553" s="390"/>
      <c r="Q553" s="391"/>
      <c r="R553" s="390"/>
      <c r="S553" s="391"/>
      <c r="T553" s="390"/>
      <c r="U553" s="391"/>
      <c r="V553" s="390"/>
      <c r="W553" s="391"/>
      <c r="X553" s="390"/>
      <c r="Y553" s="391"/>
      <c r="Z553" s="390"/>
      <c r="AA553" s="391"/>
      <c r="AB553" s="390"/>
      <c r="AC553" s="391"/>
      <c r="AD553" s="390"/>
      <c r="AE553" s="391"/>
      <c r="AF553" s="390"/>
      <c r="AG553" s="391"/>
      <c r="AH553" s="390"/>
      <c r="AI553" s="391"/>
      <c r="AJ553" s="390"/>
      <c r="AK553" s="391"/>
      <c r="AL553" s="390"/>
      <c r="AM553" s="391"/>
      <c r="AN553" s="390"/>
      <c r="AO553" s="391"/>
    </row>
    <row r="554" spans="1:41" s="201" customFormat="1" ht="12.75" hidden="1">
      <c r="A554" s="259" t="s">
        <v>507</v>
      </c>
      <c r="B554" s="260" t="s">
        <v>818</v>
      </c>
      <c r="C554" s="261"/>
      <c r="D554" s="259">
        <v>382911</v>
      </c>
      <c r="E554" s="259">
        <v>10</v>
      </c>
      <c r="F554" s="390">
        <v>2600</v>
      </c>
      <c r="G554" s="391">
        <v>2610</v>
      </c>
      <c r="H554" s="390">
        <v>0</v>
      </c>
      <c r="I554" s="391">
        <v>0</v>
      </c>
      <c r="J554" s="390">
        <v>0</v>
      </c>
      <c r="K554" s="391">
        <v>0</v>
      </c>
      <c r="L554" s="390">
        <v>0</v>
      </c>
      <c r="M554" s="391">
        <v>0</v>
      </c>
      <c r="N554" s="390"/>
      <c r="O554" s="391"/>
      <c r="P554" s="390"/>
      <c r="Q554" s="391"/>
      <c r="R554" s="390"/>
      <c r="S554" s="391"/>
      <c r="T554" s="390"/>
      <c r="U554" s="391"/>
      <c r="V554" s="390"/>
      <c r="W554" s="391"/>
      <c r="X554" s="390"/>
      <c r="Y554" s="391"/>
      <c r="Z554" s="390"/>
      <c r="AA554" s="391"/>
      <c r="AB554" s="390"/>
      <c r="AC554" s="391"/>
      <c r="AD554" s="390"/>
      <c r="AE554" s="391"/>
      <c r="AF554" s="390"/>
      <c r="AG554" s="391"/>
      <c r="AH554" s="390"/>
      <c r="AI554" s="391"/>
      <c r="AJ554" s="390"/>
      <c r="AK554" s="391"/>
      <c r="AL554" s="390"/>
      <c r="AM554" s="391"/>
      <c r="AN554" s="390"/>
      <c r="AO554" s="391"/>
    </row>
    <row r="555" spans="1:41" s="201" customFormat="1" ht="12.75" hidden="1">
      <c r="A555" s="259" t="s">
        <v>507</v>
      </c>
      <c r="B555" s="280" t="s">
        <v>819</v>
      </c>
      <c r="C555" s="261"/>
      <c r="D555" s="265" t="s">
        <v>84</v>
      </c>
      <c r="E555" s="259">
        <v>10</v>
      </c>
      <c r="F555" s="390"/>
      <c r="G555" s="399">
        <v>6322</v>
      </c>
      <c r="H555" s="390"/>
      <c r="I555" s="391">
        <v>0</v>
      </c>
      <c r="J555" s="390"/>
      <c r="K555" s="391">
        <v>0</v>
      </c>
      <c r="L555" s="390"/>
      <c r="M555" s="391">
        <v>0</v>
      </c>
      <c r="N555" s="390"/>
      <c r="O555" s="391"/>
      <c r="P555" s="390"/>
      <c r="Q555" s="391"/>
      <c r="R555" s="390"/>
      <c r="S555" s="391"/>
      <c r="T555" s="390"/>
      <c r="U555" s="391"/>
      <c r="V555" s="390"/>
      <c r="W555" s="391"/>
      <c r="X555" s="390"/>
      <c r="Y555" s="391"/>
      <c r="Z555" s="390"/>
      <c r="AA555" s="391"/>
      <c r="AB555" s="390"/>
      <c r="AC555" s="391"/>
      <c r="AD555" s="390"/>
      <c r="AE555" s="391"/>
      <c r="AF555" s="390"/>
      <c r="AG555" s="391"/>
      <c r="AH555" s="390"/>
      <c r="AI555" s="391"/>
      <c r="AJ555" s="390"/>
      <c r="AK555" s="391"/>
      <c r="AL555" s="390"/>
      <c r="AM555" s="391"/>
      <c r="AN555" s="390"/>
      <c r="AO555" s="391"/>
    </row>
    <row r="556" spans="1:41" s="201" customFormat="1" ht="12.75" hidden="1">
      <c r="A556" s="259" t="s">
        <v>507</v>
      </c>
      <c r="B556" s="260" t="s">
        <v>820</v>
      </c>
      <c r="C556" s="261"/>
      <c r="D556" s="259">
        <v>408394</v>
      </c>
      <c r="E556" s="259">
        <v>10</v>
      </c>
      <c r="F556" s="390">
        <v>5786</v>
      </c>
      <c r="G556" s="391">
        <v>6322</v>
      </c>
      <c r="H556" s="390">
        <v>0</v>
      </c>
      <c r="I556" s="391">
        <v>0</v>
      </c>
      <c r="J556" s="390">
        <v>0</v>
      </c>
      <c r="K556" s="391">
        <v>0</v>
      </c>
      <c r="L556" s="390">
        <v>0</v>
      </c>
      <c r="M556" s="391">
        <v>0</v>
      </c>
      <c r="N556" s="390"/>
      <c r="O556" s="391"/>
      <c r="P556" s="390"/>
      <c r="Q556" s="391"/>
      <c r="R556" s="390"/>
      <c r="S556" s="391"/>
      <c r="T556" s="390"/>
      <c r="U556" s="391"/>
      <c r="V556" s="390"/>
      <c r="W556" s="391"/>
      <c r="X556" s="390"/>
      <c r="Y556" s="391"/>
      <c r="Z556" s="390"/>
      <c r="AA556" s="391"/>
      <c r="AB556" s="390"/>
      <c r="AC556" s="391"/>
      <c r="AD556" s="390"/>
      <c r="AE556" s="391"/>
      <c r="AF556" s="390"/>
      <c r="AG556" s="391"/>
      <c r="AH556" s="390"/>
      <c r="AI556" s="391"/>
      <c r="AJ556" s="390"/>
      <c r="AK556" s="391"/>
      <c r="AL556" s="390"/>
      <c r="AM556" s="391"/>
      <c r="AN556" s="390"/>
      <c r="AO556" s="391"/>
    </row>
    <row r="557" spans="1:41" s="201" customFormat="1" ht="12.75" hidden="1">
      <c r="A557" s="259" t="s">
        <v>507</v>
      </c>
      <c r="B557" s="280" t="s">
        <v>821</v>
      </c>
      <c r="C557" s="261"/>
      <c r="D557" s="265" t="s">
        <v>84</v>
      </c>
      <c r="E557" s="259">
        <v>10</v>
      </c>
      <c r="F557" s="390"/>
      <c r="G557" s="399">
        <v>6322</v>
      </c>
      <c r="H557" s="390"/>
      <c r="I557" s="391">
        <v>0</v>
      </c>
      <c r="J557" s="390"/>
      <c r="K557" s="391">
        <v>0</v>
      </c>
      <c r="L557" s="390"/>
      <c r="M557" s="391">
        <v>0</v>
      </c>
      <c r="N557" s="390"/>
      <c r="O557" s="391"/>
      <c r="P557" s="390"/>
      <c r="Q557" s="391"/>
      <c r="R557" s="390"/>
      <c r="S557" s="391"/>
      <c r="T557" s="390"/>
      <c r="U557" s="391"/>
      <c r="V557" s="390"/>
      <c r="W557" s="391"/>
      <c r="X557" s="390"/>
      <c r="Y557" s="391"/>
      <c r="Z557" s="390"/>
      <c r="AA557" s="391"/>
      <c r="AB557" s="390"/>
      <c r="AC557" s="391"/>
      <c r="AD557" s="390"/>
      <c r="AE557" s="391"/>
      <c r="AF557" s="390"/>
      <c r="AG557" s="391"/>
      <c r="AH557" s="390"/>
      <c r="AI557" s="391"/>
      <c r="AJ557" s="390"/>
      <c r="AK557" s="391"/>
      <c r="AL557" s="390"/>
      <c r="AM557" s="391"/>
      <c r="AN557" s="390"/>
      <c r="AO557" s="391"/>
    </row>
    <row r="558" spans="1:41" s="201" customFormat="1" ht="12.75" hidden="1">
      <c r="A558" s="259" t="s">
        <v>507</v>
      </c>
      <c r="B558" s="260" t="s">
        <v>822</v>
      </c>
      <c r="C558" s="261"/>
      <c r="D558" s="259">
        <v>229328</v>
      </c>
      <c r="E558" s="259">
        <v>10</v>
      </c>
      <c r="F558" s="390">
        <v>5786</v>
      </c>
      <c r="G558" s="391">
        <v>6322</v>
      </c>
      <c r="H558" s="390">
        <v>0</v>
      </c>
      <c r="I558" s="391">
        <v>0</v>
      </c>
      <c r="J558" s="390">
        <v>0</v>
      </c>
      <c r="K558" s="391">
        <v>0</v>
      </c>
      <c r="L558" s="390">
        <v>0</v>
      </c>
      <c r="M558" s="391">
        <v>0</v>
      </c>
      <c r="N558" s="390"/>
      <c r="O558" s="391"/>
      <c r="P558" s="390"/>
      <c r="Q558" s="391"/>
      <c r="R558" s="390"/>
      <c r="S558" s="391"/>
      <c r="T558" s="390"/>
      <c r="U558" s="391"/>
      <c r="V558" s="390"/>
      <c r="W558" s="391"/>
      <c r="X558" s="390"/>
      <c r="Y558" s="391"/>
      <c r="Z558" s="390"/>
      <c r="AA558" s="391"/>
      <c r="AB558" s="390"/>
      <c r="AC558" s="391"/>
      <c r="AD558" s="390"/>
      <c r="AE558" s="391"/>
      <c r="AF558" s="390"/>
      <c r="AG558" s="391"/>
      <c r="AH558" s="390"/>
      <c r="AI558" s="391"/>
      <c r="AJ558" s="390"/>
      <c r="AK558" s="391"/>
      <c r="AL558" s="390"/>
      <c r="AM558" s="391"/>
      <c r="AN558" s="390"/>
      <c r="AO558" s="391"/>
    </row>
    <row r="559" spans="1:41" s="201" customFormat="1" ht="12.75" hidden="1">
      <c r="A559" s="259" t="s">
        <v>507</v>
      </c>
      <c r="B559" s="260" t="s">
        <v>823</v>
      </c>
      <c r="C559" s="261"/>
      <c r="D559" s="259">
        <v>229832</v>
      </c>
      <c r="E559" s="259">
        <v>10</v>
      </c>
      <c r="F559" s="390">
        <v>2860</v>
      </c>
      <c r="G559" s="391">
        <v>2860</v>
      </c>
      <c r="H559" s="390">
        <v>5160</v>
      </c>
      <c r="I559" s="391">
        <v>5160</v>
      </c>
      <c r="J559" s="390">
        <v>0</v>
      </c>
      <c r="K559" s="391">
        <v>0</v>
      </c>
      <c r="L559" s="390">
        <v>0</v>
      </c>
      <c r="M559" s="391">
        <v>0</v>
      </c>
      <c r="N559" s="390"/>
      <c r="O559" s="391"/>
      <c r="P559" s="390"/>
      <c r="Q559" s="391"/>
      <c r="R559" s="390"/>
      <c r="S559" s="391"/>
      <c r="T559" s="390"/>
      <c r="U559" s="391"/>
      <c r="V559" s="390"/>
      <c r="W559" s="391"/>
      <c r="X559" s="390"/>
      <c r="Y559" s="391"/>
      <c r="Z559" s="390"/>
      <c r="AA559" s="391"/>
      <c r="AB559" s="390"/>
      <c r="AC559" s="391"/>
      <c r="AD559" s="390"/>
      <c r="AE559" s="391"/>
      <c r="AF559" s="390"/>
      <c r="AG559" s="391"/>
      <c r="AH559" s="390"/>
      <c r="AI559" s="391"/>
      <c r="AJ559" s="390"/>
      <c r="AK559" s="391"/>
      <c r="AL559" s="390"/>
      <c r="AM559" s="391"/>
      <c r="AN559" s="390"/>
      <c r="AO559" s="391"/>
    </row>
    <row r="560" spans="1:41" s="201" customFormat="1" ht="12.75" hidden="1">
      <c r="A560" s="259" t="s">
        <v>507</v>
      </c>
      <c r="B560" s="260" t="s">
        <v>824</v>
      </c>
      <c r="C560" s="261"/>
      <c r="D560" s="259">
        <v>223214</v>
      </c>
      <c r="E560" s="259">
        <v>15</v>
      </c>
      <c r="F560" s="390">
        <v>9586</v>
      </c>
      <c r="G560" s="398">
        <v>0</v>
      </c>
      <c r="H560" s="390">
        <v>0</v>
      </c>
      <c r="I560" s="391">
        <v>0</v>
      </c>
      <c r="J560" s="390">
        <v>0</v>
      </c>
      <c r="K560" s="391">
        <v>0</v>
      </c>
      <c r="L560" s="390">
        <v>0</v>
      </c>
      <c r="M560" s="391">
        <v>0</v>
      </c>
      <c r="N560" s="390"/>
      <c r="O560" s="391"/>
      <c r="P560" s="390"/>
      <c r="Q560" s="391"/>
      <c r="R560" s="390">
        <v>26798.666666666701</v>
      </c>
      <c r="S560" s="391">
        <v>28200</v>
      </c>
      <c r="T560" s="390">
        <v>44265.333333333299</v>
      </c>
      <c r="U560" s="391">
        <v>45666.666666666701</v>
      </c>
      <c r="V560" s="390">
        <v>41300</v>
      </c>
      <c r="W560" s="391">
        <v>42836</v>
      </c>
      <c r="X560" s="390">
        <v>55700</v>
      </c>
      <c r="Y560" s="391">
        <v>57236</v>
      </c>
      <c r="Z560" s="390"/>
      <c r="AA560" s="391"/>
      <c r="AB560" s="390"/>
      <c r="AC560" s="391"/>
      <c r="AD560" s="390"/>
      <c r="AE560" s="391"/>
      <c r="AF560" s="390"/>
      <c r="AG560" s="391"/>
      <c r="AH560" s="390"/>
      <c r="AI560" s="391"/>
      <c r="AJ560" s="390"/>
      <c r="AK560" s="391"/>
      <c r="AL560" s="390"/>
      <c r="AM560" s="391"/>
      <c r="AN560" s="390"/>
      <c r="AO560" s="391"/>
    </row>
    <row r="561" spans="1:41" s="201" customFormat="1" ht="12.75" hidden="1">
      <c r="A561" s="259" t="s">
        <v>507</v>
      </c>
      <c r="B561" s="260" t="s">
        <v>825</v>
      </c>
      <c r="C561" s="261"/>
      <c r="D561" s="259">
        <v>229337</v>
      </c>
      <c r="E561" s="259">
        <v>15</v>
      </c>
      <c r="F561" s="390">
        <v>9284</v>
      </c>
      <c r="G561" s="391">
        <v>9914</v>
      </c>
      <c r="H561" s="390">
        <v>21336</v>
      </c>
      <c r="I561" s="391">
        <v>22420</v>
      </c>
      <c r="J561" s="390">
        <v>11784</v>
      </c>
      <c r="K561" s="391">
        <v>10472</v>
      </c>
      <c r="L561" s="390">
        <v>21744</v>
      </c>
      <c r="M561" s="391">
        <v>20600</v>
      </c>
      <c r="N561" s="390"/>
      <c r="O561" s="391"/>
      <c r="P561" s="390"/>
      <c r="Q561" s="391"/>
      <c r="R561" s="390">
        <v>25077.333333333299</v>
      </c>
      <c r="S561" s="391">
        <v>27314.666666666701</v>
      </c>
      <c r="T561" s="390">
        <v>42544</v>
      </c>
      <c r="U561" s="391">
        <v>45314.666666666701</v>
      </c>
      <c r="V561" s="390"/>
      <c r="W561" s="391"/>
      <c r="X561" s="390"/>
      <c r="Y561" s="391"/>
      <c r="Z561" s="390">
        <v>22130.666666666701</v>
      </c>
      <c r="AA561" s="391">
        <v>24042.666666666701</v>
      </c>
      <c r="AB561" s="390">
        <v>43157.333333333299</v>
      </c>
      <c r="AC561" s="391">
        <v>47666.666666666701</v>
      </c>
      <c r="AD561" s="390"/>
      <c r="AE561" s="391"/>
      <c r="AF561" s="390"/>
      <c r="AG561" s="391"/>
      <c r="AH561" s="390"/>
      <c r="AI561" s="391"/>
      <c r="AJ561" s="390"/>
      <c r="AK561" s="391"/>
      <c r="AL561" s="390"/>
      <c r="AM561" s="391"/>
      <c r="AN561" s="390"/>
      <c r="AO561" s="391"/>
    </row>
    <row r="562" spans="1:41" s="201" customFormat="1" ht="12.75" hidden="1">
      <c r="A562" s="259" t="s">
        <v>507</v>
      </c>
      <c r="B562" s="260" t="s">
        <v>826</v>
      </c>
      <c r="C562" s="259"/>
      <c r="D562" s="259">
        <v>492689</v>
      </c>
      <c r="E562" s="259">
        <v>15</v>
      </c>
      <c r="F562" s="390"/>
      <c r="G562" s="399">
        <v>11054</v>
      </c>
      <c r="H562" s="390"/>
      <c r="I562" s="399">
        <v>25346</v>
      </c>
      <c r="J562" s="390"/>
      <c r="K562" s="399">
        <v>6765.3333333333303</v>
      </c>
      <c r="L562" s="390"/>
      <c r="M562" s="399">
        <v>17672</v>
      </c>
      <c r="N562" s="390"/>
      <c r="O562" s="391"/>
      <c r="P562" s="390"/>
      <c r="Q562" s="391"/>
      <c r="R562" s="390"/>
      <c r="S562" s="391"/>
      <c r="T562" s="390"/>
      <c r="U562" s="391"/>
      <c r="V562" s="390"/>
      <c r="W562" s="391"/>
      <c r="X562" s="390"/>
      <c r="Y562" s="391"/>
      <c r="Z562" s="390"/>
      <c r="AA562" s="391"/>
      <c r="AB562" s="390"/>
      <c r="AC562" s="391"/>
      <c r="AD562" s="390"/>
      <c r="AE562" s="391"/>
      <c r="AF562" s="390"/>
      <c r="AG562" s="391"/>
      <c r="AH562" s="390"/>
      <c r="AI562" s="391"/>
      <c r="AJ562" s="390"/>
      <c r="AK562" s="391"/>
      <c r="AL562" s="390"/>
      <c r="AM562" s="391"/>
      <c r="AN562" s="390"/>
      <c r="AO562" s="391"/>
    </row>
    <row r="563" spans="1:41" s="201" customFormat="1" ht="12.75" hidden="1">
      <c r="A563" s="259" t="s">
        <v>507</v>
      </c>
      <c r="B563" s="285" t="s">
        <v>827</v>
      </c>
      <c r="C563" s="242" t="s">
        <v>920</v>
      </c>
      <c r="D563" s="286">
        <v>484905</v>
      </c>
      <c r="E563" s="286">
        <v>4</v>
      </c>
      <c r="F563" s="390">
        <v>9140</v>
      </c>
      <c r="G563" s="398">
        <v>0</v>
      </c>
      <c r="H563" s="390">
        <v>0</v>
      </c>
      <c r="I563" s="391">
        <v>0</v>
      </c>
      <c r="J563" s="390">
        <v>0</v>
      </c>
      <c r="K563" s="391">
        <v>0</v>
      </c>
      <c r="L563" s="390">
        <v>0</v>
      </c>
      <c r="M563" s="391">
        <v>0</v>
      </c>
      <c r="N563" s="390"/>
      <c r="O563" s="391"/>
      <c r="P563" s="390"/>
      <c r="Q563" s="391"/>
      <c r="R563" s="390"/>
      <c r="S563" s="391"/>
      <c r="T563" s="390"/>
      <c r="U563" s="391"/>
      <c r="V563" s="390"/>
      <c r="W563" s="391"/>
      <c r="X563" s="390"/>
      <c r="Y563" s="391"/>
      <c r="Z563" s="390"/>
      <c r="AA563" s="391"/>
      <c r="AB563" s="390"/>
      <c r="AC563" s="391"/>
      <c r="AD563" s="390"/>
      <c r="AE563" s="391"/>
      <c r="AF563" s="390"/>
      <c r="AG563" s="391"/>
      <c r="AH563" s="390"/>
      <c r="AI563" s="391"/>
      <c r="AJ563" s="390"/>
      <c r="AK563" s="391"/>
      <c r="AL563" s="390"/>
      <c r="AM563" s="391"/>
      <c r="AN563" s="390"/>
      <c r="AO563" s="391"/>
    </row>
    <row r="564" spans="1:41" s="201" customFormat="1" ht="12.75" hidden="1">
      <c r="A564" s="259" t="s">
        <v>507</v>
      </c>
      <c r="B564" s="260" t="s">
        <v>828</v>
      </c>
      <c r="C564" s="261"/>
      <c r="D564" s="259">
        <v>228909</v>
      </c>
      <c r="E564" s="259">
        <v>15</v>
      </c>
      <c r="F564" s="390">
        <v>0</v>
      </c>
      <c r="G564" s="391">
        <v>0</v>
      </c>
      <c r="H564" s="390">
        <v>0</v>
      </c>
      <c r="I564" s="391">
        <v>0</v>
      </c>
      <c r="J564" s="390">
        <v>0</v>
      </c>
      <c r="K564" s="391">
        <v>0</v>
      </c>
      <c r="L564" s="390">
        <v>0</v>
      </c>
      <c r="M564" s="391">
        <v>0</v>
      </c>
      <c r="N564" s="390"/>
      <c r="O564" s="391"/>
      <c r="P564" s="390"/>
      <c r="Q564" s="391"/>
      <c r="R564" s="390">
        <v>25773.333333333299</v>
      </c>
      <c r="S564" s="391">
        <v>27016</v>
      </c>
      <c r="T564" s="390">
        <v>46690.666666666701</v>
      </c>
      <c r="U564" s="391">
        <v>47933.333333333299</v>
      </c>
      <c r="V564" s="390"/>
      <c r="W564" s="391"/>
      <c r="X564" s="390"/>
      <c r="Y564" s="391"/>
      <c r="Z564" s="390"/>
      <c r="AA564" s="391"/>
      <c r="AB564" s="390"/>
      <c r="AC564" s="391"/>
      <c r="AD564" s="390"/>
      <c r="AE564" s="391"/>
      <c r="AF564" s="390"/>
      <c r="AG564" s="391"/>
      <c r="AH564" s="390">
        <v>25773.333333333299</v>
      </c>
      <c r="AI564" s="391">
        <v>27016</v>
      </c>
      <c r="AJ564" s="390">
        <v>46690.666666666701</v>
      </c>
      <c r="AK564" s="391">
        <v>47933.333333333299</v>
      </c>
      <c r="AL564" s="390"/>
      <c r="AM564" s="391"/>
      <c r="AN564" s="390"/>
      <c r="AO564" s="391"/>
    </row>
    <row r="565" spans="1:41" s="201" customFormat="1" ht="12.75" hidden="1">
      <c r="A565" s="259" t="s">
        <v>507</v>
      </c>
      <c r="B565" s="260" t="s">
        <v>829</v>
      </c>
      <c r="C565" s="259"/>
      <c r="D565" s="259">
        <v>229300</v>
      </c>
      <c r="E565" s="259">
        <v>15</v>
      </c>
      <c r="F565" s="390">
        <v>7976</v>
      </c>
      <c r="G565" s="391">
        <v>8574</v>
      </c>
      <c r="H565" s="390">
        <v>33235</v>
      </c>
      <c r="I565" s="391">
        <v>34596</v>
      </c>
      <c r="J565" s="390">
        <v>9850.6666666666697</v>
      </c>
      <c r="K565" s="391">
        <v>10373.333333333299</v>
      </c>
      <c r="L565" s="390">
        <v>29002.666666666701</v>
      </c>
      <c r="M565" s="391">
        <v>29165.333333333299</v>
      </c>
      <c r="N565" s="390"/>
      <c r="O565" s="391"/>
      <c r="P565" s="390"/>
      <c r="Q565" s="391"/>
      <c r="R565" s="390">
        <v>31593.333333333299</v>
      </c>
      <c r="S565" s="391">
        <v>32992</v>
      </c>
      <c r="T565" s="390">
        <v>43528</v>
      </c>
      <c r="U565" s="391">
        <v>43996</v>
      </c>
      <c r="V565" s="390">
        <v>49337.333333333299</v>
      </c>
      <c r="W565" s="391">
        <v>52044</v>
      </c>
      <c r="X565" s="390">
        <v>69281.333333333299</v>
      </c>
      <c r="Y565" s="391">
        <v>74232</v>
      </c>
      <c r="Z565" s="390"/>
      <c r="AA565" s="391"/>
      <c r="AB565" s="390"/>
      <c r="AC565" s="391"/>
      <c r="AD565" s="390"/>
      <c r="AE565" s="391"/>
      <c r="AF565" s="390"/>
      <c r="AG565" s="391"/>
      <c r="AH565" s="390"/>
      <c r="AI565" s="391"/>
      <c r="AJ565" s="390"/>
      <c r="AK565" s="391"/>
      <c r="AL565" s="390"/>
      <c r="AM565" s="391"/>
      <c r="AN565" s="390"/>
      <c r="AO565" s="391"/>
    </row>
    <row r="566" spans="1:41" s="201" customFormat="1" ht="12.75" hidden="1">
      <c r="A566" s="259" t="s">
        <v>507</v>
      </c>
      <c r="B566" s="260" t="s">
        <v>830</v>
      </c>
      <c r="C566" s="259"/>
      <c r="D566" s="287">
        <v>228644</v>
      </c>
      <c r="E566" s="259">
        <v>15</v>
      </c>
      <c r="F566" s="390">
        <v>9240</v>
      </c>
      <c r="G566" s="391">
        <v>9384</v>
      </c>
      <c r="H566" s="390">
        <v>24903</v>
      </c>
      <c r="I566" s="391">
        <v>25842</v>
      </c>
      <c r="J566" s="390">
        <v>10456</v>
      </c>
      <c r="K566" s="391">
        <v>11265.333333333299</v>
      </c>
      <c r="L566" s="390">
        <v>23224</v>
      </c>
      <c r="M566" s="391">
        <v>24229.333333333299</v>
      </c>
      <c r="N566" s="390"/>
      <c r="O566" s="391"/>
      <c r="P566" s="390"/>
      <c r="Q566" s="391"/>
      <c r="R566" s="390">
        <v>26182.666666666701</v>
      </c>
      <c r="S566" s="391">
        <v>27596</v>
      </c>
      <c r="T566" s="390">
        <v>47345.333333333299</v>
      </c>
      <c r="U566" s="391">
        <v>49817.333333333299</v>
      </c>
      <c r="V566" s="390">
        <v>41190.666666666701</v>
      </c>
      <c r="W566" s="391">
        <v>42208</v>
      </c>
      <c r="X566" s="390">
        <v>55590.666666666701</v>
      </c>
      <c r="Y566" s="391">
        <v>56608</v>
      </c>
      <c r="Z566" s="390"/>
      <c r="AA566" s="391"/>
      <c r="AB566" s="390"/>
      <c r="AC566" s="391"/>
      <c r="AD566" s="390"/>
      <c r="AE566" s="391"/>
      <c r="AF566" s="390"/>
      <c r="AG566" s="391"/>
      <c r="AH566" s="390"/>
      <c r="AI566" s="391"/>
      <c r="AJ566" s="390"/>
      <c r="AK566" s="391"/>
      <c r="AL566" s="390"/>
      <c r="AM566" s="391"/>
      <c r="AN566" s="390"/>
      <c r="AO566" s="391"/>
    </row>
    <row r="567" spans="1:41" s="201" customFormat="1" ht="12.75" hidden="1">
      <c r="A567" s="259" t="s">
        <v>507</v>
      </c>
      <c r="B567" s="260" t="s">
        <v>831</v>
      </c>
      <c r="C567" s="259"/>
      <c r="D567" s="259">
        <v>416801</v>
      </c>
      <c r="E567" s="259">
        <v>15</v>
      </c>
      <c r="F567" s="390">
        <v>3734</v>
      </c>
      <c r="G567" s="391">
        <v>4024</v>
      </c>
      <c r="H567" s="390">
        <v>18510</v>
      </c>
      <c r="I567" s="391">
        <v>18584</v>
      </c>
      <c r="J567" s="390">
        <v>7348</v>
      </c>
      <c r="K567" s="391">
        <v>7725.3333333333303</v>
      </c>
      <c r="L567" s="390">
        <v>21693.333333333299</v>
      </c>
      <c r="M567" s="391">
        <v>22904</v>
      </c>
      <c r="N567" s="390"/>
      <c r="O567" s="391"/>
      <c r="P567" s="390"/>
      <c r="Q567" s="391"/>
      <c r="R567" s="390">
        <v>23695.66</v>
      </c>
      <c r="S567" s="391">
        <v>24813.66</v>
      </c>
      <c r="T567" s="390">
        <v>32646.66</v>
      </c>
      <c r="U567" s="391">
        <v>33066.660000000003</v>
      </c>
      <c r="V567" s="390"/>
      <c r="W567" s="391"/>
      <c r="X567" s="390"/>
      <c r="Y567" s="391"/>
      <c r="Z567" s="390"/>
      <c r="AA567" s="391"/>
      <c r="AB567" s="390"/>
      <c r="AC567" s="391"/>
      <c r="AD567" s="390"/>
      <c r="AE567" s="391"/>
      <c r="AF567" s="390"/>
      <c r="AG567" s="391"/>
      <c r="AH567" s="390"/>
      <c r="AI567" s="391"/>
      <c r="AJ567" s="390"/>
      <c r="AK567" s="391"/>
      <c r="AL567" s="390"/>
      <c r="AM567" s="391"/>
      <c r="AN567" s="390"/>
      <c r="AO567" s="391"/>
    </row>
    <row r="568" spans="1:41" s="201" customFormat="1" ht="12.75" hidden="1">
      <c r="A568" s="259" t="s">
        <v>507</v>
      </c>
      <c r="B568" s="260" t="s">
        <v>832</v>
      </c>
      <c r="C568" s="259"/>
      <c r="D568" s="259">
        <v>228653</v>
      </c>
      <c r="E568" s="259">
        <v>15</v>
      </c>
      <c r="F568" s="390">
        <v>8846</v>
      </c>
      <c r="G568" s="391">
        <v>9258</v>
      </c>
      <c r="H568" s="390">
        <v>20612</v>
      </c>
      <c r="I568" s="391">
        <v>21017</v>
      </c>
      <c r="J568" s="390">
        <v>8042.6666666666697</v>
      </c>
      <c r="K568" s="391">
        <v>7106.6666666666697</v>
      </c>
      <c r="L568" s="390">
        <v>18002.666666666701</v>
      </c>
      <c r="M568" s="391">
        <v>17066.666666666701</v>
      </c>
      <c r="N568" s="390"/>
      <c r="O568" s="391"/>
      <c r="P568" s="390"/>
      <c r="Q568" s="391"/>
      <c r="R568" s="390">
        <v>28974.666666666701</v>
      </c>
      <c r="S568" s="391">
        <v>30357.333333333299</v>
      </c>
      <c r="T568" s="390">
        <v>48854.666666666701</v>
      </c>
      <c r="U568" s="398">
        <v>8769.3333333333303</v>
      </c>
      <c r="V568" s="390"/>
      <c r="W568" s="391"/>
      <c r="X568" s="390"/>
      <c r="Y568" s="391"/>
      <c r="Z568" s="390"/>
      <c r="AA568" s="391"/>
      <c r="AB568" s="390"/>
      <c r="AC568" s="391"/>
      <c r="AD568" s="390"/>
      <c r="AE568" s="391"/>
      <c r="AF568" s="390"/>
      <c r="AG568" s="391"/>
      <c r="AH568" s="390"/>
      <c r="AI568" s="391"/>
      <c r="AJ568" s="390"/>
      <c r="AK568" s="391"/>
      <c r="AL568" s="390"/>
      <c r="AM568" s="391"/>
      <c r="AN568" s="390"/>
      <c r="AO568" s="391"/>
    </row>
    <row r="569" spans="1:41" s="201" customFormat="1" ht="12.75" hidden="1">
      <c r="A569" s="259" t="s">
        <v>507</v>
      </c>
      <c r="B569" s="260" t="s">
        <v>833</v>
      </c>
      <c r="C569" s="259"/>
      <c r="D569" s="259">
        <v>228635</v>
      </c>
      <c r="E569" s="259">
        <v>15</v>
      </c>
      <c r="F569" s="390">
        <v>0</v>
      </c>
      <c r="G569" s="391">
        <v>0</v>
      </c>
      <c r="H569" s="390">
        <v>0</v>
      </c>
      <c r="I569" s="391">
        <v>0</v>
      </c>
      <c r="J569" s="390">
        <v>8772</v>
      </c>
      <c r="K569" s="391">
        <v>9178.6666666666697</v>
      </c>
      <c r="L569" s="390">
        <v>18732</v>
      </c>
      <c r="M569" s="391">
        <v>19138.666666666701</v>
      </c>
      <c r="N569" s="390"/>
      <c r="O569" s="391"/>
      <c r="P569" s="390"/>
      <c r="Q569" s="391"/>
      <c r="R569" s="390">
        <v>28482.666666666701</v>
      </c>
      <c r="S569" s="391">
        <v>29465.333333333299</v>
      </c>
      <c r="T569" s="390">
        <v>45949.333333333299</v>
      </c>
      <c r="U569" s="391">
        <v>46932</v>
      </c>
      <c r="V569" s="390"/>
      <c r="W569" s="391"/>
      <c r="X569" s="390"/>
      <c r="Y569" s="391"/>
      <c r="Z569" s="390"/>
      <c r="AA569" s="391"/>
      <c r="AB569" s="390"/>
      <c r="AC569" s="391"/>
      <c r="AD569" s="390"/>
      <c r="AE569" s="391"/>
      <c r="AF569" s="390"/>
      <c r="AG569" s="391"/>
      <c r="AH569" s="390"/>
      <c r="AI569" s="391"/>
      <c r="AJ569" s="390"/>
      <c r="AK569" s="391"/>
      <c r="AL569" s="390"/>
      <c r="AM569" s="391"/>
      <c r="AN569" s="390"/>
      <c r="AO569" s="391"/>
    </row>
    <row r="570" spans="1:41" s="201" customFormat="1" ht="12.75" hidden="1">
      <c r="A570" s="259" t="s">
        <v>507</v>
      </c>
      <c r="B570" s="280" t="s">
        <v>834</v>
      </c>
      <c r="C570" s="259"/>
      <c r="D570" s="287">
        <v>485537</v>
      </c>
      <c r="E570" s="259">
        <v>15</v>
      </c>
      <c r="F570" s="390"/>
      <c r="G570" s="391">
        <v>0</v>
      </c>
      <c r="H570" s="390"/>
      <c r="I570" s="391">
        <v>0</v>
      </c>
      <c r="J570" s="390"/>
      <c r="K570" s="399">
        <v>10101.333333333299</v>
      </c>
      <c r="L570" s="390"/>
      <c r="M570" s="399">
        <v>28341.333333333299</v>
      </c>
      <c r="N570" s="390"/>
      <c r="O570" s="391"/>
      <c r="P570" s="390"/>
      <c r="Q570" s="391"/>
      <c r="R570" s="390"/>
      <c r="S570" s="399">
        <v>6562.56</v>
      </c>
      <c r="T570" s="390"/>
      <c r="U570" s="399">
        <v>24802.560000000001</v>
      </c>
      <c r="V570" s="390"/>
      <c r="W570" s="391"/>
      <c r="X570" s="390"/>
      <c r="Y570" s="391"/>
      <c r="Z570" s="390"/>
      <c r="AA570" s="391"/>
      <c r="AB570" s="390"/>
      <c r="AC570" s="391"/>
      <c r="AD570" s="390"/>
      <c r="AE570" s="391"/>
      <c r="AF570" s="390"/>
      <c r="AG570" s="391"/>
      <c r="AH570" s="390"/>
      <c r="AI570" s="391"/>
      <c r="AJ570" s="390"/>
      <c r="AK570" s="391"/>
      <c r="AL570" s="390"/>
      <c r="AM570" s="391"/>
      <c r="AN570" s="390"/>
      <c r="AO570" s="391"/>
    </row>
    <row r="571" spans="1:41" s="201" customFormat="1" ht="12.75" hidden="1">
      <c r="A571" s="259" t="s">
        <v>507</v>
      </c>
      <c r="B571" s="371" t="s">
        <v>902</v>
      </c>
      <c r="C571" s="2" t="s">
        <v>903</v>
      </c>
      <c r="D571" s="372">
        <v>224615</v>
      </c>
      <c r="E571" s="248">
        <v>10</v>
      </c>
      <c r="F571" s="390"/>
      <c r="G571" s="391"/>
      <c r="H571" s="390"/>
      <c r="I571" s="391"/>
      <c r="J571" s="390"/>
      <c r="K571" s="391"/>
      <c r="L571" s="390"/>
      <c r="M571" s="391"/>
      <c r="N571" s="390"/>
      <c r="O571" s="391"/>
      <c r="P571" s="390"/>
      <c r="Q571" s="391"/>
      <c r="R571" s="390"/>
      <c r="S571" s="391"/>
      <c r="T571" s="390"/>
      <c r="U571" s="391"/>
      <c r="V571" s="390"/>
      <c r="W571" s="391"/>
      <c r="X571" s="390"/>
      <c r="Y571" s="391"/>
      <c r="Z571" s="390"/>
      <c r="AA571" s="391"/>
      <c r="AB571" s="390"/>
      <c r="AC571" s="391"/>
      <c r="AD571" s="390"/>
      <c r="AE571" s="391"/>
      <c r="AF571" s="390"/>
      <c r="AG571" s="391"/>
      <c r="AH571" s="390"/>
      <c r="AI571" s="391"/>
      <c r="AJ571" s="390"/>
      <c r="AK571" s="391"/>
      <c r="AL571" s="390"/>
      <c r="AM571" s="391"/>
      <c r="AN571" s="390"/>
      <c r="AO571" s="391"/>
    </row>
    <row r="572" spans="1:41" s="179" customFormat="1" ht="14.45" hidden="1" customHeight="1">
      <c r="A572" s="229" t="s">
        <v>445</v>
      </c>
      <c r="B572" s="230" t="s">
        <v>446</v>
      </c>
      <c r="C572" s="288"/>
      <c r="D572" s="229">
        <v>232186</v>
      </c>
      <c r="E572" s="229">
        <v>1</v>
      </c>
      <c r="F572" s="390">
        <v>12564</v>
      </c>
      <c r="G572" s="391">
        <v>13014</v>
      </c>
      <c r="H572" s="390">
        <v>36024</v>
      </c>
      <c r="I572" s="391">
        <v>36474</v>
      </c>
      <c r="J572" s="390">
        <v>15648</v>
      </c>
      <c r="K572" s="391">
        <v>16097</v>
      </c>
      <c r="L572" s="390">
        <v>36960</v>
      </c>
      <c r="M572" s="391">
        <v>37410</v>
      </c>
      <c r="N572" s="390">
        <v>25354</v>
      </c>
      <c r="O572" s="391">
        <v>25354</v>
      </c>
      <c r="P572" s="390">
        <v>40740</v>
      </c>
      <c r="Q572" s="391">
        <v>40740</v>
      </c>
      <c r="R572" s="390"/>
      <c r="S572" s="391"/>
      <c r="T572" s="390"/>
      <c r="U572" s="391"/>
      <c r="V572" s="390"/>
      <c r="W572" s="391"/>
      <c r="X572" s="390"/>
      <c r="Y572" s="391"/>
      <c r="Z572" s="390"/>
      <c r="AA572" s="391"/>
      <c r="AB572" s="390"/>
      <c r="AC572" s="391"/>
      <c r="AD572" s="390"/>
      <c r="AE572" s="391"/>
      <c r="AF572" s="390"/>
      <c r="AG572" s="391"/>
      <c r="AH572" s="390"/>
      <c r="AI572" s="391"/>
      <c r="AJ572" s="390"/>
      <c r="AK572" s="391"/>
      <c r="AL572" s="390"/>
      <c r="AM572" s="391"/>
      <c r="AN572" s="390"/>
      <c r="AO572" s="391"/>
    </row>
    <row r="573" spans="1:41" s="179" customFormat="1" ht="14.45" hidden="1" customHeight="1">
      <c r="A573" s="229" t="s">
        <v>445</v>
      </c>
      <c r="B573" s="230" t="s">
        <v>447</v>
      </c>
      <c r="C573" s="288"/>
      <c r="D573" s="229">
        <v>232982</v>
      </c>
      <c r="E573" s="229">
        <v>1</v>
      </c>
      <c r="F573" s="390">
        <v>11020</v>
      </c>
      <c r="G573" s="391">
        <v>11160</v>
      </c>
      <c r="H573" s="390">
        <v>31180</v>
      </c>
      <c r="I573" s="391">
        <v>31320</v>
      </c>
      <c r="J573" s="390">
        <v>13468</v>
      </c>
      <c r="K573" s="391">
        <v>13584</v>
      </c>
      <c r="L573" s="390">
        <v>33532</v>
      </c>
      <c r="M573" s="391">
        <v>33648</v>
      </c>
      <c r="N573" s="390"/>
      <c r="O573" s="391"/>
      <c r="P573" s="390"/>
      <c r="Q573" s="391"/>
      <c r="R573" s="390"/>
      <c r="S573" s="391"/>
      <c r="T573" s="390"/>
      <c r="U573" s="391"/>
      <c r="V573" s="390"/>
      <c r="W573" s="391"/>
      <c r="X573" s="390"/>
      <c r="Y573" s="391"/>
      <c r="Z573" s="390"/>
      <c r="AA573" s="391"/>
      <c r="AB573" s="390"/>
      <c r="AC573" s="391"/>
      <c r="AD573" s="390"/>
      <c r="AE573" s="391"/>
      <c r="AF573" s="390"/>
      <c r="AG573" s="391"/>
      <c r="AH573" s="390"/>
      <c r="AI573" s="391"/>
      <c r="AJ573" s="390"/>
      <c r="AK573" s="391"/>
      <c r="AL573" s="390"/>
      <c r="AM573" s="391"/>
      <c r="AN573" s="390"/>
      <c r="AO573" s="391"/>
    </row>
    <row r="574" spans="1:41" s="201" customFormat="1" ht="12.75" hidden="1">
      <c r="A574" s="229" t="s">
        <v>445</v>
      </c>
      <c r="B574" s="230" t="s">
        <v>448</v>
      </c>
      <c r="C574" s="232"/>
      <c r="D574" s="229">
        <v>234076</v>
      </c>
      <c r="E574" s="229">
        <v>1</v>
      </c>
      <c r="F574" s="390">
        <v>16632</v>
      </c>
      <c r="G574" s="391">
        <v>17296</v>
      </c>
      <c r="H574" s="390">
        <v>49962</v>
      </c>
      <c r="I574" s="391">
        <v>51826</v>
      </c>
      <c r="J574" s="390">
        <v>20590</v>
      </c>
      <c r="K574" s="391">
        <v>21454</v>
      </c>
      <c r="L574" s="390">
        <v>33368</v>
      </c>
      <c r="M574" s="391">
        <v>34716</v>
      </c>
      <c r="N574" s="390">
        <v>63160</v>
      </c>
      <c r="O574" s="391">
        <v>65460</v>
      </c>
      <c r="P574" s="390">
        <v>66160</v>
      </c>
      <c r="Q574" s="391">
        <v>68460</v>
      </c>
      <c r="R574" s="390">
        <v>46778</v>
      </c>
      <c r="S574" s="391">
        <v>46936</v>
      </c>
      <c r="T574" s="390">
        <v>57584</v>
      </c>
      <c r="U574" s="391">
        <v>57742</v>
      </c>
      <c r="V574" s="390"/>
      <c r="W574" s="391"/>
      <c r="X574" s="390"/>
      <c r="Y574" s="391"/>
      <c r="Z574" s="390"/>
      <c r="AA574" s="391"/>
      <c r="AB574" s="390"/>
      <c r="AC574" s="391"/>
      <c r="AD574" s="390"/>
      <c r="AE574" s="391"/>
      <c r="AF574" s="390"/>
      <c r="AG574" s="391"/>
      <c r="AH574" s="390"/>
      <c r="AI574" s="391"/>
      <c r="AJ574" s="390"/>
      <c r="AK574" s="391"/>
      <c r="AL574" s="390"/>
      <c r="AM574" s="391"/>
      <c r="AN574" s="390"/>
      <c r="AO574" s="391"/>
    </row>
    <row r="575" spans="1:41" s="201" customFormat="1" ht="12.75" hidden="1">
      <c r="A575" s="229" t="s">
        <v>445</v>
      </c>
      <c r="B575" s="230" t="s">
        <v>449</v>
      </c>
      <c r="C575" s="231"/>
      <c r="D575" s="229">
        <v>234030</v>
      </c>
      <c r="E575" s="229">
        <v>1</v>
      </c>
      <c r="F575" s="390">
        <v>14596</v>
      </c>
      <c r="G575" s="391">
        <v>14710</v>
      </c>
      <c r="H575" s="390">
        <v>35904</v>
      </c>
      <c r="I575" s="391">
        <v>36048</v>
      </c>
      <c r="J575" s="390">
        <v>15086</v>
      </c>
      <c r="K575" s="391">
        <v>15200</v>
      </c>
      <c r="L575" s="390">
        <v>29084</v>
      </c>
      <c r="M575" s="391">
        <v>29228</v>
      </c>
      <c r="N575" s="390"/>
      <c r="O575" s="391"/>
      <c r="P575" s="390"/>
      <c r="Q575" s="391"/>
      <c r="R575" s="390">
        <v>35369</v>
      </c>
      <c r="S575" s="391">
        <v>37322</v>
      </c>
      <c r="T575" s="390">
        <v>57768</v>
      </c>
      <c r="U575" s="391">
        <v>60838</v>
      </c>
      <c r="V575" s="390">
        <v>57911</v>
      </c>
      <c r="W575" s="391">
        <v>60215</v>
      </c>
      <c r="X575" s="390">
        <v>90281</v>
      </c>
      <c r="Y575" s="391">
        <v>93884</v>
      </c>
      <c r="Z575" s="390">
        <v>31054</v>
      </c>
      <c r="AA575" s="391">
        <v>31866</v>
      </c>
      <c r="AB575" s="390">
        <v>44044</v>
      </c>
      <c r="AC575" s="391">
        <v>45194</v>
      </c>
      <c r="AD575" s="390"/>
      <c r="AE575" s="391"/>
      <c r="AF575" s="390"/>
      <c r="AG575" s="391"/>
      <c r="AH575" s="390"/>
      <c r="AI575" s="391"/>
      <c r="AJ575" s="390"/>
      <c r="AK575" s="391"/>
      <c r="AL575" s="390"/>
      <c r="AM575" s="391"/>
      <c r="AN575" s="390"/>
      <c r="AO575" s="391"/>
    </row>
    <row r="576" spans="1:41" s="201" customFormat="1" ht="12.75" hidden="1">
      <c r="A576" s="229" t="s">
        <v>445</v>
      </c>
      <c r="B576" s="230" t="s">
        <v>450</v>
      </c>
      <c r="C576" s="232"/>
      <c r="D576" s="229">
        <v>233921</v>
      </c>
      <c r="E576" s="229">
        <v>1</v>
      </c>
      <c r="F576" s="390">
        <v>13691</v>
      </c>
      <c r="G576" s="391">
        <v>13749</v>
      </c>
      <c r="H576" s="390">
        <v>32835</v>
      </c>
      <c r="I576" s="391">
        <v>32893</v>
      </c>
      <c r="J576" s="390">
        <v>15972</v>
      </c>
      <c r="K576" s="391">
        <v>16030</v>
      </c>
      <c r="L576" s="390">
        <v>30489</v>
      </c>
      <c r="M576" s="391">
        <v>30547</v>
      </c>
      <c r="N576" s="390"/>
      <c r="O576" s="391"/>
      <c r="P576" s="390"/>
      <c r="Q576" s="391"/>
      <c r="R576" s="390">
        <v>54056</v>
      </c>
      <c r="S576" s="391">
        <v>54420</v>
      </c>
      <c r="T576" s="393">
        <v>54056</v>
      </c>
      <c r="U576" s="391">
        <v>54420</v>
      </c>
      <c r="V576" s="390"/>
      <c r="W576" s="391"/>
      <c r="X576" s="390"/>
      <c r="Y576" s="391"/>
      <c r="Z576" s="390"/>
      <c r="AA576" s="391"/>
      <c r="AB576" s="390"/>
      <c r="AC576" s="391"/>
      <c r="AD576" s="390"/>
      <c r="AE576" s="391"/>
      <c r="AF576" s="390"/>
      <c r="AG576" s="391"/>
      <c r="AH576" s="390"/>
      <c r="AI576" s="391"/>
      <c r="AJ576" s="390"/>
      <c r="AK576" s="391"/>
      <c r="AL576" s="390">
        <v>25377</v>
      </c>
      <c r="AM576" s="391">
        <v>25435</v>
      </c>
      <c r="AN576" s="390">
        <v>54510</v>
      </c>
      <c r="AO576" s="391">
        <v>54568</v>
      </c>
    </row>
    <row r="577" spans="1:41" s="201" customFormat="1" ht="12.75" hidden="1">
      <c r="A577" s="229" t="s">
        <v>445</v>
      </c>
      <c r="B577" s="230" t="s">
        <v>451</v>
      </c>
      <c r="C577" s="232"/>
      <c r="D577" s="229">
        <v>231624</v>
      </c>
      <c r="E577" s="229">
        <v>2</v>
      </c>
      <c r="F577" s="390">
        <v>23628</v>
      </c>
      <c r="G577" s="391">
        <v>23628</v>
      </c>
      <c r="H577" s="390">
        <v>46854</v>
      </c>
      <c r="I577" s="391">
        <v>46854</v>
      </c>
      <c r="J577" s="390">
        <v>16440</v>
      </c>
      <c r="K577" s="391">
        <v>16440</v>
      </c>
      <c r="L577" s="390">
        <v>34800</v>
      </c>
      <c r="M577" s="391">
        <v>34800</v>
      </c>
      <c r="N577" s="390">
        <v>35000</v>
      </c>
      <c r="O577" s="391">
        <v>35000</v>
      </c>
      <c r="P577" s="390">
        <v>44000</v>
      </c>
      <c r="Q577" s="391">
        <v>44000</v>
      </c>
      <c r="R577" s="390"/>
      <c r="S577" s="391"/>
      <c r="T577" s="390"/>
      <c r="U577" s="391"/>
      <c r="V577" s="390"/>
      <c r="W577" s="391"/>
      <c r="X577" s="390"/>
      <c r="Y577" s="391"/>
      <c r="Z577" s="390"/>
      <c r="AA577" s="391"/>
      <c r="AB577" s="390"/>
      <c r="AC577" s="391"/>
      <c r="AD577" s="390"/>
      <c r="AE577" s="391"/>
      <c r="AF577" s="390"/>
      <c r="AG577" s="391"/>
      <c r="AH577" s="390"/>
      <c r="AI577" s="391"/>
      <c r="AJ577" s="390"/>
      <c r="AK577" s="391"/>
      <c r="AL577" s="390"/>
      <c r="AM577" s="391"/>
      <c r="AN577" s="390"/>
      <c r="AO577" s="391"/>
    </row>
    <row r="578" spans="1:41" s="179" customFormat="1" ht="14.45" hidden="1" customHeight="1">
      <c r="A578" s="229" t="s">
        <v>445</v>
      </c>
      <c r="B578" s="230" t="s">
        <v>452</v>
      </c>
      <c r="C578" s="288"/>
      <c r="D578" s="229">
        <v>232423</v>
      </c>
      <c r="E578" s="229">
        <v>3</v>
      </c>
      <c r="F578" s="390">
        <v>12206</v>
      </c>
      <c r="G578" s="391">
        <v>12330</v>
      </c>
      <c r="H578" s="390">
        <v>29106</v>
      </c>
      <c r="I578" s="391">
        <v>29230</v>
      </c>
      <c r="J578" s="390">
        <v>11976</v>
      </c>
      <c r="K578" s="391">
        <v>11976</v>
      </c>
      <c r="L578" s="390">
        <v>29544</v>
      </c>
      <c r="M578" s="391">
        <v>29544</v>
      </c>
      <c r="N578" s="390"/>
      <c r="O578" s="391"/>
      <c r="P578" s="390"/>
      <c r="Q578" s="391"/>
      <c r="R578" s="390"/>
      <c r="S578" s="391"/>
      <c r="T578" s="390"/>
      <c r="U578" s="391"/>
      <c r="V578" s="390"/>
      <c r="W578" s="391"/>
      <c r="X578" s="390"/>
      <c r="Y578" s="391"/>
      <c r="Z578" s="390"/>
      <c r="AA578" s="391"/>
      <c r="AB578" s="390"/>
      <c r="AC578" s="391"/>
      <c r="AD578" s="390"/>
      <c r="AE578" s="391"/>
      <c r="AF578" s="390"/>
      <c r="AG578" s="391"/>
      <c r="AH578" s="390"/>
      <c r="AI578" s="391"/>
      <c r="AJ578" s="390"/>
      <c r="AK578" s="391"/>
      <c r="AL578" s="390"/>
      <c r="AM578" s="391"/>
      <c r="AN578" s="390"/>
      <c r="AO578" s="391"/>
    </row>
    <row r="579" spans="1:41" s="179" customFormat="1" ht="14.45" hidden="1" customHeight="1">
      <c r="A579" s="229" t="s">
        <v>445</v>
      </c>
      <c r="B579" s="230" t="s">
        <v>453</v>
      </c>
      <c r="C579" s="373" t="s">
        <v>896</v>
      </c>
      <c r="D579" s="4">
        <v>232566</v>
      </c>
      <c r="E579" s="374">
        <v>5</v>
      </c>
      <c r="F579" s="390">
        <v>13520</v>
      </c>
      <c r="G579" s="391">
        <v>13910</v>
      </c>
      <c r="H579" s="390">
        <v>29480</v>
      </c>
      <c r="I579" s="391">
        <v>30350</v>
      </c>
      <c r="J579" s="390">
        <v>11976</v>
      </c>
      <c r="K579" s="391">
        <v>12072</v>
      </c>
      <c r="L579" s="390">
        <v>27696</v>
      </c>
      <c r="M579" s="391">
        <v>27792</v>
      </c>
      <c r="N579" s="390"/>
      <c r="O579" s="391"/>
      <c r="P579" s="390"/>
      <c r="Q579" s="391"/>
      <c r="R579" s="390"/>
      <c r="S579" s="391"/>
      <c r="T579" s="390"/>
      <c r="U579" s="391"/>
      <c r="V579" s="390"/>
      <c r="W579" s="391"/>
      <c r="X579" s="390"/>
      <c r="Y579" s="391"/>
      <c r="Z579" s="390"/>
      <c r="AA579" s="391"/>
      <c r="AB579" s="390"/>
      <c r="AC579" s="391"/>
      <c r="AD579" s="390"/>
      <c r="AE579" s="391"/>
      <c r="AF579" s="390"/>
      <c r="AG579" s="391"/>
      <c r="AH579" s="390"/>
      <c r="AI579" s="391"/>
      <c r="AJ579" s="390"/>
      <c r="AK579" s="391"/>
      <c r="AL579" s="390"/>
      <c r="AM579" s="391"/>
      <c r="AN579" s="390"/>
      <c r="AO579" s="391"/>
    </row>
    <row r="580" spans="1:41" s="179" customFormat="1" ht="14.45" hidden="1" customHeight="1">
      <c r="A580" s="229" t="s">
        <v>445</v>
      </c>
      <c r="B580" s="230" t="s">
        <v>454</v>
      </c>
      <c r="C580" s="373" t="s">
        <v>894</v>
      </c>
      <c r="D580" s="4">
        <v>232937</v>
      </c>
      <c r="E580" s="374">
        <v>4</v>
      </c>
      <c r="F580" s="390">
        <v>9622</v>
      </c>
      <c r="G580" s="391">
        <v>9622</v>
      </c>
      <c r="H580" s="390">
        <v>21550</v>
      </c>
      <c r="I580" s="391">
        <v>21550</v>
      </c>
      <c r="J580" s="390">
        <v>12690</v>
      </c>
      <c r="K580" s="391">
        <v>12690</v>
      </c>
      <c r="L580" s="390">
        <v>25502</v>
      </c>
      <c r="M580" s="391">
        <v>25502</v>
      </c>
      <c r="N580" s="390"/>
      <c r="O580" s="391"/>
      <c r="P580" s="390"/>
      <c r="Q580" s="391"/>
      <c r="R580" s="390"/>
      <c r="S580" s="391"/>
      <c r="T580" s="390"/>
      <c r="U580" s="391"/>
      <c r="V580" s="390"/>
      <c r="W580" s="391"/>
      <c r="X580" s="390"/>
      <c r="Y580" s="391"/>
      <c r="Z580" s="390"/>
      <c r="AA580" s="391"/>
      <c r="AB580" s="390"/>
      <c r="AC580" s="391"/>
      <c r="AD580" s="390"/>
      <c r="AE580" s="391"/>
      <c r="AF580" s="390"/>
      <c r="AG580" s="391"/>
      <c r="AH580" s="390"/>
      <c r="AI580" s="391"/>
      <c r="AJ580" s="390"/>
      <c r="AK580" s="391"/>
      <c r="AL580" s="390"/>
      <c r="AM580" s="391"/>
      <c r="AN580" s="390"/>
      <c r="AO580" s="391"/>
    </row>
    <row r="581" spans="1:41" s="179" customFormat="1" ht="14.45" hidden="1" customHeight="1">
      <c r="A581" s="229" t="s">
        <v>445</v>
      </c>
      <c r="B581" s="230" t="s">
        <v>455</v>
      </c>
      <c r="C581" s="288"/>
      <c r="D581" s="229">
        <v>233277</v>
      </c>
      <c r="E581" s="229">
        <v>3</v>
      </c>
      <c r="F581" s="390">
        <v>11350</v>
      </c>
      <c r="G581" s="391">
        <v>11416</v>
      </c>
      <c r="H581" s="390">
        <v>23432</v>
      </c>
      <c r="I581" s="391">
        <v>23498</v>
      </c>
      <c r="J581" s="390">
        <v>12343</v>
      </c>
      <c r="K581" s="391">
        <v>12409</v>
      </c>
      <c r="L581" s="390">
        <v>21316</v>
      </c>
      <c r="M581" s="391">
        <v>21382</v>
      </c>
      <c r="N581" s="390"/>
      <c r="O581" s="391"/>
      <c r="P581" s="390"/>
      <c r="Q581" s="391"/>
      <c r="R581" s="390"/>
      <c r="S581" s="391"/>
      <c r="T581" s="390"/>
      <c r="U581" s="391"/>
      <c r="V581" s="390"/>
      <c r="W581" s="391"/>
      <c r="X581" s="390"/>
      <c r="Y581" s="391"/>
      <c r="Z581" s="390"/>
      <c r="AA581" s="391"/>
      <c r="AB581" s="390"/>
      <c r="AC581" s="391"/>
      <c r="AD581" s="390"/>
      <c r="AE581" s="391"/>
      <c r="AF581" s="390"/>
      <c r="AG581" s="391"/>
      <c r="AH581" s="390"/>
      <c r="AI581" s="391"/>
      <c r="AJ581" s="390"/>
      <c r="AK581" s="391"/>
      <c r="AL581" s="390"/>
      <c r="AM581" s="391"/>
      <c r="AN581" s="390"/>
      <c r="AO581" s="391"/>
    </row>
    <row r="582" spans="1:41" s="179" customFormat="1" ht="14.45" hidden="1" customHeight="1">
      <c r="A582" s="229" t="s">
        <v>445</v>
      </c>
      <c r="B582" s="230" t="s">
        <v>456</v>
      </c>
      <c r="C582" s="373" t="s">
        <v>896</v>
      </c>
      <c r="D582" s="4">
        <v>232681</v>
      </c>
      <c r="E582" s="374">
        <v>5</v>
      </c>
      <c r="F582" s="390">
        <v>13210</v>
      </c>
      <c r="G582" s="391">
        <v>13574</v>
      </c>
      <c r="H582" s="390">
        <v>29636</v>
      </c>
      <c r="I582" s="391">
        <v>30000</v>
      </c>
      <c r="J582" s="390">
        <v>11052</v>
      </c>
      <c r="K582" s="391">
        <v>11250</v>
      </c>
      <c r="L582" s="390">
        <v>20772</v>
      </c>
      <c r="M582" s="391">
        <v>20970</v>
      </c>
      <c r="N582" s="390"/>
      <c r="O582" s="391"/>
      <c r="P582" s="390"/>
      <c r="Q582" s="391"/>
      <c r="R582" s="390"/>
      <c r="S582" s="391"/>
      <c r="T582" s="390"/>
      <c r="U582" s="391"/>
      <c r="V582" s="390"/>
      <c r="W582" s="391"/>
      <c r="X582" s="390"/>
      <c r="Y582" s="391"/>
      <c r="Z582" s="390"/>
      <c r="AA582" s="391"/>
      <c r="AB582" s="390"/>
      <c r="AC582" s="391"/>
      <c r="AD582" s="390"/>
      <c r="AE582" s="391"/>
      <c r="AF582" s="390"/>
      <c r="AG582" s="391"/>
      <c r="AH582" s="390"/>
      <c r="AI582" s="391"/>
      <c r="AJ582" s="390"/>
      <c r="AK582" s="391"/>
      <c r="AL582" s="390"/>
      <c r="AM582" s="391"/>
      <c r="AN582" s="390"/>
      <c r="AO582" s="391"/>
    </row>
    <row r="583" spans="1:41" s="179" customFormat="1" ht="14.45" hidden="1" customHeight="1">
      <c r="A583" s="229" t="s">
        <v>445</v>
      </c>
      <c r="B583" s="230" t="s">
        <v>457</v>
      </c>
      <c r="C583" s="288"/>
      <c r="D583" s="229">
        <v>234155</v>
      </c>
      <c r="E583" s="229">
        <v>3</v>
      </c>
      <c r="F583" s="390">
        <v>9154</v>
      </c>
      <c r="G583" s="391">
        <v>9154</v>
      </c>
      <c r="H583" s="390">
        <v>20909</v>
      </c>
      <c r="I583" s="391">
        <v>20909</v>
      </c>
      <c r="J583" s="390">
        <v>11989</v>
      </c>
      <c r="K583" s="391">
        <v>11989</v>
      </c>
      <c r="L583" s="390">
        <v>22994</v>
      </c>
      <c r="M583" s="391">
        <v>22994</v>
      </c>
      <c r="N583" s="390"/>
      <c r="O583" s="391"/>
      <c r="P583" s="390"/>
      <c r="Q583" s="391"/>
      <c r="R583" s="390"/>
      <c r="S583" s="391"/>
      <c r="T583" s="390"/>
      <c r="U583" s="391"/>
      <c r="V583" s="390"/>
      <c r="W583" s="391"/>
      <c r="X583" s="390"/>
      <c r="Y583" s="391"/>
      <c r="Z583" s="390"/>
      <c r="AA583" s="391"/>
      <c r="AB583" s="390"/>
      <c r="AC583" s="391"/>
      <c r="AD583" s="390"/>
      <c r="AE583" s="391"/>
      <c r="AF583" s="390"/>
      <c r="AG583" s="391"/>
      <c r="AH583" s="390"/>
      <c r="AI583" s="391"/>
      <c r="AJ583" s="390"/>
      <c r="AK583" s="391"/>
      <c r="AL583" s="390"/>
      <c r="AM583" s="391"/>
      <c r="AN583" s="390"/>
      <c r="AO583" s="391"/>
    </row>
    <row r="584" spans="1:41" s="179" customFormat="1" ht="14.45" hidden="1" customHeight="1">
      <c r="A584" s="229" t="s">
        <v>445</v>
      </c>
      <c r="B584" s="230" t="s">
        <v>458</v>
      </c>
      <c r="C584" s="288"/>
      <c r="D584" s="229">
        <v>231712</v>
      </c>
      <c r="E584" s="229">
        <v>5</v>
      </c>
      <c r="F584" s="390">
        <v>14924</v>
      </c>
      <c r="G584" s="391">
        <v>14924</v>
      </c>
      <c r="H584" s="390">
        <v>27790</v>
      </c>
      <c r="I584" s="391">
        <v>27790</v>
      </c>
      <c r="J584" s="390"/>
      <c r="K584" s="391"/>
      <c r="L584" s="390"/>
      <c r="M584" s="391"/>
      <c r="N584" s="390"/>
      <c r="O584" s="391"/>
      <c r="P584" s="390"/>
      <c r="Q584" s="391"/>
      <c r="R584" s="390"/>
      <c r="S584" s="391"/>
      <c r="T584" s="390"/>
      <c r="U584" s="391"/>
      <c r="V584" s="390"/>
      <c r="W584" s="391"/>
      <c r="X584" s="390"/>
      <c r="Y584" s="391"/>
      <c r="Z584" s="390"/>
      <c r="AA584" s="391"/>
      <c r="AB584" s="390"/>
      <c r="AC584" s="391"/>
      <c r="AD584" s="390"/>
      <c r="AE584" s="391"/>
      <c r="AF584" s="390"/>
      <c r="AG584" s="391"/>
      <c r="AH584" s="390"/>
      <c r="AI584" s="391"/>
      <c r="AJ584" s="390"/>
      <c r="AK584" s="391"/>
      <c r="AL584" s="390"/>
      <c r="AM584" s="391"/>
      <c r="AN584" s="390"/>
      <c r="AO584" s="391"/>
    </row>
    <row r="585" spans="1:41" s="179" customFormat="1" ht="14.45" customHeight="1">
      <c r="A585" s="229" t="s">
        <v>445</v>
      </c>
      <c r="B585" s="230" t="s">
        <v>459</v>
      </c>
      <c r="C585" s="288"/>
      <c r="D585" s="229">
        <v>233897</v>
      </c>
      <c r="E585" s="229">
        <v>6</v>
      </c>
      <c r="F585" s="390">
        <v>10252</v>
      </c>
      <c r="G585" s="391">
        <v>10837</v>
      </c>
      <c r="H585" s="390">
        <v>28808</v>
      </c>
      <c r="I585" s="391">
        <v>29950</v>
      </c>
      <c r="J585" s="390"/>
      <c r="K585" s="391"/>
      <c r="L585" s="390"/>
      <c r="M585" s="391"/>
      <c r="N585" s="390"/>
      <c r="O585" s="391"/>
      <c r="P585" s="390"/>
      <c r="Q585" s="391"/>
      <c r="R585" s="390"/>
      <c r="S585" s="391"/>
      <c r="T585" s="390"/>
      <c r="U585" s="391"/>
      <c r="V585" s="390"/>
      <c r="W585" s="391"/>
      <c r="X585" s="390"/>
      <c r="Y585" s="391"/>
      <c r="Z585" s="390"/>
      <c r="AA585" s="391"/>
      <c r="AB585" s="390"/>
      <c r="AC585" s="391"/>
      <c r="AD585" s="390"/>
      <c r="AE585" s="391"/>
      <c r="AF585" s="390"/>
      <c r="AG585" s="391"/>
      <c r="AH585" s="390"/>
      <c r="AI585" s="391"/>
      <c r="AJ585" s="390"/>
      <c r="AK585" s="391"/>
      <c r="AL585" s="390"/>
      <c r="AM585" s="391"/>
      <c r="AN585" s="390"/>
      <c r="AO585" s="391"/>
    </row>
    <row r="586" spans="1:41" s="179" customFormat="1" ht="14.45" hidden="1" customHeight="1">
      <c r="A586" s="229" t="s">
        <v>445</v>
      </c>
      <c r="B586" s="230" t="s">
        <v>460</v>
      </c>
      <c r="C586" s="288"/>
      <c r="D586" s="229">
        <v>232414</v>
      </c>
      <c r="E586" s="229">
        <v>8</v>
      </c>
      <c r="F586" s="390">
        <v>4620.1000000000004</v>
      </c>
      <c r="G586" s="391">
        <v>4620.1000000000004</v>
      </c>
      <c r="H586" s="390">
        <v>10623</v>
      </c>
      <c r="I586" s="391">
        <v>10623</v>
      </c>
      <c r="J586" s="390"/>
      <c r="K586" s="391"/>
      <c r="L586" s="390"/>
      <c r="M586" s="391"/>
      <c r="N586" s="390"/>
      <c r="O586" s="391"/>
      <c r="P586" s="390"/>
      <c r="Q586" s="391"/>
      <c r="R586" s="390"/>
      <c r="S586" s="391"/>
      <c r="T586" s="390"/>
      <c r="U586" s="391"/>
      <c r="V586" s="390"/>
      <c r="W586" s="391"/>
      <c r="X586" s="390"/>
      <c r="Y586" s="391"/>
      <c r="Z586" s="390"/>
      <c r="AA586" s="391"/>
      <c r="AB586" s="390"/>
      <c r="AC586" s="391"/>
      <c r="AD586" s="390"/>
      <c r="AE586" s="391"/>
      <c r="AF586" s="390"/>
      <c r="AG586" s="391"/>
      <c r="AH586" s="390"/>
      <c r="AI586" s="391"/>
      <c r="AJ586" s="390"/>
      <c r="AK586" s="391"/>
      <c r="AL586" s="390"/>
      <c r="AM586" s="391"/>
      <c r="AN586" s="390"/>
      <c r="AO586" s="391"/>
    </row>
    <row r="587" spans="1:41" s="179" customFormat="1" ht="14.45" hidden="1" customHeight="1">
      <c r="A587" s="229" t="s">
        <v>445</v>
      </c>
      <c r="B587" s="230" t="s">
        <v>461</v>
      </c>
      <c r="C587" s="288"/>
      <c r="D587" s="229">
        <v>232450</v>
      </c>
      <c r="E587" s="229">
        <v>8</v>
      </c>
      <c r="F587" s="390">
        <v>4620.1000000000004</v>
      </c>
      <c r="G587" s="391">
        <v>4620.1000000000004</v>
      </c>
      <c r="H587" s="390">
        <v>10623</v>
      </c>
      <c r="I587" s="391">
        <v>10623</v>
      </c>
      <c r="J587" s="390"/>
      <c r="K587" s="391"/>
      <c r="L587" s="390"/>
      <c r="M587" s="391"/>
      <c r="N587" s="390"/>
      <c r="O587" s="391"/>
      <c r="P587" s="390"/>
      <c r="Q587" s="391"/>
      <c r="R587" s="390"/>
      <c r="S587" s="391"/>
      <c r="T587" s="390"/>
      <c r="U587" s="391"/>
      <c r="V587" s="390"/>
      <c r="W587" s="391"/>
      <c r="X587" s="390"/>
      <c r="Y587" s="391"/>
      <c r="Z587" s="390"/>
      <c r="AA587" s="391"/>
      <c r="AB587" s="390"/>
      <c r="AC587" s="391"/>
      <c r="AD587" s="390"/>
      <c r="AE587" s="391"/>
      <c r="AF587" s="390"/>
      <c r="AG587" s="391"/>
      <c r="AH587" s="390"/>
      <c r="AI587" s="391"/>
      <c r="AJ587" s="390"/>
      <c r="AK587" s="391"/>
      <c r="AL587" s="390"/>
      <c r="AM587" s="391"/>
      <c r="AN587" s="390"/>
      <c r="AO587" s="391"/>
    </row>
    <row r="588" spans="1:41" s="179" customFormat="1" ht="14.45" hidden="1" customHeight="1">
      <c r="A588" s="229" t="s">
        <v>445</v>
      </c>
      <c r="B588" s="230" t="s">
        <v>462</v>
      </c>
      <c r="C588" s="288"/>
      <c r="D588" s="229">
        <v>232946</v>
      </c>
      <c r="E588" s="229">
        <v>8</v>
      </c>
      <c r="F588" s="390">
        <v>4620.1000000000004</v>
      </c>
      <c r="G588" s="391">
        <v>4620.1000000000004</v>
      </c>
      <c r="H588" s="390">
        <v>10623</v>
      </c>
      <c r="I588" s="391">
        <v>10623</v>
      </c>
      <c r="J588" s="390"/>
      <c r="K588" s="391"/>
      <c r="L588" s="390"/>
      <c r="M588" s="391"/>
      <c r="N588" s="390"/>
      <c r="O588" s="391"/>
      <c r="P588" s="390"/>
      <c r="Q588" s="391"/>
      <c r="R588" s="390"/>
      <c r="S588" s="391"/>
      <c r="T588" s="390"/>
      <c r="U588" s="391"/>
      <c r="V588" s="390"/>
      <c r="W588" s="391"/>
      <c r="X588" s="390"/>
      <c r="Y588" s="391"/>
      <c r="Z588" s="390"/>
      <c r="AA588" s="391"/>
      <c r="AB588" s="390"/>
      <c r="AC588" s="391"/>
      <c r="AD588" s="390"/>
      <c r="AE588" s="391"/>
      <c r="AF588" s="390"/>
      <c r="AG588" s="391"/>
      <c r="AH588" s="390"/>
      <c r="AI588" s="391"/>
      <c r="AJ588" s="390"/>
      <c r="AK588" s="391"/>
      <c r="AL588" s="390"/>
      <c r="AM588" s="391"/>
      <c r="AN588" s="390"/>
      <c r="AO588" s="391"/>
    </row>
    <row r="589" spans="1:41" s="179" customFormat="1" ht="14.45" hidden="1" customHeight="1">
      <c r="A589" s="229" t="s">
        <v>445</v>
      </c>
      <c r="B589" s="230" t="s">
        <v>463</v>
      </c>
      <c r="C589" s="382" t="s">
        <v>918</v>
      </c>
      <c r="D589" s="229">
        <v>233754</v>
      </c>
      <c r="E589" s="229">
        <v>8</v>
      </c>
      <c r="F589" s="390">
        <v>4620.1000000000004</v>
      </c>
      <c r="G589" s="391">
        <v>4620.1000000000004</v>
      </c>
      <c r="H589" s="390">
        <v>10623</v>
      </c>
      <c r="I589" s="391">
        <v>10623</v>
      </c>
      <c r="J589" s="390"/>
      <c r="K589" s="391"/>
      <c r="L589" s="390"/>
      <c r="M589" s="391"/>
      <c r="N589" s="390"/>
      <c r="O589" s="391"/>
      <c r="P589" s="390"/>
      <c r="Q589" s="391"/>
      <c r="R589" s="390"/>
      <c r="S589" s="391"/>
      <c r="T589" s="390"/>
      <c r="U589" s="391"/>
      <c r="V589" s="390"/>
      <c r="W589" s="391"/>
      <c r="X589" s="390"/>
      <c r="Y589" s="391"/>
      <c r="Z589" s="390"/>
      <c r="AA589" s="391"/>
      <c r="AB589" s="390"/>
      <c r="AC589" s="391"/>
      <c r="AD589" s="390"/>
      <c r="AE589" s="391"/>
      <c r="AF589" s="390"/>
      <c r="AG589" s="391"/>
      <c r="AH589" s="390"/>
      <c r="AI589" s="391"/>
      <c r="AJ589" s="390"/>
      <c r="AK589" s="391"/>
      <c r="AL589" s="390"/>
      <c r="AM589" s="391"/>
      <c r="AN589" s="390"/>
      <c r="AO589" s="391"/>
    </row>
    <row r="590" spans="1:41" s="179" customFormat="1" ht="14.45" hidden="1" customHeight="1">
      <c r="A590" s="229" t="s">
        <v>445</v>
      </c>
      <c r="B590" s="230" t="s">
        <v>464</v>
      </c>
      <c r="C590" s="288"/>
      <c r="D590" s="229">
        <v>233772</v>
      </c>
      <c r="E590" s="229">
        <v>8</v>
      </c>
      <c r="F590" s="390">
        <v>4620.1000000000004</v>
      </c>
      <c r="G590" s="391">
        <v>4620.1000000000004</v>
      </c>
      <c r="H590" s="390">
        <v>10623</v>
      </c>
      <c r="I590" s="391">
        <v>10623</v>
      </c>
      <c r="J590" s="390"/>
      <c r="K590" s="391"/>
      <c r="L590" s="390"/>
      <c r="M590" s="391"/>
      <c r="N590" s="390"/>
      <c r="O590" s="391"/>
      <c r="P590" s="390"/>
      <c r="Q590" s="391"/>
      <c r="R590" s="390"/>
      <c r="S590" s="391"/>
      <c r="T590" s="390"/>
      <c r="U590" s="391"/>
      <c r="V590" s="390"/>
      <c r="W590" s="391"/>
      <c r="X590" s="390"/>
      <c r="Y590" s="391"/>
      <c r="Z590" s="390"/>
      <c r="AA590" s="391"/>
      <c r="AB590" s="390"/>
      <c r="AC590" s="391"/>
      <c r="AD590" s="390"/>
      <c r="AE590" s="391"/>
      <c r="AF590" s="390"/>
      <c r="AG590" s="391"/>
      <c r="AH590" s="390"/>
      <c r="AI590" s="391"/>
      <c r="AJ590" s="390"/>
      <c r="AK590" s="391"/>
      <c r="AL590" s="390"/>
      <c r="AM590" s="391"/>
      <c r="AN590" s="390"/>
      <c r="AO590" s="391"/>
    </row>
    <row r="591" spans="1:41" s="179" customFormat="1" ht="14.45" hidden="1" customHeight="1">
      <c r="A591" s="229" t="s">
        <v>445</v>
      </c>
      <c r="B591" s="230" t="s">
        <v>465</v>
      </c>
      <c r="C591" s="288"/>
      <c r="D591" s="229">
        <v>231536</v>
      </c>
      <c r="E591" s="229">
        <v>9</v>
      </c>
      <c r="F591" s="390">
        <v>4620.1000000000004</v>
      </c>
      <c r="G591" s="391">
        <v>4620.1000000000004</v>
      </c>
      <c r="H591" s="390">
        <v>10623</v>
      </c>
      <c r="I591" s="391">
        <v>10623</v>
      </c>
      <c r="J591" s="390"/>
      <c r="K591" s="391"/>
      <c r="L591" s="390"/>
      <c r="M591" s="391"/>
      <c r="N591" s="390"/>
      <c r="O591" s="391"/>
      <c r="P591" s="390"/>
      <c r="Q591" s="391"/>
      <c r="R591" s="390"/>
      <c r="S591" s="391"/>
      <c r="T591" s="390"/>
      <c r="U591" s="391"/>
      <c r="V591" s="390"/>
      <c r="W591" s="391"/>
      <c r="X591" s="390"/>
      <c r="Y591" s="391"/>
      <c r="Z591" s="390"/>
      <c r="AA591" s="391"/>
      <c r="AB591" s="390"/>
      <c r="AC591" s="391"/>
      <c r="AD591" s="390"/>
      <c r="AE591" s="391"/>
      <c r="AF591" s="390"/>
      <c r="AG591" s="391"/>
      <c r="AH591" s="390"/>
      <c r="AI591" s="391"/>
      <c r="AJ591" s="390"/>
      <c r="AK591" s="391"/>
      <c r="AL591" s="390"/>
      <c r="AM591" s="391"/>
      <c r="AN591" s="390"/>
      <c r="AO591" s="391"/>
    </row>
    <row r="592" spans="1:41" s="179" customFormat="1" ht="14.45" hidden="1" customHeight="1">
      <c r="A592" s="229" t="s">
        <v>445</v>
      </c>
      <c r="B592" s="230" t="s">
        <v>466</v>
      </c>
      <c r="C592" s="288"/>
      <c r="D592" s="229">
        <v>231697</v>
      </c>
      <c r="E592" s="229">
        <v>9</v>
      </c>
      <c r="F592" s="390">
        <v>4620.1000000000004</v>
      </c>
      <c r="G592" s="391">
        <v>4620.1000000000004</v>
      </c>
      <c r="H592" s="390">
        <v>10623</v>
      </c>
      <c r="I592" s="391">
        <v>10623</v>
      </c>
      <c r="J592" s="390"/>
      <c r="K592" s="391"/>
      <c r="L592" s="390"/>
      <c r="M592" s="391"/>
      <c r="N592" s="390"/>
      <c r="O592" s="391"/>
      <c r="P592" s="390"/>
      <c r="Q592" s="391"/>
      <c r="R592" s="390"/>
      <c r="S592" s="391"/>
      <c r="T592" s="390"/>
      <c r="U592" s="391"/>
      <c r="V592" s="390"/>
      <c r="W592" s="391"/>
      <c r="X592" s="390"/>
      <c r="Y592" s="391"/>
      <c r="Z592" s="390"/>
      <c r="AA592" s="391"/>
      <c r="AB592" s="390"/>
      <c r="AC592" s="391"/>
      <c r="AD592" s="390"/>
      <c r="AE592" s="391"/>
      <c r="AF592" s="390"/>
      <c r="AG592" s="391"/>
      <c r="AH592" s="390"/>
      <c r="AI592" s="391"/>
      <c r="AJ592" s="390"/>
      <c r="AK592" s="391"/>
      <c r="AL592" s="390"/>
      <c r="AM592" s="391"/>
      <c r="AN592" s="390"/>
      <c r="AO592" s="391"/>
    </row>
    <row r="593" spans="1:41" s="179" customFormat="1" ht="14.45" hidden="1" customHeight="1">
      <c r="A593" s="229" t="s">
        <v>445</v>
      </c>
      <c r="B593" s="230" t="s">
        <v>468</v>
      </c>
      <c r="C593" s="288"/>
      <c r="D593" s="229">
        <v>232195</v>
      </c>
      <c r="E593" s="229">
        <v>9</v>
      </c>
      <c r="F593" s="390">
        <v>4620.1000000000004</v>
      </c>
      <c r="G593" s="391">
        <v>4620.1000000000004</v>
      </c>
      <c r="H593" s="390">
        <v>10623</v>
      </c>
      <c r="I593" s="391">
        <v>10623</v>
      </c>
      <c r="J593" s="390"/>
      <c r="K593" s="391"/>
      <c r="L593" s="390"/>
      <c r="M593" s="391"/>
      <c r="N593" s="390"/>
      <c r="O593" s="391"/>
      <c r="P593" s="390"/>
      <c r="Q593" s="391"/>
      <c r="R593" s="390"/>
      <c r="S593" s="391"/>
      <c r="T593" s="390"/>
      <c r="U593" s="391"/>
      <c r="V593" s="390"/>
      <c r="W593" s="391"/>
      <c r="X593" s="390"/>
      <c r="Y593" s="391"/>
      <c r="Z593" s="390"/>
      <c r="AA593" s="391"/>
      <c r="AB593" s="390"/>
      <c r="AC593" s="391"/>
      <c r="AD593" s="390"/>
      <c r="AE593" s="391"/>
      <c r="AF593" s="390"/>
      <c r="AG593" s="391"/>
      <c r="AH593" s="390"/>
      <c r="AI593" s="391"/>
      <c r="AJ593" s="390"/>
      <c r="AK593" s="391"/>
      <c r="AL593" s="390"/>
      <c r="AM593" s="391"/>
      <c r="AN593" s="390"/>
      <c r="AO593" s="391"/>
    </row>
    <row r="594" spans="1:41" s="179" customFormat="1" ht="14.45" hidden="1" customHeight="1">
      <c r="A594" s="229" t="s">
        <v>445</v>
      </c>
      <c r="B594" s="230" t="s">
        <v>469</v>
      </c>
      <c r="C594" s="288"/>
      <c r="D594" s="229">
        <v>232575</v>
      </c>
      <c r="E594" s="229">
        <v>9</v>
      </c>
      <c r="F594" s="390">
        <v>4620.1000000000004</v>
      </c>
      <c r="G594" s="391">
        <v>4620.1000000000004</v>
      </c>
      <c r="H594" s="390">
        <v>10623</v>
      </c>
      <c r="I594" s="391">
        <v>10623</v>
      </c>
      <c r="J594" s="390"/>
      <c r="K594" s="391"/>
      <c r="L594" s="390"/>
      <c r="M594" s="391"/>
      <c r="N594" s="390"/>
      <c r="O594" s="391"/>
      <c r="P594" s="390"/>
      <c r="Q594" s="391"/>
      <c r="R594" s="390"/>
      <c r="S594" s="391"/>
      <c r="T594" s="390"/>
      <c r="U594" s="391"/>
      <c r="V594" s="390"/>
      <c r="W594" s="391"/>
      <c r="X594" s="390"/>
      <c r="Y594" s="391"/>
      <c r="Z594" s="390"/>
      <c r="AA594" s="391"/>
      <c r="AB594" s="390"/>
      <c r="AC594" s="391"/>
      <c r="AD594" s="390"/>
      <c r="AE594" s="391"/>
      <c r="AF594" s="390"/>
      <c r="AG594" s="391"/>
      <c r="AH594" s="390"/>
      <c r="AI594" s="391"/>
      <c r="AJ594" s="390"/>
      <c r="AK594" s="391"/>
      <c r="AL594" s="390"/>
      <c r="AM594" s="391"/>
      <c r="AN594" s="390"/>
      <c r="AO594" s="391"/>
    </row>
    <row r="595" spans="1:41" s="179" customFormat="1" ht="14.45" hidden="1" customHeight="1">
      <c r="A595" s="229" t="s">
        <v>445</v>
      </c>
      <c r="B595" s="230" t="s">
        <v>470</v>
      </c>
      <c r="C595" s="288"/>
      <c r="D595" s="229">
        <v>232867</v>
      </c>
      <c r="E595" s="229">
        <v>9</v>
      </c>
      <c r="F595" s="390">
        <v>4620.1000000000004</v>
      </c>
      <c r="G595" s="391">
        <v>4620.1000000000004</v>
      </c>
      <c r="H595" s="390">
        <v>10623</v>
      </c>
      <c r="I595" s="391">
        <v>10623</v>
      </c>
      <c r="J595" s="390"/>
      <c r="K595" s="391"/>
      <c r="L595" s="390"/>
      <c r="M595" s="391"/>
      <c r="N595" s="390"/>
      <c r="O595" s="391"/>
      <c r="P595" s="390"/>
      <c r="Q595" s="391"/>
      <c r="R595" s="390"/>
      <c r="S595" s="391"/>
      <c r="T595" s="390"/>
      <c r="U595" s="391"/>
      <c r="V595" s="390"/>
      <c r="W595" s="391"/>
      <c r="X595" s="390"/>
      <c r="Y595" s="391"/>
      <c r="Z595" s="390"/>
      <c r="AA595" s="391"/>
      <c r="AB595" s="390"/>
      <c r="AC595" s="391"/>
      <c r="AD595" s="390"/>
      <c r="AE595" s="391"/>
      <c r="AF595" s="390"/>
      <c r="AG595" s="391"/>
      <c r="AH595" s="390"/>
      <c r="AI595" s="391"/>
      <c r="AJ595" s="390"/>
      <c r="AK595" s="391"/>
      <c r="AL595" s="390"/>
      <c r="AM595" s="391"/>
      <c r="AN595" s="390"/>
      <c r="AO595" s="391"/>
    </row>
    <row r="596" spans="1:41" s="179" customFormat="1" ht="14.45" hidden="1" customHeight="1">
      <c r="A596" s="229" t="s">
        <v>445</v>
      </c>
      <c r="B596" s="230" t="s">
        <v>472</v>
      </c>
      <c r="C596" s="288"/>
      <c r="D596" s="229">
        <v>233116</v>
      </c>
      <c r="E596" s="229">
        <v>9</v>
      </c>
      <c r="F596" s="390">
        <v>4620.1000000000004</v>
      </c>
      <c r="G596" s="391">
        <v>4620.1000000000004</v>
      </c>
      <c r="H596" s="390">
        <v>10623</v>
      </c>
      <c r="I596" s="391">
        <v>10623</v>
      </c>
      <c r="J596" s="390"/>
      <c r="K596" s="391"/>
      <c r="L596" s="390"/>
      <c r="M596" s="391"/>
      <c r="N596" s="390"/>
      <c r="O596" s="391"/>
      <c r="P596" s="390"/>
      <c r="Q596" s="391"/>
      <c r="R596" s="390"/>
      <c r="S596" s="391"/>
      <c r="T596" s="390"/>
      <c r="U596" s="391"/>
      <c r="V596" s="390"/>
      <c r="W596" s="391"/>
      <c r="X596" s="390"/>
      <c r="Y596" s="391"/>
      <c r="Z596" s="390"/>
      <c r="AA596" s="391"/>
      <c r="AB596" s="390"/>
      <c r="AC596" s="391"/>
      <c r="AD596" s="390"/>
      <c r="AE596" s="391"/>
      <c r="AF596" s="390"/>
      <c r="AG596" s="391"/>
      <c r="AH596" s="390"/>
      <c r="AI596" s="391"/>
      <c r="AJ596" s="390"/>
      <c r="AK596" s="391"/>
      <c r="AL596" s="390"/>
      <c r="AM596" s="391"/>
      <c r="AN596" s="390"/>
      <c r="AO596" s="391"/>
    </row>
    <row r="597" spans="1:41" s="179" customFormat="1" ht="14.45" hidden="1" customHeight="1">
      <c r="A597" s="229" t="s">
        <v>445</v>
      </c>
      <c r="B597" s="230" t="s">
        <v>473</v>
      </c>
      <c r="C597" s="382" t="s">
        <v>910</v>
      </c>
      <c r="D597" s="229">
        <v>233639</v>
      </c>
      <c r="E597" s="229">
        <v>9</v>
      </c>
      <c r="F597" s="390">
        <v>4620.1000000000004</v>
      </c>
      <c r="G597" s="391">
        <v>4620.1000000000004</v>
      </c>
      <c r="H597" s="390">
        <v>10623</v>
      </c>
      <c r="I597" s="391">
        <v>10623</v>
      </c>
      <c r="J597" s="390"/>
      <c r="K597" s="391"/>
      <c r="L597" s="390"/>
      <c r="M597" s="391"/>
      <c r="N597" s="390"/>
      <c r="O597" s="391"/>
      <c r="P597" s="390"/>
      <c r="Q597" s="391"/>
      <c r="R597" s="390"/>
      <c r="S597" s="391"/>
      <c r="T597" s="390"/>
      <c r="U597" s="391"/>
      <c r="V597" s="390"/>
      <c r="W597" s="391"/>
      <c r="X597" s="390"/>
      <c r="Y597" s="391"/>
      <c r="Z597" s="390"/>
      <c r="AA597" s="391"/>
      <c r="AB597" s="390"/>
      <c r="AC597" s="391"/>
      <c r="AD597" s="390"/>
      <c r="AE597" s="391"/>
      <c r="AF597" s="390"/>
      <c r="AG597" s="391"/>
      <c r="AH597" s="390"/>
      <c r="AI597" s="391"/>
      <c r="AJ597" s="390"/>
      <c r="AK597" s="391"/>
      <c r="AL597" s="390"/>
      <c r="AM597" s="391"/>
      <c r="AN597" s="390"/>
      <c r="AO597" s="391"/>
    </row>
    <row r="598" spans="1:41" s="179" customFormat="1" ht="14.45" hidden="1" customHeight="1">
      <c r="A598" s="229" t="s">
        <v>445</v>
      </c>
      <c r="B598" s="230" t="s">
        <v>474</v>
      </c>
      <c r="C598" s="288"/>
      <c r="D598" s="229">
        <v>233949</v>
      </c>
      <c r="E598" s="229">
        <v>9</v>
      </c>
      <c r="F598" s="390">
        <v>4620.1000000000004</v>
      </c>
      <c r="G598" s="391">
        <v>4620.1000000000004</v>
      </c>
      <c r="H598" s="390">
        <v>10623</v>
      </c>
      <c r="I598" s="391">
        <v>10623</v>
      </c>
      <c r="J598" s="390"/>
      <c r="K598" s="391"/>
      <c r="L598" s="390"/>
      <c r="M598" s="391"/>
      <c r="N598" s="390"/>
      <c r="O598" s="391"/>
      <c r="P598" s="390"/>
      <c r="Q598" s="391"/>
      <c r="R598" s="390"/>
      <c r="S598" s="391"/>
      <c r="T598" s="390"/>
      <c r="U598" s="391"/>
      <c r="V598" s="390"/>
      <c r="W598" s="391"/>
      <c r="X598" s="390"/>
      <c r="Y598" s="391"/>
      <c r="Z598" s="390"/>
      <c r="AA598" s="391"/>
      <c r="AB598" s="390"/>
      <c r="AC598" s="391"/>
      <c r="AD598" s="390"/>
      <c r="AE598" s="391"/>
      <c r="AF598" s="390"/>
      <c r="AG598" s="391"/>
      <c r="AH598" s="390"/>
      <c r="AI598" s="391"/>
      <c r="AJ598" s="390"/>
      <c r="AK598" s="391"/>
      <c r="AL598" s="390"/>
      <c r="AM598" s="391"/>
      <c r="AN598" s="390"/>
      <c r="AO598" s="391"/>
    </row>
    <row r="599" spans="1:41" s="201" customFormat="1" ht="12.75" hidden="1">
      <c r="A599" s="229" t="s">
        <v>445</v>
      </c>
      <c r="B599" s="230" t="s">
        <v>476</v>
      </c>
      <c r="C599" s="232"/>
      <c r="D599" s="229">
        <v>231873</v>
      </c>
      <c r="E599" s="229">
        <v>10</v>
      </c>
      <c r="F599" s="390">
        <v>4620.1000000000004</v>
      </c>
      <c r="G599" s="391">
        <v>4620.1000000000004</v>
      </c>
      <c r="H599" s="390">
        <v>10623</v>
      </c>
      <c r="I599" s="391">
        <v>10623</v>
      </c>
      <c r="J599" s="390"/>
      <c r="K599" s="391"/>
      <c r="L599" s="390"/>
      <c r="M599" s="391"/>
      <c r="N599" s="390"/>
      <c r="O599" s="391"/>
      <c r="P599" s="390"/>
      <c r="Q599" s="391"/>
      <c r="R599" s="390"/>
      <c r="S599" s="391"/>
      <c r="T599" s="390"/>
      <c r="U599" s="391"/>
      <c r="V599" s="390"/>
      <c r="W599" s="391"/>
      <c r="X599" s="390"/>
      <c r="Y599" s="391"/>
      <c r="Z599" s="390"/>
      <c r="AA599" s="391"/>
      <c r="AB599" s="390"/>
      <c r="AC599" s="391"/>
      <c r="AD599" s="390"/>
      <c r="AE599" s="391"/>
      <c r="AF599" s="390"/>
      <c r="AG599" s="391"/>
      <c r="AH599" s="390"/>
      <c r="AI599" s="391"/>
      <c r="AJ599" s="390"/>
      <c r="AK599" s="391"/>
      <c r="AL599" s="390"/>
      <c r="AM599" s="391"/>
      <c r="AN599" s="390"/>
      <c r="AO599" s="391"/>
    </row>
    <row r="600" spans="1:41" s="179" customFormat="1" ht="14.45" hidden="1" customHeight="1">
      <c r="A600" s="229" t="s">
        <v>445</v>
      </c>
      <c r="B600" s="230" t="s">
        <v>467</v>
      </c>
      <c r="C600" s="289"/>
      <c r="D600" s="229">
        <v>231882</v>
      </c>
      <c r="E600" s="229">
        <v>10</v>
      </c>
      <c r="F600" s="390">
        <v>4620.1000000000004</v>
      </c>
      <c r="G600" s="391">
        <v>4620.1000000000004</v>
      </c>
      <c r="H600" s="390">
        <v>10623</v>
      </c>
      <c r="I600" s="391">
        <v>10623</v>
      </c>
      <c r="J600" s="390"/>
      <c r="K600" s="391"/>
      <c r="L600" s="390"/>
      <c r="M600" s="391"/>
      <c r="N600" s="390"/>
      <c r="O600" s="391"/>
      <c r="P600" s="390"/>
      <c r="Q600" s="391"/>
      <c r="R600" s="390"/>
      <c r="S600" s="391"/>
      <c r="T600" s="390"/>
      <c r="U600" s="391"/>
      <c r="V600" s="390"/>
      <c r="W600" s="391"/>
      <c r="X600" s="390"/>
      <c r="Y600" s="391"/>
      <c r="Z600" s="390"/>
      <c r="AA600" s="391"/>
      <c r="AB600" s="390"/>
      <c r="AC600" s="391"/>
      <c r="AD600" s="390"/>
      <c r="AE600" s="391"/>
      <c r="AF600" s="390"/>
      <c r="AG600" s="391"/>
      <c r="AH600" s="390"/>
      <c r="AI600" s="391"/>
      <c r="AJ600" s="390"/>
      <c r="AK600" s="391"/>
      <c r="AL600" s="390"/>
      <c r="AM600" s="391"/>
      <c r="AN600" s="390"/>
      <c r="AO600" s="391"/>
    </row>
    <row r="601" spans="1:41" s="201" customFormat="1" ht="12.75" hidden="1">
      <c r="A601" s="229" t="s">
        <v>445</v>
      </c>
      <c r="B601" s="230" t="s">
        <v>477</v>
      </c>
      <c r="C601" s="232"/>
      <c r="D601" s="229">
        <v>232052</v>
      </c>
      <c r="E601" s="229">
        <v>10</v>
      </c>
      <c r="F601" s="390">
        <v>4620.1000000000004</v>
      </c>
      <c r="G601" s="391">
        <v>4620.1000000000004</v>
      </c>
      <c r="H601" s="390">
        <v>10623</v>
      </c>
      <c r="I601" s="391">
        <v>10623</v>
      </c>
      <c r="J601" s="390"/>
      <c r="K601" s="391"/>
      <c r="L601" s="390"/>
      <c r="M601" s="391"/>
      <c r="N601" s="390"/>
      <c r="O601" s="391"/>
      <c r="P601" s="390"/>
      <c r="Q601" s="391"/>
      <c r="R601" s="390"/>
      <c r="S601" s="391"/>
      <c r="T601" s="390"/>
      <c r="U601" s="391"/>
      <c r="V601" s="390"/>
      <c r="W601" s="391"/>
      <c r="X601" s="390"/>
      <c r="Y601" s="391"/>
      <c r="Z601" s="390"/>
      <c r="AA601" s="391"/>
      <c r="AB601" s="390"/>
      <c r="AC601" s="391"/>
      <c r="AD601" s="390"/>
      <c r="AE601" s="391"/>
      <c r="AF601" s="390"/>
      <c r="AG601" s="391"/>
      <c r="AH601" s="390"/>
      <c r="AI601" s="391"/>
      <c r="AJ601" s="390"/>
      <c r="AK601" s="391"/>
      <c r="AL601" s="390"/>
      <c r="AM601" s="391"/>
      <c r="AN601" s="390"/>
      <c r="AO601" s="391"/>
    </row>
    <row r="602" spans="1:41" s="201" customFormat="1" ht="12.75" hidden="1">
      <c r="A602" s="229" t="s">
        <v>445</v>
      </c>
      <c r="B602" s="230" t="s">
        <v>478</v>
      </c>
      <c r="C602" s="231"/>
      <c r="D602" s="229">
        <v>232788</v>
      </c>
      <c r="E602" s="229">
        <v>10</v>
      </c>
      <c r="F602" s="390">
        <v>4620.1000000000004</v>
      </c>
      <c r="G602" s="391">
        <v>4620.1000000000004</v>
      </c>
      <c r="H602" s="390">
        <v>10623</v>
      </c>
      <c r="I602" s="391">
        <v>10623</v>
      </c>
      <c r="J602" s="390"/>
      <c r="K602" s="391"/>
      <c r="L602" s="390"/>
      <c r="M602" s="391"/>
      <c r="N602" s="390"/>
      <c r="O602" s="391"/>
      <c r="P602" s="390"/>
      <c r="Q602" s="391"/>
      <c r="R602" s="390"/>
      <c r="S602" s="391"/>
      <c r="T602" s="390"/>
      <c r="U602" s="391"/>
      <c r="V602" s="390"/>
      <c r="W602" s="391"/>
      <c r="X602" s="390"/>
      <c r="Y602" s="391"/>
      <c r="Z602" s="390"/>
      <c r="AA602" s="391"/>
      <c r="AB602" s="390"/>
      <c r="AC602" s="391"/>
      <c r="AD602" s="390"/>
      <c r="AE602" s="391"/>
      <c r="AF602" s="390"/>
      <c r="AG602" s="391"/>
      <c r="AH602" s="390"/>
      <c r="AI602" s="391"/>
      <c r="AJ602" s="390"/>
      <c r="AK602" s="391"/>
      <c r="AL602" s="390"/>
      <c r="AM602" s="391"/>
      <c r="AN602" s="390"/>
      <c r="AO602" s="391"/>
    </row>
    <row r="603" spans="1:41" s="179" customFormat="1" ht="14.45" hidden="1" customHeight="1">
      <c r="A603" s="229" t="s">
        <v>445</v>
      </c>
      <c r="B603" s="230" t="s">
        <v>471</v>
      </c>
      <c r="C603" s="289"/>
      <c r="D603" s="229">
        <v>233019</v>
      </c>
      <c r="E603" s="229">
        <v>10</v>
      </c>
      <c r="F603" s="390">
        <v>4620.1000000000004</v>
      </c>
      <c r="G603" s="391">
        <v>4620.1000000000004</v>
      </c>
      <c r="H603" s="390">
        <v>10623</v>
      </c>
      <c r="I603" s="391">
        <v>10623</v>
      </c>
      <c r="J603" s="390"/>
      <c r="K603" s="391"/>
      <c r="L603" s="390"/>
      <c r="M603" s="391"/>
      <c r="N603" s="390"/>
      <c r="O603" s="391"/>
      <c r="P603" s="390"/>
      <c r="Q603" s="391"/>
      <c r="R603" s="390"/>
      <c r="S603" s="391"/>
      <c r="T603" s="390"/>
      <c r="U603" s="391"/>
      <c r="V603" s="390"/>
      <c r="W603" s="391"/>
      <c r="X603" s="390"/>
      <c r="Y603" s="391"/>
      <c r="Z603" s="390"/>
      <c r="AA603" s="391"/>
      <c r="AB603" s="390"/>
      <c r="AC603" s="391"/>
      <c r="AD603" s="390"/>
      <c r="AE603" s="391"/>
      <c r="AF603" s="390"/>
      <c r="AG603" s="391"/>
      <c r="AH603" s="390"/>
      <c r="AI603" s="391"/>
      <c r="AJ603" s="390"/>
      <c r="AK603" s="391"/>
      <c r="AL603" s="390"/>
      <c r="AM603" s="391"/>
      <c r="AN603" s="390"/>
      <c r="AO603" s="391"/>
    </row>
    <row r="604" spans="1:41" s="201" customFormat="1" ht="12.75" hidden="1">
      <c r="A604" s="229" t="s">
        <v>445</v>
      </c>
      <c r="B604" s="230" t="s">
        <v>479</v>
      </c>
      <c r="C604" s="232"/>
      <c r="D604" s="229">
        <v>233037</v>
      </c>
      <c r="E604" s="229">
        <v>10</v>
      </c>
      <c r="F604" s="390">
        <v>4620.1000000000004</v>
      </c>
      <c r="G604" s="391">
        <v>4620.1000000000004</v>
      </c>
      <c r="H604" s="390">
        <v>10623</v>
      </c>
      <c r="I604" s="391">
        <v>10623</v>
      </c>
      <c r="J604" s="390"/>
      <c r="K604" s="391"/>
      <c r="L604" s="390"/>
      <c r="M604" s="391"/>
      <c r="N604" s="390"/>
      <c r="O604" s="391"/>
      <c r="P604" s="390"/>
      <c r="Q604" s="391"/>
      <c r="R604" s="390"/>
      <c r="S604" s="391"/>
      <c r="T604" s="390"/>
      <c r="U604" s="391"/>
      <c r="V604" s="390"/>
      <c r="W604" s="391"/>
      <c r="X604" s="390"/>
      <c r="Y604" s="391"/>
      <c r="Z604" s="390"/>
      <c r="AA604" s="391"/>
      <c r="AB604" s="390"/>
      <c r="AC604" s="391"/>
      <c r="AD604" s="390"/>
      <c r="AE604" s="391"/>
      <c r="AF604" s="390"/>
      <c r="AG604" s="391"/>
      <c r="AH604" s="390"/>
      <c r="AI604" s="391"/>
      <c r="AJ604" s="390"/>
      <c r="AK604" s="391"/>
      <c r="AL604" s="390"/>
      <c r="AM604" s="391"/>
      <c r="AN604" s="390"/>
      <c r="AO604" s="391"/>
    </row>
    <row r="605" spans="1:41" s="201" customFormat="1" ht="12.75" hidden="1">
      <c r="A605" s="229" t="s">
        <v>445</v>
      </c>
      <c r="B605" s="230" t="s">
        <v>480</v>
      </c>
      <c r="C605" s="232"/>
      <c r="D605" s="229">
        <v>233310</v>
      </c>
      <c r="E605" s="229">
        <v>10</v>
      </c>
      <c r="F605" s="390">
        <v>4620.1000000000004</v>
      </c>
      <c r="G605" s="391">
        <v>4620.1000000000004</v>
      </c>
      <c r="H605" s="390">
        <v>10623</v>
      </c>
      <c r="I605" s="391">
        <v>10623</v>
      </c>
      <c r="J605" s="390"/>
      <c r="K605" s="391"/>
      <c r="L605" s="390"/>
      <c r="M605" s="391"/>
      <c r="N605" s="390"/>
      <c r="O605" s="391"/>
      <c r="P605" s="390"/>
      <c r="Q605" s="391"/>
      <c r="R605" s="390"/>
      <c r="S605" s="391"/>
      <c r="T605" s="390"/>
      <c r="U605" s="391"/>
      <c r="V605" s="390"/>
      <c r="W605" s="391"/>
      <c r="X605" s="390"/>
      <c r="Y605" s="391"/>
      <c r="Z605" s="390"/>
      <c r="AA605" s="391"/>
      <c r="AB605" s="390"/>
      <c r="AC605" s="391"/>
      <c r="AD605" s="390"/>
      <c r="AE605" s="391"/>
      <c r="AF605" s="390"/>
      <c r="AG605" s="391"/>
      <c r="AH605" s="390"/>
      <c r="AI605" s="391"/>
      <c r="AJ605" s="390"/>
      <c r="AK605" s="391"/>
      <c r="AL605" s="390"/>
      <c r="AM605" s="391"/>
      <c r="AN605" s="390"/>
      <c r="AO605" s="391"/>
    </row>
    <row r="606" spans="1:41" s="201" customFormat="1" ht="12.75" hidden="1">
      <c r="A606" s="229" t="s">
        <v>445</v>
      </c>
      <c r="B606" s="230" t="s">
        <v>481</v>
      </c>
      <c r="C606" s="232"/>
      <c r="D606" s="229">
        <v>233338</v>
      </c>
      <c r="E606" s="229">
        <v>10</v>
      </c>
      <c r="F606" s="390">
        <v>8100</v>
      </c>
      <c r="G606" s="391">
        <v>8100</v>
      </c>
      <c r="H606" s="390">
        <v>22061</v>
      </c>
      <c r="I606" s="391">
        <v>14070</v>
      </c>
      <c r="J606" s="390"/>
      <c r="K606" s="391"/>
      <c r="L606" s="390"/>
      <c r="M606" s="391"/>
      <c r="N606" s="390"/>
      <c r="O606" s="391"/>
      <c r="P606" s="390"/>
      <c r="Q606" s="391"/>
      <c r="R606" s="390"/>
      <c r="S606" s="391"/>
      <c r="T606" s="390"/>
      <c r="U606" s="391"/>
      <c r="V606" s="390"/>
      <c r="W606" s="391"/>
      <c r="X606" s="390"/>
      <c r="Y606" s="391"/>
      <c r="Z606" s="390"/>
      <c r="AA606" s="391"/>
      <c r="AB606" s="390"/>
      <c r="AC606" s="391"/>
      <c r="AD606" s="390"/>
      <c r="AE606" s="391"/>
      <c r="AF606" s="390"/>
      <c r="AG606" s="391"/>
      <c r="AH606" s="390"/>
      <c r="AI606" s="391"/>
      <c r="AJ606" s="390"/>
      <c r="AK606" s="391"/>
      <c r="AL606" s="390"/>
      <c r="AM606" s="391"/>
      <c r="AN606" s="390"/>
      <c r="AO606" s="391"/>
    </row>
    <row r="607" spans="1:41" s="201" customFormat="1" ht="12.75" hidden="1">
      <c r="A607" s="229" t="s">
        <v>445</v>
      </c>
      <c r="B607" s="230" t="s">
        <v>482</v>
      </c>
      <c r="C607" s="231"/>
      <c r="D607" s="229">
        <v>233648</v>
      </c>
      <c r="E607" s="229">
        <v>10</v>
      </c>
      <c r="F607" s="390">
        <v>4620.1000000000004</v>
      </c>
      <c r="G607" s="391">
        <v>4620.1000000000004</v>
      </c>
      <c r="H607" s="390">
        <v>10623</v>
      </c>
      <c r="I607" s="391">
        <v>10623</v>
      </c>
      <c r="J607" s="390"/>
      <c r="K607" s="391"/>
      <c r="L607" s="390"/>
      <c r="M607" s="391"/>
      <c r="N607" s="390"/>
      <c r="O607" s="391"/>
      <c r="P607" s="390"/>
      <c r="Q607" s="391"/>
      <c r="R607" s="390"/>
      <c r="S607" s="391"/>
      <c r="T607" s="390"/>
      <c r="U607" s="391"/>
      <c r="V607" s="390"/>
      <c r="W607" s="391"/>
      <c r="X607" s="390"/>
      <c r="Y607" s="391"/>
      <c r="Z607" s="390"/>
      <c r="AA607" s="391"/>
      <c r="AB607" s="390"/>
      <c r="AC607" s="391"/>
      <c r="AD607" s="390"/>
      <c r="AE607" s="391"/>
      <c r="AF607" s="390"/>
      <c r="AG607" s="391"/>
      <c r="AH607" s="390"/>
      <c r="AI607" s="391"/>
      <c r="AJ607" s="390"/>
      <c r="AK607" s="391"/>
      <c r="AL607" s="390"/>
      <c r="AM607" s="391"/>
      <c r="AN607" s="390"/>
      <c r="AO607" s="391"/>
    </row>
    <row r="608" spans="1:41" s="201" customFormat="1" ht="12.75" hidden="1">
      <c r="A608" s="229" t="s">
        <v>445</v>
      </c>
      <c r="B608" s="230" t="s">
        <v>483</v>
      </c>
      <c r="C608" s="232"/>
      <c r="D608" s="229">
        <v>233903</v>
      </c>
      <c r="E608" s="229">
        <v>10</v>
      </c>
      <c r="F608" s="390">
        <v>4620.1000000000004</v>
      </c>
      <c r="G608" s="391">
        <v>4620.1000000000004</v>
      </c>
      <c r="H608" s="390">
        <v>10623</v>
      </c>
      <c r="I608" s="391">
        <v>10623</v>
      </c>
      <c r="J608" s="390"/>
      <c r="K608" s="391"/>
      <c r="L608" s="390"/>
      <c r="M608" s="391"/>
      <c r="N608" s="390"/>
      <c r="O608" s="391"/>
      <c r="P608" s="390"/>
      <c r="Q608" s="391"/>
      <c r="R608" s="390"/>
      <c r="S608" s="391"/>
      <c r="T608" s="390"/>
      <c r="U608" s="391"/>
      <c r="V608" s="390"/>
      <c r="W608" s="391"/>
      <c r="X608" s="390"/>
      <c r="Y608" s="391"/>
      <c r="Z608" s="390"/>
      <c r="AA608" s="391"/>
      <c r="AB608" s="390"/>
      <c r="AC608" s="391"/>
      <c r="AD608" s="390"/>
      <c r="AE608" s="391"/>
      <c r="AF608" s="390"/>
      <c r="AG608" s="391"/>
      <c r="AH608" s="390"/>
      <c r="AI608" s="391"/>
      <c r="AJ608" s="390"/>
      <c r="AK608" s="391"/>
      <c r="AL608" s="390"/>
      <c r="AM608" s="391"/>
      <c r="AN608" s="390"/>
      <c r="AO608" s="391"/>
    </row>
    <row r="609" spans="1:41" s="179" customFormat="1" ht="14.45" hidden="1" customHeight="1">
      <c r="A609" s="229" t="s">
        <v>445</v>
      </c>
      <c r="B609" s="230" t="s">
        <v>475</v>
      </c>
      <c r="C609" s="289"/>
      <c r="D609" s="229">
        <v>234377</v>
      </c>
      <c r="E609" s="229">
        <v>10</v>
      </c>
      <c r="F609" s="390">
        <v>4620.1000000000004</v>
      </c>
      <c r="G609" s="391">
        <v>4620.1000000000004</v>
      </c>
      <c r="H609" s="390">
        <v>10623</v>
      </c>
      <c r="I609" s="391">
        <v>10623</v>
      </c>
      <c r="J609" s="390"/>
      <c r="K609" s="391"/>
      <c r="L609" s="390"/>
      <c r="M609" s="391"/>
      <c r="N609" s="390"/>
      <c r="O609" s="391"/>
      <c r="P609" s="390"/>
      <c r="Q609" s="391"/>
      <c r="R609" s="390"/>
      <c r="S609" s="391"/>
      <c r="T609" s="390"/>
      <c r="U609" s="391"/>
      <c r="V609" s="390"/>
      <c r="W609" s="391"/>
      <c r="X609" s="390"/>
      <c r="Y609" s="391"/>
      <c r="Z609" s="390"/>
      <c r="AA609" s="391"/>
      <c r="AB609" s="390"/>
      <c r="AC609" s="391"/>
      <c r="AD609" s="390"/>
      <c r="AE609" s="391"/>
      <c r="AF609" s="390"/>
      <c r="AG609" s="391"/>
      <c r="AH609" s="390"/>
      <c r="AI609" s="391"/>
      <c r="AJ609" s="390"/>
      <c r="AK609" s="391"/>
      <c r="AL609" s="390"/>
      <c r="AM609" s="391"/>
      <c r="AN609" s="390"/>
      <c r="AO609" s="391"/>
    </row>
    <row r="610" spans="1:41" s="201" customFormat="1" ht="12.75" hidden="1">
      <c r="A610" s="234" t="s">
        <v>445</v>
      </c>
      <c r="B610" s="230" t="s">
        <v>484</v>
      </c>
      <c r="C610" s="232"/>
      <c r="D610" s="229">
        <v>234085</v>
      </c>
      <c r="E610" s="229">
        <v>15</v>
      </c>
      <c r="F610" s="390">
        <v>19118</v>
      </c>
      <c r="G610" s="391">
        <v>19210</v>
      </c>
      <c r="H610" s="390">
        <v>45962</v>
      </c>
      <c r="I610" s="391">
        <v>47220</v>
      </c>
      <c r="J610" s="390"/>
      <c r="K610" s="391"/>
      <c r="L610" s="390"/>
      <c r="M610" s="391"/>
      <c r="N610" s="390"/>
      <c r="O610" s="391"/>
      <c r="P610" s="390"/>
      <c r="Q610" s="391"/>
      <c r="R610" s="390"/>
      <c r="S610" s="391"/>
      <c r="T610" s="390"/>
      <c r="U610" s="391"/>
      <c r="V610" s="390"/>
      <c r="W610" s="391"/>
      <c r="X610" s="390"/>
      <c r="Y610" s="391"/>
      <c r="Z610" s="390"/>
      <c r="AA610" s="391"/>
      <c r="AB610" s="390"/>
      <c r="AC610" s="391"/>
      <c r="AD610" s="390"/>
      <c r="AE610" s="391"/>
      <c r="AF610" s="390"/>
      <c r="AG610" s="391"/>
      <c r="AH610" s="390"/>
      <c r="AI610" s="391"/>
      <c r="AJ610" s="390"/>
      <c r="AK610" s="391"/>
      <c r="AL610" s="390"/>
      <c r="AM610" s="391"/>
      <c r="AN610" s="390"/>
      <c r="AO610" s="391"/>
    </row>
    <row r="611" spans="1:41" s="201" customFormat="1" ht="12.75" hidden="1">
      <c r="A611" s="266" t="s">
        <v>485</v>
      </c>
      <c r="B611" s="267" t="s">
        <v>486</v>
      </c>
      <c r="C611" s="268"/>
      <c r="D611" s="269">
        <v>238032</v>
      </c>
      <c r="E611" s="269">
        <v>1</v>
      </c>
      <c r="F611" s="390">
        <v>8976</v>
      </c>
      <c r="G611" s="391">
        <v>8976</v>
      </c>
      <c r="H611" s="390">
        <v>25320</v>
      </c>
      <c r="I611" s="391">
        <v>25320</v>
      </c>
      <c r="J611" s="390">
        <v>10134</v>
      </c>
      <c r="K611" s="391">
        <v>10134</v>
      </c>
      <c r="L611" s="390">
        <v>26154</v>
      </c>
      <c r="M611" s="391">
        <v>26154</v>
      </c>
      <c r="N611" s="390">
        <v>24228</v>
      </c>
      <c r="O611" s="391">
        <v>24228</v>
      </c>
      <c r="P611" s="390">
        <v>40248</v>
      </c>
      <c r="Q611" s="391">
        <v>40248</v>
      </c>
      <c r="R611" s="390">
        <v>31716</v>
      </c>
      <c r="S611" s="391">
        <v>31716</v>
      </c>
      <c r="T611" s="390">
        <v>62262</v>
      </c>
      <c r="U611" s="391">
        <v>62262</v>
      </c>
      <c r="V611" s="390">
        <v>25506</v>
      </c>
      <c r="W611" s="391">
        <v>25506</v>
      </c>
      <c r="X611" s="390">
        <v>56574</v>
      </c>
      <c r="Y611" s="391">
        <v>56574</v>
      </c>
      <c r="Z611" s="390">
        <v>21780</v>
      </c>
      <c r="AA611" s="391">
        <v>21780</v>
      </c>
      <c r="AB611" s="390">
        <v>43164</v>
      </c>
      <c r="AC611" s="391">
        <v>43164</v>
      </c>
      <c r="AD611" s="390"/>
      <c r="AE611" s="391"/>
      <c r="AF611" s="390"/>
      <c r="AG611" s="391"/>
      <c r="AH611" s="390"/>
      <c r="AI611" s="391"/>
      <c r="AJ611" s="390"/>
      <c r="AK611" s="391"/>
      <c r="AL611" s="390"/>
      <c r="AM611" s="391"/>
      <c r="AN611" s="390"/>
      <c r="AO611" s="391"/>
    </row>
    <row r="612" spans="1:41" s="201" customFormat="1" ht="12.75" hidden="1">
      <c r="A612" s="266" t="s">
        <v>485</v>
      </c>
      <c r="B612" s="267" t="s">
        <v>487</v>
      </c>
      <c r="C612" s="268"/>
      <c r="D612" s="269">
        <v>237525</v>
      </c>
      <c r="E612" s="269">
        <v>3</v>
      </c>
      <c r="F612" s="390">
        <v>8412</v>
      </c>
      <c r="G612" s="391">
        <v>8512</v>
      </c>
      <c r="H612" s="390">
        <v>19266</v>
      </c>
      <c r="I612" s="391">
        <v>19366</v>
      </c>
      <c r="J612" s="390">
        <v>8728</v>
      </c>
      <c r="K612" s="391">
        <v>8828</v>
      </c>
      <c r="L612" s="390">
        <v>21062</v>
      </c>
      <c r="M612" s="391">
        <v>21162</v>
      </c>
      <c r="N612" s="390"/>
      <c r="O612" s="391"/>
      <c r="P612" s="390"/>
      <c r="Q612" s="391"/>
      <c r="R612" s="390">
        <v>23904</v>
      </c>
      <c r="S612" s="391">
        <v>24004</v>
      </c>
      <c r="T612" s="390">
        <v>56688</v>
      </c>
      <c r="U612" s="391">
        <v>56788</v>
      </c>
      <c r="V612" s="390"/>
      <c r="W612" s="391"/>
      <c r="X612" s="390"/>
      <c r="Y612" s="391"/>
      <c r="Z612" s="390">
        <v>21630</v>
      </c>
      <c r="AA612" s="391">
        <v>22430</v>
      </c>
      <c r="AB612" s="390">
        <v>36446</v>
      </c>
      <c r="AC612" s="391">
        <v>37050</v>
      </c>
      <c r="AD612" s="390"/>
      <c r="AE612" s="391"/>
      <c r="AF612" s="390"/>
      <c r="AG612" s="391"/>
      <c r="AH612" s="390"/>
      <c r="AI612" s="391"/>
      <c r="AJ612" s="390"/>
      <c r="AK612" s="391"/>
      <c r="AL612" s="390"/>
      <c r="AM612" s="391"/>
      <c r="AN612" s="390"/>
      <c r="AO612" s="391"/>
    </row>
    <row r="613" spans="1:41" s="179" customFormat="1" ht="14.25" hidden="1" customHeight="1">
      <c r="A613" s="269" t="s">
        <v>485</v>
      </c>
      <c r="B613" s="267" t="s">
        <v>491</v>
      </c>
      <c r="C613" s="290"/>
      <c r="D613" s="269">
        <v>237330</v>
      </c>
      <c r="E613" s="269">
        <v>5</v>
      </c>
      <c r="F613" s="390">
        <v>8050</v>
      </c>
      <c r="G613" s="391">
        <v>8050</v>
      </c>
      <c r="H613" s="390">
        <v>17702</v>
      </c>
      <c r="I613" s="391">
        <v>17702</v>
      </c>
      <c r="J613" s="390">
        <v>8644</v>
      </c>
      <c r="K613" s="391">
        <v>8644</v>
      </c>
      <c r="L613" s="390">
        <v>15072</v>
      </c>
      <c r="M613" s="391">
        <v>15072</v>
      </c>
      <c r="N613" s="390"/>
      <c r="O613" s="391"/>
      <c r="P613" s="390"/>
      <c r="Q613" s="391"/>
      <c r="R613" s="390"/>
      <c r="S613" s="391"/>
      <c r="T613" s="390"/>
      <c r="U613" s="391"/>
      <c r="V613" s="390"/>
      <c r="W613" s="391"/>
      <c r="X613" s="390"/>
      <c r="Y613" s="391"/>
      <c r="Z613" s="390"/>
      <c r="AA613" s="391"/>
      <c r="AB613" s="390"/>
      <c r="AC613" s="391"/>
      <c r="AD613" s="390"/>
      <c r="AE613" s="391"/>
      <c r="AF613" s="390"/>
      <c r="AG613" s="391"/>
      <c r="AH613" s="390"/>
      <c r="AI613" s="391"/>
      <c r="AJ613" s="390"/>
      <c r="AK613" s="391"/>
      <c r="AL613" s="390"/>
      <c r="AM613" s="391"/>
      <c r="AN613" s="390"/>
      <c r="AO613" s="391"/>
    </row>
    <row r="614" spans="1:41" s="201" customFormat="1" ht="12.75" hidden="1">
      <c r="A614" s="266" t="s">
        <v>485</v>
      </c>
      <c r="B614" s="267" t="s">
        <v>488</v>
      </c>
      <c r="C614" s="268"/>
      <c r="D614" s="269">
        <v>237367</v>
      </c>
      <c r="E614" s="269">
        <v>5</v>
      </c>
      <c r="F614" s="390">
        <v>7738</v>
      </c>
      <c r="G614" s="391">
        <v>7738</v>
      </c>
      <c r="H614" s="390">
        <v>16814</v>
      </c>
      <c r="I614" s="391">
        <v>16814</v>
      </c>
      <c r="J614" s="390">
        <v>8922</v>
      </c>
      <c r="K614" s="391">
        <v>8922</v>
      </c>
      <c r="L614" s="390">
        <v>19100</v>
      </c>
      <c r="M614" s="391">
        <v>19100</v>
      </c>
      <c r="N614" s="390"/>
      <c r="O614" s="391"/>
      <c r="P614" s="390"/>
      <c r="Q614" s="391"/>
      <c r="R614" s="390"/>
      <c r="S614" s="391"/>
      <c r="T614" s="390"/>
      <c r="U614" s="391"/>
      <c r="V614" s="390"/>
      <c r="W614" s="391"/>
      <c r="X614" s="390"/>
      <c r="Y614" s="391"/>
      <c r="Z614" s="390"/>
      <c r="AA614" s="391"/>
      <c r="AB614" s="390"/>
      <c r="AC614" s="391"/>
      <c r="AD614" s="390"/>
      <c r="AE614" s="391"/>
      <c r="AF614" s="390"/>
      <c r="AG614" s="391"/>
      <c r="AH614" s="390"/>
      <c r="AI614" s="391"/>
      <c r="AJ614" s="390"/>
      <c r="AK614" s="391"/>
      <c r="AL614" s="390"/>
      <c r="AM614" s="391"/>
      <c r="AN614" s="390"/>
      <c r="AO614" s="391"/>
    </row>
    <row r="615" spans="1:41" s="201" customFormat="1" ht="12.75" hidden="1">
      <c r="A615" s="266" t="s">
        <v>485</v>
      </c>
      <c r="B615" s="267" t="s">
        <v>489</v>
      </c>
      <c r="C615" s="268"/>
      <c r="D615" s="269">
        <v>237792</v>
      </c>
      <c r="E615" s="269">
        <v>5</v>
      </c>
      <c r="F615" s="390">
        <v>7784</v>
      </c>
      <c r="G615" s="391">
        <v>7784</v>
      </c>
      <c r="H615" s="390">
        <v>18224</v>
      </c>
      <c r="I615" s="391">
        <v>18224</v>
      </c>
      <c r="J615" s="390">
        <v>8550</v>
      </c>
      <c r="K615" s="391">
        <v>8550</v>
      </c>
      <c r="L615" s="390">
        <v>12402</v>
      </c>
      <c r="M615" s="391">
        <v>12402</v>
      </c>
      <c r="N615" s="390"/>
      <c r="O615" s="391"/>
      <c r="P615" s="390"/>
      <c r="Q615" s="391"/>
      <c r="R615" s="390"/>
      <c r="S615" s="391"/>
      <c r="T615" s="390"/>
      <c r="U615" s="391"/>
      <c r="V615" s="390"/>
      <c r="W615" s="391"/>
      <c r="X615" s="390"/>
      <c r="Y615" s="391"/>
      <c r="Z615" s="390"/>
      <c r="AA615" s="391"/>
      <c r="AB615" s="390"/>
      <c r="AC615" s="391"/>
      <c r="AD615" s="390"/>
      <c r="AE615" s="391"/>
      <c r="AF615" s="390"/>
      <c r="AG615" s="391"/>
      <c r="AH615" s="390"/>
      <c r="AI615" s="391"/>
      <c r="AJ615" s="390"/>
      <c r="AK615" s="391"/>
      <c r="AL615" s="390"/>
      <c r="AM615" s="391"/>
      <c r="AN615" s="390"/>
      <c r="AO615" s="391"/>
    </row>
    <row r="616" spans="1:41" s="201" customFormat="1" ht="12.75" hidden="1">
      <c r="A616" s="266" t="s">
        <v>485</v>
      </c>
      <c r="B616" s="267" t="s">
        <v>493</v>
      </c>
      <c r="C616" s="268" t="s">
        <v>919</v>
      </c>
      <c r="D616" s="269">
        <v>237932</v>
      </c>
      <c r="E616" s="269">
        <v>5</v>
      </c>
      <c r="F616" s="390">
        <v>7990</v>
      </c>
      <c r="G616" s="391">
        <v>8150</v>
      </c>
      <c r="H616" s="390">
        <v>15930</v>
      </c>
      <c r="I616" s="391">
        <v>16090</v>
      </c>
      <c r="J616" s="390">
        <v>8280</v>
      </c>
      <c r="K616" s="391">
        <v>8280</v>
      </c>
      <c r="L616" s="393">
        <v>8280</v>
      </c>
      <c r="M616" s="391">
        <v>8280</v>
      </c>
      <c r="N616" s="390"/>
      <c r="O616" s="391"/>
      <c r="P616" s="390"/>
      <c r="Q616" s="391"/>
      <c r="R616" s="390"/>
      <c r="S616" s="391"/>
      <c r="T616" s="390"/>
      <c r="U616" s="391"/>
      <c r="V616" s="390"/>
      <c r="W616" s="391"/>
      <c r="X616" s="390"/>
      <c r="Y616" s="391"/>
      <c r="Z616" s="390"/>
      <c r="AA616" s="391"/>
      <c r="AB616" s="390"/>
      <c r="AC616" s="391"/>
      <c r="AD616" s="390"/>
      <c r="AE616" s="391"/>
      <c r="AF616" s="390"/>
      <c r="AG616" s="391"/>
      <c r="AH616" s="390"/>
      <c r="AI616" s="391"/>
      <c r="AJ616" s="390"/>
      <c r="AK616" s="391"/>
      <c r="AL616" s="390"/>
      <c r="AM616" s="391"/>
      <c r="AN616" s="390"/>
      <c r="AO616" s="391"/>
    </row>
    <row r="617" spans="1:41" s="201" customFormat="1" ht="12.75">
      <c r="A617" s="266" t="s">
        <v>485</v>
      </c>
      <c r="B617" s="267" t="s">
        <v>490</v>
      </c>
      <c r="C617" s="268"/>
      <c r="D617" s="269">
        <v>237215</v>
      </c>
      <c r="E617" s="269">
        <v>6</v>
      </c>
      <c r="F617" s="390">
        <v>7488</v>
      </c>
      <c r="G617" s="391">
        <v>7584</v>
      </c>
      <c r="H617" s="390">
        <v>14352</v>
      </c>
      <c r="I617" s="391">
        <v>14448</v>
      </c>
      <c r="J617" s="390"/>
      <c r="K617" s="391"/>
      <c r="L617" s="390"/>
      <c r="M617" s="391"/>
      <c r="N617" s="390"/>
      <c r="O617" s="391"/>
      <c r="P617" s="390"/>
      <c r="Q617" s="391"/>
      <c r="R617" s="390"/>
      <c r="S617" s="391"/>
      <c r="T617" s="390"/>
      <c r="U617" s="391"/>
      <c r="V617" s="390"/>
      <c r="W617" s="391"/>
      <c r="X617" s="390"/>
      <c r="Y617" s="391"/>
      <c r="Z617" s="390"/>
      <c r="AA617" s="391"/>
      <c r="AB617" s="390"/>
      <c r="AC617" s="391"/>
      <c r="AD617" s="390"/>
      <c r="AE617" s="391"/>
      <c r="AF617" s="390"/>
      <c r="AG617" s="391"/>
      <c r="AH617" s="390"/>
      <c r="AI617" s="391"/>
      <c r="AJ617" s="390"/>
      <c r="AK617" s="391"/>
      <c r="AL617" s="390"/>
      <c r="AM617" s="391"/>
      <c r="AN617" s="390"/>
      <c r="AO617" s="391"/>
    </row>
    <row r="618" spans="1:41" s="179" customFormat="1" ht="14.25" customHeight="1">
      <c r="A618" s="266" t="s">
        <v>485</v>
      </c>
      <c r="B618" s="267" t="s">
        <v>492</v>
      </c>
      <c r="C618" s="291"/>
      <c r="D618" s="269">
        <v>237385</v>
      </c>
      <c r="E618" s="269">
        <v>6</v>
      </c>
      <c r="F618" s="390">
        <v>7308</v>
      </c>
      <c r="G618" s="391">
        <v>7886</v>
      </c>
      <c r="H618" s="390">
        <v>8818</v>
      </c>
      <c r="I618" s="391">
        <v>9514</v>
      </c>
      <c r="J618" s="390"/>
      <c r="K618" s="391"/>
      <c r="L618" s="390"/>
      <c r="M618" s="391"/>
      <c r="N618" s="390"/>
      <c r="O618" s="391"/>
      <c r="P618" s="390"/>
      <c r="Q618" s="391"/>
      <c r="R618" s="390"/>
      <c r="S618" s="391"/>
      <c r="T618" s="390"/>
      <c r="U618" s="391"/>
      <c r="V618" s="390"/>
      <c r="W618" s="391"/>
      <c r="X618" s="390"/>
      <c r="Y618" s="391"/>
      <c r="Z618" s="390"/>
      <c r="AA618" s="391"/>
      <c r="AB618" s="390"/>
      <c r="AC618" s="391"/>
      <c r="AD618" s="390"/>
      <c r="AE618" s="391"/>
      <c r="AF618" s="390"/>
      <c r="AG618" s="391"/>
      <c r="AH618" s="390"/>
      <c r="AI618" s="391"/>
      <c r="AJ618" s="390"/>
      <c r="AK618" s="391"/>
      <c r="AL618" s="390"/>
      <c r="AM618" s="391"/>
      <c r="AN618" s="390"/>
      <c r="AO618" s="391"/>
    </row>
    <row r="619" spans="1:41" s="201" customFormat="1" ht="12.75">
      <c r="A619" s="266" t="s">
        <v>485</v>
      </c>
      <c r="B619" s="267" t="s">
        <v>494</v>
      </c>
      <c r="C619" s="268" t="s">
        <v>919</v>
      </c>
      <c r="D619" s="269">
        <v>237899</v>
      </c>
      <c r="E619" s="269">
        <v>6</v>
      </c>
      <c r="F619" s="390">
        <v>7712</v>
      </c>
      <c r="G619" s="391">
        <v>7912</v>
      </c>
      <c r="H619" s="390">
        <v>17166</v>
      </c>
      <c r="I619" s="391">
        <v>13600</v>
      </c>
      <c r="J619" s="390">
        <v>8074</v>
      </c>
      <c r="K619" s="391">
        <v>8224</v>
      </c>
      <c r="L619" s="390">
        <v>18880</v>
      </c>
      <c r="M619" s="391">
        <v>19030</v>
      </c>
      <c r="N619" s="390"/>
      <c r="O619" s="391"/>
      <c r="P619" s="390"/>
      <c r="Q619" s="391"/>
      <c r="R619" s="390"/>
      <c r="S619" s="391"/>
      <c r="T619" s="390"/>
      <c r="U619" s="391"/>
      <c r="V619" s="390"/>
      <c r="W619" s="391"/>
      <c r="X619" s="390"/>
      <c r="Y619" s="391"/>
      <c r="Z619" s="390"/>
      <c r="AA619" s="391"/>
      <c r="AB619" s="390"/>
      <c r="AC619" s="391"/>
      <c r="AD619" s="390"/>
      <c r="AE619" s="391"/>
      <c r="AF619" s="390"/>
      <c r="AG619" s="391"/>
      <c r="AH619" s="390"/>
      <c r="AI619" s="391"/>
      <c r="AJ619" s="390"/>
      <c r="AK619" s="391"/>
      <c r="AL619" s="390"/>
      <c r="AM619" s="391"/>
      <c r="AN619" s="390"/>
      <c r="AO619" s="391"/>
    </row>
    <row r="620" spans="1:41" s="201" customFormat="1" ht="12.75">
      <c r="A620" s="266" t="s">
        <v>485</v>
      </c>
      <c r="B620" s="267" t="s">
        <v>496</v>
      </c>
      <c r="C620" s="268"/>
      <c r="D620" s="269">
        <v>237950</v>
      </c>
      <c r="E620" s="269">
        <v>6</v>
      </c>
      <c r="F620" s="390">
        <v>7560</v>
      </c>
      <c r="G620" s="391">
        <v>7560</v>
      </c>
      <c r="H620" s="390">
        <v>18912</v>
      </c>
      <c r="I620" s="391">
        <v>18912</v>
      </c>
      <c r="J620" s="390"/>
      <c r="K620" s="391"/>
      <c r="L620" s="390"/>
      <c r="M620" s="391"/>
      <c r="N620" s="390"/>
      <c r="O620" s="391"/>
      <c r="P620" s="390"/>
      <c r="Q620" s="391"/>
      <c r="R620" s="390"/>
      <c r="S620" s="391"/>
      <c r="T620" s="390"/>
      <c r="U620" s="391"/>
      <c r="V620" s="390"/>
      <c r="W620" s="391"/>
      <c r="X620" s="390"/>
      <c r="Y620" s="391"/>
      <c r="Z620" s="390"/>
      <c r="AA620" s="391"/>
      <c r="AB620" s="390"/>
      <c r="AC620" s="391"/>
      <c r="AD620" s="390"/>
      <c r="AE620" s="391"/>
      <c r="AF620" s="390"/>
      <c r="AG620" s="391"/>
      <c r="AH620" s="390"/>
      <c r="AI620" s="391"/>
      <c r="AJ620" s="390"/>
      <c r="AK620" s="391"/>
      <c r="AL620" s="390"/>
      <c r="AM620" s="391"/>
      <c r="AN620" s="390"/>
      <c r="AO620" s="391"/>
    </row>
    <row r="621" spans="1:41" s="201" customFormat="1" ht="12.75" hidden="1">
      <c r="A621" s="266" t="s">
        <v>485</v>
      </c>
      <c r="B621" s="267" t="s">
        <v>497</v>
      </c>
      <c r="C621" s="268"/>
      <c r="D621" s="269">
        <v>237701</v>
      </c>
      <c r="E621" s="269">
        <v>7</v>
      </c>
      <c r="F621" s="390">
        <v>4536</v>
      </c>
      <c r="G621" s="391">
        <v>4536</v>
      </c>
      <c r="H621" s="390">
        <v>11544</v>
      </c>
      <c r="I621" s="391">
        <v>11544</v>
      </c>
      <c r="J621" s="390"/>
      <c r="K621" s="391"/>
      <c r="L621" s="390"/>
      <c r="M621" s="391"/>
      <c r="N621" s="390"/>
      <c r="O621" s="391"/>
      <c r="P621" s="390"/>
      <c r="Q621" s="391"/>
      <c r="R621" s="390"/>
      <c r="S621" s="391"/>
      <c r="T621" s="390"/>
      <c r="U621" s="391"/>
      <c r="V621" s="390"/>
      <c r="W621" s="391"/>
      <c r="X621" s="390"/>
      <c r="Y621" s="391"/>
      <c r="Z621" s="390"/>
      <c r="AA621" s="391"/>
      <c r="AB621" s="390"/>
      <c r="AC621" s="391"/>
      <c r="AD621" s="390"/>
      <c r="AE621" s="391"/>
      <c r="AF621" s="390"/>
      <c r="AG621" s="391"/>
      <c r="AH621" s="390"/>
      <c r="AI621" s="391"/>
      <c r="AJ621" s="390"/>
      <c r="AK621" s="391"/>
      <c r="AL621" s="390"/>
      <c r="AM621" s="391"/>
      <c r="AN621" s="390"/>
      <c r="AO621" s="391"/>
    </row>
    <row r="622" spans="1:41" s="201" customFormat="1" ht="12.75" hidden="1">
      <c r="A622" s="266" t="s">
        <v>485</v>
      </c>
      <c r="B622" s="267" t="s">
        <v>495</v>
      </c>
      <c r="C622" s="268" t="s">
        <v>909</v>
      </c>
      <c r="D622" s="269">
        <v>237686</v>
      </c>
      <c r="E622" s="269">
        <v>7</v>
      </c>
      <c r="F622" s="390">
        <v>3940</v>
      </c>
      <c r="G622" s="391">
        <v>3940</v>
      </c>
      <c r="H622" s="390">
        <v>8692</v>
      </c>
      <c r="I622" s="391">
        <v>8692</v>
      </c>
      <c r="J622" s="390"/>
      <c r="K622" s="391"/>
      <c r="L622" s="390"/>
      <c r="M622" s="391"/>
      <c r="N622" s="390"/>
      <c r="O622" s="391"/>
      <c r="P622" s="390"/>
      <c r="Q622" s="391"/>
      <c r="R622" s="390"/>
      <c r="S622" s="391"/>
      <c r="T622" s="390"/>
      <c r="U622" s="391"/>
      <c r="V622" s="390"/>
      <c r="W622" s="391"/>
      <c r="X622" s="390"/>
      <c r="Y622" s="391"/>
      <c r="Z622" s="390"/>
      <c r="AA622" s="391"/>
      <c r="AB622" s="390"/>
      <c r="AC622" s="391"/>
      <c r="AD622" s="390"/>
      <c r="AE622" s="391"/>
      <c r="AF622" s="390"/>
      <c r="AG622" s="391"/>
      <c r="AH622" s="390"/>
      <c r="AI622" s="391"/>
      <c r="AJ622" s="390"/>
      <c r="AK622" s="391"/>
      <c r="AL622" s="390"/>
      <c r="AM622" s="391"/>
      <c r="AN622" s="390"/>
      <c r="AO622" s="391"/>
    </row>
    <row r="623" spans="1:41" s="201" customFormat="1" ht="12.75" hidden="1">
      <c r="A623" s="269" t="s">
        <v>485</v>
      </c>
      <c r="B623" s="267" t="s">
        <v>500</v>
      </c>
      <c r="C623" s="268" t="s">
        <v>905</v>
      </c>
      <c r="D623" s="269">
        <v>446774</v>
      </c>
      <c r="E623" s="269">
        <v>9</v>
      </c>
      <c r="F623" s="390">
        <v>4128</v>
      </c>
      <c r="G623" s="391">
        <v>4128</v>
      </c>
      <c r="H623" s="390">
        <v>7464</v>
      </c>
      <c r="I623" s="391">
        <v>7464</v>
      </c>
      <c r="J623" s="390"/>
      <c r="K623" s="391"/>
      <c r="L623" s="390"/>
      <c r="M623" s="391"/>
      <c r="N623" s="390"/>
      <c r="O623" s="391"/>
      <c r="P623" s="390"/>
      <c r="Q623" s="391"/>
      <c r="R623" s="390"/>
      <c r="S623" s="391"/>
      <c r="T623" s="390"/>
      <c r="U623" s="391"/>
      <c r="V623" s="390"/>
      <c r="W623" s="391"/>
      <c r="X623" s="390"/>
      <c r="Y623" s="391"/>
      <c r="Z623" s="390"/>
      <c r="AA623" s="391"/>
      <c r="AB623" s="390"/>
      <c r="AC623" s="391"/>
      <c r="AD623" s="390"/>
      <c r="AE623" s="391"/>
      <c r="AF623" s="390"/>
      <c r="AG623" s="391"/>
      <c r="AH623" s="390"/>
      <c r="AI623" s="391"/>
      <c r="AJ623" s="390"/>
      <c r="AK623" s="391"/>
      <c r="AL623" s="390"/>
      <c r="AM623" s="391"/>
      <c r="AN623" s="390"/>
      <c r="AO623" s="391"/>
    </row>
    <row r="624" spans="1:41" s="201" customFormat="1" ht="12.75" hidden="1">
      <c r="A624" s="269" t="s">
        <v>485</v>
      </c>
      <c r="B624" s="292" t="s">
        <v>501</v>
      </c>
      <c r="C624" s="268"/>
      <c r="D624" s="293">
        <v>484932</v>
      </c>
      <c r="E624" s="269">
        <v>10</v>
      </c>
      <c r="F624" s="390">
        <v>4414</v>
      </c>
      <c r="G624" s="391">
        <v>4502</v>
      </c>
      <c r="H624" s="390">
        <v>10510</v>
      </c>
      <c r="I624" s="391">
        <v>10720</v>
      </c>
      <c r="J624" s="390"/>
      <c r="K624" s="391"/>
      <c r="L624" s="390"/>
      <c r="M624" s="391"/>
      <c r="N624" s="390"/>
      <c r="O624" s="391"/>
      <c r="P624" s="390"/>
      <c r="Q624" s="391"/>
      <c r="R624" s="390"/>
      <c r="S624" s="391"/>
      <c r="T624" s="390"/>
      <c r="U624" s="391"/>
      <c r="V624" s="390"/>
      <c r="W624" s="391"/>
      <c r="X624" s="390"/>
      <c r="Y624" s="391"/>
      <c r="Z624" s="390"/>
      <c r="AA624" s="391"/>
      <c r="AB624" s="390"/>
      <c r="AC624" s="391"/>
      <c r="AD624" s="390"/>
      <c r="AE624" s="391"/>
      <c r="AF624" s="390"/>
      <c r="AG624" s="391"/>
      <c r="AH624" s="390"/>
      <c r="AI624" s="391"/>
      <c r="AJ624" s="390"/>
      <c r="AK624" s="391"/>
      <c r="AL624" s="390"/>
      <c r="AM624" s="391"/>
      <c r="AN624" s="390"/>
      <c r="AO624" s="391"/>
    </row>
    <row r="625" spans="1:41" s="201" customFormat="1" ht="12.75" hidden="1">
      <c r="A625" s="266" t="s">
        <v>485</v>
      </c>
      <c r="B625" s="267" t="s">
        <v>502</v>
      </c>
      <c r="C625" s="268"/>
      <c r="D625" s="269">
        <v>438708</v>
      </c>
      <c r="E625" s="269">
        <v>10</v>
      </c>
      <c r="F625" s="390">
        <v>3432</v>
      </c>
      <c r="G625" s="391">
        <v>3768</v>
      </c>
      <c r="H625" s="390">
        <v>6816</v>
      </c>
      <c r="I625" s="391">
        <v>8520</v>
      </c>
      <c r="J625" s="390"/>
      <c r="K625" s="391"/>
      <c r="L625" s="390"/>
      <c r="M625" s="391"/>
      <c r="N625" s="390"/>
      <c r="O625" s="391"/>
      <c r="P625" s="390"/>
      <c r="Q625" s="391"/>
      <c r="R625" s="390"/>
      <c r="S625" s="391"/>
      <c r="T625" s="390"/>
      <c r="U625" s="391"/>
      <c r="V625" s="390"/>
      <c r="W625" s="391"/>
      <c r="X625" s="390"/>
      <c r="Y625" s="391"/>
      <c r="Z625" s="390"/>
      <c r="AA625" s="391"/>
      <c r="AB625" s="390"/>
      <c r="AC625" s="391"/>
      <c r="AD625" s="390"/>
      <c r="AE625" s="391"/>
      <c r="AF625" s="390"/>
      <c r="AG625" s="391"/>
      <c r="AH625" s="390"/>
      <c r="AI625" s="391"/>
      <c r="AJ625" s="390"/>
      <c r="AK625" s="391"/>
      <c r="AL625" s="390"/>
      <c r="AM625" s="391"/>
      <c r="AN625" s="390"/>
      <c r="AO625" s="391"/>
    </row>
    <row r="626" spans="1:41" s="201" customFormat="1" ht="12.75" hidden="1">
      <c r="A626" s="269" t="s">
        <v>485</v>
      </c>
      <c r="B626" s="267" t="s">
        <v>503</v>
      </c>
      <c r="C626" s="268"/>
      <c r="D626" s="269">
        <v>444954</v>
      </c>
      <c r="E626" s="269">
        <v>10</v>
      </c>
      <c r="F626" s="390">
        <v>4182</v>
      </c>
      <c r="G626" s="391">
        <v>4464</v>
      </c>
      <c r="H626" s="390">
        <v>10392</v>
      </c>
      <c r="I626" s="391">
        <v>11112</v>
      </c>
      <c r="J626" s="390"/>
      <c r="K626" s="391"/>
      <c r="L626" s="390"/>
      <c r="M626" s="391"/>
      <c r="N626" s="390"/>
      <c r="O626" s="391"/>
      <c r="P626" s="390"/>
      <c r="Q626" s="391"/>
      <c r="R626" s="390"/>
      <c r="S626" s="391"/>
      <c r="T626" s="390"/>
      <c r="U626" s="391"/>
      <c r="V626" s="390"/>
      <c r="W626" s="391"/>
      <c r="X626" s="390"/>
      <c r="Y626" s="391"/>
      <c r="Z626" s="390"/>
      <c r="AA626" s="391"/>
      <c r="AB626" s="390"/>
      <c r="AC626" s="391"/>
      <c r="AD626" s="390"/>
      <c r="AE626" s="391"/>
      <c r="AF626" s="390"/>
      <c r="AG626" s="391"/>
      <c r="AH626" s="390"/>
      <c r="AI626" s="391"/>
      <c r="AJ626" s="390"/>
      <c r="AK626" s="391"/>
      <c r="AL626" s="390"/>
      <c r="AM626" s="391"/>
      <c r="AN626" s="390"/>
      <c r="AO626" s="391"/>
    </row>
    <row r="627" spans="1:41" s="179" customFormat="1" ht="14.25" hidden="1" customHeight="1">
      <c r="A627" s="269" t="s">
        <v>485</v>
      </c>
      <c r="B627" s="267" t="s">
        <v>498</v>
      </c>
      <c r="C627" s="290"/>
      <c r="D627" s="269">
        <v>447582</v>
      </c>
      <c r="E627" s="269">
        <v>10</v>
      </c>
      <c r="F627" s="390">
        <v>4372</v>
      </c>
      <c r="G627" s="391">
        <v>4372</v>
      </c>
      <c r="H627" s="390">
        <v>6900</v>
      </c>
      <c r="I627" s="391">
        <v>6900</v>
      </c>
      <c r="J627" s="390"/>
      <c r="K627" s="391"/>
      <c r="L627" s="390"/>
      <c r="M627" s="391"/>
      <c r="N627" s="390"/>
      <c r="O627" s="391"/>
      <c r="P627" s="390"/>
      <c r="Q627" s="391"/>
      <c r="R627" s="390"/>
      <c r="S627" s="391"/>
      <c r="T627" s="390"/>
      <c r="U627" s="391"/>
      <c r="V627" s="390"/>
      <c r="W627" s="391"/>
      <c r="X627" s="390"/>
      <c r="Y627" s="391"/>
      <c r="Z627" s="390"/>
      <c r="AA627" s="391"/>
      <c r="AB627" s="390"/>
      <c r="AC627" s="391"/>
      <c r="AD627" s="390"/>
      <c r="AE627" s="391"/>
      <c r="AF627" s="390"/>
      <c r="AG627" s="391"/>
      <c r="AH627" s="390"/>
      <c r="AI627" s="391"/>
      <c r="AJ627" s="390"/>
      <c r="AK627" s="391"/>
      <c r="AL627" s="390"/>
      <c r="AM627" s="391"/>
      <c r="AN627" s="390"/>
      <c r="AO627" s="391"/>
    </row>
    <row r="628" spans="1:41" s="179" customFormat="1" ht="14.25" hidden="1" customHeight="1">
      <c r="A628" s="269" t="s">
        <v>485</v>
      </c>
      <c r="B628" s="267" t="s">
        <v>499</v>
      </c>
      <c r="C628" s="290"/>
      <c r="D628" s="269">
        <v>443492</v>
      </c>
      <c r="E628" s="269">
        <v>10</v>
      </c>
      <c r="F628" s="390">
        <v>4938</v>
      </c>
      <c r="G628" s="391">
        <v>5086</v>
      </c>
      <c r="H628" s="390">
        <v>11704</v>
      </c>
      <c r="I628" s="391">
        <v>12056</v>
      </c>
      <c r="J628" s="390"/>
      <c r="K628" s="391"/>
      <c r="L628" s="390"/>
      <c r="M628" s="391"/>
      <c r="N628" s="390"/>
      <c r="O628" s="391"/>
      <c r="P628" s="390"/>
      <c r="Q628" s="391"/>
      <c r="R628" s="390"/>
      <c r="S628" s="391"/>
      <c r="T628" s="390"/>
      <c r="U628" s="391"/>
      <c r="V628" s="390"/>
      <c r="W628" s="391"/>
      <c r="X628" s="390"/>
      <c r="Y628" s="391"/>
      <c r="Z628" s="390"/>
      <c r="AA628" s="391"/>
      <c r="AB628" s="390"/>
      <c r="AC628" s="391"/>
      <c r="AD628" s="390"/>
      <c r="AE628" s="391"/>
      <c r="AF628" s="390"/>
      <c r="AG628" s="391"/>
      <c r="AH628" s="390"/>
      <c r="AI628" s="391"/>
      <c r="AJ628" s="390"/>
      <c r="AK628" s="391"/>
      <c r="AL628" s="390"/>
      <c r="AM628" s="391"/>
      <c r="AN628" s="390"/>
      <c r="AO628" s="391"/>
    </row>
    <row r="629" spans="1:41" s="201" customFormat="1" ht="12.75" hidden="1">
      <c r="A629" s="269" t="s">
        <v>485</v>
      </c>
      <c r="B629" s="267" t="s">
        <v>504</v>
      </c>
      <c r="C629" s="268"/>
      <c r="D629" s="269">
        <v>237817</v>
      </c>
      <c r="E629" s="269">
        <v>10</v>
      </c>
      <c r="F629" s="390">
        <v>3864</v>
      </c>
      <c r="G629" s="391">
        <v>3864</v>
      </c>
      <c r="H629" s="390">
        <v>5964</v>
      </c>
      <c r="I629" s="391">
        <v>6094</v>
      </c>
      <c r="J629" s="390"/>
      <c r="K629" s="391"/>
      <c r="L629" s="390"/>
      <c r="M629" s="391"/>
      <c r="N629" s="390"/>
      <c r="O629" s="391"/>
      <c r="P629" s="390"/>
      <c r="Q629" s="391"/>
      <c r="R629" s="390"/>
      <c r="S629" s="391"/>
      <c r="T629" s="390"/>
      <c r="U629" s="391"/>
      <c r="V629" s="390"/>
      <c r="W629" s="391"/>
      <c r="X629" s="390"/>
      <c r="Y629" s="391"/>
      <c r="Z629" s="390"/>
      <c r="AA629" s="391"/>
      <c r="AB629" s="390"/>
      <c r="AC629" s="391"/>
      <c r="AD629" s="390"/>
      <c r="AE629" s="391"/>
      <c r="AF629" s="390"/>
      <c r="AG629" s="391"/>
      <c r="AH629" s="390"/>
      <c r="AI629" s="391"/>
      <c r="AJ629" s="390"/>
      <c r="AK629" s="391"/>
      <c r="AL629" s="390"/>
      <c r="AM629" s="391"/>
      <c r="AN629" s="390"/>
      <c r="AO629" s="391"/>
    </row>
    <row r="630" spans="1:41" s="201" customFormat="1" ht="12.75" hidden="1">
      <c r="A630" s="269" t="s">
        <v>485</v>
      </c>
      <c r="B630" s="267" t="s">
        <v>505</v>
      </c>
      <c r="C630" s="270"/>
      <c r="D630" s="269">
        <v>238014</v>
      </c>
      <c r="E630" s="269">
        <v>10</v>
      </c>
      <c r="F630" s="390">
        <v>3796</v>
      </c>
      <c r="G630" s="391">
        <v>3868</v>
      </c>
      <c r="H630" s="390">
        <v>11236</v>
      </c>
      <c r="I630" s="391">
        <v>11452</v>
      </c>
      <c r="J630" s="390"/>
      <c r="K630" s="391"/>
      <c r="L630" s="390"/>
      <c r="M630" s="391"/>
      <c r="N630" s="390"/>
      <c r="O630" s="391"/>
      <c r="P630" s="390"/>
      <c r="Q630" s="391"/>
      <c r="R630" s="390"/>
      <c r="S630" s="391"/>
      <c r="T630" s="390"/>
      <c r="U630" s="391"/>
      <c r="V630" s="390"/>
      <c r="W630" s="391"/>
      <c r="X630" s="390"/>
      <c r="Y630" s="391"/>
      <c r="Z630" s="390"/>
      <c r="AA630" s="391"/>
      <c r="AB630" s="390"/>
      <c r="AC630" s="391"/>
      <c r="AD630" s="390"/>
      <c r="AE630" s="391"/>
      <c r="AF630" s="390"/>
      <c r="AG630" s="391"/>
      <c r="AH630" s="390"/>
      <c r="AI630" s="391"/>
      <c r="AJ630" s="390"/>
      <c r="AK630" s="391"/>
      <c r="AL630" s="390"/>
      <c r="AM630" s="391"/>
      <c r="AN630" s="390"/>
      <c r="AO630" s="391"/>
    </row>
    <row r="631" spans="1:41" s="179" customFormat="1" ht="12.75" hidden="1" customHeight="1">
      <c r="A631" s="269" t="s">
        <v>485</v>
      </c>
      <c r="B631" s="267" t="s">
        <v>506</v>
      </c>
      <c r="C631" s="294"/>
      <c r="D631" s="269">
        <v>237880</v>
      </c>
      <c r="E631" s="269">
        <v>15</v>
      </c>
      <c r="F631" s="400"/>
      <c r="G631" s="391"/>
      <c r="H631" s="390"/>
      <c r="I631" s="391"/>
      <c r="J631" s="390"/>
      <c r="K631" s="391"/>
      <c r="L631" s="390"/>
      <c r="M631" s="391"/>
      <c r="N631" s="390"/>
      <c r="O631" s="391"/>
      <c r="P631" s="390"/>
      <c r="Q631" s="391"/>
      <c r="R631" s="390"/>
      <c r="S631" s="391"/>
      <c r="T631" s="390"/>
      <c r="U631" s="391"/>
      <c r="V631" s="390"/>
      <c r="W631" s="391"/>
      <c r="X631" s="390"/>
      <c r="Y631" s="391"/>
      <c r="Z631" s="390"/>
      <c r="AA631" s="391"/>
      <c r="AB631" s="390"/>
      <c r="AC631" s="391"/>
      <c r="AD631" s="390"/>
      <c r="AE631" s="391"/>
      <c r="AF631" s="390"/>
      <c r="AG631" s="391"/>
      <c r="AH631" s="390">
        <v>22472</v>
      </c>
      <c r="AI631" s="391">
        <v>22472</v>
      </c>
      <c r="AJ631" s="390">
        <v>53710</v>
      </c>
      <c r="AK631" s="391">
        <v>53710</v>
      </c>
      <c r="AL631" s="390"/>
      <c r="AM631" s="391"/>
      <c r="AN631" s="390"/>
      <c r="AO631" s="391"/>
    </row>
    <row r="632" spans="1:41" ht="12.6" hidden="1" customHeight="1">
      <c r="A632" s="239" t="s">
        <v>485</v>
      </c>
      <c r="B632" s="237" t="s">
        <v>644</v>
      </c>
      <c r="C632" s="237"/>
      <c r="D632" s="239">
        <v>237729</v>
      </c>
      <c r="E632" s="239">
        <v>14</v>
      </c>
      <c r="F632" s="390">
        <v>4028.75</v>
      </c>
      <c r="G632" s="398">
        <v>6058</v>
      </c>
      <c r="H632" s="390"/>
      <c r="I632" s="391"/>
      <c r="J632" s="390"/>
      <c r="K632" s="391"/>
      <c r="L632" s="390"/>
      <c r="M632" s="391"/>
      <c r="N632" s="390"/>
      <c r="O632" s="391"/>
      <c r="P632" s="390"/>
      <c r="Q632" s="391"/>
      <c r="R632" s="390"/>
      <c r="S632" s="391"/>
      <c r="T632" s="390"/>
      <c r="U632" s="391"/>
      <c r="V632" s="390"/>
      <c r="W632" s="391"/>
      <c r="X632" s="390"/>
      <c r="Y632" s="391"/>
      <c r="Z632" s="390"/>
      <c r="AA632" s="391"/>
      <c r="AB632" s="390"/>
      <c r="AC632" s="391"/>
      <c r="AD632" s="390"/>
      <c r="AE632" s="391"/>
      <c r="AF632" s="390"/>
      <c r="AG632" s="391"/>
      <c r="AH632" s="390"/>
      <c r="AI632" s="391"/>
      <c r="AJ632" s="390"/>
      <c r="AK632" s="391"/>
      <c r="AL632" s="390"/>
      <c r="AM632" s="391"/>
      <c r="AN632" s="390"/>
      <c r="AO632" s="391"/>
    </row>
    <row r="633" spans="1:41" ht="12.6" hidden="1" customHeight="1">
      <c r="A633" s="239" t="s">
        <v>485</v>
      </c>
      <c r="B633" s="237" t="s">
        <v>645</v>
      </c>
      <c r="C633" s="237"/>
      <c r="D633" s="239">
        <v>237172</v>
      </c>
      <c r="E633" s="239">
        <v>14</v>
      </c>
      <c r="F633" s="390">
        <v>3713</v>
      </c>
      <c r="G633" s="398">
        <v>6550</v>
      </c>
      <c r="H633" s="390"/>
      <c r="I633" s="391"/>
      <c r="J633" s="390"/>
      <c r="K633" s="391"/>
      <c r="L633" s="390"/>
      <c r="M633" s="391"/>
      <c r="N633" s="390"/>
      <c r="O633" s="391"/>
      <c r="P633" s="390"/>
      <c r="Q633" s="391"/>
      <c r="R633" s="390"/>
      <c r="S633" s="391"/>
      <c r="T633" s="390"/>
      <c r="U633" s="391"/>
      <c r="V633" s="390"/>
      <c r="W633" s="391"/>
      <c r="X633" s="390"/>
      <c r="Y633" s="391"/>
      <c r="Z633" s="390"/>
      <c r="AA633" s="391"/>
      <c r="AB633" s="390"/>
      <c r="AC633" s="391"/>
      <c r="AD633" s="390"/>
      <c r="AE633" s="391"/>
      <c r="AF633" s="390"/>
      <c r="AG633" s="391"/>
      <c r="AH633" s="390"/>
      <c r="AI633" s="391"/>
      <c r="AJ633" s="390"/>
      <c r="AK633" s="391"/>
      <c r="AL633" s="390"/>
      <c r="AM633" s="391"/>
      <c r="AN633" s="390"/>
      <c r="AO633" s="391"/>
    </row>
    <row r="634" spans="1:41" ht="12.6" hidden="1" customHeight="1">
      <c r="A634" s="239" t="s">
        <v>485</v>
      </c>
      <c r="B634" s="237" t="s">
        <v>646</v>
      </c>
      <c r="C634" s="237"/>
      <c r="D634" s="239">
        <v>237224</v>
      </c>
      <c r="E634" s="239">
        <v>14</v>
      </c>
      <c r="F634" s="390">
        <v>3840</v>
      </c>
      <c r="G634" s="391">
        <v>4250</v>
      </c>
      <c r="H634" s="390"/>
      <c r="I634" s="391"/>
      <c r="J634" s="390"/>
      <c r="K634" s="391"/>
      <c r="L634" s="390"/>
      <c r="M634" s="391"/>
      <c r="N634" s="390"/>
      <c r="O634" s="391"/>
      <c r="P634" s="390"/>
      <c r="Q634" s="391"/>
      <c r="R634" s="390"/>
      <c r="S634" s="391"/>
      <c r="T634" s="390"/>
      <c r="U634" s="391"/>
      <c r="V634" s="390"/>
      <c r="W634" s="391"/>
      <c r="X634" s="390"/>
      <c r="Y634" s="391"/>
      <c r="Z634" s="390"/>
      <c r="AA634" s="391"/>
      <c r="AB634" s="390"/>
      <c r="AC634" s="391"/>
      <c r="AD634" s="390"/>
      <c r="AE634" s="391"/>
      <c r="AF634" s="390"/>
      <c r="AG634" s="391"/>
      <c r="AH634" s="390"/>
      <c r="AI634" s="391"/>
      <c r="AJ634" s="390"/>
      <c r="AK634" s="391"/>
      <c r="AL634" s="390"/>
      <c r="AM634" s="391"/>
      <c r="AN634" s="390"/>
      <c r="AO634" s="391"/>
    </row>
    <row r="635" spans="1:41" ht="12.6" hidden="1" customHeight="1">
      <c r="A635" s="239" t="s">
        <v>485</v>
      </c>
      <c r="B635" s="237" t="s">
        <v>508</v>
      </c>
      <c r="C635" s="237"/>
      <c r="D635" s="239">
        <v>237242</v>
      </c>
      <c r="E635" s="239">
        <v>14</v>
      </c>
      <c r="F635" s="390">
        <v>4252.2</v>
      </c>
      <c r="G635" s="391">
        <v>6125</v>
      </c>
      <c r="H635" s="390"/>
      <c r="I635" s="391"/>
      <c r="J635" s="390"/>
      <c r="K635" s="391"/>
      <c r="L635" s="390"/>
      <c r="M635" s="391"/>
      <c r="N635" s="390"/>
      <c r="O635" s="391"/>
      <c r="P635" s="390"/>
      <c r="Q635" s="391"/>
      <c r="R635" s="390"/>
      <c r="S635" s="391"/>
      <c r="T635" s="390"/>
      <c r="U635" s="391"/>
      <c r="V635" s="390"/>
      <c r="W635" s="391"/>
      <c r="X635" s="390"/>
      <c r="Y635" s="391"/>
      <c r="Z635" s="390"/>
      <c r="AA635" s="391"/>
      <c r="AB635" s="390"/>
      <c r="AC635" s="391"/>
      <c r="AD635" s="390"/>
      <c r="AE635" s="391"/>
      <c r="AF635" s="390"/>
      <c r="AG635" s="391"/>
      <c r="AH635" s="390"/>
      <c r="AI635" s="391"/>
      <c r="AJ635" s="390"/>
      <c r="AK635" s="391"/>
      <c r="AL635" s="390"/>
      <c r="AM635" s="391"/>
      <c r="AN635" s="390"/>
      <c r="AO635" s="391"/>
    </row>
    <row r="636" spans="1:41" ht="12.6" hidden="1" customHeight="1">
      <c r="A636" s="239" t="s">
        <v>485</v>
      </c>
      <c r="B636" s="237" t="s">
        <v>647</v>
      </c>
      <c r="C636" s="237"/>
      <c r="D636" s="239">
        <v>430795</v>
      </c>
      <c r="E636" s="239">
        <v>14</v>
      </c>
      <c r="F636" s="390">
        <v>3853.38</v>
      </c>
      <c r="G636" s="399">
        <v>8681</v>
      </c>
      <c r="H636" s="390"/>
      <c r="I636" s="391"/>
      <c r="J636" s="390"/>
      <c r="K636" s="391"/>
      <c r="L636" s="390"/>
      <c r="M636" s="391"/>
      <c r="N636" s="390"/>
      <c r="O636" s="391"/>
      <c r="P636" s="390"/>
      <c r="Q636" s="391"/>
      <c r="R636" s="390"/>
      <c r="S636" s="391"/>
      <c r="T636" s="390"/>
      <c r="U636" s="391"/>
      <c r="V636" s="390"/>
      <c r="W636" s="391"/>
      <c r="X636" s="390"/>
      <c r="Y636" s="391"/>
      <c r="Z636" s="390"/>
      <c r="AA636" s="391"/>
      <c r="AB636" s="390"/>
      <c r="AC636" s="391"/>
      <c r="AD636" s="390"/>
      <c r="AE636" s="391"/>
      <c r="AF636" s="390"/>
      <c r="AG636" s="391"/>
      <c r="AH636" s="390"/>
      <c r="AI636" s="391"/>
      <c r="AJ636" s="390"/>
      <c r="AK636" s="391"/>
      <c r="AL636" s="390"/>
      <c r="AM636" s="391"/>
      <c r="AN636" s="390"/>
      <c r="AO636" s="391"/>
    </row>
    <row r="637" spans="1:41" ht="12.6" hidden="1" customHeight="1">
      <c r="A637" s="239" t="s">
        <v>485</v>
      </c>
      <c r="B637" s="237" t="s">
        <v>509</v>
      </c>
      <c r="C637" s="237"/>
      <c r="D637" s="239">
        <v>413176</v>
      </c>
      <c r="E637" s="239">
        <v>14</v>
      </c>
      <c r="F637" s="390">
        <v>3322</v>
      </c>
      <c r="G637" s="398">
        <v>5727</v>
      </c>
      <c r="H637" s="390"/>
      <c r="I637" s="391"/>
      <c r="J637" s="390"/>
      <c r="K637" s="391"/>
      <c r="L637" s="390"/>
      <c r="M637" s="391"/>
      <c r="N637" s="390"/>
      <c r="O637" s="391"/>
      <c r="P637" s="390"/>
      <c r="Q637" s="391"/>
      <c r="R637" s="390"/>
      <c r="S637" s="391"/>
      <c r="T637" s="390"/>
      <c r="U637" s="391"/>
      <c r="V637" s="390"/>
      <c r="W637" s="391"/>
      <c r="X637" s="390"/>
      <c r="Y637" s="391"/>
      <c r="Z637" s="390"/>
      <c r="AA637" s="391"/>
      <c r="AB637" s="390"/>
      <c r="AC637" s="391"/>
      <c r="AD637" s="390"/>
      <c r="AE637" s="391"/>
      <c r="AF637" s="390"/>
      <c r="AG637" s="391"/>
      <c r="AH637" s="390"/>
      <c r="AI637" s="391"/>
      <c r="AJ637" s="390"/>
      <c r="AK637" s="391"/>
      <c r="AL637" s="390"/>
      <c r="AM637" s="391"/>
      <c r="AN637" s="390"/>
      <c r="AO637" s="391"/>
    </row>
    <row r="638" spans="1:41" ht="12.6" hidden="1" customHeight="1">
      <c r="A638" s="239" t="s">
        <v>485</v>
      </c>
      <c r="B638" s="237" t="s">
        <v>510</v>
      </c>
      <c r="C638" s="237"/>
      <c r="D638" s="239">
        <v>237844</v>
      </c>
      <c r="E638" s="239">
        <v>14</v>
      </c>
      <c r="F638" s="390">
        <v>3199</v>
      </c>
      <c r="G638" s="391">
        <v>4558</v>
      </c>
      <c r="H638" s="390"/>
      <c r="I638" s="391"/>
      <c r="J638" s="390"/>
      <c r="K638" s="391"/>
      <c r="L638" s="390"/>
      <c r="M638" s="391"/>
      <c r="N638" s="390"/>
      <c r="O638" s="391"/>
      <c r="P638" s="390"/>
      <c r="Q638" s="391"/>
      <c r="R638" s="390"/>
      <c r="S638" s="391"/>
      <c r="T638" s="390"/>
      <c r="U638" s="391"/>
      <c r="V638" s="390"/>
      <c r="W638" s="391"/>
      <c r="X638" s="390"/>
      <c r="Y638" s="391"/>
      <c r="Z638" s="390"/>
      <c r="AA638" s="391"/>
      <c r="AB638" s="390"/>
      <c r="AC638" s="391"/>
      <c r="AD638" s="390"/>
      <c r="AE638" s="391"/>
      <c r="AF638" s="390"/>
      <c r="AG638" s="391"/>
      <c r="AH638" s="390"/>
      <c r="AI638" s="391"/>
      <c r="AJ638" s="390"/>
      <c r="AK638" s="391"/>
      <c r="AL638" s="390"/>
      <c r="AM638" s="391"/>
      <c r="AN638" s="390"/>
      <c r="AO638" s="391"/>
    </row>
    <row r="639" spans="1:41" ht="12.6" hidden="1" customHeight="1">
      <c r="A639" s="239" t="s">
        <v>485</v>
      </c>
      <c r="B639" s="237" t="s">
        <v>511</v>
      </c>
      <c r="C639" s="237"/>
      <c r="D639" s="239">
        <v>431169</v>
      </c>
      <c r="E639" s="239">
        <v>14</v>
      </c>
      <c r="F639" s="390">
        <v>2030</v>
      </c>
      <c r="G639" s="399">
        <v>5092</v>
      </c>
      <c r="H639" s="390"/>
      <c r="I639" s="391"/>
      <c r="J639" s="390"/>
      <c r="K639" s="391"/>
      <c r="L639" s="390"/>
      <c r="M639" s="391"/>
      <c r="N639" s="390"/>
      <c r="O639" s="391"/>
      <c r="P639" s="390"/>
      <c r="Q639" s="391"/>
      <c r="R639" s="390"/>
      <c r="S639" s="391"/>
      <c r="T639" s="390"/>
      <c r="U639" s="391"/>
      <c r="V639" s="390"/>
      <c r="W639" s="391"/>
      <c r="X639" s="390"/>
      <c r="Y639" s="391"/>
      <c r="Z639" s="390"/>
      <c r="AA639" s="391"/>
      <c r="AB639" s="390"/>
      <c r="AC639" s="391"/>
      <c r="AD639" s="390"/>
      <c r="AE639" s="391"/>
      <c r="AF639" s="390"/>
      <c r="AG639" s="391"/>
      <c r="AH639" s="390"/>
      <c r="AI639" s="391"/>
      <c r="AJ639" s="390"/>
      <c r="AK639" s="391"/>
      <c r="AL639" s="390"/>
      <c r="AM639" s="391"/>
      <c r="AN639" s="390"/>
      <c r="AO639" s="391"/>
    </row>
    <row r="640" spans="1:41" ht="12.6" hidden="1" customHeight="1">
      <c r="A640" s="239" t="s">
        <v>485</v>
      </c>
      <c r="B640" s="237" t="s">
        <v>512</v>
      </c>
      <c r="C640" s="237"/>
      <c r="D640" s="239">
        <v>237473</v>
      </c>
      <c r="E640" s="239">
        <v>14</v>
      </c>
      <c r="F640" s="390">
        <v>3419</v>
      </c>
      <c r="G640" s="398">
        <v>6177</v>
      </c>
      <c r="H640" s="390"/>
      <c r="I640" s="391"/>
      <c r="J640" s="390"/>
      <c r="K640" s="391"/>
      <c r="L640" s="390"/>
      <c r="M640" s="391"/>
      <c r="N640" s="390"/>
      <c r="O640" s="391"/>
      <c r="P640" s="390"/>
      <c r="Q640" s="391"/>
      <c r="R640" s="390"/>
      <c r="S640" s="391"/>
      <c r="T640" s="390"/>
      <c r="U640" s="391"/>
      <c r="V640" s="390"/>
      <c r="W640" s="391"/>
      <c r="X640" s="390"/>
      <c r="Y640" s="391"/>
      <c r="Z640" s="390"/>
      <c r="AA640" s="391"/>
      <c r="AB640" s="390"/>
      <c r="AC640" s="391"/>
      <c r="AD640" s="390"/>
      <c r="AE640" s="391"/>
      <c r="AF640" s="390"/>
      <c r="AG640" s="391"/>
      <c r="AH640" s="390"/>
      <c r="AI640" s="391"/>
      <c r="AJ640" s="390"/>
      <c r="AK640" s="391"/>
      <c r="AL640" s="390"/>
      <c r="AM640" s="391"/>
      <c r="AN640" s="390"/>
      <c r="AO640" s="391"/>
    </row>
    <row r="641" spans="1:41" ht="12.6" hidden="1" customHeight="1">
      <c r="A641" s="239" t="s">
        <v>485</v>
      </c>
      <c r="B641" s="237" t="s">
        <v>513</v>
      </c>
      <c r="C641" s="237"/>
      <c r="D641" s="239">
        <v>446349</v>
      </c>
      <c r="E641" s="239">
        <v>14</v>
      </c>
      <c r="F641" s="390">
        <v>5550</v>
      </c>
      <c r="G641" s="391">
        <v>6002</v>
      </c>
      <c r="H641" s="390"/>
      <c r="I641" s="391"/>
      <c r="J641" s="390"/>
      <c r="K641" s="391"/>
      <c r="L641" s="390"/>
      <c r="M641" s="391"/>
      <c r="N641" s="390"/>
      <c r="O641" s="391"/>
      <c r="P641" s="390"/>
      <c r="Q641" s="391"/>
      <c r="R641" s="390"/>
      <c r="S641" s="391"/>
      <c r="T641" s="390"/>
      <c r="U641" s="391"/>
      <c r="V641" s="390"/>
      <c r="W641" s="391"/>
      <c r="X641" s="390"/>
      <c r="Y641" s="391"/>
      <c r="Z641" s="390"/>
      <c r="AA641" s="391"/>
      <c r="AB641" s="390"/>
      <c r="AC641" s="391"/>
      <c r="AD641" s="390"/>
      <c r="AE641" s="391"/>
      <c r="AF641" s="390"/>
      <c r="AG641" s="391"/>
      <c r="AH641" s="390"/>
      <c r="AI641" s="391"/>
      <c r="AJ641" s="390"/>
      <c r="AK641" s="391"/>
      <c r="AL641" s="390"/>
      <c r="AM641" s="391"/>
      <c r="AN641" s="390"/>
      <c r="AO641" s="391"/>
    </row>
    <row r="642" spans="1:41" ht="12.6" hidden="1" customHeight="1">
      <c r="A642" s="239" t="s">
        <v>485</v>
      </c>
      <c r="B642" s="237" t="s">
        <v>648</v>
      </c>
      <c r="C642" s="237"/>
      <c r="D642" s="239">
        <v>237516</v>
      </c>
      <c r="E642" s="239">
        <v>14</v>
      </c>
      <c r="F642" s="390">
        <v>1250</v>
      </c>
      <c r="G642" s="391">
        <v>1250</v>
      </c>
      <c r="H642" s="390"/>
      <c r="I642" s="391"/>
      <c r="J642" s="390"/>
      <c r="K642" s="391"/>
      <c r="L642" s="390"/>
      <c r="M642" s="391"/>
      <c r="N642" s="390"/>
      <c r="O642" s="391"/>
      <c r="P642" s="390"/>
      <c r="Q642" s="391"/>
      <c r="R642" s="390"/>
      <c r="S642" s="391"/>
      <c r="T642" s="390"/>
      <c r="U642" s="391"/>
      <c r="V642" s="390"/>
      <c r="W642" s="391"/>
      <c r="X642" s="390"/>
      <c r="Y642" s="391"/>
      <c r="Z642" s="390"/>
      <c r="AA642" s="391"/>
      <c r="AB642" s="390"/>
      <c r="AC642" s="391"/>
      <c r="AD642" s="390"/>
      <c r="AE642" s="391"/>
      <c r="AF642" s="390"/>
      <c r="AG642" s="391"/>
      <c r="AH642" s="390"/>
      <c r="AI642" s="391"/>
      <c r="AJ642" s="390"/>
      <c r="AK642" s="391"/>
      <c r="AL642" s="390"/>
      <c r="AM642" s="391"/>
      <c r="AN642" s="390"/>
      <c r="AO642" s="391"/>
    </row>
    <row r="643" spans="1:41" ht="12.6" hidden="1" customHeight="1">
      <c r="A643" s="239" t="s">
        <v>485</v>
      </c>
      <c r="B643" s="237" t="s">
        <v>649</v>
      </c>
      <c r="C643" s="237"/>
      <c r="D643" s="239">
        <v>237534</v>
      </c>
      <c r="E643" s="239">
        <v>14</v>
      </c>
      <c r="F643" s="390">
        <v>3000</v>
      </c>
      <c r="G643" s="399">
        <v>7276</v>
      </c>
      <c r="H643" s="390"/>
      <c r="I643" s="391"/>
      <c r="J643" s="390"/>
      <c r="K643" s="391"/>
      <c r="L643" s="390"/>
      <c r="M643" s="391"/>
      <c r="N643" s="390"/>
      <c r="O643" s="391"/>
      <c r="P643" s="390"/>
      <c r="Q643" s="391"/>
      <c r="R643" s="390"/>
      <c r="S643" s="391"/>
      <c r="T643" s="390"/>
      <c r="U643" s="391"/>
      <c r="V643" s="390"/>
      <c r="W643" s="391"/>
      <c r="X643" s="390"/>
      <c r="Y643" s="391"/>
      <c r="Z643" s="390"/>
      <c r="AA643" s="391"/>
      <c r="AB643" s="390"/>
      <c r="AC643" s="391"/>
      <c r="AD643" s="390"/>
      <c r="AE643" s="391"/>
      <c r="AF643" s="390"/>
      <c r="AG643" s="391"/>
      <c r="AH643" s="390"/>
      <c r="AI643" s="391"/>
      <c r="AJ643" s="390"/>
      <c r="AK643" s="391"/>
      <c r="AL643" s="390"/>
      <c r="AM643" s="391"/>
      <c r="AN643" s="390"/>
      <c r="AO643" s="391"/>
    </row>
    <row r="644" spans="1:41" ht="12.6" hidden="1" customHeight="1">
      <c r="A644" s="239" t="s">
        <v>485</v>
      </c>
      <c r="B644" s="237" t="s">
        <v>514</v>
      </c>
      <c r="C644" s="237"/>
      <c r="D644" s="239">
        <v>237543</v>
      </c>
      <c r="E644" s="239">
        <v>14</v>
      </c>
      <c r="F644" s="390">
        <v>2298</v>
      </c>
      <c r="G644" s="398">
        <v>3925</v>
      </c>
      <c r="H644" s="390"/>
      <c r="I644" s="391"/>
      <c r="J644" s="390"/>
      <c r="K644" s="391"/>
      <c r="L644" s="390"/>
      <c r="M644" s="391"/>
      <c r="N644" s="390"/>
      <c r="O644" s="391"/>
      <c r="P644" s="390"/>
      <c r="Q644" s="391"/>
      <c r="R644" s="390"/>
      <c r="S644" s="391"/>
      <c r="T644" s="390"/>
      <c r="U644" s="391"/>
      <c r="V644" s="390"/>
      <c r="W644" s="391"/>
      <c r="X644" s="390"/>
      <c r="Y644" s="391"/>
      <c r="Z644" s="390"/>
      <c r="AA644" s="391"/>
      <c r="AB644" s="390"/>
      <c r="AC644" s="391"/>
      <c r="AD644" s="390"/>
      <c r="AE644" s="391"/>
      <c r="AF644" s="390"/>
      <c r="AG644" s="391"/>
      <c r="AH644" s="390"/>
      <c r="AI644" s="391"/>
      <c r="AJ644" s="390"/>
      <c r="AK644" s="391"/>
      <c r="AL644" s="390"/>
      <c r="AM644" s="391"/>
      <c r="AN644" s="390"/>
      <c r="AO644" s="391"/>
    </row>
    <row r="645" spans="1:41" ht="12.6" hidden="1" customHeight="1">
      <c r="A645" s="239" t="s">
        <v>485</v>
      </c>
      <c r="B645" s="237" t="s">
        <v>650</v>
      </c>
      <c r="C645" s="237"/>
      <c r="D645" s="239">
        <v>368647</v>
      </c>
      <c r="E645" s="239">
        <v>14</v>
      </c>
      <c r="F645" s="390">
        <v>6111</v>
      </c>
      <c r="G645" s="391">
        <v>6435</v>
      </c>
      <c r="H645" s="390"/>
      <c r="I645" s="391"/>
      <c r="J645" s="390"/>
      <c r="K645" s="391"/>
      <c r="L645" s="390"/>
      <c r="M645" s="391"/>
      <c r="N645" s="390"/>
      <c r="O645" s="391"/>
      <c r="P645" s="390"/>
      <c r="Q645" s="391"/>
      <c r="R645" s="390"/>
      <c r="S645" s="391"/>
      <c r="T645" s="390"/>
      <c r="U645" s="391"/>
      <c r="V645" s="390"/>
      <c r="W645" s="391"/>
      <c r="X645" s="390"/>
      <c r="Y645" s="391"/>
      <c r="Z645" s="390"/>
      <c r="AA645" s="391"/>
      <c r="AB645" s="390"/>
      <c r="AC645" s="391"/>
      <c r="AD645" s="390"/>
      <c r="AE645" s="391"/>
      <c r="AF645" s="390"/>
      <c r="AG645" s="391"/>
      <c r="AH645" s="390"/>
      <c r="AI645" s="391"/>
      <c r="AJ645" s="390"/>
      <c r="AK645" s="391"/>
      <c r="AL645" s="390"/>
      <c r="AM645" s="391"/>
      <c r="AN645" s="390"/>
      <c r="AO645" s="391"/>
    </row>
    <row r="646" spans="1:41" ht="12.6" hidden="1" customHeight="1">
      <c r="A646" s="239" t="s">
        <v>485</v>
      </c>
      <c r="B646" s="237" t="s">
        <v>515</v>
      </c>
      <c r="C646" s="237"/>
      <c r="D646" s="239">
        <v>237561</v>
      </c>
      <c r="E646" s="239">
        <v>14</v>
      </c>
      <c r="F646" s="390">
        <v>1723</v>
      </c>
      <c r="G646" s="399">
        <v>5006</v>
      </c>
      <c r="H646" s="390"/>
      <c r="I646" s="391"/>
      <c r="J646" s="390"/>
      <c r="K646" s="391"/>
      <c r="L646" s="390"/>
      <c r="M646" s="391"/>
      <c r="N646" s="390"/>
      <c r="O646" s="391"/>
      <c r="P646" s="390"/>
      <c r="Q646" s="391"/>
      <c r="R646" s="390"/>
      <c r="S646" s="391"/>
      <c r="T646" s="390"/>
      <c r="U646" s="391"/>
      <c r="V646" s="390"/>
      <c r="W646" s="391"/>
      <c r="X646" s="390"/>
      <c r="Y646" s="391"/>
      <c r="Z646" s="390"/>
      <c r="AA646" s="391"/>
      <c r="AB646" s="390"/>
      <c r="AC646" s="391"/>
      <c r="AD646" s="390"/>
      <c r="AE646" s="391"/>
      <c r="AF646" s="390"/>
      <c r="AG646" s="391"/>
      <c r="AH646" s="390"/>
      <c r="AI646" s="391"/>
      <c r="AJ646" s="390"/>
      <c r="AK646" s="391"/>
      <c r="AL646" s="390"/>
      <c r="AM646" s="391"/>
      <c r="AN646" s="390"/>
      <c r="AO646" s="391"/>
    </row>
    <row r="647" spans="1:41" ht="12.6" hidden="1" customHeight="1">
      <c r="A647" s="239" t="s">
        <v>485</v>
      </c>
      <c r="B647" s="237" t="s">
        <v>516</v>
      </c>
      <c r="C647" s="237"/>
      <c r="D647" s="239">
        <v>419420</v>
      </c>
      <c r="E647" s="239">
        <v>14</v>
      </c>
      <c r="F647" s="390">
        <v>3712</v>
      </c>
      <c r="G647" s="391">
        <v>5081</v>
      </c>
      <c r="H647" s="390"/>
      <c r="I647" s="391"/>
      <c r="J647" s="390"/>
      <c r="K647" s="391"/>
      <c r="L647" s="390"/>
      <c r="M647" s="391"/>
      <c r="N647" s="390"/>
      <c r="O647" s="391"/>
      <c r="P647" s="390"/>
      <c r="Q647" s="391"/>
      <c r="R647" s="390"/>
      <c r="S647" s="391"/>
      <c r="T647" s="390"/>
      <c r="U647" s="391"/>
      <c r="V647" s="390"/>
      <c r="W647" s="391"/>
      <c r="X647" s="390"/>
      <c r="Y647" s="391"/>
      <c r="Z647" s="390"/>
      <c r="AA647" s="391"/>
      <c r="AB647" s="390"/>
      <c r="AC647" s="391"/>
      <c r="AD647" s="390"/>
      <c r="AE647" s="391"/>
      <c r="AF647" s="390"/>
      <c r="AG647" s="391"/>
      <c r="AH647" s="390"/>
      <c r="AI647" s="391"/>
      <c r="AJ647" s="390"/>
      <c r="AK647" s="391"/>
      <c r="AL647" s="390"/>
      <c r="AM647" s="391"/>
      <c r="AN647" s="390"/>
      <c r="AO647" s="391"/>
    </row>
    <row r="648" spans="1:41" ht="12.6" hidden="1" customHeight="1">
      <c r="A648" s="239" t="s">
        <v>485</v>
      </c>
      <c r="B648" s="237" t="s">
        <v>651</v>
      </c>
      <c r="C648" s="237"/>
      <c r="D648" s="239">
        <v>237491</v>
      </c>
      <c r="E648" s="239">
        <v>14</v>
      </c>
      <c r="F648" s="390">
        <v>2400</v>
      </c>
      <c r="G648" s="398">
        <v>3609</v>
      </c>
      <c r="H648" s="390"/>
      <c r="I648" s="391"/>
      <c r="J648" s="390"/>
      <c r="K648" s="391"/>
      <c r="L648" s="390"/>
      <c r="M648" s="391"/>
      <c r="N648" s="390"/>
      <c r="O648" s="391"/>
      <c r="P648" s="390"/>
      <c r="Q648" s="391"/>
      <c r="R648" s="390"/>
      <c r="S648" s="391"/>
      <c r="T648" s="390"/>
      <c r="U648" s="391"/>
      <c r="V648" s="390"/>
      <c r="W648" s="391"/>
      <c r="X648" s="390"/>
      <c r="Y648" s="391"/>
      <c r="Z648" s="390"/>
      <c r="AA648" s="391"/>
      <c r="AB648" s="390"/>
      <c r="AC648" s="391"/>
      <c r="AD648" s="390"/>
      <c r="AE648" s="391"/>
      <c r="AF648" s="390"/>
      <c r="AG648" s="391"/>
      <c r="AH648" s="390"/>
      <c r="AI648" s="391"/>
      <c r="AJ648" s="390"/>
      <c r="AK648" s="391"/>
      <c r="AL648" s="390"/>
      <c r="AM648" s="391"/>
      <c r="AN648" s="390"/>
      <c r="AO648" s="391"/>
    </row>
    <row r="649" spans="1:41" ht="12.6" hidden="1" customHeight="1">
      <c r="A649" s="239" t="s">
        <v>485</v>
      </c>
      <c r="B649" s="237" t="s">
        <v>517</v>
      </c>
      <c r="C649" s="237"/>
      <c r="D649" s="239">
        <v>364575</v>
      </c>
      <c r="E649" s="239">
        <v>14</v>
      </c>
      <c r="F649" s="390">
        <v>5530</v>
      </c>
      <c r="G649" s="391">
        <v>8105</v>
      </c>
      <c r="H649" s="390"/>
      <c r="I649" s="391"/>
      <c r="J649" s="390"/>
      <c r="K649" s="391"/>
      <c r="L649" s="390"/>
      <c r="M649" s="391"/>
      <c r="N649" s="390"/>
      <c r="O649" s="391"/>
      <c r="P649" s="390"/>
      <c r="Q649" s="391"/>
      <c r="R649" s="390"/>
      <c r="S649" s="391"/>
      <c r="T649" s="390"/>
      <c r="U649" s="391"/>
      <c r="V649" s="390"/>
      <c r="W649" s="391"/>
      <c r="X649" s="390"/>
      <c r="Y649" s="391"/>
      <c r="Z649" s="390"/>
      <c r="AA649" s="391"/>
      <c r="AB649" s="390"/>
      <c r="AC649" s="391"/>
      <c r="AD649" s="390"/>
      <c r="AE649" s="391"/>
      <c r="AF649" s="390"/>
      <c r="AG649" s="391"/>
      <c r="AH649" s="390"/>
      <c r="AI649" s="391"/>
      <c r="AJ649" s="390"/>
      <c r="AK649" s="391"/>
      <c r="AL649" s="390"/>
      <c r="AM649" s="391"/>
      <c r="AN649" s="390"/>
      <c r="AO649" s="391"/>
    </row>
    <row r="650" spans="1:41" ht="12.6" hidden="1" customHeight="1">
      <c r="A650" s="239" t="s">
        <v>485</v>
      </c>
      <c r="B650" s="237" t="s">
        <v>518</v>
      </c>
      <c r="C650" s="237"/>
      <c r="D650" s="239">
        <v>441894</v>
      </c>
      <c r="E650" s="239">
        <v>14</v>
      </c>
      <c r="F650" s="390">
        <v>9000</v>
      </c>
      <c r="G650" s="391">
        <v>9000</v>
      </c>
      <c r="H650" s="390"/>
      <c r="I650" s="391"/>
      <c r="J650" s="390"/>
      <c r="K650" s="391"/>
      <c r="L650" s="390"/>
      <c r="M650" s="391"/>
      <c r="N650" s="390"/>
      <c r="O650" s="391"/>
      <c r="P650" s="390"/>
      <c r="Q650" s="391"/>
      <c r="R650" s="390"/>
      <c r="S650" s="391"/>
      <c r="T650" s="390"/>
      <c r="U650" s="391"/>
      <c r="V650" s="390"/>
      <c r="W650" s="391"/>
      <c r="X650" s="390"/>
      <c r="Y650" s="391"/>
      <c r="Z650" s="390"/>
      <c r="AA650" s="391"/>
      <c r="AB650" s="390"/>
      <c r="AC650" s="391"/>
      <c r="AD650" s="390"/>
      <c r="AE650" s="391"/>
      <c r="AF650" s="390"/>
      <c r="AG650" s="391"/>
      <c r="AH650" s="390"/>
      <c r="AI650" s="391"/>
      <c r="AJ650" s="390"/>
      <c r="AK650" s="391"/>
      <c r="AL650" s="390"/>
      <c r="AM650" s="391"/>
      <c r="AN650" s="390"/>
      <c r="AO650" s="391"/>
    </row>
    <row r="651" spans="1:41" ht="12.6" hidden="1" customHeight="1">
      <c r="A651" s="239" t="s">
        <v>485</v>
      </c>
      <c r="B651" s="237" t="s">
        <v>519</v>
      </c>
      <c r="C651" s="237"/>
      <c r="D651" s="239">
        <v>419031</v>
      </c>
      <c r="E651" s="239">
        <v>14</v>
      </c>
      <c r="F651" s="390">
        <v>4907</v>
      </c>
      <c r="G651" s="398">
        <v>8460</v>
      </c>
      <c r="H651" s="390"/>
      <c r="I651" s="391"/>
      <c r="J651" s="390"/>
      <c r="K651" s="391"/>
      <c r="L651" s="390"/>
      <c r="M651" s="391"/>
      <c r="N651" s="390"/>
      <c r="O651" s="391"/>
      <c r="P651" s="390"/>
      <c r="Q651" s="391"/>
      <c r="R651" s="390"/>
      <c r="S651" s="391"/>
      <c r="T651" s="390"/>
      <c r="U651" s="391"/>
      <c r="V651" s="390"/>
      <c r="W651" s="391"/>
      <c r="X651" s="390"/>
      <c r="Y651" s="391"/>
      <c r="Z651" s="390"/>
      <c r="AA651" s="391"/>
      <c r="AB651" s="390"/>
      <c r="AC651" s="391"/>
      <c r="AD651" s="390"/>
      <c r="AE651" s="391"/>
      <c r="AF651" s="390"/>
      <c r="AG651" s="391"/>
      <c r="AH651" s="390"/>
      <c r="AI651" s="391"/>
      <c r="AJ651" s="390"/>
      <c r="AK651" s="391"/>
      <c r="AL651" s="390"/>
      <c r="AM651" s="391"/>
      <c r="AN651" s="390"/>
      <c r="AO651" s="391"/>
    </row>
    <row r="652" spans="1:41" s="201" customFormat="1" ht="12.75" hidden="1">
      <c r="A652" s="239" t="s">
        <v>485</v>
      </c>
      <c r="B652" s="237" t="s">
        <v>652</v>
      </c>
      <c r="C652" s="237"/>
      <c r="D652" s="295" t="s">
        <v>84</v>
      </c>
      <c r="E652" s="239">
        <v>14</v>
      </c>
      <c r="F652" s="390">
        <v>2350</v>
      </c>
      <c r="G652" s="399">
        <v>6650</v>
      </c>
      <c r="H652" s="390"/>
      <c r="I652" s="391"/>
      <c r="J652" s="390"/>
      <c r="K652" s="391"/>
      <c r="L652" s="390"/>
      <c r="M652" s="391"/>
      <c r="N652" s="390"/>
      <c r="O652" s="391"/>
      <c r="P652" s="390"/>
      <c r="Q652" s="391"/>
      <c r="R652" s="390"/>
      <c r="S652" s="391"/>
      <c r="T652" s="390"/>
      <c r="U652" s="391"/>
      <c r="V652" s="390"/>
      <c r="W652" s="391"/>
      <c r="X652" s="390"/>
      <c r="Y652" s="391"/>
      <c r="Z652" s="390"/>
      <c r="AA652" s="391"/>
      <c r="AB652" s="390"/>
      <c r="AC652" s="391"/>
      <c r="AD652" s="390"/>
      <c r="AE652" s="391"/>
      <c r="AF652" s="390"/>
      <c r="AG652" s="391"/>
      <c r="AH652" s="390"/>
      <c r="AI652" s="391"/>
      <c r="AJ652" s="390"/>
      <c r="AK652" s="391"/>
      <c r="AL652" s="390"/>
      <c r="AM652" s="391"/>
      <c r="AN652" s="390"/>
      <c r="AO652" s="391"/>
    </row>
    <row r="653" spans="1:41" s="201" customFormat="1" ht="12.75" hidden="1">
      <c r="A653" s="239" t="s">
        <v>485</v>
      </c>
      <c r="B653" s="237" t="s">
        <v>653</v>
      </c>
      <c r="C653" s="237"/>
      <c r="D653" s="295" t="s">
        <v>84</v>
      </c>
      <c r="E653" s="239">
        <v>15</v>
      </c>
      <c r="F653" s="390">
        <v>4325</v>
      </c>
      <c r="G653" s="391">
        <v>5500</v>
      </c>
      <c r="H653" s="390"/>
      <c r="I653" s="391"/>
      <c r="J653" s="390"/>
      <c r="K653" s="391"/>
      <c r="L653" s="390"/>
      <c r="M653" s="391"/>
      <c r="N653" s="390"/>
      <c r="O653" s="391"/>
      <c r="P653" s="390"/>
      <c r="Q653" s="391"/>
      <c r="R653" s="390"/>
      <c r="S653" s="391"/>
      <c r="T653" s="390"/>
      <c r="U653" s="391"/>
      <c r="V653" s="390"/>
      <c r="W653" s="391"/>
      <c r="X653" s="390"/>
      <c r="Y653" s="391"/>
      <c r="Z653" s="390"/>
      <c r="AA653" s="391"/>
      <c r="AB653" s="390"/>
      <c r="AC653" s="391"/>
      <c r="AD653" s="390"/>
      <c r="AE653" s="391"/>
      <c r="AF653" s="390"/>
      <c r="AG653" s="391"/>
      <c r="AH653" s="390"/>
      <c r="AI653" s="391"/>
      <c r="AJ653" s="390"/>
      <c r="AK653" s="391"/>
      <c r="AL653" s="390"/>
      <c r="AM653" s="391"/>
      <c r="AN653" s="390"/>
      <c r="AO653" s="391"/>
    </row>
    <row r="654" spans="1:41" ht="12.6" hidden="1" customHeight="1">
      <c r="A654" s="239" t="s">
        <v>485</v>
      </c>
      <c r="B654" s="237" t="s">
        <v>520</v>
      </c>
      <c r="C654" s="237"/>
      <c r="D654" s="239">
        <v>486202</v>
      </c>
      <c r="E654" s="239">
        <v>15</v>
      </c>
      <c r="F654" s="390">
        <v>1723</v>
      </c>
      <c r="G654" s="399">
        <v>4812</v>
      </c>
      <c r="H654" s="390"/>
      <c r="I654" s="391"/>
      <c r="J654" s="390"/>
      <c r="K654" s="391"/>
      <c r="L654" s="390"/>
      <c r="M654" s="391"/>
      <c r="N654" s="390"/>
      <c r="O654" s="391"/>
      <c r="P654" s="390"/>
      <c r="Q654" s="391"/>
      <c r="R654" s="390"/>
      <c r="S654" s="391"/>
      <c r="T654" s="390"/>
      <c r="U654" s="391"/>
      <c r="V654" s="390"/>
      <c r="W654" s="391"/>
      <c r="X654" s="390"/>
      <c r="Y654" s="391"/>
      <c r="Z654" s="390"/>
      <c r="AA654" s="391"/>
      <c r="AB654" s="390"/>
      <c r="AC654" s="391"/>
      <c r="AD654" s="390"/>
      <c r="AE654" s="391"/>
      <c r="AF654" s="390"/>
      <c r="AG654" s="391"/>
      <c r="AH654" s="390"/>
      <c r="AI654" s="391"/>
      <c r="AJ654" s="390"/>
      <c r="AK654" s="391"/>
      <c r="AL654" s="390"/>
      <c r="AM654" s="391"/>
      <c r="AN654" s="390"/>
      <c r="AO654" s="391"/>
    </row>
    <row r="655" spans="1:41" ht="12.6" hidden="1" customHeight="1">
      <c r="A655" s="239" t="s">
        <v>485</v>
      </c>
      <c r="B655" s="237" t="s">
        <v>654</v>
      </c>
      <c r="C655" s="237"/>
      <c r="D655" s="239">
        <v>486406</v>
      </c>
      <c r="E655" s="239">
        <v>15</v>
      </c>
      <c r="F655" s="390">
        <v>6000</v>
      </c>
      <c r="G655" s="391">
        <v>6000</v>
      </c>
      <c r="H655" s="390"/>
      <c r="I655" s="391"/>
      <c r="J655" s="390"/>
      <c r="K655" s="391"/>
      <c r="L655" s="390"/>
      <c r="M655" s="391"/>
      <c r="N655" s="390"/>
      <c r="O655" s="391"/>
      <c r="P655" s="390"/>
      <c r="Q655" s="391"/>
      <c r="R655" s="390"/>
      <c r="S655" s="391"/>
      <c r="T655" s="390"/>
      <c r="U655" s="391"/>
      <c r="V655" s="390"/>
      <c r="W655" s="391"/>
      <c r="X655" s="390"/>
      <c r="Y655" s="391"/>
      <c r="Z655" s="390"/>
      <c r="AA655" s="391"/>
      <c r="AB655" s="390"/>
      <c r="AC655" s="391"/>
      <c r="AD655" s="390"/>
      <c r="AE655" s="391"/>
      <c r="AF655" s="390"/>
      <c r="AG655" s="391"/>
      <c r="AH655" s="390"/>
      <c r="AI655" s="391"/>
      <c r="AJ655" s="390"/>
      <c r="AK655" s="391"/>
      <c r="AL655" s="390"/>
      <c r="AM655" s="391"/>
      <c r="AN655" s="390"/>
      <c r="AO655" s="391"/>
    </row>
    <row r="656" spans="1:41" s="201" customFormat="1" ht="12.75" hidden="1">
      <c r="A656" s="239" t="s">
        <v>485</v>
      </c>
      <c r="B656" s="237" t="s">
        <v>655</v>
      </c>
      <c r="C656" s="237"/>
      <c r="D656" s="295" t="s">
        <v>84</v>
      </c>
      <c r="E656" s="239">
        <v>15</v>
      </c>
      <c r="F656" s="390">
        <v>2500</v>
      </c>
      <c r="G656" s="398">
        <v>4618</v>
      </c>
      <c r="H656" s="390"/>
      <c r="I656" s="391"/>
      <c r="J656" s="390"/>
      <c r="K656" s="391"/>
      <c r="L656" s="390"/>
      <c r="M656" s="391"/>
      <c r="N656" s="390"/>
      <c r="O656" s="391"/>
      <c r="P656" s="390"/>
      <c r="Q656" s="391"/>
      <c r="R656" s="390"/>
      <c r="S656" s="391"/>
      <c r="T656" s="390"/>
      <c r="U656" s="391"/>
      <c r="V656" s="390"/>
      <c r="W656" s="391"/>
      <c r="X656" s="390"/>
      <c r="Y656" s="391"/>
      <c r="Z656" s="390"/>
      <c r="AA656" s="391"/>
      <c r="AB656" s="390"/>
      <c r="AC656" s="391"/>
      <c r="AD656" s="390"/>
      <c r="AE656" s="391"/>
      <c r="AF656" s="390"/>
      <c r="AG656" s="391"/>
      <c r="AH656" s="390"/>
      <c r="AI656" s="391"/>
      <c r="AJ656" s="390"/>
      <c r="AK656" s="391"/>
      <c r="AL656" s="390"/>
      <c r="AM656" s="391"/>
      <c r="AN656" s="390"/>
      <c r="AO656" s="391"/>
    </row>
    <row r="657" spans="1:41" ht="12.6" hidden="1" customHeight="1">
      <c r="A657" s="239" t="s">
        <v>485</v>
      </c>
      <c r="B657" s="237" t="s">
        <v>835</v>
      </c>
      <c r="C657" s="237"/>
      <c r="D657" s="239">
        <v>238096</v>
      </c>
      <c r="E657" s="239">
        <v>15</v>
      </c>
      <c r="F657" s="390">
        <v>3575</v>
      </c>
      <c r="G657" s="398">
        <v>7120</v>
      </c>
      <c r="H657" s="390"/>
      <c r="I657" s="391"/>
      <c r="J657" s="390"/>
      <c r="K657" s="391"/>
      <c r="L657" s="390"/>
      <c r="M657" s="391"/>
      <c r="N657" s="390"/>
      <c r="O657" s="391"/>
      <c r="P657" s="390"/>
      <c r="Q657" s="391"/>
      <c r="R657" s="390"/>
      <c r="S657" s="391"/>
      <c r="T657" s="390"/>
      <c r="U657" s="391"/>
      <c r="V657" s="390"/>
      <c r="W657" s="391"/>
      <c r="X657" s="390"/>
      <c r="Y657" s="391"/>
      <c r="Z657" s="390"/>
      <c r="AA657" s="391"/>
      <c r="AB657" s="390"/>
      <c r="AC657" s="391"/>
      <c r="AD657" s="390"/>
      <c r="AE657" s="391"/>
      <c r="AF657" s="390"/>
      <c r="AG657" s="391"/>
      <c r="AH657" s="390"/>
      <c r="AI657" s="391"/>
      <c r="AJ657" s="390"/>
      <c r="AK657" s="391"/>
      <c r="AL657" s="390"/>
      <c r="AM657" s="391"/>
      <c r="AN657" s="390"/>
      <c r="AO657" s="391"/>
    </row>
  </sheetData>
  <autoFilter ref="A1:AR657" xr:uid="{7FB55880-10D2-41EA-AAE2-0ED4511BEEDC}">
    <filterColumn colId="4">
      <filters>
        <filter val="6"/>
      </filters>
    </filterColumn>
  </autoFilter>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35822-A0BF-4E6C-84CC-0DA4AC48F976}">
  <sheetPr codeName="Sheet11"/>
  <dimension ref="A1:D18"/>
  <sheetViews>
    <sheetView workbookViewId="0">
      <selection activeCell="F20" sqref="F20"/>
    </sheetView>
  </sheetViews>
  <sheetFormatPr defaultRowHeight="15"/>
  <sheetData>
    <row r="1" spans="1:4">
      <c r="A1" s="12" t="s">
        <v>19</v>
      </c>
      <c r="B1" s="13" t="s">
        <v>540</v>
      </c>
      <c r="C1" s="13"/>
      <c r="D1" s="14"/>
    </row>
    <row r="2" spans="1:4">
      <c r="A2" s="19" t="s">
        <v>544</v>
      </c>
      <c r="B2" s="20">
        <f>IFERROR(GETPIVOTDATA("[Measures].[mNewGOS]",'Pivot Table SREB'!$A$78,"[Range 1].[Type]","[Range 1].[Type].&amp;[1]"), " ")</f>
        <v>29618</v>
      </c>
      <c r="C2" s="20"/>
      <c r="D2" s="21"/>
    </row>
    <row r="3" spans="1:4">
      <c r="A3" s="19" t="s">
        <v>545</v>
      </c>
      <c r="B3" s="20">
        <f>IFERROR(GETPIVOTDATA("[Measures].[mNewGOS]",'Pivot Table SREB'!$A$78,"[Range 1].[Type]","[Range 1].[Type].&amp;[2]"), " ")</f>
        <v>22144</v>
      </c>
      <c r="C3" s="20"/>
      <c r="D3" s="21"/>
    </row>
    <row r="4" spans="1:4">
      <c r="A4" s="19" t="s">
        <v>546</v>
      </c>
      <c r="B4" s="20">
        <f>IFERROR(GETPIVOTDATA("[Measures].[mNewGOS]",'Pivot Table SREB'!$A$78,"[Range 1].[Type]","[Range 1].[Type].&amp;[3]"), " ")</f>
        <v>20773.333333333299</v>
      </c>
      <c r="C4" s="20"/>
      <c r="D4" s="21"/>
    </row>
    <row r="5" spans="1:4">
      <c r="A5" s="19" t="s">
        <v>547</v>
      </c>
      <c r="B5" s="20">
        <f>IFERROR(GETPIVOTDATA("[Measures].[mNewGOS]",'Pivot Table SREB'!$A$78,"[Range 1].[Type]","[Range 1].[Type].&amp;[4]"), " ")</f>
        <v>18599</v>
      </c>
      <c r="C5" s="20"/>
      <c r="D5" s="21"/>
    </row>
    <row r="6" spans="1:4">
      <c r="A6" s="19" t="s">
        <v>548</v>
      </c>
      <c r="B6" s="20">
        <f>IFERROR(GETPIVOTDATA("[Measures].[mNewGOS]",'Pivot Table SREB'!$A$78,"[Range 1].[Type]","[Range 1].[Type].&amp;[5]"), " ")</f>
        <v>19256</v>
      </c>
      <c r="C6" s="20"/>
      <c r="D6" s="21"/>
    </row>
    <row r="7" spans="1:4">
      <c r="A7" s="19" t="s">
        <v>549</v>
      </c>
      <c r="B7" s="20">
        <f>IFERROR(GETPIVOTDATA("[Measures].[mNewGOS]",'Pivot Table SREB'!$A$78,"[Range 1].[Type]","[Range 1].[Type].&amp;[6]"), " ")</f>
        <v>17302.5</v>
      </c>
      <c r="C7" s="20"/>
      <c r="D7" s="21"/>
    </row>
    <row r="8" spans="1:4">
      <c r="A8" s="30" t="s">
        <v>550</v>
      </c>
      <c r="B8" s="31">
        <f>IFERROR(GETPIVOTDATA("[Measures].[mNewGOS]",'Pivot Table SREB'!$A$4), " ")</f>
        <v>20902.666666666701</v>
      </c>
      <c r="C8" s="31"/>
      <c r="D8" s="32"/>
    </row>
    <row r="9" spans="1:4">
      <c r="A9" s="19" t="s">
        <v>551</v>
      </c>
      <c r="B9" s="20">
        <f>IFERROR(GETPIVOTDATA("[Measures].[mNewGOS]",'Pivot Table SREB'!$A$78,"[Range 1].[Type]","[Range 1].[Type].&amp;[7]"), " ")</f>
        <v>0</v>
      </c>
      <c r="C9" s="20"/>
      <c r="D9" s="21"/>
    </row>
    <row r="10" spans="1:4">
      <c r="A10" s="19" t="s">
        <v>552</v>
      </c>
      <c r="B10" s="20">
        <f>IFERROR(GETPIVOTDATA("[Measures].[mNewGOS]",'Pivot Table SREB'!$A$78,"[Range 1].[Type]","[Range 1].[Type].&amp;[8]"), " ")</f>
        <v>0</v>
      </c>
      <c r="C10" s="20"/>
      <c r="D10" s="21"/>
    </row>
    <row r="11" spans="1:4">
      <c r="A11" s="19" t="s">
        <v>553</v>
      </c>
      <c r="B11" s="20">
        <f>IFERROR(GETPIVOTDATA("[Measures].[mNewGOS]",'Pivot Table SREB'!$A$78,"[Range 1].[Type]","[Range 1].[Type].&amp;[9]"), " ")</f>
        <v>0</v>
      </c>
      <c r="C11" s="20"/>
      <c r="D11" s="21"/>
    </row>
    <row r="12" spans="1:4">
      <c r="A12" s="19" t="s">
        <v>554</v>
      </c>
      <c r="B12" s="20">
        <f>IFERROR(GETPIVOTDATA("[Measures].[mNewGOS]",'Pivot Table SREB'!$A$78,"[Range 1].[Type]","[Range 1].[Type].&amp;[10]"), " ")</f>
        <v>0</v>
      </c>
      <c r="C12" s="20"/>
      <c r="D12" s="21"/>
    </row>
    <row r="13" spans="1:4">
      <c r="A13" s="30" t="s">
        <v>555</v>
      </c>
      <c r="B13" s="31">
        <f>IFERROR(GETPIVOTDATA("[Measures].[mNewGOS]",'Pivot Table SREB'!$A$31), " ")</f>
        <v>0</v>
      </c>
      <c r="C13" s="31"/>
      <c r="D13" s="32"/>
    </row>
    <row r="14" spans="1:4">
      <c r="A14" s="19" t="s">
        <v>556</v>
      </c>
      <c r="B14" s="20">
        <f>IFERROR(GETPIVOTDATA("[Measures].[mNewGOS]",'Pivot Table SREB'!$A$78,"[Range 1].[Type]","[Range 1].[Type].&amp;[12]"), " ")</f>
        <v>0</v>
      </c>
      <c r="C14" s="20"/>
      <c r="D14" s="59"/>
    </row>
    <row r="15" spans="1:4">
      <c r="A15" s="19" t="s">
        <v>557</v>
      </c>
      <c r="B15" s="20">
        <f>IFERROR(GETPIVOTDATA("[Measures].[mNewGOS]",'Pivot Table SREB'!$A$78,"[Range 1].[Type]","[Range 1].[Type].&amp;[13]"), " ")</f>
        <v>0</v>
      </c>
      <c r="C15" s="20"/>
      <c r="D15" s="21"/>
    </row>
    <row r="16" spans="1:4">
      <c r="A16" s="19" t="s">
        <v>558</v>
      </c>
      <c r="B16" s="20">
        <f>IFERROR(GETPIVOTDATA("[Measures].[mNewGOS]",'Pivot Table SREB'!$A$78,"[Range 1].[Type]","[Range 1].[Type].&amp;[14]"), " ")</f>
        <v>0</v>
      </c>
      <c r="C16" s="20"/>
      <c r="D16" s="21"/>
    </row>
    <row r="17" spans="1:4">
      <c r="A17" s="30" t="s">
        <v>559</v>
      </c>
      <c r="B17" s="31">
        <f>IFERROR(GETPIVOTDATA("[Measures].[mNewGOS]",'Pivot Table SREB'!$A$59), " ")</f>
        <v>0</v>
      </c>
      <c r="C17" s="31"/>
      <c r="D17" s="32"/>
    </row>
    <row r="18" spans="1:4">
      <c r="A18" s="41" t="s">
        <v>560</v>
      </c>
      <c r="B18" s="42"/>
      <c r="C18" s="42"/>
      <c r="D18" s="4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43C23-B0B4-4D80-A42C-64D5D837B769}">
  <sheetPr codeName="Sheet12">
    <tabColor rgb="FFFFC000"/>
  </sheetPr>
  <dimension ref="A1:BD40"/>
  <sheetViews>
    <sheetView workbookViewId="0">
      <selection activeCell="D9" sqref="D9"/>
    </sheetView>
  </sheetViews>
  <sheetFormatPr defaultRowHeight="15"/>
  <sheetData>
    <row r="1" spans="1:56">
      <c r="A1" s="5" t="s">
        <v>521</v>
      </c>
      <c r="B1" s="6"/>
      <c r="C1" s="7"/>
      <c r="D1" s="8"/>
      <c r="E1" s="7" t="s">
        <v>523</v>
      </c>
      <c r="F1" s="7"/>
      <c r="G1" s="7"/>
      <c r="H1" s="9" t="s">
        <v>524</v>
      </c>
      <c r="I1" s="7"/>
      <c r="J1" s="7"/>
      <c r="K1" s="9" t="s">
        <v>525</v>
      </c>
      <c r="L1" s="7"/>
      <c r="M1" s="8"/>
      <c r="N1" s="9" t="s">
        <v>526</v>
      </c>
      <c r="O1" s="7"/>
      <c r="P1" s="8"/>
      <c r="Q1" s="211" t="s">
        <v>527</v>
      </c>
      <c r="R1" s="212"/>
      <c r="S1" s="213"/>
      <c r="T1" s="211" t="s">
        <v>528</v>
      </c>
      <c r="U1" s="7"/>
      <c r="V1" s="8"/>
      <c r="W1" s="9" t="s">
        <v>529</v>
      </c>
      <c r="X1" s="7"/>
      <c r="Y1" s="8"/>
      <c r="Z1" s="9" t="s">
        <v>530</v>
      </c>
      <c r="AA1" s="7"/>
      <c r="AB1" s="8"/>
      <c r="AC1" s="9" t="s">
        <v>531</v>
      </c>
      <c r="AD1" s="7"/>
      <c r="AE1" s="8"/>
      <c r="AF1" s="9" t="s">
        <v>532</v>
      </c>
      <c r="AG1" s="7"/>
      <c r="AH1" s="8"/>
      <c r="AI1" s="9" t="s">
        <v>533</v>
      </c>
      <c r="AJ1" s="7"/>
      <c r="AK1" s="8"/>
      <c r="AL1" s="9" t="s">
        <v>534</v>
      </c>
      <c r="AM1" s="7"/>
      <c r="AN1" s="8"/>
      <c r="AO1" s="9" t="s">
        <v>535</v>
      </c>
      <c r="AP1" s="7"/>
      <c r="AQ1" s="8"/>
      <c r="AR1" s="9" t="s">
        <v>536</v>
      </c>
      <c r="AS1" s="7"/>
      <c r="AT1" s="8"/>
      <c r="AU1" s="9" t="s">
        <v>537</v>
      </c>
      <c r="AV1" s="7"/>
      <c r="AW1" s="8"/>
      <c r="AX1" s="9" t="s">
        <v>538</v>
      </c>
      <c r="AY1" s="7"/>
      <c r="AZ1" s="8"/>
      <c r="BA1" s="9" t="s">
        <v>539</v>
      </c>
      <c r="BB1" s="7"/>
      <c r="BC1" s="8"/>
    </row>
    <row r="2" spans="1:56">
      <c r="A2" s="11" t="s">
        <v>12</v>
      </c>
      <c r="B2" s="12" t="s">
        <v>19</v>
      </c>
      <c r="C2" s="13" t="s">
        <v>541</v>
      </c>
      <c r="D2" s="14" t="s">
        <v>542</v>
      </c>
      <c r="E2" s="13" t="s">
        <v>540</v>
      </c>
      <c r="F2" s="13" t="s">
        <v>541</v>
      </c>
      <c r="G2" s="15" t="s">
        <v>542</v>
      </c>
      <c r="H2" s="11" t="s">
        <v>540</v>
      </c>
      <c r="I2" s="13" t="s">
        <v>541</v>
      </c>
      <c r="J2" s="15" t="s">
        <v>542</v>
      </c>
      <c r="K2" s="16" t="s">
        <v>540</v>
      </c>
      <c r="L2" s="13" t="s">
        <v>541</v>
      </c>
      <c r="M2" s="14" t="s">
        <v>542</v>
      </c>
      <c r="N2" s="13" t="s">
        <v>540</v>
      </c>
      <c r="O2" s="13" t="s">
        <v>541</v>
      </c>
      <c r="P2" s="14" t="s">
        <v>542</v>
      </c>
      <c r="Q2" s="13" t="s">
        <v>540</v>
      </c>
      <c r="R2" s="13" t="s">
        <v>541</v>
      </c>
      <c r="S2" s="14" t="s">
        <v>542</v>
      </c>
      <c r="T2" s="13" t="s">
        <v>540</v>
      </c>
      <c r="U2" s="13" t="s">
        <v>541</v>
      </c>
      <c r="V2" s="14" t="s">
        <v>542</v>
      </c>
      <c r="W2" s="13" t="s">
        <v>540</v>
      </c>
      <c r="X2" s="13" t="s">
        <v>541</v>
      </c>
      <c r="Y2" s="14" t="s">
        <v>542</v>
      </c>
      <c r="Z2" s="13" t="s">
        <v>540</v>
      </c>
      <c r="AA2" s="13" t="s">
        <v>541</v>
      </c>
      <c r="AB2" s="14" t="s">
        <v>542</v>
      </c>
      <c r="AC2" s="13" t="s">
        <v>540</v>
      </c>
      <c r="AD2" s="13" t="s">
        <v>541</v>
      </c>
      <c r="AE2" s="14" t="s">
        <v>542</v>
      </c>
      <c r="AF2" s="13" t="s">
        <v>540</v>
      </c>
      <c r="AG2" s="13" t="s">
        <v>541</v>
      </c>
      <c r="AH2" s="14" t="s">
        <v>542</v>
      </c>
      <c r="AI2" s="13" t="s">
        <v>540</v>
      </c>
      <c r="AJ2" s="13" t="s">
        <v>541</v>
      </c>
      <c r="AK2" s="14" t="s">
        <v>542</v>
      </c>
      <c r="AL2" s="13" t="s">
        <v>540</v>
      </c>
      <c r="AM2" s="13" t="s">
        <v>541</v>
      </c>
      <c r="AN2" s="14" t="s">
        <v>542</v>
      </c>
      <c r="AO2" s="13" t="s">
        <v>540</v>
      </c>
      <c r="AP2" s="13" t="s">
        <v>541</v>
      </c>
      <c r="AQ2" s="14" t="s">
        <v>542</v>
      </c>
      <c r="AR2" s="13" t="s">
        <v>540</v>
      </c>
      <c r="AS2" s="13" t="s">
        <v>541</v>
      </c>
      <c r="AT2" s="14" t="s">
        <v>542</v>
      </c>
      <c r="AU2" s="13" t="s">
        <v>540</v>
      </c>
      <c r="AV2" s="13" t="s">
        <v>541</v>
      </c>
      <c r="AW2" s="14" t="s">
        <v>542</v>
      </c>
      <c r="AX2" s="13" t="s">
        <v>540</v>
      </c>
      <c r="AY2" s="13" t="s">
        <v>541</v>
      </c>
      <c r="AZ2" s="14" t="s">
        <v>542</v>
      </c>
      <c r="BA2" s="13" t="s">
        <v>540</v>
      </c>
      <c r="BB2" s="13" t="s">
        <v>541</v>
      </c>
      <c r="BC2" s="14" t="s">
        <v>542</v>
      </c>
    </row>
    <row r="3" spans="1:56">
      <c r="A3" s="18" t="s">
        <v>87</v>
      </c>
      <c r="B3" s="47" t="s">
        <v>544</v>
      </c>
      <c r="C3" s="20">
        <f>IFERROR(GETPIVOTDATA("[Measures].[mOldUGIS]",'Pivot Table Cats'!$A$3,"[Range 1].[State]","[Range 1].[State].&amp;[WV]","[Range 1].[Type]","[Range 1].[Type].&amp;[1]")," ")</f>
        <v>8976</v>
      </c>
      <c r="D3" s="20">
        <f>IFERROR(GETPIVOTDATA("[Measures].[mNewUGIS]",'Pivot Table Cats'!$A$3,"[Range 1].[State]","[Range 1].[State].&amp;[WV]","[Range 1].[Type]","[Range 1].[Type].&amp;[1]")," ")</f>
        <v>9144</v>
      </c>
      <c r="E3" s="21">
        <f>IFERROR(IF(C3&gt;0,(((D3-C3)/C3)*100),0), " ")</f>
        <v>1.8716577540106951</v>
      </c>
      <c r="F3" s="20">
        <f>IFERROR(GETPIVOTDATA("[Measures].[mOldUGOS]",'Pivot Table Cats'!$A$3,"[Range 1].[State]","[Range 1].[State].&amp;[WV]","[Range 1].[Type]","[Range 1].[Type].&amp;[1]")," ")</f>
        <v>25320</v>
      </c>
      <c r="G3" s="20">
        <f>IFERROR(GETPIVOTDATA("[Measures].[mNewUGOS]",'Pivot Table Cats'!$A$3,"[Range 1].[State]","[Range 1].[State].&amp;[WV]","[Range 1].[Type]","[Range 1].[Type].&amp;[1]")," ")</f>
        <v>25824</v>
      </c>
      <c r="H3" s="21">
        <f>IFERROR(IF(F3&gt;0,(((G3-F3)/F3)*100),0), " ")</f>
        <v>1.9905213270142181</v>
      </c>
      <c r="I3" s="20">
        <f>IFERROR(GETPIVOTDATA("[Measures].[mOldGIS]",'Pivot Table Cats'!$A$3,"[Range 1].[State]","[Range 1].[State].&amp;[WV]","[Range 1].[Type]","[Range 1].[Type].&amp;[1]")," ")</f>
        <v>10134</v>
      </c>
      <c r="J3" s="20">
        <f>IFERROR(GETPIVOTDATA("[Measures].[mNewGIS]",'Pivot Table Cats'!$A$3,"[Range 1].[State]","[Range 1].[State].&amp;[WV]","[Range 1].[Type]","[Range 1].[Type].&amp;[1]")," ")</f>
        <v>10332</v>
      </c>
      <c r="K3" s="21">
        <f>IFERROR(IF(I3&gt;0,(((J3-I3)/I3)*100),0), " ")</f>
        <v>1.9538188277087036</v>
      </c>
      <c r="L3" s="20">
        <f>IFERROR(GETPIVOTDATA("[Measures].[mOldGOS]",'Pivot Table Cats'!$A$3,"[Range 1].[State]","[Range 1].[State].&amp;[WV]","[Range 1].[Type]","[Range 1].[Type].&amp;[1]")," ")</f>
        <v>26154</v>
      </c>
      <c r="M3" s="20">
        <f>IFERROR(GETPIVOTDATA("[Measures].[mNewGOS]",'Pivot Table Cats'!$A$3,"[Range 1].[State]","[Range 1].[State].&amp;[WV]","[Range 1].[Type]","[Range 1].[Type].&amp;[1]")," ")</f>
        <v>26676</v>
      </c>
      <c r="N3" s="21">
        <f>IFERROR(IF(L3&gt;0,(((M3-L3)/L3)*100),0), " ")</f>
        <v>1.9958706125258088</v>
      </c>
      <c r="O3" s="25"/>
      <c r="P3" s="26"/>
      <c r="Q3" s="27"/>
      <c r="R3" s="25"/>
      <c r="S3" s="26"/>
      <c r="T3" s="27"/>
      <c r="U3" s="25"/>
      <c r="V3" s="26"/>
      <c r="W3" s="27"/>
      <c r="X3" s="25"/>
      <c r="Y3" s="26"/>
      <c r="Z3" s="27"/>
      <c r="AA3" s="25"/>
      <c r="AB3" s="26"/>
      <c r="AC3" s="27"/>
      <c r="AD3" s="25"/>
      <c r="AE3" s="26"/>
      <c r="AF3" s="27"/>
      <c r="AG3" s="25"/>
      <c r="AH3" s="26"/>
      <c r="AI3" s="27"/>
      <c r="AJ3" s="25"/>
      <c r="AK3" s="26"/>
      <c r="AL3" s="27"/>
      <c r="AM3" s="25"/>
      <c r="AN3" s="26"/>
      <c r="AO3" s="27"/>
      <c r="AP3" s="25"/>
      <c r="AQ3" s="26"/>
      <c r="AR3" s="27"/>
      <c r="AS3" s="25"/>
      <c r="AT3" s="26"/>
      <c r="AU3" s="27"/>
      <c r="AV3" s="25"/>
      <c r="AW3" s="26"/>
      <c r="AX3" s="27"/>
      <c r="AY3" s="25"/>
      <c r="AZ3" s="26"/>
      <c r="BA3" s="27"/>
      <c r="BB3" s="25"/>
      <c r="BC3" s="26"/>
      <c r="BD3" s="27"/>
    </row>
    <row r="4" spans="1:56">
      <c r="A4" s="28"/>
      <c r="B4" s="19" t="s">
        <v>545</v>
      </c>
      <c r="C4" s="20" t="str">
        <f>IFERROR(GETPIVOTDATA("[Measures].[mOldUGIS]",'Pivot Table Cats'!$A$3,"[Range 1].[State]","[Range 1].[State].&amp;[WV]","[Range 1].[Type]","[Range 1].[Type].&amp;[2]")," ")</f>
        <v xml:space="preserve"> </v>
      </c>
      <c r="D4" s="20" t="str">
        <f>IFERROR(GETPIVOTDATA("[Measures].[mNewUGIS]",'Pivot Table Cats'!$A$3,"[Range 1].[State]","[Range 1].[State].&amp;[WV]","[Range 1].[Type]","[Range 1].[Type].&amp;[2]")," ")</f>
        <v xml:space="preserve"> </v>
      </c>
      <c r="E4" s="21" t="str">
        <f t="shared" ref="E4:E18" si="0">IFERROR(IF(C4&gt;0,(((D4-C4)/C4)*100),0), " ")</f>
        <v xml:space="preserve"> </v>
      </c>
      <c r="F4" s="20" t="str">
        <f>IFERROR(GETPIVOTDATA("[Measures].[mOldUGOS]",'Pivot Table Cats'!$A$3,"[Range 1].[State]","[Range 1].[State].&amp;[WV]","[Range 1].[Type]","[Range 1].[Type].&amp;[2]")," ")</f>
        <v xml:space="preserve"> </v>
      </c>
      <c r="G4" s="20" t="str">
        <f>IFERROR(GETPIVOTDATA("[Measures].[mNewUGOS]",'Pivot Table Cats'!$A$3,"[Range 1].[State]","[Range 1].[State].&amp;[WV]","[Range 1].[Type]","[Range 1].[Type].&amp;[2]")," ")</f>
        <v xml:space="preserve"> </v>
      </c>
      <c r="H4" s="21" t="str">
        <f t="shared" ref="H4:H18" si="1">IFERROR(IF(F4&gt;0,(((G4-F4)/F4)*100),0), " ")</f>
        <v xml:space="preserve"> </v>
      </c>
      <c r="I4" s="20" t="str">
        <f>IFERROR(GETPIVOTDATA("[Measures].[mOldGIS]",'Pivot Table Cats'!$A$3,"[Range 1].[State]","[Range 1].[State].&amp;[WV]","[Range 1].[Type]","[Range 1].[Type].&amp;[2]")," ")</f>
        <v xml:space="preserve"> </v>
      </c>
      <c r="J4" s="20" t="str">
        <f>IFERROR(GETPIVOTDATA("[Measures].[mNewGIS]",'Pivot Table Cats'!$A$3,"[Range 1].[State]","[Range 1].[State].&amp;[WV]","[Range 1].[Type]","[Range 1].[Type].&amp;[2]")," ")</f>
        <v xml:space="preserve"> </v>
      </c>
      <c r="K4" s="21" t="str">
        <f t="shared" ref="K4:K18" si="2">IFERROR(IF(I4&gt;0,(((J4-I4)/I4)*100),0), " ")</f>
        <v xml:space="preserve"> </v>
      </c>
      <c r="L4" s="20" t="str">
        <f>IFERROR(GETPIVOTDATA("[Measures].[mOldGOS]",'Pivot Table Cats'!$A$3,"[Range 1].[State]","[Range 1].[State].&amp;[WV]","[Range 1].[Type]","[Range 1].[Type].&amp;[2]")," ")</f>
        <v xml:space="preserve"> </v>
      </c>
      <c r="M4" s="20" t="str">
        <f>IFERROR(GETPIVOTDATA("[Measures].[mNewGOS]",'Pivot Table Cats'!$A$3,"[Range 1].[State]","[Range 1].[State].&amp;[WV]","[Range 1].[Type]","[Range 1].[Type].&amp;[2]")," ")</f>
        <v xml:space="preserve"> </v>
      </c>
      <c r="N4" s="21" t="str">
        <f t="shared" ref="N4:N18" si="3">IFERROR(IF(L4&gt;0,(((M4-L4)/L4)*100),0), " ")</f>
        <v xml:space="preserve"> </v>
      </c>
      <c r="O4" s="25"/>
      <c r="P4" s="26"/>
      <c r="Q4" s="27"/>
      <c r="R4" s="25"/>
      <c r="S4" s="26"/>
      <c r="T4" s="27"/>
      <c r="U4" s="25"/>
      <c r="V4" s="26"/>
      <c r="W4" s="27"/>
      <c r="X4" s="25"/>
      <c r="Y4" s="26"/>
      <c r="Z4" s="27"/>
      <c r="AA4" s="25"/>
      <c r="AB4" s="26"/>
      <c r="AC4" s="27"/>
      <c r="AD4" s="25"/>
      <c r="AE4" s="26"/>
      <c r="AF4" s="27"/>
      <c r="AG4" s="25"/>
      <c r="AH4" s="26"/>
      <c r="AI4" s="27"/>
      <c r="AJ4" s="25"/>
      <c r="AK4" s="26"/>
      <c r="AL4" s="27"/>
      <c r="AM4" s="25"/>
      <c r="AN4" s="26"/>
      <c r="AO4" s="27"/>
      <c r="AP4" s="25"/>
      <c r="AQ4" s="26"/>
      <c r="AR4" s="27"/>
      <c r="AS4" s="25"/>
      <c r="AT4" s="26"/>
      <c r="AU4" s="27"/>
      <c r="AV4" s="25"/>
      <c r="AW4" s="26"/>
      <c r="AX4" s="27"/>
      <c r="AY4" s="25"/>
      <c r="AZ4" s="26"/>
      <c r="BA4" s="27"/>
      <c r="BB4" s="25"/>
      <c r="BC4" s="26"/>
      <c r="BD4" s="27"/>
    </row>
    <row r="5" spans="1:56">
      <c r="A5" s="28"/>
      <c r="B5" s="19" t="s">
        <v>546</v>
      </c>
      <c r="C5" s="20">
        <f>IFERROR(GETPIVOTDATA("[Measures].[mOldUGIS]",'Pivot Table Cats'!$A$3,"[Range 1].[State]","[Range 1].[State].&amp;[WV]","[Range 1].[Type]","[Range 1].[Type].&amp;[3]")," ")</f>
        <v>8512</v>
      </c>
      <c r="D5" s="20">
        <f>IFERROR(GETPIVOTDATA("[Measures].[mNewUGIS]",'Pivot Table Cats'!$A$3,"[Range 1].[State]","[Range 1].[State].&amp;[WV]","[Range 1].[Type]","[Range 1].[Type].&amp;[3]")," ")</f>
        <v>8552</v>
      </c>
      <c r="E5" s="21">
        <f t="shared" si="0"/>
        <v>0.46992481203007519</v>
      </c>
      <c r="F5" s="20">
        <f>IFERROR(GETPIVOTDATA("[Measures].[mOldUGOS]",'Pivot Table Cats'!$A$3,"[Range 1].[State]","[Range 1].[State].&amp;[WV]","[Range 1].[Type]","[Range 1].[Type].&amp;[3]")," ")</f>
        <v>19366</v>
      </c>
      <c r="G5" s="20">
        <f>IFERROR(GETPIVOTDATA("[Measures].[mNewUGOS]",'Pivot Table Cats'!$A$3,"[Range 1].[State]","[Range 1].[State].&amp;[WV]","[Range 1].[Type]","[Range 1].[Type].&amp;[3]")," ")</f>
        <v>19606</v>
      </c>
      <c r="H5" s="21">
        <f t="shared" si="1"/>
        <v>1.2392853454507902</v>
      </c>
      <c r="I5" s="20">
        <f>IFERROR(GETPIVOTDATA("[Measures].[mOldGIS]",'Pivot Table Cats'!$A$3,"[Range 1].[State]","[Range 1].[State].&amp;[WV]","[Range 1].[Type]","[Range 1].[Type].&amp;[3]")," ")</f>
        <v>8828</v>
      </c>
      <c r="J5" s="20">
        <f>IFERROR(GETPIVOTDATA("[Measures].[mNewGIS]",'Pivot Table Cats'!$A$3,"[Range 1].[State]","[Range 1].[State].&amp;[WV]","[Range 1].[Type]","[Range 1].[Type].&amp;[3]")," ")</f>
        <v>8882</v>
      </c>
      <c r="K5" s="21">
        <f t="shared" si="2"/>
        <v>0.61169007702763933</v>
      </c>
      <c r="L5" s="20">
        <f>IFERROR(GETPIVOTDATA("[Measures].[mOldGOS]",'Pivot Table Cats'!$A$3,"[Range 1].[State]","[Range 1].[State].&amp;[WV]","[Range 1].[Type]","[Range 1].[Type].&amp;[3]")," ")</f>
        <v>21162</v>
      </c>
      <c r="M5" s="20">
        <f>IFERROR(GETPIVOTDATA("[Measures].[mNewGOS]",'Pivot Table Cats'!$A$3,"[Range 1].[State]","[Range 1].[State].&amp;[WV]","[Range 1].[Type]","[Range 1].[Type].&amp;[3]")," ")</f>
        <v>21434</v>
      </c>
      <c r="N5" s="21">
        <f t="shared" si="3"/>
        <v>1.2853227483224647</v>
      </c>
      <c r="O5" s="25"/>
      <c r="P5" s="26"/>
      <c r="Q5" s="27"/>
      <c r="R5" s="25"/>
      <c r="S5" s="26"/>
      <c r="T5" s="27"/>
      <c r="U5" s="25"/>
      <c r="V5" s="26"/>
      <c r="W5" s="27"/>
      <c r="X5" s="25"/>
      <c r="Y5" s="26"/>
      <c r="Z5" s="27"/>
      <c r="AA5" s="25"/>
      <c r="AB5" s="26"/>
      <c r="AC5" s="27"/>
      <c r="AD5" s="25"/>
      <c r="AE5" s="26"/>
      <c r="AF5" s="27"/>
      <c r="AG5" s="25"/>
      <c r="AH5" s="26"/>
      <c r="AI5" s="27"/>
      <c r="AJ5" s="25"/>
      <c r="AK5" s="26"/>
      <c r="AL5" s="27"/>
      <c r="AM5" s="25"/>
      <c r="AN5" s="26"/>
      <c r="AO5" s="27"/>
      <c r="AP5" s="25"/>
      <c r="AQ5" s="26"/>
      <c r="AR5" s="27"/>
      <c r="AS5" s="25"/>
      <c r="AT5" s="26"/>
      <c r="AU5" s="27"/>
      <c r="AV5" s="25"/>
      <c r="AW5" s="26"/>
      <c r="AX5" s="27"/>
      <c r="AY5" s="25"/>
      <c r="AZ5" s="26"/>
      <c r="BA5" s="27"/>
      <c r="BB5" s="25"/>
      <c r="BC5" s="26"/>
      <c r="BD5" s="27"/>
    </row>
    <row r="6" spans="1:56">
      <c r="A6" s="28"/>
      <c r="B6" s="19" t="s">
        <v>547</v>
      </c>
      <c r="C6" s="20">
        <f>IFERROR(GETPIVOTDATA("[Measures].[mOldUGIS]",'Pivot Table Cats'!$A$3,"[Range 1].[State]","[Range 1].[State].&amp;[WV]","[Range 1].[Type]","[Range 1].[Type].&amp;[4]")," ")</f>
        <v>8031</v>
      </c>
      <c r="D6" s="20">
        <f>IFERROR(GETPIVOTDATA("[Measures].[mNewUGIS]",'Pivot Table Cats'!$A$3,"[Range 1].[State]","[Range 1].[State].&amp;[WV]","[Range 1].[Type]","[Range 1].[Type].&amp;[4]")," ")</f>
        <v>8229</v>
      </c>
      <c r="E6" s="21">
        <f t="shared" si="0"/>
        <v>2.4654463952185282</v>
      </c>
      <c r="F6" s="20">
        <f>IFERROR(GETPIVOTDATA("[Measures].[mOldUGOS]",'Pivot Table Cats'!$A$3,"[Range 1].[State]","[Range 1].[State].&amp;[WV]","[Range 1].[Type]","[Range 1].[Type].&amp;[4]")," ")</f>
        <v>14845</v>
      </c>
      <c r="G6" s="20">
        <f>IFERROR(GETPIVOTDATA("[Measures].[mNewUGOS]",'Pivot Table Cats'!$A$3,"[Range 1].[State]","[Range 1].[State].&amp;[WV]","[Range 1].[Type]","[Range 1].[Type].&amp;[4]")," ")</f>
        <v>15182</v>
      </c>
      <c r="H6" s="21">
        <f t="shared" si="1"/>
        <v>2.2701246210845403</v>
      </c>
      <c r="I6" s="20">
        <f>IFERROR(GETPIVOTDATA("[Measures].[mOldGIS]",'Pivot Table Cats'!$A$3,"[Range 1].[State]","[Range 1].[State].&amp;[WV]","[Range 1].[Type]","[Range 1].[Type].&amp;[4]")," ")</f>
        <v>8252</v>
      </c>
      <c r="J6" s="20">
        <f>IFERROR(GETPIVOTDATA("[Measures].[mNewGIS]",'Pivot Table Cats'!$A$3,"[Range 1].[State]","[Range 1].[State].&amp;[WV]","[Range 1].[Type]","[Range 1].[Type].&amp;[4]")," ")</f>
        <v>8335</v>
      </c>
      <c r="K6" s="21">
        <f t="shared" si="2"/>
        <v>1.005816771691711</v>
      </c>
      <c r="L6" s="20">
        <f>IFERROR(GETPIVOTDATA("[Measures].[mOldGOS]",'Pivot Table Cats'!$A$3,"[Range 1].[State]","[Range 1].[State].&amp;[WV]","[Range 1].[Type]","[Range 1].[Type].&amp;[4]")," ")</f>
        <v>13655</v>
      </c>
      <c r="M6" s="20">
        <f>IFERROR(GETPIVOTDATA("[Measures].[mNewGOS]",'Pivot Table Cats'!$A$3,"[Range 1].[State]","[Range 1].[State].&amp;[WV]","[Range 1].[Type]","[Range 1].[Type].&amp;[4]")," ")</f>
        <v>13738</v>
      </c>
      <c r="N6" s="21">
        <f t="shared" si="3"/>
        <v>0.60783595752471631</v>
      </c>
      <c r="O6" s="25"/>
      <c r="P6" s="26"/>
      <c r="Q6" s="27"/>
      <c r="R6" s="25"/>
      <c r="S6" s="26"/>
      <c r="T6" s="27"/>
      <c r="U6" s="25"/>
      <c r="V6" s="26"/>
      <c r="W6" s="27"/>
      <c r="X6" s="25"/>
      <c r="Y6" s="26"/>
      <c r="Z6" s="27"/>
      <c r="AA6" s="25"/>
      <c r="AB6" s="26"/>
      <c r="AC6" s="27"/>
      <c r="AD6" s="25"/>
      <c r="AE6" s="26"/>
      <c r="AF6" s="27"/>
      <c r="AG6" s="25"/>
      <c r="AH6" s="26"/>
      <c r="AI6" s="27"/>
      <c r="AJ6" s="25"/>
      <c r="AK6" s="26"/>
      <c r="AL6" s="27"/>
      <c r="AM6" s="25"/>
      <c r="AN6" s="26"/>
      <c r="AO6" s="27"/>
      <c r="AP6" s="25"/>
      <c r="AQ6" s="26"/>
      <c r="AR6" s="27"/>
      <c r="AS6" s="25"/>
      <c r="AT6" s="26"/>
      <c r="AU6" s="27"/>
      <c r="AV6" s="25"/>
      <c r="AW6" s="26"/>
      <c r="AX6" s="27"/>
      <c r="AY6" s="25"/>
      <c r="AZ6" s="26"/>
      <c r="BA6" s="27"/>
      <c r="BB6" s="25"/>
      <c r="BC6" s="26"/>
      <c r="BD6" s="27"/>
    </row>
    <row r="7" spans="1:56">
      <c r="A7" s="28"/>
      <c r="B7" s="19" t="s">
        <v>548</v>
      </c>
      <c r="C7" s="20">
        <f>IFERROR(GETPIVOTDATA("[Measures].[mOldUGIS]",'Pivot Table Cats'!$A$3,"[Range 1].[State]","[Range 1].[State].&amp;[WV]","[Range 1].[Type]","[Range 1].[Type].&amp;[5]")," ")</f>
        <v>7784</v>
      </c>
      <c r="D7" s="20">
        <f>IFERROR(GETPIVOTDATA("[Measures].[mNewUGIS]",'Pivot Table Cats'!$A$3,"[Range 1].[State]","[Range 1].[State].&amp;[WV]","[Range 1].[Type]","[Range 1].[Type].&amp;[5]")," ")</f>
        <v>7892</v>
      </c>
      <c r="E7" s="21">
        <f t="shared" si="0"/>
        <v>1.3874614594039054</v>
      </c>
      <c r="F7" s="20">
        <f>IFERROR(GETPIVOTDATA("[Measures].[mOldUGOS]",'Pivot Table Cats'!$A$3,"[Range 1].[State]","[Range 1].[State].&amp;[WV]","[Range 1].[Type]","[Range 1].[Type].&amp;[5]")," ")</f>
        <v>17702</v>
      </c>
      <c r="G7" s="20">
        <f>IFERROR(GETPIVOTDATA("[Measures].[mNewUGOS]",'Pivot Table Cats'!$A$3,"[Range 1].[State]","[Range 1].[State].&amp;[WV]","[Range 1].[Type]","[Range 1].[Type].&amp;[5]")," ")</f>
        <v>17880</v>
      </c>
      <c r="H7" s="21">
        <f t="shared" si="1"/>
        <v>1.0055360976160885</v>
      </c>
      <c r="I7" s="20">
        <f>IFERROR(GETPIVOTDATA("[Measures].[mOldGIS]",'Pivot Table Cats'!$A$3,"[Range 1].[State]","[Range 1].[State].&amp;[WV]","[Range 1].[Type]","[Range 1].[Type].&amp;[5]")," ")</f>
        <v>8644</v>
      </c>
      <c r="J7" s="20">
        <f>IFERROR(GETPIVOTDATA("[Measures].[mNewGIS]",'Pivot Table Cats'!$A$3,"[Range 1].[State]","[Range 1].[State].&amp;[WV]","[Range 1].[Type]","[Range 1].[Type].&amp;[5]")," ")</f>
        <v>8730</v>
      </c>
      <c r="K7" s="21">
        <f t="shared" si="2"/>
        <v>0.99490976399814901</v>
      </c>
      <c r="L7" s="20">
        <f>IFERROR(GETPIVOTDATA("[Measures].[mOldGOS]",'Pivot Table Cats'!$A$3,"[Range 1].[State]","[Range 1].[State].&amp;[WV]","[Range 1].[Type]","[Range 1].[Type].&amp;[5]")," ")</f>
        <v>15072</v>
      </c>
      <c r="M7" s="20">
        <f>IFERROR(GETPIVOTDATA("[Measures].[mNewGOS]",'Pivot Table Cats'!$A$3,"[Range 1].[State]","[Range 1].[State].&amp;[WV]","[Range 1].[Type]","[Range 1].[Type].&amp;[5]")," ")</f>
        <v>15230</v>
      </c>
      <c r="N7" s="21">
        <f t="shared" si="3"/>
        <v>1.0483014861995754</v>
      </c>
      <c r="O7" s="25"/>
      <c r="P7" s="26"/>
      <c r="Q7" s="27"/>
      <c r="R7" s="25"/>
      <c r="S7" s="26"/>
      <c r="T7" s="27"/>
      <c r="U7" s="25"/>
      <c r="V7" s="26"/>
      <c r="W7" s="27"/>
      <c r="X7" s="25"/>
      <c r="Y7" s="26"/>
      <c r="Z7" s="27"/>
      <c r="AA7" s="25"/>
      <c r="AB7" s="26"/>
      <c r="AC7" s="27"/>
      <c r="AD7" s="25"/>
      <c r="AE7" s="26"/>
      <c r="AF7" s="27"/>
      <c r="AG7" s="25"/>
      <c r="AH7" s="26"/>
      <c r="AI7" s="27"/>
      <c r="AJ7" s="25"/>
      <c r="AK7" s="26"/>
      <c r="AL7" s="27"/>
      <c r="AM7" s="25"/>
      <c r="AN7" s="26"/>
      <c r="AO7" s="27"/>
      <c r="AP7" s="25"/>
      <c r="AQ7" s="26"/>
      <c r="AR7" s="27"/>
      <c r="AS7" s="25"/>
      <c r="AT7" s="26"/>
      <c r="AU7" s="27"/>
      <c r="AV7" s="25"/>
      <c r="AW7" s="26"/>
      <c r="AX7" s="27"/>
      <c r="AY7" s="25"/>
      <c r="AZ7" s="26"/>
      <c r="BA7" s="27"/>
      <c r="BB7" s="25"/>
      <c r="BC7" s="26"/>
      <c r="BD7" s="27"/>
    </row>
    <row r="8" spans="1:56">
      <c r="A8" s="28"/>
      <c r="B8" s="19" t="s">
        <v>549</v>
      </c>
      <c r="C8" s="20">
        <f>IFERROR(GETPIVOTDATA("[Measures].[mOldUGIS]",'Pivot Table Cats'!$A$3,"[Range 1].[State]","[Range 1].[State].&amp;[WV]","[Range 1].[Type]","[Range 1].[Type].&amp;[6]")," ")</f>
        <v>7584</v>
      </c>
      <c r="D8" s="20">
        <f>IFERROR(GETPIVOTDATA("[Measures].[mNewUGIS]",'Pivot Table Cats'!$A$3,"[Range 1].[State]","[Range 1].[State].&amp;[WV]","[Range 1].[Type]","[Range 1].[Type].&amp;[6]")," ")</f>
        <v>7886</v>
      </c>
      <c r="E8" s="21">
        <f t="shared" si="0"/>
        <v>3.9820675105485233</v>
      </c>
      <c r="F8" s="20">
        <f>IFERROR(GETPIVOTDATA("[Measures].[mOldUGOS]",'Pivot Table Cats'!$A$3,"[Range 1].[State]","[Range 1].[State].&amp;[WV]","[Range 1].[Type]","[Range 1].[Type].&amp;[6]")," ")</f>
        <v>14448</v>
      </c>
      <c r="G8" s="20">
        <f>IFERROR(GETPIVOTDATA("[Measures].[mNewUGOS]",'Pivot Table Cats'!$A$3,"[Range 1].[State]","[Range 1].[State].&amp;[WV]","[Range 1].[Type]","[Range 1].[Type].&amp;[6]")," ")</f>
        <v>15282</v>
      </c>
      <c r="H8" s="21">
        <f t="shared" si="1"/>
        <v>5.7724252491694354</v>
      </c>
      <c r="I8" s="20">
        <f>IFERROR(GETPIVOTDATA("[Measures].[mOldGIS]",'Pivot Table Cats'!$A$3,"[Range 1].[State]","[Range 1].[State].&amp;[WV]","[Range 1].[Type]","[Range 1].[Type].&amp;[6]")," ")</f>
        <v>0</v>
      </c>
      <c r="J8" s="20">
        <f>IFERROR(GETPIVOTDATA("[Measures].[mNewGIS]",'Pivot Table Cats'!$A$3,"[Range 1].[State]","[Range 1].[State].&amp;[WV]","[Range 1].[Type]","[Range 1].[Type].&amp;[6]")," ")</f>
        <v>0</v>
      </c>
      <c r="K8" s="21">
        <f t="shared" si="2"/>
        <v>0</v>
      </c>
      <c r="L8" s="20">
        <f>IFERROR(GETPIVOTDATA("[Measures].[mOldGOS]",'Pivot Table Cats'!$A$3,"[Range 1].[State]","[Range 1].[State].&amp;[WV]","[Range 1].[Type]","[Range 1].[Type].&amp;[6]")," ")</f>
        <v>0</v>
      </c>
      <c r="M8" s="20">
        <f>IFERROR(GETPIVOTDATA("[Measures].[mNewGOS]",'Pivot Table Cats'!$A$3,"[Range 1].[State]","[Range 1].[State].&amp;[WV]","[Range 1].[Type]","[Range 1].[Type].&amp;[6]")," ")</f>
        <v>0</v>
      </c>
      <c r="N8" s="21">
        <f t="shared" si="3"/>
        <v>0</v>
      </c>
      <c r="O8" s="25"/>
      <c r="P8" s="26"/>
      <c r="Q8" s="27"/>
      <c r="R8" s="25"/>
      <c r="S8" s="26"/>
      <c r="T8" s="27"/>
      <c r="U8" s="25"/>
      <c r="V8" s="26"/>
      <c r="W8" s="27"/>
      <c r="X8" s="25"/>
      <c r="Y8" s="26"/>
      <c r="Z8" s="27"/>
      <c r="AA8" s="25"/>
      <c r="AB8" s="26"/>
      <c r="AC8" s="27"/>
      <c r="AD8" s="25"/>
      <c r="AE8" s="26"/>
      <c r="AF8" s="27"/>
      <c r="AG8" s="25"/>
      <c r="AH8" s="26"/>
      <c r="AI8" s="27"/>
      <c r="AJ8" s="25"/>
      <c r="AK8" s="26"/>
      <c r="AL8" s="27"/>
      <c r="AM8" s="25"/>
      <c r="AN8" s="26"/>
      <c r="AO8" s="27"/>
      <c r="AP8" s="25"/>
      <c r="AQ8" s="26"/>
      <c r="AR8" s="27"/>
      <c r="AS8" s="25"/>
      <c r="AT8" s="26"/>
      <c r="AU8" s="27"/>
      <c r="AV8" s="25"/>
      <c r="AW8" s="26"/>
      <c r="AX8" s="27"/>
      <c r="AY8" s="25"/>
      <c r="AZ8" s="26"/>
      <c r="BA8" s="27"/>
      <c r="BB8" s="25"/>
      <c r="BC8" s="26"/>
      <c r="BD8" s="27"/>
    </row>
    <row r="9" spans="1:56">
      <c r="A9" s="29"/>
      <c r="B9" s="30" t="s">
        <v>550</v>
      </c>
      <c r="C9" s="31">
        <f>IFERROR(GETPIVOTDATA("[Measures].[mOldUGIS]",'Pivot Table Totals'!$A$4,"[Range 1].[State]","[Range 1].[State].&amp;[WV]"), " ")</f>
        <v>7899</v>
      </c>
      <c r="D9" s="31">
        <f>IFERROR(GETPIVOTDATA("[Measures].[mNewUGIS]",'Pivot Table Totals'!$A$4,"[Range 1].[State]","[Range 1].[State].&amp;[WV]"), " ")</f>
        <v>7998</v>
      </c>
      <c r="E9" s="21">
        <f t="shared" si="0"/>
        <v>1.2533232054690469</v>
      </c>
      <c r="F9" s="31">
        <f>IFERROR(GETPIVOTDATA("[Measures].[mOldUGOS]",'Pivot Table Totals'!$A$4,"[Range 1].[State]","[Range 1].[State].&amp;[WV]"), " ")</f>
        <v>17258</v>
      </c>
      <c r="G9" s="31">
        <f>IFERROR(GETPIVOTDATA("[Measures].[mNewUGOS]",'Pivot Table Totals'!$A$4,"[Range 1].[State]","[Range 1].[State].&amp;[WV]"), " ")</f>
        <v>17515</v>
      </c>
      <c r="H9" s="21">
        <f t="shared" si="1"/>
        <v>1.4891644454745625</v>
      </c>
      <c r="I9" s="31">
        <f>IFERROR(GETPIVOTDATA("[Measures].[mOldGIS]",'Pivot Table Totals'!$A$4,"[Range 1].[State]","[Range 1].[State].&amp;[WV]"), " ")</f>
        <v>8644</v>
      </c>
      <c r="J9" s="31">
        <f>IFERROR(GETPIVOTDATA("[Measures].[mNewGIS]",'Pivot Table Totals'!$A$4,"[Range 1].[State]","[Range 1].[State].&amp;[WV]"), " ")</f>
        <v>8730</v>
      </c>
      <c r="K9" s="21">
        <f t="shared" si="2"/>
        <v>0.99490976399814901</v>
      </c>
      <c r="L9" s="31">
        <f>IFERROR(GETPIVOTDATA("[Measures].[mOldGOS]",'Pivot Table Totals'!$A$4,"[Range 1].[State]","[Range 1].[State].&amp;[WV]"), " ")</f>
        <v>19030</v>
      </c>
      <c r="M9" s="31">
        <f>IFERROR(GETPIVOTDATA("[Measures].[mNewGOS]",'Pivot Table Totals'!$A$4,"[Range 1].[State]","[Range 1].[State].&amp;[WV]"), " ")</f>
        <v>19030</v>
      </c>
      <c r="N9" s="21">
        <f>IFERROR(IF(L9&gt;0,(((M9-L9)/L9)*100),0), "  ")</f>
        <v>0</v>
      </c>
      <c r="O9" s="36"/>
      <c r="P9" s="37"/>
      <c r="Q9" s="38"/>
      <c r="R9" s="36"/>
      <c r="S9" s="37"/>
      <c r="T9" s="38"/>
      <c r="U9" s="36"/>
      <c r="V9" s="37"/>
      <c r="W9" s="38"/>
      <c r="X9" s="36"/>
      <c r="Y9" s="37"/>
      <c r="Z9" s="38"/>
      <c r="AA9" s="36"/>
      <c r="AB9" s="37"/>
      <c r="AC9" s="38"/>
      <c r="AD9" s="36"/>
      <c r="AE9" s="37"/>
      <c r="AF9" s="38"/>
      <c r="AG9" s="36"/>
      <c r="AH9" s="37"/>
      <c r="AI9" s="38"/>
      <c r="AJ9" s="36"/>
      <c r="AK9" s="37"/>
      <c r="AL9" s="38"/>
      <c r="AM9" s="36"/>
      <c r="AN9" s="37"/>
      <c r="AO9" s="38"/>
      <c r="AP9" s="36"/>
      <c r="AQ9" s="37"/>
      <c r="AR9" s="38"/>
      <c r="AS9" s="36"/>
      <c r="AT9" s="37"/>
      <c r="AU9" s="38"/>
      <c r="AV9" s="36"/>
      <c r="AW9" s="37"/>
      <c r="AX9" s="38"/>
      <c r="AY9" s="36"/>
      <c r="AZ9" s="37"/>
      <c r="BA9" s="38"/>
      <c r="BB9" s="36"/>
      <c r="BC9" s="37"/>
      <c r="BD9" s="38"/>
    </row>
    <row r="10" spans="1:56">
      <c r="A10" s="28"/>
      <c r="B10" s="19" t="s">
        <v>551</v>
      </c>
      <c r="C10" s="20">
        <f>IFERROR(GETPIVOTDATA("[Measures].[mOldUGIS]",'Pivot Table Cats'!$A$3,"[Range 1].[State]","[Range 1].[State].&amp;[WV]","[Range 1].[Type]","[Range 1].[Type].&amp;[7]")," ")</f>
        <v>4238</v>
      </c>
      <c r="D10" s="20">
        <f>IFERROR(GETPIVOTDATA("[Measures].[mNewUGIS]",'Pivot Table Cats'!$A$3,"[Range 1].[State]","[Range 1].[State].&amp;[WV]","[Range 1].[Type]","[Range 1].[Type].&amp;[7]")," ")</f>
        <v>4286</v>
      </c>
      <c r="E10" s="21">
        <f t="shared" si="0"/>
        <v>1.132609721566777</v>
      </c>
      <c r="F10" s="20">
        <f>IFERROR(GETPIVOTDATA("[Measures].[mOldUGIS]",'Pivot Table Cats'!$A$3,"[Range 1].[State]","[Range 1].[State].&amp;[WV]","[Range 1].[Type]","[Range 1].[Type].&amp;[7]")," ")</f>
        <v>4238</v>
      </c>
      <c r="G10" s="20">
        <f>IFERROR(GETPIVOTDATA("[Measures].[mNewUGIS]",'Pivot Table Cats'!$A$3,"[Range 1].[State]","[Range 1].[State].&amp;[WV]","[Range 1].[Type]","[Range 1].[Type].&amp;[7]")," ")</f>
        <v>4286</v>
      </c>
      <c r="H10" s="21">
        <f t="shared" si="1"/>
        <v>1.132609721566777</v>
      </c>
      <c r="I10" s="20">
        <f>IFERROR(GETPIVOTDATA("[Measures].[mOldGIS]",'Pivot Table Cats'!$A$3,"[Range 1].[State]","[Range 1].[State].&amp;[WV]","[Range 1].[Type]","[Range 1].[Type].&amp;[7]")," ")</f>
        <v>0</v>
      </c>
      <c r="J10" s="20">
        <f>IFERROR(GETPIVOTDATA("[Measures].[mNewGIS]",'Pivot Table Cats'!$A$3,"[Range 1].[State]","[Range 1].[State].&amp;[WV]","[Range 1].[Type]","[Range 1].[Type].&amp;[7]")," ")</f>
        <v>0</v>
      </c>
      <c r="K10" s="21">
        <f t="shared" si="2"/>
        <v>0</v>
      </c>
      <c r="L10" s="20">
        <f>IFERROR(GETPIVOTDATA("[Measures].[mOldGIS]",'Pivot Table Cats'!$A$3,"[Range 1].[State]","[Range 1].[State].&amp;[WV]","[Range 1].[Type]","[Range 1].[Type].&amp;[7]")," ")</f>
        <v>0</v>
      </c>
      <c r="M10" s="20">
        <f>IFERROR(GETPIVOTDATA("[Measures].[mNewGIS]",'Pivot Table Cats'!$A$3,"[Range 1].[State]","[Range 1].[State].&amp;[WV]","[Range 1].[Type]","[Range 1].[Type].&amp;[7]")," ")</f>
        <v>0</v>
      </c>
      <c r="N10" s="21">
        <f t="shared" si="3"/>
        <v>0</v>
      </c>
      <c r="O10" s="25"/>
      <c r="P10" s="26"/>
      <c r="Q10" s="27"/>
      <c r="R10" s="25"/>
      <c r="S10" s="26"/>
      <c r="T10" s="27"/>
      <c r="U10" s="25"/>
      <c r="V10" s="26"/>
      <c r="W10" s="27"/>
      <c r="X10" s="25"/>
      <c r="Y10" s="26"/>
      <c r="Z10" s="27"/>
      <c r="AA10" s="25"/>
      <c r="AB10" s="26"/>
      <c r="AC10" s="27"/>
      <c r="AD10" s="25"/>
      <c r="AE10" s="26"/>
      <c r="AF10" s="27"/>
      <c r="AG10" s="25"/>
      <c r="AH10" s="26"/>
      <c r="AI10" s="27"/>
      <c r="AJ10" s="25"/>
      <c r="AK10" s="26"/>
      <c r="AL10" s="27"/>
      <c r="AM10" s="25"/>
      <c r="AN10" s="26"/>
      <c r="AO10" s="27"/>
      <c r="AP10" s="25"/>
      <c r="AQ10" s="26"/>
      <c r="AR10" s="27"/>
      <c r="AS10" s="25"/>
      <c r="AT10" s="26"/>
      <c r="AU10" s="27"/>
      <c r="AV10" s="25"/>
      <c r="AW10" s="26"/>
      <c r="AX10" s="27"/>
      <c r="AY10" s="25"/>
      <c r="AZ10" s="26"/>
      <c r="BA10" s="27"/>
      <c r="BB10" s="25"/>
      <c r="BC10" s="26"/>
      <c r="BD10" s="27"/>
    </row>
    <row r="11" spans="1:56">
      <c r="A11" s="28"/>
      <c r="B11" s="19" t="s">
        <v>552</v>
      </c>
      <c r="C11" s="20" t="str">
        <f>IFERROR(GETPIVOTDATA("[Measures].[mOldUGIS]",'Pivot Table Cats'!$A$3,"[Range 1].[State]","[Range 1].[State].&amp;[WV]","[Range 1].[Type]","[Range 1].[Type].&amp;[8]")," ")</f>
        <v xml:space="preserve"> </v>
      </c>
      <c r="D11" s="20" t="str">
        <f>IFERROR(GETPIVOTDATA("[Measures].[mNewUGIS]",'Pivot Table Cats'!$A$3,"[Range 1].[State]","[Range 1].[State].&amp;[WV]","[Range 1].[Type]","[Range 1].[Type].&amp;[8]")," ")</f>
        <v xml:space="preserve"> </v>
      </c>
      <c r="E11" s="21" t="str">
        <f t="shared" si="0"/>
        <v xml:space="preserve"> </v>
      </c>
      <c r="F11" s="20" t="str">
        <f>IFERROR(GETPIVOTDATA("[Measures].[mOldUGOS]",'Pivot Table Cats'!$A$3,"[Range 1].[State]","[Range 1].[State].&amp;[WV]","[Range 1].[Type]","[Range 1].[Type].&amp;[8]")," ")</f>
        <v xml:space="preserve"> </v>
      </c>
      <c r="G11" s="20" t="str">
        <f>IFERROR(GETPIVOTDATA("[Measures].[mNewUGOS]",'Pivot Table Cats'!$A$3,"[Range 1].[State]","[Range 1].[State].&amp;[WV]","[Range 1].[Type]","[Range 1].[Type].&amp;[8]")," ")</f>
        <v xml:space="preserve"> </v>
      </c>
      <c r="H11" s="21" t="str">
        <f t="shared" si="1"/>
        <v xml:space="preserve"> </v>
      </c>
      <c r="I11" s="337" t="str">
        <f>IFERROR(GETPIVOTDATA("[Measures].[mOldGIS]",'Pivot Table Cats'!$A$3,"[Range 1].[State]","[Range 1].[State].&amp;[WV]","[Range 1].[Type]","[Range 1].[Type].&amp;[8]")," ")</f>
        <v xml:space="preserve"> </v>
      </c>
      <c r="J11" s="20" t="str">
        <f>IFERROR(GETPIVOTDATA("[Measures].[mNewGIS]",'Pivot Table Cats'!$A$3,"[Range 1].[State]","[Range 1].[State].&amp;[WV]","[Range 1].[Type]","[Range 1].[Type].&amp;[8]")," ")</f>
        <v xml:space="preserve"> </v>
      </c>
      <c r="K11" s="21" t="str">
        <f t="shared" si="2"/>
        <v xml:space="preserve"> </v>
      </c>
      <c r="L11" s="20" t="str">
        <f>IFERROR(GETPIVOTDATA("[Measures].[mOldGOS]",'Pivot Table Cats'!$A$3,"[Range 1].[State]","[Range 1].[State].&amp;[WV]","[Range 1].[Type]","[Range 1].[Type].&amp;[8]")," ")</f>
        <v xml:space="preserve"> </v>
      </c>
      <c r="M11" s="20" t="str">
        <f>IFERROR(GETPIVOTDATA("[Measures].[mNewGOS]",'Pivot Table Cats'!$A$3,"[Range 1].[State]","[Range 1].[State].&amp;[WV]","[Range 1].[Type]","[Range 1].[Type].&amp;[8]")," ")</f>
        <v xml:space="preserve"> </v>
      </c>
      <c r="N11" s="21" t="str">
        <f t="shared" si="3"/>
        <v xml:space="preserve"> </v>
      </c>
      <c r="O11" s="25"/>
      <c r="P11" s="26"/>
      <c r="Q11" s="27"/>
      <c r="R11" s="25"/>
      <c r="S11" s="26"/>
      <c r="T11" s="27"/>
      <c r="U11" s="25"/>
      <c r="V11" s="26"/>
      <c r="W11" s="27"/>
      <c r="X11" s="25"/>
      <c r="Y11" s="26"/>
      <c r="Z11" s="27"/>
      <c r="AA11" s="25"/>
      <c r="AB11" s="26"/>
      <c r="AC11" s="27"/>
      <c r="AD11" s="25"/>
      <c r="AE11" s="26"/>
      <c r="AF11" s="27"/>
      <c r="AG11" s="25"/>
      <c r="AH11" s="26"/>
      <c r="AI11" s="27"/>
      <c r="AJ11" s="25"/>
      <c r="AK11" s="26"/>
      <c r="AL11" s="27"/>
      <c r="AM11" s="25"/>
      <c r="AN11" s="26"/>
      <c r="AO11" s="27"/>
      <c r="AP11" s="25"/>
      <c r="AQ11" s="26"/>
      <c r="AR11" s="27"/>
      <c r="AS11" s="25"/>
      <c r="AT11" s="26"/>
      <c r="AU11" s="27"/>
      <c r="AV11" s="25"/>
      <c r="AW11" s="26"/>
      <c r="AX11" s="27"/>
      <c r="AY11" s="25"/>
      <c r="AZ11" s="26"/>
      <c r="BA11" s="27"/>
      <c r="BB11" s="25"/>
      <c r="BC11" s="26"/>
      <c r="BD11" s="27"/>
    </row>
    <row r="12" spans="1:56">
      <c r="A12" s="28"/>
      <c r="B12" s="19" t="s">
        <v>553</v>
      </c>
      <c r="C12" s="20">
        <f>IFERROR(GETPIVOTDATA("[Measures].[mOldUGIS]",'Pivot Table Cats'!$A$3,"[Range 1].[State]","[Range 1].[State].&amp;[WV]","[Range 1].[Type]","[Range 1].[Type].&amp;[9]")," ")</f>
        <v>4128</v>
      </c>
      <c r="D12" s="20">
        <f>IFERROR(GETPIVOTDATA("[Measures].[mNewUGIS]",'Pivot Table Cats'!$A$3,"[Range 1].[State]","[Range 1].[State].&amp;[WV]","[Range 1].[Type]","[Range 1].[Type].&amp;[9]")," ")</f>
        <v>4128</v>
      </c>
      <c r="E12" s="21">
        <f t="shared" si="0"/>
        <v>0</v>
      </c>
      <c r="F12" s="20">
        <f>IFERROR(GETPIVOTDATA("[Measures].[mOldUGOS]",'Pivot Table Cats'!$A$3,"[Range 1].[State]","[Range 1].[State].&amp;[WV]","[Range 1].[Type]","[Range 1].[Type].&amp;[9]")," ")</f>
        <v>7464</v>
      </c>
      <c r="G12" s="20">
        <f>IFERROR(GETPIVOTDATA("[Measures].[mNewUGOS]",'Pivot Table Cats'!$A$3,"[Range 1].[State]","[Range 1].[State].&amp;[WV]","[Range 1].[Type]","[Range 1].[Type].&amp;[9]")," ")</f>
        <v>7464</v>
      </c>
      <c r="H12" s="21">
        <f t="shared" si="1"/>
        <v>0</v>
      </c>
      <c r="I12" s="20">
        <f>IFERROR(GETPIVOTDATA("[Measures].[mOldGIS]",'Pivot Table Cats'!$A$3,"[Range 1].[State]","[Range 1].[State].&amp;[WV]","[Range 1].[Type]","[Range 1].[Type].&amp;[9]")," ")</f>
        <v>0</v>
      </c>
      <c r="J12" s="20">
        <f>IFERROR(GETPIVOTDATA("[Measures].[mNewGIS]",'Pivot Table Cats'!$A$3,"[Range 1].[State]","[Range 1].[State].&amp;[WV]","[Range 1].[Type]","[Range 1].[Type].&amp;[9]")," ")</f>
        <v>0</v>
      </c>
      <c r="K12" s="21">
        <f t="shared" si="2"/>
        <v>0</v>
      </c>
      <c r="L12" s="20">
        <f>IFERROR(GETPIVOTDATA("[Measures].[mOldGOS]",'Pivot Table Cats'!$A$3,"[Range 1].[State]","[Range 1].[State].&amp;[WV]","[Range 1].[Type]","[Range 1].[Type].&amp;[9]")," ")</f>
        <v>0</v>
      </c>
      <c r="M12" s="20">
        <f>IFERROR(GETPIVOTDATA("[Measures].[mNewGOS]",'Pivot Table Cats'!$A$3,"[Range 1].[State]","[Range 1].[State].&amp;[WV]","[Range 1].[Type]","[Range 1].[Type].&amp;[9]")," ")</f>
        <v>0</v>
      </c>
      <c r="N12" s="21">
        <f t="shared" si="3"/>
        <v>0</v>
      </c>
      <c r="O12" s="25"/>
      <c r="P12" s="26"/>
      <c r="Q12" s="27"/>
      <c r="R12" s="25"/>
      <c r="S12" s="26"/>
      <c r="T12" s="27"/>
      <c r="U12" s="25"/>
      <c r="V12" s="26"/>
      <c r="W12" s="27"/>
      <c r="X12" s="25"/>
      <c r="Y12" s="26"/>
      <c r="Z12" s="27"/>
      <c r="AA12" s="25"/>
      <c r="AB12" s="26"/>
      <c r="AC12" s="27"/>
      <c r="AD12" s="25"/>
      <c r="AE12" s="26"/>
      <c r="AF12" s="27"/>
      <c r="AG12" s="25"/>
      <c r="AH12" s="26"/>
      <c r="AI12" s="27"/>
      <c r="AJ12" s="25"/>
      <c r="AK12" s="26"/>
      <c r="AL12" s="27"/>
      <c r="AM12" s="25"/>
      <c r="AN12" s="26"/>
      <c r="AO12" s="27"/>
      <c r="AP12" s="25"/>
      <c r="AQ12" s="26"/>
      <c r="AR12" s="27"/>
      <c r="AS12" s="25"/>
      <c r="AT12" s="26"/>
      <c r="AU12" s="27"/>
      <c r="AV12" s="25"/>
      <c r="AW12" s="26"/>
      <c r="AX12" s="27"/>
      <c r="AY12" s="25"/>
      <c r="AZ12" s="26"/>
      <c r="BA12" s="27"/>
      <c r="BB12" s="25"/>
      <c r="BC12" s="26"/>
      <c r="BD12" s="27"/>
    </row>
    <row r="13" spans="1:56">
      <c r="A13" s="28"/>
      <c r="B13" s="19" t="s">
        <v>554</v>
      </c>
      <c r="C13" s="20">
        <f>IFERROR(GETPIVOTDATA("[Measures].[mOldUGIS]",'Pivot Table Cats'!$A$3,"[Range 1].[State]","[Range 1].[State].&amp;[WV]","[Range 1].[Type]","[Range 1].[Type].&amp;[10]")," ")</f>
        <v>4372</v>
      </c>
      <c r="D13" s="20">
        <f>IFERROR(GETPIVOTDATA("[Measures].[mNewUGIS]",'Pivot Table Cats'!$A$3,"[Range 1].[State]","[Range 1].[State].&amp;[WV]","[Range 1].[Type]","[Range 1].[Type].&amp;[10]")," ")</f>
        <v>4502</v>
      </c>
      <c r="E13" s="21">
        <f t="shared" si="0"/>
        <v>2.9734675205855443</v>
      </c>
      <c r="F13" s="20">
        <f>IFERROR(GETPIVOTDATA("[Measures].[mOldUGOS]",'Pivot Table Cats'!$A$3,"[Range 1].[State]","[Range 1].[State].&amp;[WV]","[Range 1].[Type]","[Range 1].[Type].&amp;[10]")," ")</f>
        <v>10720</v>
      </c>
      <c r="G13" s="20">
        <f>IFERROR(GETPIVOTDATA("[Measures].[mNewUGOS]",'Pivot Table Cats'!$A$3,"[Range 1].[State]","[Range 1].[State].&amp;[WV]","[Range 1].[Type]","[Range 1].[Type].&amp;[10]")," ")</f>
        <v>10720</v>
      </c>
      <c r="H13" s="21">
        <f t="shared" si="1"/>
        <v>0</v>
      </c>
      <c r="I13" s="20">
        <f>IFERROR(GETPIVOTDATA("[Measures].[mOldGIS]",'Pivot Table Cats'!$A$3,"[Range 1].[State]","[Range 1].[State].&amp;[WV]","[Range 1].[Type]","[Range 1].[Type].&amp;[10]")," ")</f>
        <v>0</v>
      </c>
      <c r="J13" s="20">
        <f>IFERROR(GETPIVOTDATA("[Measures].[mNewGIS]",'Pivot Table Cats'!$A$3,"[Range 1].[State]","[Range 1].[State].&amp;[WV]","[Range 1].[Type]","[Range 1].[Type].&amp;[10]")," ")</f>
        <v>0</v>
      </c>
      <c r="K13" s="21">
        <f t="shared" si="2"/>
        <v>0</v>
      </c>
      <c r="L13" s="20">
        <f>IFERROR(GETPIVOTDATA("[Measures].[mOldGOS]",'Pivot Table Cats'!$A$3,"[Range 1].[State]","[Range 1].[State].&amp;[WV]","[Range 1].[Type]","[Range 1].[Type].&amp;[10]")," ")</f>
        <v>0</v>
      </c>
      <c r="M13" s="20">
        <f>IFERROR(GETPIVOTDATA("[Measures].[mNewGOS]",'Pivot Table Cats'!$A$3,"[Range 1].[State]","[Range 1].[State].&amp;[WV]","[Range 1].[Type]","[Range 1].[Type].&amp;[10]")," ")</f>
        <v>0</v>
      </c>
      <c r="N13" s="21">
        <f t="shared" si="3"/>
        <v>0</v>
      </c>
      <c r="O13" s="25"/>
      <c r="P13" s="26"/>
      <c r="Q13" s="27"/>
      <c r="R13" s="25"/>
      <c r="S13" s="26"/>
      <c r="T13" s="27"/>
      <c r="U13" s="25"/>
      <c r="V13" s="26"/>
      <c r="W13" s="27"/>
      <c r="X13" s="25"/>
      <c r="Y13" s="26"/>
      <c r="Z13" s="27"/>
      <c r="AA13" s="25"/>
      <c r="AB13" s="26"/>
      <c r="AC13" s="27"/>
      <c r="AD13" s="25"/>
      <c r="AE13" s="26"/>
      <c r="AF13" s="27"/>
      <c r="AG13" s="25"/>
      <c r="AH13" s="26"/>
      <c r="AI13" s="27"/>
      <c r="AJ13" s="25"/>
      <c r="AK13" s="26"/>
      <c r="AL13" s="27"/>
      <c r="AM13" s="25"/>
      <c r="AN13" s="26"/>
      <c r="AO13" s="27"/>
      <c r="AP13" s="25"/>
      <c r="AQ13" s="26"/>
      <c r="AR13" s="27"/>
      <c r="AS13" s="25"/>
      <c r="AT13" s="26"/>
      <c r="AU13" s="27"/>
      <c r="AV13" s="25"/>
      <c r="AW13" s="26"/>
      <c r="AX13" s="27"/>
      <c r="AY13" s="25"/>
      <c r="AZ13" s="26"/>
      <c r="BA13" s="27"/>
      <c r="BB13" s="25"/>
      <c r="BC13" s="26"/>
      <c r="BD13" s="27"/>
    </row>
    <row r="14" spans="1:56">
      <c r="A14" s="48"/>
      <c r="B14" s="30" t="s">
        <v>555</v>
      </c>
      <c r="C14" s="31">
        <f>IFERROR(GETPIVOTDATA("[Measures].[mOldUGIS]",'Pivot Table Totals'!$A$31,"[Range 1].[State]","[Range 1].[State].&amp;[WV]"), " ")</f>
        <v>4250</v>
      </c>
      <c r="D14" s="31">
        <f>IFERROR(GETPIVOTDATA("[Measures].[mNewUGIS]",'Pivot Table Totals'!$A$31,"[Range 1].[State]","[Range 1].[State].&amp;[WV]"), " ")</f>
        <v>4315</v>
      </c>
      <c r="E14" s="21">
        <f t="shared" si="0"/>
        <v>1.5294117647058825</v>
      </c>
      <c r="F14" s="31">
        <f>IFERROR(GETPIVOTDATA("[Measures].[mOldUGOS]",'Pivot Table Totals'!$A$31,"[Range 1].[State]","[Range 1].[State].&amp;[WV]")," ")</f>
        <v>9706</v>
      </c>
      <c r="G14" s="31">
        <f>IFERROR(GETPIVOTDATA("[Measures].[mNewUGOS]",'Pivot Table Totals'!$A$31,"[Range 1].[State]","[Range 1].[State].&amp;[WV]"), " ")</f>
        <v>9706</v>
      </c>
      <c r="H14" s="21">
        <f t="shared" si="1"/>
        <v>0</v>
      </c>
      <c r="I14" s="31">
        <f>IFERROR(GETPIVOTDATA("[Measures].[mOldGIS]",'Pivot Table Totals'!$A$31,"[Range 1].[State]","[Range 1].[State].&amp;[WV]")," ")</f>
        <v>0</v>
      </c>
      <c r="J14" s="31">
        <f>IFERROR(GETPIVOTDATA("[Measures].[mNewGIS]",'Pivot Table Totals'!$A$31,"[Range 1].[State]","[Range 1].[State].&amp;[WV]"), " ")</f>
        <v>0</v>
      </c>
      <c r="K14" s="21">
        <f t="shared" si="2"/>
        <v>0</v>
      </c>
      <c r="L14" s="31">
        <f>IFERROR(GETPIVOTDATA("[Measures].[mOldGOS]",'Pivot Table Totals'!$A$31,"[Range 1].[State]","[Range 1].[State].&amp;[WV]"), " ")</f>
        <v>0</v>
      </c>
      <c r="M14" s="31">
        <f>IFERROR(GETPIVOTDATA("[Measures].[mNewGOS]",'Pivot Table Totals'!$A$31,"[Range 1].[State]","[Range 1].[State].&amp;[WV]"), " ")</f>
        <v>0</v>
      </c>
      <c r="N14" s="21">
        <f t="shared" si="3"/>
        <v>0</v>
      </c>
      <c r="O14" s="36"/>
      <c r="P14" s="37"/>
      <c r="Q14" s="38"/>
      <c r="R14" s="36"/>
      <c r="S14" s="37"/>
      <c r="T14" s="38"/>
      <c r="U14" s="36"/>
      <c r="V14" s="37"/>
      <c r="W14" s="38"/>
      <c r="X14" s="36"/>
      <c r="Y14" s="37"/>
      <c r="Z14" s="38"/>
      <c r="AA14" s="36"/>
      <c r="AB14" s="37"/>
      <c r="AC14" s="38"/>
      <c r="AD14" s="36"/>
      <c r="AE14" s="37"/>
      <c r="AF14" s="38"/>
      <c r="AG14" s="36"/>
      <c r="AH14" s="37"/>
      <c r="AI14" s="38"/>
      <c r="AJ14" s="36"/>
      <c r="AK14" s="37"/>
      <c r="AL14" s="38"/>
      <c r="AM14" s="36"/>
      <c r="AN14" s="37"/>
      <c r="AO14" s="38"/>
      <c r="AP14" s="36"/>
      <c r="AQ14" s="37"/>
      <c r="AR14" s="38"/>
      <c r="AS14" s="36"/>
      <c r="AT14" s="37"/>
      <c r="AU14" s="38"/>
      <c r="AV14" s="36"/>
      <c r="AW14" s="37"/>
      <c r="AX14" s="38"/>
      <c r="AY14" s="36"/>
      <c r="AZ14" s="37"/>
      <c r="BA14" s="38"/>
      <c r="BB14" s="36"/>
      <c r="BC14" s="37"/>
      <c r="BD14" s="38"/>
    </row>
    <row r="15" spans="1:56">
      <c r="A15" s="28"/>
      <c r="B15" s="19" t="s">
        <v>556</v>
      </c>
      <c r="C15" s="20" t="str">
        <f>IFERROR(GETPIVOTDATA("[Measures].[mOldUGIS]",'Pivot Table Cats'!$A$3,"[Range 1].[State]","[Range 1].[State].&amp;[WV]","[Range 1].[Type]","[Range 1].[Type].&amp;[12]")," ")</f>
        <v xml:space="preserve"> </v>
      </c>
      <c r="D15" s="20" t="str">
        <f>IFERROR(GETPIVOTDATA("[Measures].[mNewUGIS]",'Pivot Table Cats'!$A$3,"[Range 1].[State]","[Range 1].[State].&amp;[WV]","[Range 1].[Type]","[Range 1].[Type].&amp;[12]")," ")</f>
        <v xml:space="preserve"> </v>
      </c>
      <c r="E15" s="21" t="str">
        <f t="shared" si="0"/>
        <v xml:space="preserve"> </v>
      </c>
      <c r="F15" s="20" t="str">
        <f>IFERROR(GETPIVOTDATA("[Measures].[mOldUGOS]",'Pivot Table Cats'!$A$3,"[Range 1].[State]","[Range 1].[State].&amp;[WV]","[Range 1].[Type]","[Range 1].[Type].&amp;[12]")," ")</f>
        <v xml:space="preserve"> </v>
      </c>
      <c r="G15" s="20" t="str">
        <f>IFERROR(GETPIVOTDATA("[Measures].[mNewUGOS]",'Pivot Table Cats'!$A$3,"[Range 1].[State]","[Range 1].[State].&amp;[WV]","[Range 1].[Type]","[Range 1].[Type].&amp;[12]")," ")</f>
        <v xml:space="preserve"> </v>
      </c>
      <c r="H15" s="21" t="str">
        <f t="shared" si="1"/>
        <v xml:space="preserve"> </v>
      </c>
      <c r="I15" s="20" t="str">
        <f>IFERROR(GETPIVOTDATA("[Measures].[mOldGIS]",'Pivot Table Cats'!$A$3,"[Range 1].[State]","[Range 1].[State].&amp;[WV]","[Range 1].[Type]","[Range 1].[Type].&amp;[12]")," ")</f>
        <v xml:space="preserve"> </v>
      </c>
      <c r="J15" s="20" t="str">
        <f>IFERROR(GETPIVOTDATA("[Measures].[mNewGIS]",'Pivot Table Cats'!$A$3,"[Range 1].[State]","[Range 1].[State].&amp;[WV]","[Range 1].[Type]","[Range 1].[Type].&amp;[12]")," ")</f>
        <v xml:space="preserve"> </v>
      </c>
      <c r="K15" s="21" t="str">
        <f t="shared" si="2"/>
        <v xml:space="preserve"> </v>
      </c>
      <c r="L15" s="20" t="str">
        <f>IFERROR(GETPIVOTDATA("[Measures].[mOldGOS]",'Pivot Table Cats'!$A$3,"[Range 1].[State]","[Range 1].[State].&amp;[WV]","[Range 1].[Type]","[Range 1].[Type].&amp;[12]")," ")</f>
        <v xml:space="preserve"> </v>
      </c>
      <c r="M15" s="20" t="str">
        <f>IFERROR(GETPIVOTDATA("[Measures].[mNewGOS]",'Pivot Table Cats'!$A$3,"[Range 1].[State]","[Range 1].[State].&amp;[WV]","[Range 1].[Type]","[Range 1].[Type].&amp;[12]")," ")</f>
        <v xml:space="preserve"> </v>
      </c>
      <c r="N15" s="21" t="str">
        <f t="shared" si="3"/>
        <v xml:space="preserve"> </v>
      </c>
      <c r="O15" s="25"/>
      <c r="P15" s="26"/>
      <c r="Q15" s="27"/>
      <c r="R15" s="25"/>
      <c r="S15" s="26"/>
      <c r="T15" s="27"/>
      <c r="U15" s="25"/>
      <c r="V15" s="26"/>
      <c r="W15" s="27"/>
      <c r="X15" s="25"/>
      <c r="Y15" s="26"/>
      <c r="Z15" s="27"/>
      <c r="AA15" s="25"/>
      <c r="AB15" s="26"/>
      <c r="AC15" s="27"/>
      <c r="AD15" s="25"/>
      <c r="AE15" s="26"/>
      <c r="AF15" s="27"/>
      <c r="AG15" s="25"/>
      <c r="AH15" s="26"/>
      <c r="AI15" s="27"/>
      <c r="AJ15" s="25"/>
      <c r="AK15" s="26"/>
      <c r="AL15" s="27"/>
      <c r="AM15" s="25"/>
      <c r="AN15" s="26"/>
      <c r="AO15" s="27"/>
      <c r="AP15" s="25"/>
      <c r="AQ15" s="26"/>
      <c r="AR15" s="27"/>
      <c r="AS15" s="25"/>
      <c r="AT15" s="26"/>
      <c r="AU15" s="27"/>
      <c r="AV15" s="25"/>
      <c r="AW15" s="26"/>
      <c r="AX15" s="27"/>
      <c r="AY15" s="25"/>
      <c r="AZ15" s="26"/>
      <c r="BA15" s="27"/>
      <c r="BB15" s="25"/>
      <c r="BC15" s="26"/>
      <c r="BD15" s="27"/>
    </row>
    <row r="16" spans="1:56">
      <c r="A16" s="28"/>
      <c r="B16" s="19" t="s">
        <v>557</v>
      </c>
      <c r="C16" s="20" t="str">
        <f>IFERROR(GETPIVOTDATA("[Measures].[mOldUGIS]",'Pivot Table Cats'!$A$3,"[Range 1].[State]","[Range 1].[State].&amp;[WV]","[Range 1].[Type]","[Range 1].[Type].&amp;[13]")," ")</f>
        <v xml:space="preserve"> </v>
      </c>
      <c r="D16" s="20" t="str">
        <f>IFERROR(GETPIVOTDATA("[Measures].[mNewUGIS]",'Pivot Table Cats'!$A$3,"[Range 1].[State]","[Range 1].[State].&amp;[WV]","[Range 1].[Type]","[Range 1].[Type].&amp;[13]")," ")</f>
        <v xml:space="preserve"> </v>
      </c>
      <c r="E16" s="21" t="str">
        <f t="shared" si="0"/>
        <v xml:space="preserve"> </v>
      </c>
      <c r="F16" s="20" t="str">
        <f>IFERROR(GETPIVOTDATA("[Measures].[mOldUGOS]",'Pivot Table Cats'!$A$3,"[Range 1].[State]","[Range 1].[State].&amp;[WV]","[Range 1].[Type]","[Range 1].[Type].&amp;[13]")," ")</f>
        <v xml:space="preserve"> </v>
      </c>
      <c r="G16" s="20" t="str">
        <f>IFERROR(GETPIVOTDATA("[Measures].[mNewUGOS]",'Pivot Table Cats'!$A$3,"[Range 1].[State]","[Range 1].[State].&amp;[WV]","[Range 1].[Type]","[Range 1].[Type].&amp;[13]")," ")</f>
        <v xml:space="preserve"> </v>
      </c>
      <c r="H16" s="21" t="str">
        <f t="shared" si="1"/>
        <v xml:space="preserve"> </v>
      </c>
      <c r="I16" s="20" t="str">
        <f>IFERROR(GETPIVOTDATA("[Measures].[mOldGIS]",'Pivot Table Cats'!$A$3,"[Range 1].[State]","[Range 1].[State].&amp;[WV]","[Range 1].[Type]","[Range 1].[Type].&amp;[13]")," ")</f>
        <v xml:space="preserve"> </v>
      </c>
      <c r="J16" s="20" t="str">
        <f>IFERROR(GETPIVOTDATA("[Measures].[mNewGIS]",'Pivot Table Cats'!$A$3,"[Range 1].[State]","[Range 1].[State].&amp;[WV]","[Range 1].[Type]","[Range 1].[Type].&amp;[13]")," ")</f>
        <v xml:space="preserve"> </v>
      </c>
      <c r="K16" s="21" t="str">
        <f t="shared" si="2"/>
        <v xml:space="preserve"> </v>
      </c>
      <c r="L16" s="20" t="str">
        <f>IFERROR(GETPIVOTDATA("[Measures].[mOldGOS]",'Pivot Table Cats'!$A$3,"[Range 1].[State]","[Range 1].[State].&amp;[WV]","[Range 1].[Type]","[Range 1].[Type].&amp;[13]")," ")</f>
        <v xml:space="preserve"> </v>
      </c>
      <c r="M16" s="20" t="str">
        <f>IFERROR(GETPIVOTDATA("[Measures].[mNewGOS]",'Pivot Table Cats'!$A$3,"[Range 1].[State]","[Range 1].[State].&amp;[WV]","[Range 1].[Type]","[Range 1].[Type].&amp;[13]")," ")</f>
        <v xml:space="preserve"> </v>
      </c>
      <c r="N16" s="21" t="str">
        <f t="shared" si="3"/>
        <v xml:space="preserve"> </v>
      </c>
      <c r="O16" s="25"/>
      <c r="P16" s="26"/>
      <c r="Q16" s="27"/>
      <c r="R16" s="25"/>
      <c r="S16" s="26"/>
      <c r="T16" s="27"/>
      <c r="U16" s="25"/>
      <c r="V16" s="26"/>
      <c r="W16" s="27"/>
      <c r="X16" s="25"/>
      <c r="Y16" s="26"/>
      <c r="Z16" s="27"/>
      <c r="AA16" s="25"/>
      <c r="AB16" s="26"/>
      <c r="AC16" s="27"/>
      <c r="AD16" s="25"/>
      <c r="AE16" s="26"/>
      <c r="AF16" s="27"/>
      <c r="AG16" s="25"/>
      <c r="AH16" s="26"/>
      <c r="AI16" s="27"/>
      <c r="AJ16" s="25"/>
      <c r="AK16" s="26"/>
      <c r="AL16" s="27"/>
      <c r="AM16" s="25"/>
      <c r="AN16" s="26"/>
      <c r="AO16" s="27"/>
      <c r="AP16" s="25"/>
      <c r="AQ16" s="26"/>
      <c r="AR16" s="27"/>
      <c r="AS16" s="25"/>
      <c r="AT16" s="26"/>
      <c r="AU16" s="27"/>
      <c r="AV16" s="25"/>
      <c r="AW16" s="26"/>
      <c r="AX16" s="27"/>
      <c r="AY16" s="25"/>
      <c r="AZ16" s="26"/>
      <c r="BA16" s="27"/>
      <c r="BB16" s="25"/>
      <c r="BC16" s="26"/>
      <c r="BD16" s="27"/>
    </row>
    <row r="17" spans="1:56">
      <c r="A17" s="28"/>
      <c r="B17" s="19" t="s">
        <v>558</v>
      </c>
      <c r="C17" s="20">
        <f>IFERROR(GETPIVOTDATA("[Measures].[mOldUGIS]",'Pivot Table Cats'!$A$3,"[Range 1].[State]","[Range 1].[State].&amp;[WV]","[Range 1].[Type]","[Range 1].[Type].&amp;[14]")," ")</f>
        <v>6058</v>
      </c>
      <c r="D17" s="20">
        <f>IFERROR(GETPIVOTDATA("[Measures].[mNewUGIS]",'Pivot Table Cats'!$A$3,"[Range 1].[State]","[Range 1].[State].&amp;[WV]","[Range 1].[Type]","[Range 1].[Type].&amp;[14]")," ")</f>
        <v>6435</v>
      </c>
      <c r="E17" s="21">
        <f t="shared" si="0"/>
        <v>6.2231759656652361</v>
      </c>
      <c r="F17" s="20">
        <f>IFERROR(GETPIVOTDATA("[Measures].[mOldUGOS]",'Pivot Table Cats'!$A$3,"[Range 1].[State]","[Range 1].[State].&amp;[WV]","[Range 1].[Type]","[Range 1].[Type].&amp;[14]")," ")</f>
        <v>0</v>
      </c>
      <c r="G17" s="20">
        <f>IFERROR(GETPIVOTDATA("[Measures].[mNewUGOS]",'Pivot Table Cats'!$A$3,"[Range 1].[State]","[Range 1].[State].&amp;[WV]","[Range 1].[Type]","[Range 1].[Type].&amp;[14]")," ")</f>
        <v>0</v>
      </c>
      <c r="H17" s="21">
        <f t="shared" si="1"/>
        <v>0</v>
      </c>
      <c r="I17" s="20">
        <f>IFERROR(GETPIVOTDATA("[Measures].[mOldGIS]",'Pivot Table Cats'!$A$3,"[Range 1].[State]","[Range 1].[State].&amp;[WV]","[Range 1].[Type]","[Range 1].[Type].&amp;[14]")," ")</f>
        <v>0</v>
      </c>
      <c r="J17" s="20">
        <f>IFERROR(GETPIVOTDATA("[Measures].[mNewGIS]",'Pivot Table Cats'!$A$3,"[Range 1].[State]","[Range 1].[State].&amp;[WV]","[Range 1].[Type]","[Range 1].[Type].&amp;[14]")," ")</f>
        <v>0</v>
      </c>
      <c r="K17" s="21">
        <f t="shared" si="2"/>
        <v>0</v>
      </c>
      <c r="L17" s="20">
        <f>IFERROR(GETPIVOTDATA("[Measures].[mOldGOS]",'Pivot Table Cats'!$A$3,"[Range 1].[State]","[Range 1].[State].&amp;[WV]","[Range 1].[Type]","[Range 1].[Type].&amp;[14]")," ")</f>
        <v>0</v>
      </c>
      <c r="M17" s="20">
        <f>IFERROR(GETPIVOTDATA("[Measures].[mNewGOS]",'Pivot Table Cats'!$A$3,"[Range 1].[State]","[Range 1].[State].&amp;[WV]","[Range 1].[Type]","[Range 1].[Type].&amp;[14]")," ")</f>
        <v>0</v>
      </c>
      <c r="N17" s="21">
        <f t="shared" si="3"/>
        <v>0</v>
      </c>
      <c r="O17" s="25"/>
      <c r="P17" s="26"/>
      <c r="Q17" s="27"/>
      <c r="R17" s="25"/>
      <c r="S17" s="26"/>
      <c r="T17" s="27"/>
      <c r="U17" s="25"/>
      <c r="V17" s="26"/>
      <c r="W17" s="27"/>
      <c r="X17" s="25"/>
      <c r="Y17" s="26"/>
      <c r="Z17" s="27"/>
      <c r="AA17" s="25"/>
      <c r="AB17" s="26"/>
      <c r="AC17" s="27"/>
      <c r="AD17" s="25"/>
      <c r="AE17" s="26"/>
      <c r="AF17" s="27"/>
      <c r="AG17" s="25"/>
      <c r="AH17" s="26"/>
      <c r="AI17" s="27"/>
      <c r="AJ17" s="25"/>
      <c r="AK17" s="26"/>
      <c r="AL17" s="27"/>
      <c r="AM17" s="25"/>
      <c r="AN17" s="26"/>
      <c r="AO17" s="27"/>
      <c r="AP17" s="25"/>
      <c r="AQ17" s="26"/>
      <c r="AR17" s="27"/>
      <c r="AS17" s="25"/>
      <c r="AT17" s="26"/>
      <c r="AU17" s="27"/>
      <c r="AV17" s="25"/>
      <c r="AW17" s="26"/>
      <c r="AX17" s="27"/>
      <c r="AY17" s="25"/>
      <c r="AZ17" s="26"/>
      <c r="BA17" s="27"/>
      <c r="BB17" s="25"/>
      <c r="BC17" s="26"/>
      <c r="BD17" s="27"/>
    </row>
    <row r="18" spans="1:56">
      <c r="A18" s="48"/>
      <c r="B18" s="30" t="s">
        <v>559</v>
      </c>
      <c r="C18" s="31">
        <f>IFERROR(GETPIVOTDATA("[Measures].[mOldUGIS]",'Pivot Table Totals'!$A$59,"[Range 1].[State]","[Range 1].[State].&amp;[WV]"), " ")</f>
        <v>6058</v>
      </c>
      <c r="D18" s="31">
        <f>IFERROR(GETPIVOTDATA("[Measures].[mNewUGIS]",'Pivot Table Totals'!$A$59,"[Range 1].[State]","[Range 1].[State].&amp;[WV]"), " ")</f>
        <v>6435</v>
      </c>
      <c r="E18" s="21">
        <f t="shared" si="0"/>
        <v>6.2231759656652361</v>
      </c>
      <c r="F18" s="31">
        <f>IFERROR(GETPIVOTDATA("[Measures].[mOldUGOS]",'Pivot Table Totals'!$A$59,"[Range 1].[State]","[Range 1].[State].&amp;[WV]"), " " )</f>
        <v>0</v>
      </c>
      <c r="G18" s="31">
        <f>IFERROR(GETPIVOTDATA("[Measures].[mNewUGOS]",'Pivot Table Totals'!$A$59,"[Range 1].[State]","[Range 1].[State].&amp;[WV]"), " ")</f>
        <v>0</v>
      </c>
      <c r="H18" s="21">
        <f t="shared" si="1"/>
        <v>0</v>
      </c>
      <c r="I18" s="31">
        <f>IFERROR(GETPIVOTDATA("[Measures].[mOldGIS]",'Pivot Table Totals'!$A$59,"[Range 1].[State]","[Range 1].[State].&amp;[WV]"), " ")</f>
        <v>0</v>
      </c>
      <c r="J18" s="31">
        <f>IFERROR(GETPIVOTDATA("[Measures].[mNewGIS]",'Pivot Table Totals'!$A$59,"[Range 1].[State]","[Range 1].[State].&amp;[WV]"), " ")</f>
        <v>0</v>
      </c>
      <c r="K18" s="21">
        <f t="shared" si="2"/>
        <v>0</v>
      </c>
      <c r="L18" s="31">
        <f>IFERROR(GETPIVOTDATA("[Measures].[mOldGOS]",'Pivot Table Totals'!$A$59,"[Range 1].[State]","[Range 1].[State].&amp;[WV]"), " ")</f>
        <v>0</v>
      </c>
      <c r="M18" s="31">
        <f>IFERROR(GETPIVOTDATA("[Measures].[mNewGOS]",'Pivot Table Totals'!$A$59,"[Range 1].[State]","[Range 1].[State].&amp;[WV]"), " ")</f>
        <v>0</v>
      </c>
      <c r="N18" s="21">
        <f t="shared" si="3"/>
        <v>0</v>
      </c>
      <c r="O18" s="36"/>
      <c r="P18" s="37"/>
      <c r="Q18" s="38"/>
      <c r="R18" s="36"/>
      <c r="S18" s="37"/>
      <c r="T18" s="38"/>
      <c r="U18" s="36"/>
      <c r="V18" s="37"/>
      <c r="W18" s="38"/>
      <c r="X18" s="36"/>
      <c r="Y18" s="37"/>
      <c r="Z18" s="38"/>
      <c r="AA18" s="36"/>
      <c r="AB18" s="37"/>
      <c r="AC18" s="38"/>
      <c r="AD18" s="36"/>
      <c r="AE18" s="37"/>
      <c r="AF18" s="38"/>
      <c r="AG18" s="36"/>
      <c r="AH18" s="37"/>
      <c r="AI18" s="38"/>
      <c r="AJ18" s="36"/>
      <c r="AK18" s="37"/>
      <c r="AL18" s="38"/>
      <c r="AM18" s="36"/>
      <c r="AN18" s="37"/>
      <c r="AO18" s="38"/>
      <c r="AP18" s="36"/>
      <c r="AQ18" s="37"/>
      <c r="AR18" s="38"/>
      <c r="AS18" s="36"/>
      <c r="AT18" s="37"/>
      <c r="AU18" s="38"/>
      <c r="AV18" s="36"/>
      <c r="AW18" s="37"/>
      <c r="AX18" s="38"/>
      <c r="AY18" s="36"/>
      <c r="AZ18" s="37"/>
      <c r="BA18" s="38"/>
      <c r="BB18" s="36"/>
      <c r="BC18" s="37"/>
      <c r="BD18" s="38"/>
    </row>
    <row r="19" spans="1:56">
      <c r="A19" s="40"/>
      <c r="B19" s="41" t="s">
        <v>560</v>
      </c>
      <c r="C19" s="42"/>
      <c r="D19" s="42"/>
      <c r="E19" s="335"/>
      <c r="F19" s="42"/>
      <c r="G19" s="42"/>
      <c r="H19" s="44"/>
      <c r="I19" s="45"/>
      <c r="J19" s="42"/>
      <c r="K19" s="44"/>
      <c r="L19" s="45"/>
      <c r="M19" s="42"/>
      <c r="N19" s="44"/>
      <c r="O19" s="336" t="str">
        <f>IFERROR(GETPIVOTDATA("[Measures].[mOldWVwIS]",'Pivot Table Totals'!$A$79,"[Range 1].[State]","[Range 1].[State].&amp;[WV]"), " ")</f>
        <v xml:space="preserve"> </v>
      </c>
      <c r="P19" s="42" t="str">
        <f>IFERROR(GETPIVOTDATA("[Measures].[mNewWVwIS]",'Pivot Table Totals'!$A$79,"[Range 1].[State]","[Range 1].[State].&amp;[WV]"), " ")</f>
        <v xml:space="preserve"> </v>
      </c>
      <c r="Q19" s="46" t="str">
        <f>IFERROR(IF(O19&gt;0,(((P19-O19)/O19)*100),0), " ")</f>
        <v xml:space="preserve"> </v>
      </c>
      <c r="R19" s="336" t="str">
        <f>IFERROR(GETPIVOTDATA("[Measures].[mOldWVwOS]",'Pivot Table Totals'!$A$79,"[Range 1].[State]","[Range 1].[State].&amp;[WV]"), " ")</f>
        <v xml:space="preserve"> </v>
      </c>
      <c r="S19" s="336" t="str">
        <f>IFERROR(GETPIVOTDATA("[Measures].[mNewWVwOS]",'Pivot Table Totals'!$A$79,"[Range 1].[State]","[Range 1].[State].&amp;[WV]"), " ")</f>
        <v xml:space="preserve"> </v>
      </c>
      <c r="T19" s="46" t="str">
        <f>IFERROR(IF(R19&gt;0,(((S19-R19)/R19)*100),0), " ")</f>
        <v xml:space="preserve"> </v>
      </c>
      <c r="U19" s="336">
        <f>IFERROR(GETPIVOTDATA("[Measures].[mOldMedIS]",'Pivot Table Totals'!$A$79,"[Range 1].[State]","[Range 1].[State].&amp;[WV]"), " ")</f>
        <v>27860</v>
      </c>
      <c r="V19" s="336">
        <f>IFERROR(GETPIVOTDATA("[Measures].[mNewMedIS]",'Pivot Table Totals'!$A$79,"[Range 1].[State]","[Range 1].[State].&amp;[WV]"), " ")</f>
        <v>28119</v>
      </c>
      <c r="W19" s="46">
        <f>IFERROR(IF(U19&gt;0,(((V19-U19)/U19)*100),0), " ")</f>
        <v>0.92964824120603007</v>
      </c>
      <c r="X19" s="336">
        <f>IFERROR(GETPIVOTDATA("[Measures].[mOldMedOS]",'Pivot Table Totals'!$A$79,"[Range 1].[State]","[Range 1].[State].&amp;[WV]"), " ")</f>
        <v>59525</v>
      </c>
      <c r="Y19" s="336">
        <f>IFERROR(GETPIVOTDATA("[Measures].[mNewMedOS]",'Pivot Table Totals'!$A$79,"[Range 1].[State]","[Range 1].[State].&amp;[WV]"), " ")</f>
        <v>60233</v>
      </c>
      <c r="Z19" s="46">
        <f>IFERROR(IF(X19&gt;0,(((Y19-X19)/X19)*100),0), " ")</f>
        <v>1.1894162116757665</v>
      </c>
      <c r="AA19" s="336" t="str">
        <f>IFERROR(GETPIVOTDATA("[Measures].[mOldWVnIS]",'Pivot Table Totals'!$A$79,"[Range 1].[State]","[Range 1].[State].&amp;[WV]"), " ")</f>
        <v xml:space="preserve"> </v>
      </c>
      <c r="AB19" s="336" t="str">
        <f>IFERROR(GETPIVOTDATA("[Measures].[mNewWVnIS]",'Pivot Table Totals'!$A$79,"[Range 1].[State]","[Range 1].[State].&amp;[WV]"), " ")</f>
        <v xml:space="preserve"> </v>
      </c>
      <c r="AC19" s="46" t="str">
        <f>IFERROR(IF(AA19&gt;0,(((AB19-AA19)/AA19)*100),0), " ")</f>
        <v xml:space="preserve"> </v>
      </c>
      <c r="AD19" s="336" t="str">
        <f>IFERROR(GETPIVOTDATA("[Measures].[mOldWVnOS]",'Pivot Table Totals'!$A$79,"[Range 1].[State]","[Range 1].[State].&amp;[WV]"), " ")</f>
        <v xml:space="preserve"> </v>
      </c>
      <c r="AE19" s="336" t="str">
        <f>IFERROR(GETPIVOTDATA("[Measures].[mNewWVnOS]",'Pivot Table Totals'!$A$79,"[Range 1].[State]","[Range 1].[State].&amp;[WV]"), " ")</f>
        <v xml:space="preserve"> </v>
      </c>
      <c r="AF19" s="46" t="str">
        <f>IFERROR(IF(AD19&gt;0,(((AE19-AD19)/AD19)*100),0), " ")</f>
        <v xml:space="preserve"> </v>
      </c>
      <c r="AG19" s="336">
        <f>IFERROR(GETPIVOTDATA("[Measures].[mOldPhrIS]",'Pivot Table Totals'!$A$79,"[Range 1].[State]","[Range 1].[State].&amp;[WV]"), " ")</f>
        <v>22105</v>
      </c>
      <c r="AH19" s="336" t="str">
        <f>IFERROR(GETPIVOTDATA("[Measures].[mNewPhrIS]",'Pivot Table Totals'!$A$79,"[Range 1].[State]","[Range 1].[State].&amp;[WV]"), " ")</f>
        <v xml:space="preserve"> </v>
      </c>
      <c r="AI19" s="46" t="str">
        <f>IFERROR(IF(AG19&gt;0,(((AH19-AG19)/AG19)*100),0), " ")</f>
        <v xml:space="preserve"> </v>
      </c>
      <c r="AJ19" s="336">
        <f>IFERROR(GETPIVOTDATA("[Measures].[mOldPhrOS]",'Pivot Table Totals'!$A$79,"[Range 1].[State]","[Range 1].[State].&amp;[WV]"), " ")</f>
        <v>40107</v>
      </c>
      <c r="AK19" s="336">
        <f>IFERROR(GETPIVOTDATA("[Measures].[mNewPhrOS]",'Pivot Table Totals'!$A$79,"[Range 1].[State]","[Range 1].[State].&amp;[WV]"), " ")</f>
        <v>41241</v>
      </c>
      <c r="AL19" s="46">
        <f>IFERROR(IF(AJ19&gt;0,(((AQ19-AJ19)/AJ19)*100),0), " ")</f>
        <v>-100</v>
      </c>
      <c r="AM19" s="336">
        <f>IFERROR(GETPIVOTDATA("[Measures].[mOldOptIS]",'Pivot Table Totals'!$A$79,"[Range 1].[State]","[Range 1].[State].&amp;[WV]"), " ")</f>
        <v>0</v>
      </c>
      <c r="AN19" s="336">
        <f>IFERROR(GETPIVOTDATA("[Measures].[mNewOptIS]",'Pivot Table Totals'!$A$79,"[Range 1].[State]","[Range 1].[State].&amp;[WV]"), " ")</f>
        <v>0</v>
      </c>
      <c r="AO19" s="46">
        <f>IFERROR(IF(AM19&gt;0,(((AN19-AM19)/AM19)*100),0), " ")</f>
        <v>0</v>
      </c>
      <c r="AP19" s="336">
        <f>IFERROR(GETPIVOTDATA("[Measures].[mOldOptoS]",'Pivot Table Totals'!$A$79,"[Range 1].[State]","[Range 1].[State].&amp;[WV]"), " ")</f>
        <v>0</v>
      </c>
      <c r="AQ19" s="336">
        <f>IFERROR(GETPIVOTDATA("[Measures].[mNewOptoS]",'Pivot Table Totals'!$A$79,"[Range 1].[State]","[Range 1].[State].&amp;[WV]"), " ")</f>
        <v>0</v>
      </c>
      <c r="AR19" s="46">
        <f>IFERROR(IF(AP19&gt;0,(((AQ19-AP19)/AP19)*100),0), " ")</f>
        <v>0</v>
      </c>
      <c r="AS19" s="336">
        <f>IFERROR(GETPIVOTDATA("[Measures].[mOldOstIS]",'Pivot Table Totals'!$A$79,"[Range 1].[State]","[Range 1].[State].&amp;[WV]"), " ")</f>
        <v>22472</v>
      </c>
      <c r="AT19" s="336">
        <f>IFERROR(GETPIVOTDATA("[Measures].[mNewOstIS]",'Pivot Table Totals'!$A$79,"[Range 1].[State]","[Range 1].[State].&amp;[WV]"), " ")</f>
        <v>23472</v>
      </c>
      <c r="AU19" s="46">
        <f>IFERROR(IF(AS19&gt;0,(((AT19-AS19)/AS19)*100),0), " ")</f>
        <v>4.449982200071199</v>
      </c>
      <c r="AV19" s="336">
        <f>IFERROR(GETPIVOTDATA("[Measures].[mOldOstOS]",'Pivot Table Totals'!$A$79,"[Range 1].[State]","[Range 1].[State].&amp;[WV]"), " ")</f>
        <v>53710</v>
      </c>
      <c r="AW19" s="336">
        <f>IFERROR(GETPIVOTDATA("[Measures].[mNewOstOS]",'Pivot Table Totals'!$A$79,"[Range 1].[State]","[Range 1].[State].&amp;[WV]"), " ")</f>
        <v>54710</v>
      </c>
      <c r="AX19" s="46">
        <f>IFERROR(IF(AV19&gt;0,(((AW19-AV19)/AV19)*100),0), " ")</f>
        <v>1.8618506795754979</v>
      </c>
      <c r="AY19" s="336">
        <f>IFERROR(GETPIVOTDATA("[Measures].[m[OldVetIS]",'Pivot Table Totals'!$A$79,"[Range 1].[State]","[Range 1].[State].&amp;[WV]"), " ")</f>
        <v>0</v>
      </c>
      <c r="AZ19" s="336">
        <f>IFERROR(GETPIVOTDATA("[Measures].[mNewVetIS]",'Pivot Table Totals'!$A$79,"[Range 1].[State]","[Range 1].[State].&amp;[WV]"), " ")</f>
        <v>0</v>
      </c>
      <c r="BA19" s="46">
        <f>IFERROR(IF(AY19&gt;0,(((AZ19-AY19)/AY19)*100),0), " ")</f>
        <v>0</v>
      </c>
      <c r="BB19" s="336">
        <f>IFERROR(GETPIVOTDATA("[Measures].[mOldVetOS]",'Pivot Table Totals'!$A$79,"[Range 1].[State]","[Range 1].[State].&amp;[WV]"), " ")</f>
        <v>0</v>
      </c>
      <c r="BC19" s="336">
        <f>IFERROR(GETPIVOTDATA("[Measures].[mNewVetOS]",'Pivot Table Totals'!$A$79,"[Range 1].[State]","[Range 1].[State].&amp;[WV]"), " ")</f>
        <v>0</v>
      </c>
      <c r="BD19" s="46">
        <f>IFERROR(IF(BB19&gt;0,(((BC19-BB19)/BB19)*100),0), " ")</f>
        <v>0</v>
      </c>
    </row>
    <row r="21" spans="1:56">
      <c r="A21" s="20"/>
    </row>
    <row r="22" spans="1:56">
      <c r="A22" s="6"/>
      <c r="B22" s="7" t="s">
        <v>522</v>
      </c>
      <c r="C22" s="7"/>
      <c r="D22" s="8"/>
      <c r="E22" s="7"/>
      <c r="F22" s="7"/>
      <c r="G22" s="7"/>
      <c r="H22" s="9"/>
      <c r="I22" s="7"/>
      <c r="J22" s="7"/>
      <c r="K22" s="9"/>
      <c r="L22" s="7"/>
      <c r="M22" s="8"/>
    </row>
    <row r="23" spans="1:56">
      <c r="A23" s="12" t="s">
        <v>19</v>
      </c>
      <c r="B23" s="13" t="s">
        <v>540</v>
      </c>
      <c r="C23" s="13"/>
      <c r="D23" s="14"/>
      <c r="E23" s="13"/>
      <c r="F23" s="13"/>
      <c r="G23" s="15"/>
      <c r="H23" s="11"/>
      <c r="I23" s="13"/>
      <c r="J23" s="15"/>
      <c r="K23" s="16"/>
      <c r="L23" s="13"/>
      <c r="M23" s="14"/>
    </row>
    <row r="24" spans="1:56">
      <c r="A24" s="19" t="s">
        <v>544</v>
      </c>
      <c r="B24" s="20">
        <f>IFERROR(GETPIVOTDATA("[Measures].[mOldUGIS]",'Pivot Table SREB'!$A$78,"[Range 1].[Type]","[Range 1].[Type].&amp;[1]"), " ")</f>
        <v>11534</v>
      </c>
      <c r="C24" s="20"/>
      <c r="D24" s="21"/>
      <c r="E24" s="20"/>
      <c r="F24" s="20"/>
      <c r="G24" s="22"/>
      <c r="H24" s="23"/>
      <c r="I24" s="20"/>
      <c r="J24" s="22"/>
      <c r="K24" s="23"/>
      <c r="L24" s="20"/>
      <c r="M24" s="24"/>
    </row>
    <row r="25" spans="1:56">
      <c r="A25" s="19" t="s">
        <v>545</v>
      </c>
      <c r="B25" s="20">
        <f>IFERROR(GETPIVOTDATA("[Measures].[mOldUGIS]",'Pivot Table SREB'!$A$78,"[Range 1].[Type]","[Range 1].[Type].&amp;[2]"), " ")</f>
        <v>9538</v>
      </c>
      <c r="C25" s="20"/>
      <c r="D25" s="21"/>
      <c r="E25" s="20"/>
      <c r="F25" s="20"/>
      <c r="G25" s="22"/>
      <c r="H25" s="23"/>
      <c r="I25" s="20"/>
      <c r="J25" s="22"/>
      <c r="K25" s="23"/>
      <c r="L25" s="20"/>
      <c r="M25" s="24"/>
    </row>
    <row r="26" spans="1:56">
      <c r="A26" s="19" t="s">
        <v>546</v>
      </c>
      <c r="B26" s="20">
        <f>IFERROR(GETPIVOTDATA("[Measures].[mOldUGIS]",'Pivot Table SREB'!$A$78,"[Range 1].[Type]","[Range 1].[Type].&amp;[3]"), " ")</f>
        <v>9255</v>
      </c>
      <c r="C26" s="20"/>
      <c r="D26" s="21"/>
      <c r="E26" s="20"/>
      <c r="F26" s="20"/>
      <c r="G26" s="22"/>
      <c r="H26" s="23"/>
      <c r="I26" s="20"/>
      <c r="J26" s="22"/>
      <c r="K26" s="23"/>
      <c r="L26" s="20"/>
      <c r="M26" s="24"/>
    </row>
    <row r="27" spans="1:56">
      <c r="A27" s="19" t="s">
        <v>547</v>
      </c>
      <c r="B27" s="20">
        <f>IFERROR(GETPIVOTDATA("[Measures].[mOldUGIS]",'Pivot Table SREB'!$A$78,"[Range 1].[Type]","[Range 1].[Type].&amp;[4]"), " ")</f>
        <v>8499.5</v>
      </c>
      <c r="C27" s="20"/>
      <c r="D27" s="21"/>
      <c r="E27" s="20"/>
      <c r="F27" s="20"/>
      <c r="G27" s="22"/>
      <c r="H27" s="23"/>
      <c r="I27" s="20"/>
      <c r="J27" s="22"/>
      <c r="K27" s="23"/>
      <c r="L27" s="20"/>
      <c r="M27" s="24"/>
    </row>
    <row r="28" spans="1:56">
      <c r="A28" s="19" t="s">
        <v>548</v>
      </c>
      <c r="B28" s="20">
        <f>IFERROR(GETPIVOTDATA("[Measures].[mOldUGIS]",'Pivot Table SREB'!$A$78,"[Range 1].[Type]","[Range 1].[Type].&amp;[5]"), " ")</f>
        <v>7917</v>
      </c>
      <c r="C28" s="20"/>
      <c r="D28" s="21"/>
      <c r="E28" s="20"/>
      <c r="F28" s="20"/>
      <c r="G28" s="22"/>
      <c r="H28" s="23"/>
      <c r="I28" s="20"/>
      <c r="J28" s="22"/>
      <c r="K28" s="23"/>
      <c r="L28" s="20"/>
      <c r="M28" s="24"/>
    </row>
    <row r="29" spans="1:56">
      <c r="A29" s="19" t="s">
        <v>549</v>
      </c>
      <c r="B29" s="20">
        <f>IFERROR(GETPIVOTDATA("[Measures].[mOldUGIS]",'Pivot Table SREB'!$A$78,"[Range 1].[Type]","[Range 1].[Type].&amp;[6]"), " ")</f>
        <v>7449.5</v>
      </c>
      <c r="C29" s="20"/>
      <c r="D29" s="21"/>
      <c r="E29" s="20"/>
      <c r="F29" s="20"/>
      <c r="G29" s="22"/>
      <c r="H29" s="23"/>
      <c r="I29" s="20"/>
      <c r="J29" s="22"/>
      <c r="K29" s="23"/>
      <c r="L29" s="20"/>
      <c r="M29" s="24"/>
    </row>
    <row r="30" spans="1:56">
      <c r="A30" s="30" t="s">
        <v>550</v>
      </c>
      <c r="B30" s="31">
        <f>IFERROR(GETPIVOTDATA("[Measures].[mOldUGIS]",'Pivot Table SREB'!$A$4), " ")</f>
        <v>9254.5</v>
      </c>
      <c r="C30" s="31"/>
      <c r="D30" s="32"/>
      <c r="E30" s="31"/>
      <c r="F30" s="31"/>
      <c r="G30" s="33"/>
      <c r="H30" s="34"/>
      <c r="I30" s="31"/>
      <c r="J30" s="33"/>
      <c r="K30" s="34"/>
      <c r="L30" s="31"/>
      <c r="M30" s="35"/>
    </row>
    <row r="31" spans="1:56">
      <c r="A31" s="19" t="s">
        <v>551</v>
      </c>
      <c r="B31" s="20">
        <f>IFERROR(GETPIVOTDATA("[Measures].[mOldUGIS]",'Pivot Table SREB'!$A$78,"[Range 1].[Type]","[Range 1].[Type].&amp;[7]"), " ")</f>
        <v>3150.9</v>
      </c>
      <c r="C31" s="20"/>
      <c r="D31" s="21"/>
      <c r="E31" s="20"/>
      <c r="F31" s="20"/>
      <c r="G31" s="22"/>
      <c r="H31" s="23"/>
      <c r="I31" s="20"/>
      <c r="J31" s="22"/>
      <c r="K31" s="23"/>
      <c r="L31" s="20"/>
      <c r="M31" s="24"/>
    </row>
    <row r="32" spans="1:56">
      <c r="A32" s="19" t="s">
        <v>552</v>
      </c>
      <c r="B32" s="20">
        <f>IFERROR(GETPIVOTDATA("[Measures].[mOldUGIS]",'Pivot Table SREB'!$A$78,"[Range 1].[Type]","[Range 1].[Type].&amp;[8]"), " ")</f>
        <v>3390</v>
      </c>
      <c r="C32" s="20"/>
      <c r="D32" s="21"/>
      <c r="E32" s="20"/>
      <c r="F32" s="20"/>
      <c r="G32" s="22"/>
      <c r="H32" s="23"/>
      <c r="I32" s="20"/>
      <c r="J32" s="22"/>
      <c r="K32" s="23"/>
      <c r="L32" s="20"/>
      <c r="M32" s="24"/>
    </row>
    <row r="33" spans="1:13">
      <c r="A33" s="19" t="s">
        <v>553</v>
      </c>
      <c r="B33" s="20">
        <f>IFERROR(GETPIVOTDATA("[Measures].[mOldUGIS]",'Pivot Table SREB'!$A$78,"[Range 1].[Type]","[Range 1].[Type].&amp;[9]"), " ")</f>
        <v>4128</v>
      </c>
      <c r="C33" s="20"/>
      <c r="D33" s="21"/>
      <c r="E33" s="20"/>
      <c r="F33" s="20"/>
      <c r="G33" s="22"/>
      <c r="H33" s="23"/>
      <c r="I33" s="20"/>
      <c r="J33" s="22"/>
      <c r="K33" s="23"/>
      <c r="L33" s="20"/>
      <c r="M33" s="24"/>
    </row>
    <row r="34" spans="1:13">
      <c r="A34" s="19" t="s">
        <v>554</v>
      </c>
      <c r="B34" s="20">
        <f>IFERROR(GETPIVOTDATA("[Measures].[mOldUGIS]",'Pivot Table SREB'!$A$78,"[Range 1].[Type]","[Range 1].[Type].&amp;[10]"), " ")</f>
        <v>4050</v>
      </c>
      <c r="C34" s="20"/>
      <c r="D34" s="21"/>
      <c r="E34" s="20"/>
      <c r="F34" s="20"/>
      <c r="G34" s="22"/>
      <c r="H34" s="23"/>
      <c r="I34" s="20"/>
      <c r="J34" s="22"/>
      <c r="K34" s="23"/>
      <c r="L34" s="20"/>
      <c r="M34" s="24"/>
    </row>
    <row r="35" spans="1:13">
      <c r="A35" s="30" t="s">
        <v>555</v>
      </c>
      <c r="B35" s="31">
        <f>GETPIVOTDATA("[Measures].[mOldUGIS]",'Pivot Table SREB'!$A$31)</f>
        <v>3790</v>
      </c>
      <c r="C35" s="31"/>
      <c r="D35" s="32"/>
      <c r="E35" s="31"/>
      <c r="F35" s="31"/>
      <c r="G35" s="33"/>
      <c r="H35" s="34"/>
      <c r="I35" s="31"/>
      <c r="J35" s="33"/>
      <c r="K35" s="34"/>
      <c r="L35" s="31"/>
      <c r="M35" s="35"/>
    </row>
    <row r="36" spans="1:13">
      <c r="A36" s="19" t="s">
        <v>556</v>
      </c>
      <c r="B36" s="20">
        <f>IFERROR(GETPIVOTDATA("[Measures].[mOldUGIS]",'Pivot Table SREB'!$A$78,"[Range 1].[Type]","[Range 1].[Type].&amp;[12]"), " ")</f>
        <v>3678</v>
      </c>
      <c r="C36" s="20"/>
      <c r="D36" s="59"/>
      <c r="E36" s="20"/>
      <c r="F36" s="20"/>
      <c r="G36" s="58"/>
      <c r="H36" s="23"/>
      <c r="I36" s="20"/>
      <c r="J36" s="22"/>
      <c r="K36" s="23"/>
      <c r="L36" s="20"/>
      <c r="M36" s="24"/>
    </row>
    <row r="37" spans="1:13">
      <c r="A37" s="19" t="s">
        <v>557</v>
      </c>
      <c r="B37" s="20">
        <f>IFERROR(GETPIVOTDATA("[Measures].[mOldUGIS]",'Pivot Table SREB'!$A$78,"[Range 1].[Type]","[Range 1].[Type].&amp;[13]"), " ")</f>
        <v>2340</v>
      </c>
      <c r="C37" s="20"/>
      <c r="D37" s="21"/>
      <c r="E37" s="20"/>
      <c r="F37" s="20"/>
      <c r="G37" s="22"/>
      <c r="H37" s="23"/>
      <c r="I37" s="20"/>
      <c r="J37" s="22"/>
      <c r="K37" s="23"/>
      <c r="L37" s="20"/>
      <c r="M37" s="24"/>
    </row>
    <row r="38" spans="1:13">
      <c r="A38" s="19" t="s">
        <v>558</v>
      </c>
      <c r="B38" s="20">
        <f>IFERROR(GETPIVOTDATA("[Measures].[mOldUGIS]",'Pivot Table SREB'!$A$78,"[Range 1].[Type]","[Range 1].[Type].&amp;[14]"), " ")</f>
        <v>6058</v>
      </c>
      <c r="C38" s="20"/>
      <c r="D38" s="21"/>
      <c r="E38" s="20"/>
      <c r="F38" s="20"/>
      <c r="G38" s="22"/>
      <c r="H38" s="23"/>
      <c r="I38" s="20"/>
      <c r="J38" s="22"/>
      <c r="K38" s="23"/>
      <c r="L38" s="20"/>
      <c r="M38" s="24"/>
    </row>
    <row r="39" spans="1:13">
      <c r="A39" s="30" t="s">
        <v>559</v>
      </c>
      <c r="B39" s="31">
        <f>GETPIVOTDATA("[Measures].[mOldUGIS]",'Pivot Table SREB'!$A$59)</f>
        <v>3726</v>
      </c>
      <c r="C39" s="31"/>
      <c r="D39" s="32"/>
      <c r="E39" s="31"/>
      <c r="F39" s="31"/>
      <c r="G39" s="61"/>
      <c r="H39" s="34"/>
      <c r="I39" s="31"/>
      <c r="J39" s="33"/>
      <c r="K39" s="34"/>
      <c r="L39" s="31"/>
      <c r="M39" s="35"/>
    </row>
    <row r="40" spans="1:13">
      <c r="A40" s="41" t="s">
        <v>560</v>
      </c>
      <c r="B40" s="42"/>
      <c r="C40" s="42"/>
      <c r="D40" s="43"/>
      <c r="E40" s="42"/>
      <c r="F40" s="42"/>
      <c r="G40" s="44"/>
      <c r="H40" s="45"/>
      <c r="I40" s="42"/>
      <c r="J40" s="44"/>
      <c r="K40" s="45"/>
      <c r="L40" s="42"/>
      <c r="M40" s="44"/>
    </row>
  </sheetData>
  <conditionalFormatting sqref="A21">
    <cfRule type="containsErrors" dxfId="905" priority="2">
      <formula>ISERROR(A21)</formula>
    </cfRule>
  </conditionalFormatting>
  <conditionalFormatting sqref="A1:BC2 A3:BD19">
    <cfRule type="containsErrors" dxfId="904" priority="4">
      <formula>ISERROR(A1)</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F25DF-DA94-43D4-A563-8F6F4FE744DE}">
  <sheetPr codeName="Sheet13"/>
  <dimension ref="A1:E656"/>
  <sheetViews>
    <sheetView workbookViewId="0">
      <selection activeCell="A656" sqref="A1:A656"/>
    </sheetView>
  </sheetViews>
  <sheetFormatPr defaultRowHeight="15"/>
  <sheetData>
    <row r="1" spans="1:5">
      <c r="A1" s="340" t="s">
        <v>56</v>
      </c>
      <c r="B1" s="341" t="s">
        <v>57</v>
      </c>
      <c r="C1" s="342"/>
      <c r="D1" s="343">
        <v>100858</v>
      </c>
      <c r="E1" s="343">
        <v>1</v>
      </c>
    </row>
    <row r="2" spans="1:5">
      <c r="A2" s="340" t="s">
        <v>56</v>
      </c>
      <c r="B2" s="341" t="s">
        <v>58</v>
      </c>
      <c r="C2" s="342"/>
      <c r="D2" s="343">
        <v>100751</v>
      </c>
      <c r="E2" s="343">
        <v>1</v>
      </c>
    </row>
    <row r="3" spans="1:5">
      <c r="A3" s="340" t="s">
        <v>56</v>
      </c>
      <c r="B3" s="341" t="s">
        <v>59</v>
      </c>
      <c r="C3" s="344"/>
      <c r="D3" s="343">
        <v>100663</v>
      </c>
      <c r="E3" s="343">
        <v>1</v>
      </c>
    </row>
    <row r="4" spans="1:5">
      <c r="A4" s="340" t="s">
        <v>56</v>
      </c>
      <c r="B4" s="341" t="s">
        <v>60</v>
      </c>
      <c r="C4" s="345" t="s">
        <v>624</v>
      </c>
      <c r="D4" s="343">
        <v>100706</v>
      </c>
      <c r="E4" s="343">
        <v>2</v>
      </c>
    </row>
    <row r="5" spans="1:5">
      <c r="A5" s="340" t="s">
        <v>56</v>
      </c>
      <c r="B5" s="341" t="s">
        <v>64</v>
      </c>
      <c r="C5" s="346"/>
      <c r="D5" s="343">
        <v>102094</v>
      </c>
      <c r="E5" s="343">
        <v>2</v>
      </c>
    </row>
    <row r="6" spans="1:5">
      <c r="A6" s="340" t="s">
        <v>56</v>
      </c>
      <c r="B6" s="341" t="s">
        <v>61</v>
      </c>
      <c r="C6" s="342"/>
      <c r="D6" s="343">
        <v>100654</v>
      </c>
      <c r="E6" s="343">
        <v>3</v>
      </c>
    </row>
    <row r="7" spans="1:5">
      <c r="A7" s="340" t="s">
        <v>56</v>
      </c>
      <c r="B7" s="341" t="s">
        <v>62</v>
      </c>
      <c r="C7" s="342"/>
      <c r="D7" s="343">
        <v>101480</v>
      </c>
      <c r="E7" s="343">
        <v>3</v>
      </c>
    </row>
    <row r="8" spans="1:5">
      <c r="A8" s="340" t="s">
        <v>56</v>
      </c>
      <c r="B8" s="341" t="s">
        <v>63</v>
      </c>
      <c r="C8" s="342"/>
      <c r="D8" s="343">
        <v>102368</v>
      </c>
      <c r="E8" s="343">
        <v>3</v>
      </c>
    </row>
    <row r="9" spans="1:5">
      <c r="A9" s="340" t="s">
        <v>56</v>
      </c>
      <c r="B9" s="341" t="s">
        <v>67</v>
      </c>
      <c r="C9" s="344"/>
      <c r="D9" s="343">
        <v>101879</v>
      </c>
      <c r="E9" s="343">
        <v>3</v>
      </c>
    </row>
    <row r="10" spans="1:5">
      <c r="A10" s="340" t="s">
        <v>56</v>
      </c>
      <c r="B10" s="341" t="s">
        <v>65</v>
      </c>
      <c r="C10" s="342"/>
      <c r="D10" s="343">
        <v>100724</v>
      </c>
      <c r="E10" s="343">
        <v>4</v>
      </c>
    </row>
    <row r="11" spans="1:5">
      <c r="A11" s="340" t="s">
        <v>56</v>
      </c>
      <c r="B11" s="341" t="s">
        <v>66</v>
      </c>
      <c r="C11" s="347" t="s">
        <v>893</v>
      </c>
      <c r="D11" s="340">
        <v>100830</v>
      </c>
      <c r="E11" s="348">
        <v>3</v>
      </c>
    </row>
    <row r="12" spans="1:5">
      <c r="A12" s="340" t="s">
        <v>56</v>
      </c>
      <c r="B12" s="341" t="s">
        <v>68</v>
      </c>
      <c r="C12" s="342"/>
      <c r="D12" s="343">
        <v>101709</v>
      </c>
      <c r="E12" s="343">
        <v>5</v>
      </c>
    </row>
    <row r="13" spans="1:5">
      <c r="A13" s="340" t="s">
        <v>56</v>
      </c>
      <c r="B13" s="341" t="s">
        <v>69</v>
      </c>
      <c r="C13" s="347" t="s">
        <v>894</v>
      </c>
      <c r="D13" s="340">
        <v>101587</v>
      </c>
      <c r="E13" s="348">
        <v>4</v>
      </c>
    </row>
    <row r="14" spans="1:5">
      <c r="A14" s="340" t="s">
        <v>56</v>
      </c>
      <c r="B14" s="341" t="s">
        <v>70</v>
      </c>
      <c r="C14" s="345" t="s">
        <v>904</v>
      </c>
      <c r="D14" s="349">
        <v>100812</v>
      </c>
      <c r="E14" s="343">
        <v>6</v>
      </c>
    </row>
    <row r="15" spans="1:5">
      <c r="A15" s="340" t="s">
        <v>56</v>
      </c>
      <c r="B15" s="350" t="s">
        <v>71</v>
      </c>
      <c r="C15" s="342"/>
      <c r="D15" s="343">
        <v>101505</v>
      </c>
      <c r="E15" s="343">
        <v>8</v>
      </c>
    </row>
    <row r="16" spans="1:5">
      <c r="A16" s="340" t="s">
        <v>56</v>
      </c>
      <c r="B16" s="350" t="s">
        <v>611</v>
      </c>
      <c r="C16" s="342"/>
      <c r="D16" s="343">
        <v>101514</v>
      </c>
      <c r="E16" s="343">
        <v>8</v>
      </c>
    </row>
    <row r="17" spans="1:5">
      <c r="A17" s="340" t="s">
        <v>56</v>
      </c>
      <c r="B17" s="341" t="s">
        <v>72</v>
      </c>
      <c r="C17" s="351"/>
      <c r="D17" s="343">
        <v>102429</v>
      </c>
      <c r="E17" s="343">
        <v>9</v>
      </c>
    </row>
    <row r="18" spans="1:5">
      <c r="A18" s="340" t="s">
        <v>56</v>
      </c>
      <c r="B18" s="352" t="s">
        <v>73</v>
      </c>
      <c r="C18" s="345" t="s">
        <v>905</v>
      </c>
      <c r="D18" s="343">
        <v>102030</v>
      </c>
      <c r="E18" s="343">
        <v>9</v>
      </c>
    </row>
    <row r="19" spans="1:5">
      <c r="A19" s="340" t="s">
        <v>56</v>
      </c>
      <c r="B19" s="352" t="s">
        <v>626</v>
      </c>
      <c r="C19" s="347" t="s">
        <v>895</v>
      </c>
      <c r="D19" s="340">
        <v>101161</v>
      </c>
      <c r="E19" s="348">
        <v>8</v>
      </c>
    </row>
    <row r="20" spans="1:5">
      <c r="A20" s="340" t="s">
        <v>56</v>
      </c>
      <c r="B20" s="341" t="s">
        <v>74</v>
      </c>
      <c r="C20" s="351"/>
      <c r="D20" s="343">
        <v>101240</v>
      </c>
      <c r="E20" s="343">
        <v>9</v>
      </c>
    </row>
    <row r="21" spans="1:5">
      <c r="A21" s="340" t="s">
        <v>56</v>
      </c>
      <c r="B21" s="350" t="s">
        <v>612</v>
      </c>
      <c r="C21" s="342"/>
      <c r="D21" s="343">
        <v>101286</v>
      </c>
      <c r="E21" s="343">
        <v>9</v>
      </c>
    </row>
    <row r="22" spans="1:5">
      <c r="A22" s="340" t="s">
        <v>56</v>
      </c>
      <c r="B22" s="350" t="s">
        <v>613</v>
      </c>
      <c r="C22" s="344"/>
      <c r="D22" s="343">
        <v>101295</v>
      </c>
      <c r="E22" s="343">
        <v>9</v>
      </c>
    </row>
    <row r="23" spans="1:5">
      <c r="A23" s="340" t="s">
        <v>56</v>
      </c>
      <c r="B23" s="341" t="s">
        <v>75</v>
      </c>
      <c r="C23" s="342"/>
      <c r="D23" s="343">
        <v>101569</v>
      </c>
      <c r="E23" s="343">
        <v>9</v>
      </c>
    </row>
    <row r="24" spans="1:5">
      <c r="A24" s="340" t="s">
        <v>56</v>
      </c>
      <c r="B24" s="341" t="s">
        <v>76</v>
      </c>
      <c r="C24" s="342"/>
      <c r="D24" s="343">
        <v>101736</v>
      </c>
      <c r="E24" s="343">
        <v>9</v>
      </c>
    </row>
    <row r="25" spans="1:5">
      <c r="A25" s="340" t="s">
        <v>56</v>
      </c>
      <c r="B25" s="341" t="s">
        <v>77</v>
      </c>
      <c r="C25" s="342"/>
      <c r="D25" s="343">
        <v>102067</v>
      </c>
      <c r="E25" s="343">
        <v>9</v>
      </c>
    </row>
    <row r="26" spans="1:5">
      <c r="A26" s="340" t="s">
        <v>56</v>
      </c>
      <c r="B26" s="341" t="s">
        <v>78</v>
      </c>
      <c r="C26" s="342"/>
      <c r="D26" s="343">
        <v>251260</v>
      </c>
      <c r="E26" s="343">
        <v>9</v>
      </c>
    </row>
    <row r="27" spans="1:5">
      <c r="A27" s="340" t="s">
        <v>56</v>
      </c>
      <c r="B27" s="341" t="s">
        <v>79</v>
      </c>
      <c r="C27" s="351"/>
      <c r="D27" s="343">
        <v>100760</v>
      </c>
      <c r="E27" s="343">
        <v>10</v>
      </c>
    </row>
    <row r="28" spans="1:5">
      <c r="A28" s="340" t="s">
        <v>56</v>
      </c>
      <c r="B28" s="350" t="s">
        <v>614</v>
      </c>
      <c r="C28" s="342"/>
      <c r="D28" s="343">
        <v>101028</v>
      </c>
      <c r="E28" s="343">
        <v>10</v>
      </c>
    </row>
    <row r="29" spans="1:5">
      <c r="A29" s="340" t="s">
        <v>56</v>
      </c>
      <c r="B29" s="353" t="s">
        <v>615</v>
      </c>
      <c r="C29" s="344"/>
      <c r="D29" s="343">
        <v>101143</v>
      </c>
      <c r="E29" s="343">
        <v>10</v>
      </c>
    </row>
    <row r="30" spans="1:5">
      <c r="A30" s="340" t="s">
        <v>56</v>
      </c>
      <c r="B30" s="341" t="s">
        <v>80</v>
      </c>
      <c r="C30" s="342"/>
      <c r="D30" s="343">
        <v>101301</v>
      </c>
      <c r="E30" s="343">
        <v>10</v>
      </c>
    </row>
    <row r="31" spans="1:5">
      <c r="A31" s="340" t="s">
        <v>56</v>
      </c>
      <c r="B31" s="341" t="s">
        <v>81</v>
      </c>
      <c r="C31" s="342"/>
      <c r="D31" s="343">
        <v>101602</v>
      </c>
      <c r="E31" s="343">
        <v>10</v>
      </c>
    </row>
    <row r="32" spans="1:5">
      <c r="A32" s="340" t="s">
        <v>56</v>
      </c>
      <c r="B32" s="354" t="s">
        <v>616</v>
      </c>
      <c r="C32" s="218" t="s">
        <v>627</v>
      </c>
      <c r="D32" s="343">
        <v>101897</v>
      </c>
      <c r="E32" s="343">
        <v>10</v>
      </c>
    </row>
    <row r="33" spans="1:5">
      <c r="A33" s="340" t="s">
        <v>56</v>
      </c>
      <c r="B33" s="341" t="s">
        <v>82</v>
      </c>
      <c r="C33" s="218" t="s">
        <v>627</v>
      </c>
      <c r="D33" s="343">
        <v>102076</v>
      </c>
      <c r="E33" s="343">
        <v>10</v>
      </c>
    </row>
    <row r="34" spans="1:5">
      <c r="A34" s="340" t="s">
        <v>56</v>
      </c>
      <c r="B34" s="350" t="s">
        <v>617</v>
      </c>
      <c r="C34" s="351"/>
      <c r="D34" s="343">
        <v>102313</v>
      </c>
      <c r="E34" s="343">
        <v>12</v>
      </c>
    </row>
    <row r="35" spans="1:5">
      <c r="A35" s="340" t="s">
        <v>56</v>
      </c>
      <c r="B35" s="350" t="s">
        <v>618</v>
      </c>
      <c r="C35" s="342"/>
      <c r="D35" s="343">
        <v>101462</v>
      </c>
      <c r="E35" s="343">
        <v>13</v>
      </c>
    </row>
    <row r="36" spans="1:5">
      <c r="A36" s="340" t="s">
        <v>56</v>
      </c>
      <c r="B36" s="341" t="s">
        <v>83</v>
      </c>
      <c r="C36" s="342"/>
      <c r="D36" s="343">
        <v>101471</v>
      </c>
      <c r="E36" s="343">
        <v>13</v>
      </c>
    </row>
    <row r="37" spans="1:5">
      <c r="A37" s="340" t="s">
        <v>56</v>
      </c>
      <c r="B37" s="341" t="s">
        <v>85</v>
      </c>
      <c r="C37" s="342"/>
      <c r="D37" s="343">
        <v>101994</v>
      </c>
      <c r="E37" s="343">
        <v>13</v>
      </c>
    </row>
    <row r="38" spans="1:5">
      <c r="A38" s="340" t="s">
        <v>56</v>
      </c>
      <c r="B38" s="341" t="s">
        <v>86</v>
      </c>
      <c r="C38" s="342"/>
      <c r="D38" s="343">
        <v>101648</v>
      </c>
      <c r="E38" s="343">
        <v>15</v>
      </c>
    </row>
    <row r="39" spans="1:5">
      <c r="A39" s="219" t="s">
        <v>87</v>
      </c>
      <c r="B39" s="220" t="s">
        <v>90</v>
      </c>
      <c r="C39" s="221"/>
      <c r="D39" s="222">
        <v>106458</v>
      </c>
      <c r="E39" s="222">
        <v>3</v>
      </c>
    </row>
    <row r="40" spans="1:5">
      <c r="A40" s="219" t="s">
        <v>87</v>
      </c>
      <c r="B40" s="220" t="s">
        <v>91</v>
      </c>
      <c r="C40" s="223"/>
      <c r="D40" s="222">
        <v>106467</v>
      </c>
      <c r="E40" s="222">
        <v>3</v>
      </c>
    </row>
    <row r="41" spans="1:5">
      <c r="A41" s="219" t="s">
        <v>87</v>
      </c>
      <c r="B41" s="220" t="s">
        <v>93</v>
      </c>
      <c r="C41" s="221"/>
      <c r="D41" s="222">
        <v>107071</v>
      </c>
      <c r="E41" s="222">
        <v>4</v>
      </c>
    </row>
    <row r="42" spans="1:5">
      <c r="A42" s="219" t="s">
        <v>87</v>
      </c>
      <c r="B42" s="220" t="s">
        <v>94</v>
      </c>
      <c r="C42" s="223"/>
      <c r="D42" s="222">
        <v>107983</v>
      </c>
      <c r="E42" s="222">
        <v>4</v>
      </c>
    </row>
    <row r="43" spans="1:5">
      <c r="A43" s="219" t="s">
        <v>87</v>
      </c>
      <c r="B43" s="220" t="s">
        <v>88</v>
      </c>
      <c r="C43" s="221"/>
      <c r="D43" s="222">
        <v>106397</v>
      </c>
      <c r="E43" s="222">
        <v>1</v>
      </c>
    </row>
    <row r="44" spans="1:5">
      <c r="A44" s="219" t="s">
        <v>87</v>
      </c>
      <c r="B44" s="220" t="s">
        <v>96</v>
      </c>
      <c r="C44" s="221"/>
      <c r="D44" s="222">
        <v>108092</v>
      </c>
      <c r="E44" s="222">
        <v>6</v>
      </c>
    </row>
    <row r="45" spans="1:5">
      <c r="A45" s="219" t="s">
        <v>87</v>
      </c>
      <c r="B45" s="220" t="s">
        <v>89</v>
      </c>
      <c r="C45" s="221"/>
      <c r="D45" s="222">
        <v>106245</v>
      </c>
      <c r="E45" s="222">
        <v>2</v>
      </c>
    </row>
    <row r="46" spans="1:5">
      <c r="A46" s="219" t="s">
        <v>87</v>
      </c>
      <c r="B46" s="220" t="s">
        <v>95</v>
      </c>
      <c r="C46" s="221"/>
      <c r="D46" s="222">
        <v>106485</v>
      </c>
      <c r="E46" s="222">
        <v>4</v>
      </c>
    </row>
    <row r="47" spans="1:5">
      <c r="A47" s="219" t="s">
        <v>87</v>
      </c>
      <c r="B47" s="220" t="s">
        <v>116</v>
      </c>
      <c r="C47" s="221"/>
      <c r="D47" s="222">
        <v>106263</v>
      </c>
      <c r="E47" s="222">
        <v>15</v>
      </c>
    </row>
    <row r="48" spans="1:5">
      <c r="A48" s="219" t="s">
        <v>87</v>
      </c>
      <c r="B48" s="220" t="s">
        <v>97</v>
      </c>
      <c r="C48" s="375" t="s">
        <v>906</v>
      </c>
      <c r="D48" s="222">
        <v>106412</v>
      </c>
      <c r="E48" s="222">
        <v>6</v>
      </c>
    </row>
    <row r="49" spans="1:5">
      <c r="A49" s="219" t="s">
        <v>87</v>
      </c>
      <c r="B49" s="220" t="s">
        <v>92</v>
      </c>
      <c r="C49" s="221"/>
      <c r="D49" s="222">
        <v>106704</v>
      </c>
      <c r="E49" s="222">
        <v>3</v>
      </c>
    </row>
    <row r="50" spans="1:5">
      <c r="A50" s="219" t="s">
        <v>87</v>
      </c>
      <c r="B50" s="220" t="s">
        <v>101</v>
      </c>
      <c r="C50" s="221"/>
      <c r="D50" s="222">
        <v>107327</v>
      </c>
      <c r="E50" s="222">
        <v>10</v>
      </c>
    </row>
    <row r="51" spans="1:5">
      <c r="A51" s="219" t="s">
        <v>87</v>
      </c>
      <c r="B51" s="220" t="s">
        <v>99</v>
      </c>
      <c r="C51" s="221"/>
      <c r="D51" s="222">
        <v>106449</v>
      </c>
      <c r="E51" s="222">
        <v>9</v>
      </c>
    </row>
    <row r="52" spans="1:5">
      <c r="A52" s="219" t="s">
        <v>87</v>
      </c>
      <c r="B52" s="220" t="s">
        <v>103</v>
      </c>
      <c r="C52" s="221"/>
      <c r="D52" s="222">
        <v>420538</v>
      </c>
      <c r="E52" s="222">
        <v>10</v>
      </c>
    </row>
    <row r="53" spans="1:5">
      <c r="A53" s="219" t="s">
        <v>87</v>
      </c>
      <c r="B53" s="224" t="s">
        <v>102</v>
      </c>
      <c r="C53" s="221"/>
      <c r="D53" s="222">
        <v>107318</v>
      </c>
      <c r="E53" s="222">
        <v>10</v>
      </c>
    </row>
    <row r="54" spans="1:5">
      <c r="A54" s="219" t="s">
        <v>87</v>
      </c>
      <c r="B54" s="220" t="s">
        <v>104</v>
      </c>
      <c r="C54" s="221"/>
      <c r="D54" s="222">
        <v>440402</v>
      </c>
      <c r="E54" s="222">
        <v>10</v>
      </c>
    </row>
    <row r="55" spans="1:5">
      <c r="A55" s="219" t="s">
        <v>87</v>
      </c>
      <c r="B55" s="220" t="s">
        <v>628</v>
      </c>
      <c r="C55" s="221" t="s">
        <v>629</v>
      </c>
      <c r="D55" s="222">
        <v>107521</v>
      </c>
      <c r="E55" s="222">
        <v>10</v>
      </c>
    </row>
    <row r="56" spans="1:5">
      <c r="A56" s="219" t="s">
        <v>87</v>
      </c>
      <c r="B56" s="220" t="s">
        <v>105</v>
      </c>
      <c r="C56" s="221"/>
      <c r="D56" s="222">
        <v>106625</v>
      </c>
      <c r="E56" s="222">
        <v>10</v>
      </c>
    </row>
    <row r="57" spans="1:5">
      <c r="A57" s="219" t="s">
        <v>87</v>
      </c>
      <c r="B57" s="220" t="s">
        <v>106</v>
      </c>
      <c r="C57" s="221"/>
      <c r="D57" s="222">
        <v>106795</v>
      </c>
      <c r="E57" s="222">
        <v>10</v>
      </c>
    </row>
    <row r="58" spans="1:5">
      <c r="A58" s="222" t="s">
        <v>87</v>
      </c>
      <c r="B58" s="220" t="s">
        <v>107</v>
      </c>
      <c r="C58" s="221"/>
      <c r="D58" s="222">
        <v>106883</v>
      </c>
      <c r="E58" s="222">
        <v>10</v>
      </c>
    </row>
    <row r="59" spans="1:5">
      <c r="A59" s="219" t="s">
        <v>87</v>
      </c>
      <c r="B59" s="220" t="s">
        <v>108</v>
      </c>
      <c r="C59" s="221"/>
      <c r="D59" s="222">
        <v>107460</v>
      </c>
      <c r="E59" s="222">
        <v>10</v>
      </c>
    </row>
    <row r="60" spans="1:5">
      <c r="A60" s="222" t="s">
        <v>87</v>
      </c>
      <c r="B60" s="224" t="s">
        <v>100</v>
      </c>
      <c r="C60" s="223"/>
      <c r="D60" s="222">
        <v>106980</v>
      </c>
      <c r="E60" s="222">
        <v>10</v>
      </c>
    </row>
    <row r="61" spans="1:5">
      <c r="A61" s="219" t="s">
        <v>87</v>
      </c>
      <c r="B61" s="220" t="s">
        <v>98</v>
      </c>
      <c r="C61" s="375" t="s">
        <v>907</v>
      </c>
      <c r="D61" s="222">
        <v>367459</v>
      </c>
      <c r="E61" s="222">
        <v>8</v>
      </c>
    </row>
    <row r="62" spans="1:5">
      <c r="A62" s="219" t="s">
        <v>87</v>
      </c>
      <c r="B62" s="220" t="s">
        <v>109</v>
      </c>
      <c r="C62" s="221"/>
      <c r="D62" s="222">
        <v>107549</v>
      </c>
      <c r="E62" s="222">
        <v>10</v>
      </c>
    </row>
    <row r="63" spans="1:5">
      <c r="A63" s="219" t="s">
        <v>87</v>
      </c>
      <c r="B63" s="220" t="s">
        <v>110</v>
      </c>
      <c r="C63" s="221"/>
      <c r="D63" s="222">
        <v>107619</v>
      </c>
      <c r="E63" s="222">
        <v>10</v>
      </c>
    </row>
    <row r="64" spans="1:5">
      <c r="A64" s="219" t="s">
        <v>87</v>
      </c>
      <c r="B64" s="220" t="s">
        <v>111</v>
      </c>
      <c r="C64" s="221"/>
      <c r="D64" s="222">
        <v>107974</v>
      </c>
      <c r="E64" s="222">
        <v>10</v>
      </c>
    </row>
    <row r="65" spans="1:5">
      <c r="A65" s="222" t="s">
        <v>87</v>
      </c>
      <c r="B65" s="220" t="s">
        <v>113</v>
      </c>
      <c r="C65" s="221"/>
      <c r="D65" s="222">
        <v>107992</v>
      </c>
      <c r="E65" s="222">
        <v>10</v>
      </c>
    </row>
    <row r="66" spans="1:5">
      <c r="A66" s="219" t="s">
        <v>87</v>
      </c>
      <c r="B66" s="220" t="s">
        <v>112</v>
      </c>
      <c r="C66" s="221"/>
      <c r="D66" s="222">
        <v>107637</v>
      </c>
      <c r="E66" s="222">
        <v>10</v>
      </c>
    </row>
    <row r="67" spans="1:5">
      <c r="A67" s="222" t="s">
        <v>87</v>
      </c>
      <c r="B67" s="220" t="s">
        <v>114</v>
      </c>
      <c r="C67" s="221"/>
      <c r="D67" s="222">
        <v>106999</v>
      </c>
      <c r="E67" s="222">
        <v>10</v>
      </c>
    </row>
    <row r="68" spans="1:5">
      <c r="A68" s="219" t="s">
        <v>87</v>
      </c>
      <c r="B68" s="220" t="s">
        <v>630</v>
      </c>
      <c r="C68" s="221"/>
      <c r="D68" s="222">
        <v>107725</v>
      </c>
      <c r="E68" s="222">
        <v>10</v>
      </c>
    </row>
    <row r="69" spans="1:5">
      <c r="A69" s="222" t="s">
        <v>87</v>
      </c>
      <c r="B69" s="220" t="s">
        <v>115</v>
      </c>
      <c r="C69" s="221"/>
      <c r="D69" s="222">
        <v>107585</v>
      </c>
      <c r="E69" s="222">
        <v>10</v>
      </c>
    </row>
    <row r="70" spans="1:5">
      <c r="A70" s="219" t="s">
        <v>87</v>
      </c>
      <c r="B70" s="220" t="s">
        <v>620</v>
      </c>
      <c r="C70" s="221"/>
      <c r="D70" s="222">
        <v>107743</v>
      </c>
      <c r="E70" s="222">
        <v>10</v>
      </c>
    </row>
    <row r="71" spans="1:5">
      <c r="A71" s="222" t="s">
        <v>87</v>
      </c>
      <c r="B71" s="220" t="s">
        <v>619</v>
      </c>
      <c r="C71" s="223"/>
      <c r="D71" s="222">
        <v>107664</v>
      </c>
      <c r="E71" s="222">
        <v>9</v>
      </c>
    </row>
    <row r="72" spans="1:5">
      <c r="A72" s="225" t="s">
        <v>117</v>
      </c>
      <c r="B72" s="226" t="s">
        <v>118</v>
      </c>
      <c r="C72" s="227"/>
      <c r="D72" s="225">
        <v>130943</v>
      </c>
      <c r="E72" s="225">
        <v>1</v>
      </c>
    </row>
    <row r="73" spans="1:5">
      <c r="A73" s="225" t="s">
        <v>117</v>
      </c>
      <c r="B73" s="226" t="s">
        <v>119</v>
      </c>
      <c r="C73" s="228"/>
      <c r="D73" s="225">
        <v>130934</v>
      </c>
      <c r="E73" s="225">
        <v>3</v>
      </c>
    </row>
    <row r="74" spans="1:5">
      <c r="A74" s="225" t="s">
        <v>117</v>
      </c>
      <c r="B74" s="226" t="s">
        <v>120</v>
      </c>
      <c r="C74" s="376" t="s">
        <v>908</v>
      </c>
      <c r="D74" s="225">
        <v>130907</v>
      </c>
      <c r="E74" s="225">
        <v>9</v>
      </c>
    </row>
    <row r="75" spans="1:5">
      <c r="A75" s="204" t="s">
        <v>121</v>
      </c>
      <c r="B75" s="1"/>
      <c r="C75" s="215"/>
      <c r="D75" s="2"/>
      <c r="E75" s="2"/>
    </row>
    <row r="76" spans="1:5">
      <c r="A76" s="229" t="s">
        <v>121</v>
      </c>
      <c r="B76" s="230" t="s">
        <v>141</v>
      </c>
      <c r="C76" s="231"/>
      <c r="D76" s="229">
        <v>132693</v>
      </c>
      <c r="E76" s="229">
        <v>7</v>
      </c>
    </row>
    <row r="77" spans="1:5">
      <c r="A77" s="229" t="s">
        <v>121</v>
      </c>
      <c r="B77" s="230" t="s">
        <v>122</v>
      </c>
      <c r="C77" s="231"/>
      <c r="D77" s="229">
        <v>132709</v>
      </c>
      <c r="E77" s="229">
        <v>7</v>
      </c>
    </row>
    <row r="78" spans="1:5">
      <c r="A78" s="229" t="s">
        <v>121</v>
      </c>
      <c r="B78" s="230" t="s">
        <v>124</v>
      </c>
      <c r="C78" s="231"/>
      <c r="D78" s="229">
        <v>132851</v>
      </c>
      <c r="E78" s="229">
        <v>7</v>
      </c>
    </row>
    <row r="79" spans="1:5">
      <c r="A79" s="229" t="s">
        <v>121</v>
      </c>
      <c r="B79" s="230" t="s">
        <v>123</v>
      </c>
      <c r="C79" s="232"/>
      <c r="D79" s="229">
        <v>133021</v>
      </c>
      <c r="E79" s="229">
        <v>7</v>
      </c>
    </row>
    <row r="80" spans="1:5">
      <c r="A80" s="229" t="s">
        <v>121</v>
      </c>
      <c r="B80" s="230" t="s">
        <v>125</v>
      </c>
      <c r="C80" s="232"/>
      <c r="D80" s="229">
        <v>133386</v>
      </c>
      <c r="E80" s="229">
        <v>7</v>
      </c>
    </row>
    <row r="81" spans="1:5">
      <c r="A81" s="229" t="s">
        <v>121</v>
      </c>
      <c r="B81" s="230" t="s">
        <v>126</v>
      </c>
      <c r="C81" s="232"/>
      <c r="D81" s="229">
        <v>133508</v>
      </c>
      <c r="E81" s="229">
        <v>7</v>
      </c>
    </row>
    <row r="82" spans="1:5">
      <c r="A82" s="229" t="s">
        <v>121</v>
      </c>
      <c r="B82" s="230" t="s">
        <v>127</v>
      </c>
      <c r="C82" s="233"/>
      <c r="D82" s="229">
        <v>133702</v>
      </c>
      <c r="E82" s="229">
        <v>7</v>
      </c>
    </row>
    <row r="83" spans="1:5">
      <c r="A83" s="229" t="s">
        <v>121</v>
      </c>
      <c r="B83" s="230" t="s">
        <v>632</v>
      </c>
      <c r="C83" s="232" t="s">
        <v>633</v>
      </c>
      <c r="D83" s="229">
        <v>133960</v>
      </c>
      <c r="E83" s="229">
        <v>10</v>
      </c>
    </row>
    <row r="84" spans="1:5">
      <c r="A84" s="229" t="s">
        <v>121</v>
      </c>
      <c r="B84" s="230" t="s">
        <v>128</v>
      </c>
      <c r="C84" s="231"/>
      <c r="D84" s="229">
        <v>134343</v>
      </c>
      <c r="E84" s="229">
        <v>7</v>
      </c>
    </row>
    <row r="85" spans="1:5">
      <c r="A85" s="229" t="s">
        <v>121</v>
      </c>
      <c r="B85" s="230" t="s">
        <v>142</v>
      </c>
      <c r="C85" s="232"/>
      <c r="D85" s="229">
        <v>134495</v>
      </c>
      <c r="E85" s="229">
        <v>8</v>
      </c>
    </row>
    <row r="86" spans="1:5">
      <c r="A86" s="229" t="s">
        <v>121</v>
      </c>
      <c r="B86" s="230" t="s">
        <v>129</v>
      </c>
      <c r="C86" s="233"/>
      <c r="D86" s="229">
        <v>134608</v>
      </c>
      <c r="E86" s="229">
        <v>7</v>
      </c>
    </row>
    <row r="87" spans="1:5">
      <c r="A87" s="229" t="s">
        <v>121</v>
      </c>
      <c r="B87" s="230" t="s">
        <v>145</v>
      </c>
      <c r="C87" s="231"/>
      <c r="D87" s="229">
        <v>135160</v>
      </c>
      <c r="E87" s="229">
        <v>7</v>
      </c>
    </row>
    <row r="88" spans="1:5">
      <c r="A88" s="229" t="s">
        <v>121</v>
      </c>
      <c r="B88" s="230" t="s">
        <v>146</v>
      </c>
      <c r="C88" s="231"/>
      <c r="D88" s="229">
        <v>135188</v>
      </c>
      <c r="E88" s="229">
        <v>7</v>
      </c>
    </row>
    <row r="89" spans="1:5">
      <c r="A89" s="229" t="s">
        <v>121</v>
      </c>
      <c r="B89" s="230" t="s">
        <v>139</v>
      </c>
      <c r="C89" s="231"/>
      <c r="D89" s="229">
        <v>135391</v>
      </c>
      <c r="E89" s="229">
        <v>7</v>
      </c>
    </row>
    <row r="90" spans="1:5">
      <c r="A90" s="229" t="s">
        <v>121</v>
      </c>
      <c r="B90" s="230" t="s">
        <v>130</v>
      </c>
      <c r="C90" s="232"/>
      <c r="D90" s="229">
        <v>135717</v>
      </c>
      <c r="E90" s="229">
        <v>7</v>
      </c>
    </row>
    <row r="91" spans="1:5">
      <c r="A91" s="229" t="s">
        <v>121</v>
      </c>
      <c r="B91" s="230" t="s">
        <v>634</v>
      </c>
      <c r="C91" s="232" t="s">
        <v>631</v>
      </c>
      <c r="D91" s="229">
        <v>136145</v>
      </c>
      <c r="E91" s="229">
        <v>10</v>
      </c>
    </row>
    <row r="92" spans="1:5">
      <c r="A92" s="234" t="s">
        <v>121</v>
      </c>
      <c r="B92" s="230" t="s">
        <v>131</v>
      </c>
      <c r="C92" s="232"/>
      <c r="D92" s="229">
        <v>136233</v>
      </c>
      <c r="E92" s="229">
        <v>7</v>
      </c>
    </row>
    <row r="93" spans="1:5">
      <c r="A93" s="234" t="s">
        <v>121</v>
      </c>
      <c r="B93" s="230" t="s">
        <v>132</v>
      </c>
      <c r="C93" s="231"/>
      <c r="D93" s="229">
        <v>136358</v>
      </c>
      <c r="E93" s="229">
        <v>7</v>
      </c>
    </row>
    <row r="94" spans="1:5">
      <c r="A94" s="234" t="s">
        <v>121</v>
      </c>
      <c r="B94" s="230" t="s">
        <v>143</v>
      </c>
      <c r="C94" s="231"/>
      <c r="D94" s="229">
        <v>136400</v>
      </c>
      <c r="E94" s="229">
        <v>7</v>
      </c>
    </row>
    <row r="95" spans="1:5">
      <c r="A95" s="235" t="s">
        <v>121</v>
      </c>
      <c r="B95" s="230" t="s">
        <v>133</v>
      </c>
      <c r="C95" s="231"/>
      <c r="D95" s="229">
        <v>136473</v>
      </c>
      <c r="E95" s="229">
        <v>7</v>
      </c>
    </row>
    <row r="96" spans="1:5">
      <c r="A96" s="235" t="s">
        <v>121</v>
      </c>
      <c r="B96" s="230" t="s">
        <v>134</v>
      </c>
      <c r="C96" s="231"/>
      <c r="D96" s="229">
        <v>136516</v>
      </c>
      <c r="E96" s="229">
        <v>7</v>
      </c>
    </row>
    <row r="97" spans="1:5">
      <c r="A97" s="235" t="s">
        <v>121</v>
      </c>
      <c r="B97" s="230" t="s">
        <v>137</v>
      </c>
      <c r="C97" s="231"/>
      <c r="D97" s="229">
        <v>137281</v>
      </c>
      <c r="E97" s="229">
        <v>7</v>
      </c>
    </row>
    <row r="98" spans="1:5">
      <c r="A98" s="235" t="s">
        <v>121</v>
      </c>
      <c r="B98" s="230" t="s">
        <v>138</v>
      </c>
      <c r="C98" s="232"/>
      <c r="D98" s="229">
        <v>137078</v>
      </c>
      <c r="E98" s="229">
        <v>7</v>
      </c>
    </row>
    <row r="99" spans="1:5">
      <c r="A99" s="229" t="s">
        <v>121</v>
      </c>
      <c r="B99" s="230" t="s">
        <v>135</v>
      </c>
      <c r="C99" s="231"/>
      <c r="D99" s="229">
        <v>137096</v>
      </c>
      <c r="E99" s="229">
        <v>7</v>
      </c>
    </row>
    <row r="100" spans="1:5">
      <c r="A100" s="235" t="s">
        <v>121</v>
      </c>
      <c r="B100" s="230" t="s">
        <v>136</v>
      </c>
      <c r="C100" s="231"/>
      <c r="D100" s="229">
        <v>137209</v>
      </c>
      <c r="E100" s="229">
        <v>7</v>
      </c>
    </row>
    <row r="101" spans="1:5">
      <c r="A101" s="235" t="s">
        <v>121</v>
      </c>
      <c r="B101" s="230" t="s">
        <v>147</v>
      </c>
      <c r="C101" s="231"/>
      <c r="D101" s="229">
        <v>137315</v>
      </c>
      <c r="E101" s="229">
        <v>7</v>
      </c>
    </row>
    <row r="102" spans="1:5">
      <c r="A102" s="229" t="s">
        <v>121</v>
      </c>
      <c r="B102" s="230" t="s">
        <v>144</v>
      </c>
      <c r="C102" s="232" t="s">
        <v>631</v>
      </c>
      <c r="D102" s="229">
        <v>137759</v>
      </c>
      <c r="E102" s="229">
        <v>8</v>
      </c>
    </row>
    <row r="103" spans="1:5">
      <c r="A103" s="235" t="s">
        <v>121</v>
      </c>
      <c r="B103" s="230" t="s">
        <v>140</v>
      </c>
      <c r="C103" s="231"/>
      <c r="D103" s="229">
        <v>138187</v>
      </c>
      <c r="E103" s="229">
        <v>7</v>
      </c>
    </row>
    <row r="104" spans="1:5">
      <c r="A104" s="236" t="s">
        <v>148</v>
      </c>
      <c r="B104" s="237" t="s">
        <v>149</v>
      </c>
      <c r="C104" s="238"/>
      <c r="D104" s="239">
        <v>139940</v>
      </c>
      <c r="E104" s="239">
        <v>1</v>
      </c>
    </row>
    <row r="105" spans="1:5">
      <c r="A105" s="236" t="s">
        <v>148</v>
      </c>
      <c r="B105" s="237" t="s">
        <v>150</v>
      </c>
      <c r="C105" s="238"/>
      <c r="D105" s="239">
        <v>139959</v>
      </c>
      <c r="E105" s="239">
        <v>1</v>
      </c>
    </row>
    <row r="106" spans="1:5">
      <c r="A106" s="236" t="s">
        <v>148</v>
      </c>
      <c r="B106" s="237" t="s">
        <v>151</v>
      </c>
      <c r="C106" s="238"/>
      <c r="D106" s="239">
        <v>139755</v>
      </c>
      <c r="E106" s="239">
        <v>2</v>
      </c>
    </row>
    <row r="107" spans="1:5">
      <c r="A107" s="236" t="s">
        <v>148</v>
      </c>
      <c r="B107" s="237" t="s">
        <v>152</v>
      </c>
      <c r="C107" s="238"/>
      <c r="D107" s="239">
        <v>139931</v>
      </c>
      <c r="E107" s="239">
        <v>3</v>
      </c>
    </row>
    <row r="108" spans="1:5">
      <c r="A108" s="236" t="s">
        <v>148</v>
      </c>
      <c r="B108" s="237" t="s">
        <v>153</v>
      </c>
      <c r="C108" s="240"/>
      <c r="D108" s="239">
        <v>486840</v>
      </c>
      <c r="E108" s="239">
        <v>3</v>
      </c>
    </row>
    <row r="109" spans="1:5">
      <c r="A109" s="236" t="s">
        <v>148</v>
      </c>
      <c r="B109" s="237" t="s">
        <v>154</v>
      </c>
      <c r="C109" s="238"/>
      <c r="D109" s="239">
        <v>141334</v>
      </c>
      <c r="E109" s="239">
        <v>3</v>
      </c>
    </row>
    <row r="110" spans="1:5">
      <c r="A110" s="236" t="s">
        <v>148</v>
      </c>
      <c r="B110" s="237" t="s">
        <v>155</v>
      </c>
      <c r="C110" s="238"/>
      <c r="D110" s="239">
        <v>141264</v>
      </c>
      <c r="E110" s="239">
        <v>3</v>
      </c>
    </row>
    <row r="111" spans="1:5">
      <c r="A111" s="236" t="s">
        <v>148</v>
      </c>
      <c r="B111" s="237" t="s">
        <v>156</v>
      </c>
      <c r="C111" s="238"/>
      <c r="D111" s="239">
        <v>138716</v>
      </c>
      <c r="E111" s="239">
        <v>4</v>
      </c>
    </row>
    <row r="112" spans="1:5">
      <c r="A112" s="236" t="s">
        <v>148</v>
      </c>
      <c r="B112" s="241" t="s">
        <v>621</v>
      </c>
      <c r="C112" s="238"/>
      <c r="D112" s="239">
        <v>482149</v>
      </c>
      <c r="E112" s="239">
        <v>4</v>
      </c>
    </row>
    <row r="113" spans="1:5">
      <c r="A113" s="236" t="s">
        <v>148</v>
      </c>
      <c r="B113" s="237" t="s">
        <v>157</v>
      </c>
      <c r="C113" s="240"/>
      <c r="D113" s="239">
        <v>139311</v>
      </c>
      <c r="E113" s="239">
        <v>4</v>
      </c>
    </row>
    <row r="114" spans="1:5">
      <c r="A114" s="236" t="s">
        <v>148</v>
      </c>
      <c r="B114" s="237" t="s">
        <v>158</v>
      </c>
      <c r="C114" s="238" t="s">
        <v>656</v>
      </c>
      <c r="D114" s="239">
        <v>139366</v>
      </c>
      <c r="E114" s="239">
        <v>4</v>
      </c>
    </row>
    <row r="115" spans="1:5">
      <c r="A115" s="236" t="s">
        <v>148</v>
      </c>
      <c r="B115" s="237" t="s">
        <v>159</v>
      </c>
      <c r="C115" s="355" t="s">
        <v>896</v>
      </c>
      <c r="D115" s="356">
        <v>139719</v>
      </c>
      <c r="E115" s="357">
        <v>5</v>
      </c>
    </row>
    <row r="116" spans="1:5">
      <c r="A116" s="236" t="s">
        <v>148</v>
      </c>
      <c r="B116" s="237" t="s">
        <v>160</v>
      </c>
      <c r="C116" s="238"/>
      <c r="D116" s="239">
        <v>139861</v>
      </c>
      <c r="E116" s="239">
        <v>4</v>
      </c>
    </row>
    <row r="117" spans="1:5">
      <c r="A117" s="236" t="s">
        <v>148</v>
      </c>
      <c r="B117" s="237" t="s">
        <v>162</v>
      </c>
      <c r="C117" s="240"/>
      <c r="D117" s="239">
        <v>139764</v>
      </c>
      <c r="E117" s="239">
        <v>4</v>
      </c>
    </row>
    <row r="118" spans="1:5">
      <c r="A118" s="236" t="s">
        <v>148</v>
      </c>
      <c r="B118" s="237" t="s">
        <v>161</v>
      </c>
      <c r="C118" s="238"/>
      <c r="D118" s="239">
        <v>482680</v>
      </c>
      <c r="E118" s="239">
        <v>4</v>
      </c>
    </row>
    <row r="119" spans="1:5">
      <c r="A119" s="236" t="s">
        <v>148</v>
      </c>
      <c r="B119" s="237" t="s">
        <v>163</v>
      </c>
      <c r="C119" s="377" t="s">
        <v>906</v>
      </c>
      <c r="D119" s="239">
        <v>140960</v>
      </c>
      <c r="E119" s="239">
        <v>5</v>
      </c>
    </row>
    <row r="120" spans="1:5">
      <c r="A120" s="236" t="s">
        <v>148</v>
      </c>
      <c r="B120" s="237" t="s">
        <v>168</v>
      </c>
      <c r="C120" s="240"/>
      <c r="D120" s="239">
        <v>139250</v>
      </c>
      <c r="E120" s="239">
        <v>6</v>
      </c>
    </row>
    <row r="121" spans="1:5">
      <c r="A121" s="236" t="s">
        <v>148</v>
      </c>
      <c r="B121" s="237" t="s">
        <v>164</v>
      </c>
      <c r="C121" s="240"/>
      <c r="D121" s="239">
        <v>139463</v>
      </c>
      <c r="E121" s="239">
        <v>6</v>
      </c>
    </row>
    <row r="122" spans="1:5">
      <c r="A122" s="236" t="s">
        <v>148</v>
      </c>
      <c r="B122" s="237" t="s">
        <v>165</v>
      </c>
      <c r="C122" s="240"/>
      <c r="D122" s="239">
        <v>447689</v>
      </c>
      <c r="E122" s="239">
        <v>6</v>
      </c>
    </row>
    <row r="123" spans="1:5">
      <c r="A123" s="236" t="s">
        <v>148</v>
      </c>
      <c r="B123" s="237" t="s">
        <v>166</v>
      </c>
      <c r="C123" s="355" t="s">
        <v>896</v>
      </c>
      <c r="D123" s="358">
        <v>482158</v>
      </c>
      <c r="E123" s="357">
        <v>5</v>
      </c>
    </row>
    <row r="124" spans="1:5">
      <c r="A124" s="236" t="s">
        <v>148</v>
      </c>
      <c r="B124" s="237" t="s">
        <v>167</v>
      </c>
      <c r="C124" s="238" t="s">
        <v>657</v>
      </c>
      <c r="D124" s="239">
        <v>138558</v>
      </c>
      <c r="E124" s="239">
        <v>7</v>
      </c>
    </row>
    <row r="125" spans="1:5">
      <c r="A125" s="236" t="s">
        <v>148</v>
      </c>
      <c r="B125" s="237" t="s">
        <v>171</v>
      </c>
      <c r="C125" s="240"/>
      <c r="D125" s="239">
        <v>138901</v>
      </c>
      <c r="E125" s="239">
        <v>7</v>
      </c>
    </row>
    <row r="126" spans="1:5">
      <c r="A126" s="236" t="s">
        <v>148</v>
      </c>
      <c r="B126" s="237" t="s">
        <v>172</v>
      </c>
      <c r="C126" s="240"/>
      <c r="D126" s="239">
        <v>139621</v>
      </c>
      <c r="E126" s="239">
        <v>7</v>
      </c>
    </row>
    <row r="127" spans="1:5">
      <c r="A127" s="236" t="s">
        <v>148</v>
      </c>
      <c r="B127" s="237" t="s">
        <v>173</v>
      </c>
      <c r="C127" s="240"/>
      <c r="D127" s="239">
        <v>139700</v>
      </c>
      <c r="E127" s="239">
        <v>7</v>
      </c>
    </row>
    <row r="128" spans="1:5">
      <c r="A128" s="236" t="s">
        <v>148</v>
      </c>
      <c r="B128" s="237" t="s">
        <v>169</v>
      </c>
      <c r="C128" s="238" t="s">
        <v>657</v>
      </c>
      <c r="D128" s="239">
        <v>139968</v>
      </c>
      <c r="E128" s="239">
        <v>7</v>
      </c>
    </row>
    <row r="129" spans="1:5">
      <c r="A129" s="236" t="s">
        <v>148</v>
      </c>
      <c r="B129" s="237" t="s">
        <v>174</v>
      </c>
      <c r="C129" s="240"/>
      <c r="D129" s="239">
        <v>482699</v>
      </c>
      <c r="E129" s="239">
        <v>7</v>
      </c>
    </row>
    <row r="130" spans="1:5">
      <c r="A130" s="236" t="s">
        <v>148</v>
      </c>
      <c r="B130" s="241" t="s">
        <v>170</v>
      </c>
      <c r="C130" s="240"/>
      <c r="D130" s="243">
        <v>244437</v>
      </c>
      <c r="E130" s="239">
        <v>8</v>
      </c>
    </row>
    <row r="131" spans="1:5">
      <c r="A131" s="244" t="s">
        <v>148</v>
      </c>
      <c r="B131" s="217" t="s">
        <v>175</v>
      </c>
      <c r="C131" s="218"/>
      <c r="D131" s="216">
        <v>138682</v>
      </c>
      <c r="E131" s="216">
        <v>12</v>
      </c>
    </row>
    <row r="132" spans="1:5">
      <c r="A132" s="244" t="s">
        <v>148</v>
      </c>
      <c r="B132" s="217" t="s">
        <v>176</v>
      </c>
      <c r="C132" s="218"/>
      <c r="D132" s="216">
        <v>246813</v>
      </c>
      <c r="E132" s="216">
        <v>12</v>
      </c>
    </row>
    <row r="133" spans="1:5">
      <c r="A133" s="244" t="s">
        <v>148</v>
      </c>
      <c r="B133" s="217" t="s">
        <v>177</v>
      </c>
      <c r="C133" s="218"/>
      <c r="D133" s="216">
        <v>138840</v>
      </c>
      <c r="E133" s="216">
        <v>12</v>
      </c>
    </row>
    <row r="134" spans="1:5">
      <c r="A134" s="244" t="s">
        <v>148</v>
      </c>
      <c r="B134" s="217" t="s">
        <v>178</v>
      </c>
      <c r="C134" s="217"/>
      <c r="D134" s="216">
        <v>138956</v>
      </c>
      <c r="E134" s="216">
        <v>12</v>
      </c>
    </row>
    <row r="135" spans="1:5">
      <c r="A135" s="244" t="s">
        <v>148</v>
      </c>
      <c r="B135" s="217" t="s">
        <v>179</v>
      </c>
      <c r="C135" s="217"/>
      <c r="D135" s="216">
        <v>483045</v>
      </c>
      <c r="E135" s="216">
        <v>12</v>
      </c>
    </row>
    <row r="136" spans="1:5">
      <c r="A136" s="244" t="s">
        <v>148</v>
      </c>
      <c r="B136" s="217" t="s">
        <v>180</v>
      </c>
      <c r="C136" s="217"/>
      <c r="D136" s="216">
        <v>140331</v>
      </c>
      <c r="E136" s="216">
        <v>12</v>
      </c>
    </row>
    <row r="137" spans="1:5">
      <c r="A137" s="244" t="s">
        <v>148</v>
      </c>
      <c r="B137" s="245" t="s">
        <v>181</v>
      </c>
      <c r="C137" s="217"/>
      <c r="D137" s="246">
        <v>485458</v>
      </c>
      <c r="E137" s="216">
        <v>12</v>
      </c>
    </row>
    <row r="138" spans="1:5">
      <c r="A138" s="244" t="s">
        <v>148</v>
      </c>
      <c r="B138" s="217" t="s">
        <v>182</v>
      </c>
      <c r="C138" s="217"/>
      <c r="D138" s="216">
        <v>139357</v>
      </c>
      <c r="E138" s="216">
        <v>12</v>
      </c>
    </row>
    <row r="139" spans="1:5">
      <c r="A139" s="244" t="s">
        <v>148</v>
      </c>
      <c r="B139" s="217" t="s">
        <v>183</v>
      </c>
      <c r="C139" s="217"/>
      <c r="D139" s="216">
        <v>139384</v>
      </c>
      <c r="E139" s="216">
        <v>12</v>
      </c>
    </row>
    <row r="140" spans="1:5">
      <c r="A140" s="244" t="s">
        <v>148</v>
      </c>
      <c r="B140" s="217" t="s">
        <v>184</v>
      </c>
      <c r="C140" s="217"/>
      <c r="D140" s="216">
        <v>244446</v>
      </c>
      <c r="E140" s="216">
        <v>12</v>
      </c>
    </row>
    <row r="141" spans="1:5">
      <c r="A141" s="244" t="s">
        <v>148</v>
      </c>
      <c r="B141" s="217" t="s">
        <v>185</v>
      </c>
      <c r="C141" s="217"/>
      <c r="D141" s="216">
        <v>140012</v>
      </c>
      <c r="E141" s="216">
        <v>12</v>
      </c>
    </row>
    <row r="142" spans="1:5">
      <c r="A142" s="244" t="s">
        <v>148</v>
      </c>
      <c r="B142" s="217" t="s">
        <v>186</v>
      </c>
      <c r="C142" s="217"/>
      <c r="D142" s="216">
        <v>140243</v>
      </c>
      <c r="E142" s="216">
        <v>12</v>
      </c>
    </row>
    <row r="143" spans="1:5">
      <c r="A143" s="244" t="s">
        <v>148</v>
      </c>
      <c r="B143" s="217" t="s">
        <v>187</v>
      </c>
      <c r="C143" s="217"/>
      <c r="D143" s="216">
        <v>140678</v>
      </c>
      <c r="E143" s="216">
        <v>12</v>
      </c>
    </row>
    <row r="144" spans="1:5">
      <c r="A144" s="244" t="s">
        <v>148</v>
      </c>
      <c r="B144" s="217" t="s">
        <v>188</v>
      </c>
      <c r="C144" s="218"/>
      <c r="D144" s="216">
        <v>420431</v>
      </c>
      <c r="E144" s="216">
        <v>12</v>
      </c>
    </row>
    <row r="145" spans="1:5">
      <c r="A145" s="244" t="s">
        <v>148</v>
      </c>
      <c r="B145" s="217" t="s">
        <v>189</v>
      </c>
      <c r="C145" s="217"/>
      <c r="D145" s="216">
        <v>366465</v>
      </c>
      <c r="E145" s="216">
        <v>12</v>
      </c>
    </row>
    <row r="146" spans="1:5">
      <c r="A146" s="244" t="s">
        <v>148</v>
      </c>
      <c r="B146" s="217" t="s">
        <v>190</v>
      </c>
      <c r="C146" s="217"/>
      <c r="D146" s="216">
        <v>140942</v>
      </c>
      <c r="E146" s="216">
        <v>12</v>
      </c>
    </row>
    <row r="147" spans="1:5">
      <c r="A147" s="244" t="s">
        <v>148</v>
      </c>
      <c r="B147" s="217" t="s">
        <v>191</v>
      </c>
      <c r="C147" s="217"/>
      <c r="D147" s="216">
        <v>141006</v>
      </c>
      <c r="E147" s="216">
        <v>12</v>
      </c>
    </row>
    <row r="148" spans="1:5">
      <c r="A148" s="244" t="s">
        <v>148</v>
      </c>
      <c r="B148" s="217" t="s">
        <v>192</v>
      </c>
      <c r="C148" s="217"/>
      <c r="D148" s="216">
        <v>368911</v>
      </c>
      <c r="E148" s="216">
        <v>12</v>
      </c>
    </row>
    <row r="149" spans="1:5">
      <c r="A149" s="244" t="s">
        <v>148</v>
      </c>
      <c r="B149" s="217" t="s">
        <v>193</v>
      </c>
      <c r="C149" s="217"/>
      <c r="D149" s="216">
        <v>139986</v>
      </c>
      <c r="E149" s="216">
        <v>12</v>
      </c>
    </row>
    <row r="150" spans="1:5">
      <c r="A150" s="244" t="s">
        <v>148</v>
      </c>
      <c r="B150" s="245" t="s">
        <v>194</v>
      </c>
      <c r="C150" s="217"/>
      <c r="D150" s="246">
        <v>487162</v>
      </c>
      <c r="E150" s="216">
        <v>12</v>
      </c>
    </row>
    <row r="151" spans="1:5">
      <c r="A151" s="244" t="s">
        <v>148</v>
      </c>
      <c r="B151" s="217" t="s">
        <v>195</v>
      </c>
      <c r="C151" s="217"/>
      <c r="D151" s="216">
        <v>139278</v>
      </c>
      <c r="E151" s="216">
        <v>12</v>
      </c>
    </row>
    <row r="152" spans="1:5">
      <c r="A152" s="244" t="s">
        <v>148</v>
      </c>
      <c r="B152" s="217" t="s">
        <v>196</v>
      </c>
      <c r="C152" s="217"/>
      <c r="D152" s="216">
        <v>141255</v>
      </c>
      <c r="E152" s="216">
        <v>12</v>
      </c>
    </row>
    <row r="153" spans="1:5">
      <c r="A153" s="222" t="s">
        <v>197</v>
      </c>
      <c r="B153" s="220" t="s">
        <v>198</v>
      </c>
      <c r="C153" s="221"/>
      <c r="D153" s="222">
        <v>157085</v>
      </c>
      <c r="E153" s="222">
        <v>1</v>
      </c>
    </row>
    <row r="154" spans="1:5">
      <c r="A154" s="222" t="s">
        <v>197</v>
      </c>
      <c r="B154" s="220" t="s">
        <v>199</v>
      </c>
      <c r="C154" s="221"/>
      <c r="D154" s="222">
        <v>157289</v>
      </c>
      <c r="E154" s="222">
        <v>1</v>
      </c>
    </row>
    <row r="155" spans="1:5">
      <c r="A155" s="222" t="s">
        <v>197</v>
      </c>
      <c r="B155" s="220" t="s">
        <v>200</v>
      </c>
      <c r="C155" s="221"/>
      <c r="D155" s="222">
        <v>156620</v>
      </c>
      <c r="E155" s="222">
        <v>3</v>
      </c>
    </row>
    <row r="156" spans="1:5">
      <c r="A156" s="222" t="s">
        <v>197</v>
      </c>
      <c r="B156" s="220" t="s">
        <v>201</v>
      </c>
      <c r="C156" s="221"/>
      <c r="D156" s="222">
        <v>157386</v>
      </c>
      <c r="E156" s="222">
        <v>3</v>
      </c>
    </row>
    <row r="157" spans="1:5">
      <c r="A157" s="222" t="s">
        <v>197</v>
      </c>
      <c r="B157" s="220" t="s">
        <v>202</v>
      </c>
      <c r="C157" s="221"/>
      <c r="D157" s="222">
        <v>157401</v>
      </c>
      <c r="E157" s="222">
        <v>3</v>
      </c>
    </row>
    <row r="158" spans="1:5">
      <c r="A158" s="222" t="s">
        <v>197</v>
      </c>
      <c r="B158" s="220" t="s">
        <v>203</v>
      </c>
      <c r="C158" s="223"/>
      <c r="D158" s="222">
        <v>157447</v>
      </c>
      <c r="E158" s="247">
        <v>3</v>
      </c>
    </row>
    <row r="159" spans="1:5">
      <c r="A159" s="222" t="s">
        <v>197</v>
      </c>
      <c r="B159" s="220" t="s">
        <v>204</v>
      </c>
      <c r="C159" s="221" t="s">
        <v>658</v>
      </c>
      <c r="D159" s="222">
        <v>157951</v>
      </c>
      <c r="E159" s="222">
        <v>3</v>
      </c>
    </row>
    <row r="160" spans="1:5">
      <c r="A160" s="222" t="s">
        <v>197</v>
      </c>
      <c r="B160" s="220" t="s">
        <v>205</v>
      </c>
      <c r="C160" s="375" t="s">
        <v>909</v>
      </c>
      <c r="D160" s="222">
        <v>157058</v>
      </c>
      <c r="E160" s="222">
        <v>4</v>
      </c>
    </row>
    <row r="161" spans="1:5">
      <c r="A161" s="222" t="s">
        <v>197</v>
      </c>
      <c r="B161" s="220" t="s">
        <v>206</v>
      </c>
      <c r="C161" s="221" t="s">
        <v>659</v>
      </c>
      <c r="D161" s="248">
        <v>156392</v>
      </c>
      <c r="E161" s="222">
        <v>8</v>
      </c>
    </row>
    <row r="162" spans="1:5">
      <c r="A162" s="222" t="s">
        <v>197</v>
      </c>
      <c r="B162" s="220" t="s">
        <v>207</v>
      </c>
      <c r="C162" s="221"/>
      <c r="D162" s="222">
        <v>156921</v>
      </c>
      <c r="E162" s="222">
        <v>8</v>
      </c>
    </row>
    <row r="163" spans="1:5">
      <c r="A163" s="222" t="s">
        <v>197</v>
      </c>
      <c r="B163" s="220" t="s">
        <v>209</v>
      </c>
      <c r="C163" s="375" t="s">
        <v>910</v>
      </c>
      <c r="D163" s="222">
        <v>157553</v>
      </c>
      <c r="E163" s="222">
        <v>9</v>
      </c>
    </row>
    <row r="164" spans="1:5">
      <c r="A164" s="222" t="s">
        <v>197</v>
      </c>
      <c r="B164" s="220" t="s">
        <v>210</v>
      </c>
      <c r="C164" s="221"/>
      <c r="D164" s="222">
        <v>156648</v>
      </c>
      <c r="E164" s="222">
        <v>9</v>
      </c>
    </row>
    <row r="165" spans="1:5">
      <c r="A165" s="222" t="s">
        <v>197</v>
      </c>
      <c r="B165" s="220" t="s">
        <v>214</v>
      </c>
      <c r="C165" s="221"/>
      <c r="D165" s="222">
        <v>157331</v>
      </c>
      <c r="E165" s="222">
        <v>9</v>
      </c>
    </row>
    <row r="166" spans="1:5">
      <c r="A166" s="222" t="s">
        <v>197</v>
      </c>
      <c r="B166" s="220" t="s">
        <v>215</v>
      </c>
      <c r="C166" s="221"/>
      <c r="D166" s="222">
        <v>247940</v>
      </c>
      <c r="E166" s="222">
        <v>9</v>
      </c>
    </row>
    <row r="167" spans="1:5">
      <c r="A167" s="222" t="s">
        <v>197</v>
      </c>
      <c r="B167" s="220" t="s">
        <v>216</v>
      </c>
      <c r="C167" s="221"/>
      <c r="D167" s="222">
        <v>157711</v>
      </c>
      <c r="E167" s="222">
        <v>9</v>
      </c>
    </row>
    <row r="168" spans="1:5">
      <c r="A168" s="222" t="s">
        <v>197</v>
      </c>
      <c r="B168" s="220" t="s">
        <v>218</v>
      </c>
      <c r="C168" s="221"/>
      <c r="D168" s="222">
        <v>157483</v>
      </c>
      <c r="E168" s="222">
        <v>9</v>
      </c>
    </row>
    <row r="169" spans="1:5">
      <c r="A169" s="222" t="s">
        <v>197</v>
      </c>
      <c r="B169" s="220" t="s">
        <v>208</v>
      </c>
      <c r="C169" s="221"/>
      <c r="D169" s="222">
        <v>156231</v>
      </c>
      <c r="E169" s="247">
        <v>10</v>
      </c>
    </row>
    <row r="170" spans="1:5">
      <c r="A170" s="222" t="s">
        <v>197</v>
      </c>
      <c r="B170" s="220" t="s">
        <v>211</v>
      </c>
      <c r="C170" s="223"/>
      <c r="D170" s="222">
        <v>156790</v>
      </c>
      <c r="E170" s="222">
        <v>10</v>
      </c>
    </row>
    <row r="171" spans="1:5">
      <c r="A171" s="222" t="s">
        <v>197</v>
      </c>
      <c r="B171" s="220" t="s">
        <v>219</v>
      </c>
      <c r="C171" s="221"/>
      <c r="D171" s="222">
        <v>156851</v>
      </c>
      <c r="E171" s="222">
        <v>10</v>
      </c>
    </row>
    <row r="172" spans="1:5">
      <c r="A172" s="222" t="s">
        <v>197</v>
      </c>
      <c r="B172" s="220" t="s">
        <v>212</v>
      </c>
      <c r="C172" s="223"/>
      <c r="D172" s="222">
        <v>156860</v>
      </c>
      <c r="E172" s="222">
        <v>10</v>
      </c>
    </row>
    <row r="173" spans="1:5">
      <c r="A173" s="222" t="s">
        <v>197</v>
      </c>
      <c r="B173" s="220" t="s">
        <v>213</v>
      </c>
      <c r="C173" s="223"/>
      <c r="D173" s="222">
        <v>157304</v>
      </c>
      <c r="E173" s="222">
        <v>10</v>
      </c>
    </row>
    <row r="174" spans="1:5">
      <c r="A174" s="222" t="s">
        <v>197</v>
      </c>
      <c r="B174" s="220" t="s">
        <v>217</v>
      </c>
      <c r="C174" s="223"/>
      <c r="D174" s="222">
        <v>157739</v>
      </c>
      <c r="E174" s="222">
        <v>10</v>
      </c>
    </row>
    <row r="175" spans="1:5">
      <c r="A175" s="222" t="s">
        <v>197</v>
      </c>
      <c r="B175" s="220" t="s">
        <v>220</v>
      </c>
      <c r="C175" s="221"/>
      <c r="D175" s="222">
        <v>157438</v>
      </c>
      <c r="E175" s="222">
        <v>12</v>
      </c>
    </row>
    <row r="176" spans="1:5">
      <c r="A176" s="222" t="s">
        <v>197</v>
      </c>
      <c r="B176" s="220" t="s">
        <v>221</v>
      </c>
      <c r="C176" s="221"/>
      <c r="D176" s="222">
        <v>156338</v>
      </c>
      <c r="E176" s="222">
        <v>12</v>
      </c>
    </row>
    <row r="177" spans="1:5">
      <c r="A177" s="249" t="s">
        <v>222</v>
      </c>
      <c r="B177" s="250" t="s">
        <v>223</v>
      </c>
      <c r="C177" s="251"/>
      <c r="D177" s="252">
        <v>159391</v>
      </c>
      <c r="E177" s="252">
        <v>1</v>
      </c>
    </row>
    <row r="178" spans="1:5">
      <c r="A178" s="249" t="s">
        <v>222</v>
      </c>
      <c r="B178" s="250" t="s">
        <v>224</v>
      </c>
      <c r="C178" s="251"/>
      <c r="D178" s="252">
        <v>159647</v>
      </c>
      <c r="E178" s="252">
        <v>2</v>
      </c>
    </row>
    <row r="179" spans="1:5">
      <c r="A179" s="249" t="s">
        <v>222</v>
      </c>
      <c r="B179" s="250" t="s">
        <v>225</v>
      </c>
      <c r="C179" s="251"/>
      <c r="D179" s="252">
        <v>160658</v>
      </c>
      <c r="E179" s="252">
        <v>2</v>
      </c>
    </row>
    <row r="180" spans="1:5">
      <c r="A180" s="249" t="s">
        <v>222</v>
      </c>
      <c r="B180" s="250" t="s">
        <v>226</v>
      </c>
      <c r="C180" s="251"/>
      <c r="D180" s="252">
        <v>159939</v>
      </c>
      <c r="E180" s="252">
        <v>2</v>
      </c>
    </row>
    <row r="181" spans="1:5">
      <c r="A181" s="249" t="s">
        <v>222</v>
      </c>
      <c r="B181" s="250" t="s">
        <v>232</v>
      </c>
      <c r="C181" s="253"/>
      <c r="D181" s="252">
        <v>159717</v>
      </c>
      <c r="E181" s="252">
        <v>3</v>
      </c>
    </row>
    <row r="182" spans="1:5">
      <c r="A182" s="249" t="s">
        <v>222</v>
      </c>
      <c r="B182" s="250" t="s">
        <v>227</v>
      </c>
      <c r="C182" s="251"/>
      <c r="D182" s="252">
        <v>160612</v>
      </c>
      <c r="E182" s="252">
        <v>3</v>
      </c>
    </row>
    <row r="183" spans="1:5">
      <c r="A183" s="249" t="s">
        <v>222</v>
      </c>
      <c r="B183" s="250" t="s">
        <v>228</v>
      </c>
      <c r="C183" s="251"/>
      <c r="D183" s="252">
        <v>160621</v>
      </c>
      <c r="E183" s="252">
        <v>3</v>
      </c>
    </row>
    <row r="184" spans="1:5">
      <c r="A184" s="249" t="s">
        <v>222</v>
      </c>
      <c r="B184" s="250" t="s">
        <v>229</v>
      </c>
      <c r="C184" s="251"/>
      <c r="D184" s="252">
        <v>159993</v>
      </c>
      <c r="E184" s="252">
        <v>3</v>
      </c>
    </row>
    <row r="185" spans="1:5">
      <c r="A185" s="249" t="s">
        <v>222</v>
      </c>
      <c r="B185" s="250" t="s">
        <v>230</v>
      </c>
      <c r="C185" s="251"/>
      <c r="D185" s="252">
        <v>159009</v>
      </c>
      <c r="E185" s="252">
        <v>4</v>
      </c>
    </row>
    <row r="186" spans="1:5">
      <c r="A186" s="249" t="s">
        <v>222</v>
      </c>
      <c r="B186" s="250" t="s">
        <v>231</v>
      </c>
      <c r="C186" s="251"/>
      <c r="D186" s="252">
        <v>159416</v>
      </c>
      <c r="E186" s="252">
        <v>4</v>
      </c>
    </row>
    <row r="187" spans="1:5">
      <c r="A187" s="249" t="s">
        <v>222</v>
      </c>
      <c r="B187" s="250" t="s">
        <v>233</v>
      </c>
      <c r="C187" s="251"/>
      <c r="D187" s="252">
        <v>159966</v>
      </c>
      <c r="E187" s="252">
        <v>4</v>
      </c>
    </row>
    <row r="188" spans="1:5">
      <c r="A188" s="249" t="s">
        <v>222</v>
      </c>
      <c r="B188" s="250" t="s">
        <v>234</v>
      </c>
      <c r="C188" s="251"/>
      <c r="D188" s="252">
        <v>160038</v>
      </c>
      <c r="E188" s="252">
        <v>4</v>
      </c>
    </row>
    <row r="189" spans="1:5">
      <c r="A189" s="252" t="s">
        <v>222</v>
      </c>
      <c r="B189" s="250" t="s">
        <v>235</v>
      </c>
      <c r="C189" s="253"/>
      <c r="D189" s="252">
        <v>160630</v>
      </c>
      <c r="E189" s="252">
        <v>5</v>
      </c>
    </row>
    <row r="190" spans="1:5">
      <c r="A190" s="249" t="s">
        <v>222</v>
      </c>
      <c r="B190" s="250" t="s">
        <v>236</v>
      </c>
      <c r="C190" s="253"/>
      <c r="D190" s="252">
        <v>159382</v>
      </c>
      <c r="E190" s="252">
        <v>6</v>
      </c>
    </row>
    <row r="191" spans="1:5">
      <c r="A191" s="249" t="s">
        <v>222</v>
      </c>
      <c r="B191" s="250" t="s">
        <v>237</v>
      </c>
      <c r="C191" s="251"/>
      <c r="D191" s="252">
        <v>437103</v>
      </c>
      <c r="E191" s="252">
        <v>8</v>
      </c>
    </row>
    <row r="192" spans="1:5">
      <c r="A192" s="249" t="s">
        <v>222</v>
      </c>
      <c r="B192" s="250" t="s">
        <v>239</v>
      </c>
      <c r="C192" s="251"/>
      <c r="D192" s="252">
        <v>158662</v>
      </c>
      <c r="E192" s="252">
        <v>8</v>
      </c>
    </row>
    <row r="193" spans="1:5">
      <c r="A193" s="249" t="s">
        <v>222</v>
      </c>
      <c r="B193" s="250" t="s">
        <v>238</v>
      </c>
      <c r="C193" s="251"/>
      <c r="D193" s="252">
        <v>158431</v>
      </c>
      <c r="E193" s="252">
        <v>9</v>
      </c>
    </row>
    <row r="194" spans="1:5">
      <c r="A194" s="249" t="s">
        <v>222</v>
      </c>
      <c r="B194" s="250" t="s">
        <v>240</v>
      </c>
      <c r="C194" s="253"/>
      <c r="D194" s="252">
        <v>483212</v>
      </c>
      <c r="E194" s="252">
        <v>9</v>
      </c>
    </row>
    <row r="195" spans="1:5">
      <c r="A195" s="249" t="s">
        <v>222</v>
      </c>
      <c r="B195" s="250" t="s">
        <v>241</v>
      </c>
      <c r="C195" s="251"/>
      <c r="D195" s="252">
        <v>434061</v>
      </c>
      <c r="E195" s="252">
        <v>9</v>
      </c>
    </row>
    <row r="196" spans="1:5">
      <c r="A196" s="249" t="s">
        <v>222</v>
      </c>
      <c r="B196" s="250" t="s">
        <v>242</v>
      </c>
      <c r="C196" s="253"/>
      <c r="D196" s="252">
        <v>160649</v>
      </c>
      <c r="E196" s="252">
        <v>9</v>
      </c>
    </row>
    <row r="197" spans="1:5">
      <c r="A197" s="249" t="s">
        <v>222</v>
      </c>
      <c r="B197" s="250" t="s">
        <v>243</v>
      </c>
      <c r="C197" s="359" t="s">
        <v>897</v>
      </c>
      <c r="D197" s="360">
        <v>159407</v>
      </c>
      <c r="E197" s="361">
        <v>9</v>
      </c>
    </row>
    <row r="198" spans="1:5">
      <c r="A198" s="249" t="s">
        <v>222</v>
      </c>
      <c r="B198" s="250" t="s">
        <v>244</v>
      </c>
      <c r="C198" s="251"/>
      <c r="D198" s="252">
        <v>158884</v>
      </c>
      <c r="E198" s="252">
        <v>10</v>
      </c>
    </row>
    <row r="199" spans="1:5">
      <c r="A199" s="252" t="s">
        <v>222</v>
      </c>
      <c r="B199" s="250" t="s">
        <v>245</v>
      </c>
      <c r="C199" s="251" t="s">
        <v>627</v>
      </c>
      <c r="D199" s="252">
        <v>436304</v>
      </c>
      <c r="E199" s="252">
        <v>10</v>
      </c>
    </row>
    <row r="200" spans="1:5">
      <c r="A200" s="252" t="s">
        <v>222</v>
      </c>
      <c r="B200" s="250" t="s">
        <v>622</v>
      </c>
      <c r="C200" s="251"/>
      <c r="D200" s="252">
        <v>158088</v>
      </c>
      <c r="E200" s="252">
        <v>12</v>
      </c>
    </row>
    <row r="201" spans="1:5">
      <c r="A201" s="252" t="s">
        <v>222</v>
      </c>
      <c r="B201" s="250" t="s">
        <v>246</v>
      </c>
      <c r="C201" s="253"/>
      <c r="D201" s="252">
        <v>160481</v>
      </c>
      <c r="E201" s="252">
        <v>12</v>
      </c>
    </row>
    <row r="202" spans="1:5">
      <c r="A202" s="252" t="s">
        <v>222</v>
      </c>
      <c r="B202" s="250" t="s">
        <v>247</v>
      </c>
      <c r="C202" s="251"/>
      <c r="D202" s="252">
        <v>160667</v>
      </c>
      <c r="E202" s="252">
        <v>12</v>
      </c>
    </row>
    <row r="203" spans="1:5">
      <c r="A203" s="252" t="s">
        <v>222</v>
      </c>
      <c r="B203" s="250" t="s">
        <v>249</v>
      </c>
      <c r="C203" s="251"/>
      <c r="D203" s="252">
        <v>160579</v>
      </c>
      <c r="E203" s="252">
        <v>12</v>
      </c>
    </row>
    <row r="204" spans="1:5">
      <c r="A204" s="252" t="s">
        <v>222</v>
      </c>
      <c r="B204" s="250" t="s">
        <v>248</v>
      </c>
      <c r="C204" s="251"/>
      <c r="D204" s="252">
        <v>160010</v>
      </c>
      <c r="E204" s="252">
        <v>13</v>
      </c>
    </row>
    <row r="205" spans="1:5">
      <c r="A205" s="252" t="s">
        <v>222</v>
      </c>
      <c r="B205" s="250" t="s">
        <v>250</v>
      </c>
      <c r="C205" s="251"/>
      <c r="D205" s="252">
        <v>159373</v>
      </c>
      <c r="E205" s="252">
        <v>15</v>
      </c>
    </row>
    <row r="206" spans="1:5">
      <c r="A206" s="252" t="s">
        <v>222</v>
      </c>
      <c r="B206" s="250" t="s">
        <v>251</v>
      </c>
      <c r="C206" s="251"/>
      <c r="D206" s="252">
        <v>435000</v>
      </c>
      <c r="E206" s="252">
        <v>15</v>
      </c>
    </row>
    <row r="207" spans="1:5">
      <c r="A207" s="252" t="s">
        <v>222</v>
      </c>
      <c r="B207" s="254" t="s">
        <v>637</v>
      </c>
      <c r="C207" s="251"/>
      <c r="D207" s="255">
        <v>440916</v>
      </c>
      <c r="E207" s="252">
        <v>15</v>
      </c>
    </row>
    <row r="208" spans="1:5">
      <c r="A208" s="256" t="s">
        <v>252</v>
      </c>
      <c r="B208" s="226" t="s">
        <v>268</v>
      </c>
      <c r="C208" s="228"/>
      <c r="D208" s="225">
        <v>161688</v>
      </c>
      <c r="E208" s="225">
        <v>10</v>
      </c>
    </row>
    <row r="209" spans="1:5">
      <c r="A209" s="225" t="s">
        <v>252</v>
      </c>
      <c r="B209" s="226" t="s">
        <v>264</v>
      </c>
      <c r="C209" s="227"/>
      <c r="D209" s="225">
        <v>161767</v>
      </c>
      <c r="E209" s="225">
        <v>8</v>
      </c>
    </row>
    <row r="210" spans="1:5">
      <c r="A210" s="225" t="s">
        <v>252</v>
      </c>
      <c r="B210" s="226" t="s">
        <v>269</v>
      </c>
      <c r="C210" s="227"/>
      <c r="D210" s="225">
        <v>161864</v>
      </c>
      <c r="E210" s="225">
        <v>9</v>
      </c>
    </row>
    <row r="211" spans="1:5">
      <c r="A211" s="256" t="s">
        <v>252</v>
      </c>
      <c r="B211" s="226" t="s">
        <v>270</v>
      </c>
      <c r="C211" s="227" t="s">
        <v>638</v>
      </c>
      <c r="D211" s="225">
        <v>405872</v>
      </c>
      <c r="E211" s="225">
        <v>9</v>
      </c>
    </row>
    <row r="212" spans="1:5">
      <c r="A212" s="225" t="s">
        <v>252</v>
      </c>
      <c r="B212" s="226" t="s">
        <v>275</v>
      </c>
      <c r="C212" s="227"/>
      <c r="D212" s="225">
        <v>162104</v>
      </c>
      <c r="E212" s="225">
        <v>10</v>
      </c>
    </row>
    <row r="213" spans="1:5">
      <c r="A213" s="225" t="s">
        <v>252</v>
      </c>
      <c r="B213" s="226" t="s">
        <v>276</v>
      </c>
      <c r="C213" s="228"/>
      <c r="D213" s="225">
        <v>162168</v>
      </c>
      <c r="E213" s="225">
        <v>10</v>
      </c>
    </row>
    <row r="214" spans="1:5">
      <c r="A214" s="225" t="s">
        <v>252</v>
      </c>
      <c r="B214" s="226" t="s">
        <v>265</v>
      </c>
      <c r="C214" s="227" t="s">
        <v>636</v>
      </c>
      <c r="D214" s="225">
        <v>162122</v>
      </c>
      <c r="E214" s="257">
        <v>9</v>
      </c>
    </row>
    <row r="215" spans="1:5">
      <c r="A215" s="225" t="s">
        <v>252</v>
      </c>
      <c r="B215" s="226" t="s">
        <v>660</v>
      </c>
      <c r="C215" s="227"/>
      <c r="D215" s="225">
        <v>434672</v>
      </c>
      <c r="E215" s="225">
        <v>8</v>
      </c>
    </row>
    <row r="216" spans="1:5">
      <c r="A216" s="225" t="s">
        <v>252</v>
      </c>
      <c r="B216" s="226" t="s">
        <v>271</v>
      </c>
      <c r="C216" s="227"/>
      <c r="D216" s="225">
        <v>162557</v>
      </c>
      <c r="E216" s="225">
        <v>9</v>
      </c>
    </row>
    <row r="217" spans="1:5">
      <c r="A217" s="225" t="s">
        <v>252</v>
      </c>
      <c r="B217" s="226" t="s">
        <v>277</v>
      </c>
      <c r="C217" s="227"/>
      <c r="D217" s="225">
        <v>162609</v>
      </c>
      <c r="E217" s="225">
        <v>10</v>
      </c>
    </row>
    <row r="218" spans="1:5">
      <c r="A218" s="225" t="s">
        <v>252</v>
      </c>
      <c r="B218" s="226" t="s">
        <v>272</v>
      </c>
      <c r="C218" s="227"/>
      <c r="D218" s="225">
        <v>162690</v>
      </c>
      <c r="E218" s="225">
        <v>9</v>
      </c>
    </row>
    <row r="219" spans="1:5">
      <c r="A219" s="256" t="s">
        <v>252</v>
      </c>
      <c r="B219" s="226" t="s">
        <v>273</v>
      </c>
      <c r="C219" s="228"/>
      <c r="D219" s="225">
        <v>162706</v>
      </c>
      <c r="E219" s="225">
        <v>9</v>
      </c>
    </row>
    <row r="220" spans="1:5">
      <c r="A220" s="256" t="s">
        <v>252</v>
      </c>
      <c r="B220" s="226" t="s">
        <v>266</v>
      </c>
      <c r="C220" s="227"/>
      <c r="D220" s="225">
        <v>162779</v>
      </c>
      <c r="E220" s="225">
        <v>8</v>
      </c>
    </row>
    <row r="221" spans="1:5">
      <c r="A221" s="225" t="s">
        <v>252</v>
      </c>
      <c r="B221" s="226" t="s">
        <v>661</v>
      </c>
      <c r="C221" s="227"/>
      <c r="D221" s="225">
        <v>163426</v>
      </c>
      <c r="E221" s="225">
        <v>8</v>
      </c>
    </row>
    <row r="222" spans="1:5">
      <c r="A222" s="225" t="s">
        <v>252</v>
      </c>
      <c r="B222" s="226" t="s">
        <v>267</v>
      </c>
      <c r="C222" s="227"/>
      <c r="D222" s="225">
        <v>163657</v>
      </c>
      <c r="E222" s="225">
        <v>8</v>
      </c>
    </row>
    <row r="223" spans="1:5">
      <c r="A223" s="225" t="s">
        <v>252</v>
      </c>
      <c r="B223" s="226" t="s">
        <v>274</v>
      </c>
      <c r="C223" s="228"/>
      <c r="D223" s="225">
        <v>164313</v>
      </c>
      <c r="E223" s="225">
        <v>10</v>
      </c>
    </row>
    <row r="224" spans="1:5">
      <c r="A224" s="225" t="s">
        <v>252</v>
      </c>
      <c r="B224" s="226" t="s">
        <v>257</v>
      </c>
      <c r="C224" s="227" t="s">
        <v>624</v>
      </c>
      <c r="D224" s="225">
        <v>162007</v>
      </c>
      <c r="E224" s="225">
        <v>4</v>
      </c>
    </row>
    <row r="225" spans="1:5">
      <c r="A225" s="225" t="s">
        <v>252</v>
      </c>
      <c r="B225" s="226" t="s">
        <v>262</v>
      </c>
      <c r="C225" s="227" t="s">
        <v>639</v>
      </c>
      <c r="D225" s="225">
        <v>162283</v>
      </c>
      <c r="E225" s="225">
        <v>5</v>
      </c>
    </row>
    <row r="226" spans="1:5">
      <c r="A226" s="225" t="s">
        <v>252</v>
      </c>
      <c r="B226" s="226" t="s">
        <v>258</v>
      </c>
      <c r="C226" s="227"/>
      <c r="D226" s="225">
        <v>162584</v>
      </c>
      <c r="E226" s="225">
        <v>4</v>
      </c>
    </row>
    <row r="227" spans="1:5">
      <c r="A227" s="258" t="s">
        <v>252</v>
      </c>
      <c r="B227" s="226" t="s">
        <v>259</v>
      </c>
      <c r="C227" s="227"/>
      <c r="D227" s="225">
        <v>163851</v>
      </c>
      <c r="E227" s="225">
        <v>4</v>
      </c>
    </row>
    <row r="228" spans="1:5">
      <c r="A228" s="256" t="s">
        <v>252</v>
      </c>
      <c r="B228" s="226" t="s">
        <v>256</v>
      </c>
      <c r="C228" s="227"/>
      <c r="D228" s="225">
        <v>164076</v>
      </c>
      <c r="E228" s="225">
        <v>3</v>
      </c>
    </row>
    <row r="229" spans="1:5">
      <c r="A229" s="256" t="s">
        <v>252</v>
      </c>
      <c r="B229" s="226" t="s">
        <v>260</v>
      </c>
      <c r="C229" s="228"/>
      <c r="D229" s="225">
        <v>161873</v>
      </c>
      <c r="E229" s="225">
        <v>3</v>
      </c>
    </row>
    <row r="230" spans="1:5">
      <c r="A230" s="225" t="s">
        <v>252</v>
      </c>
      <c r="B230" s="226" t="s">
        <v>662</v>
      </c>
      <c r="C230" s="228"/>
      <c r="D230" s="225">
        <v>163259</v>
      </c>
      <c r="E230" s="225">
        <v>15</v>
      </c>
    </row>
    <row r="231" spans="1:5">
      <c r="A231" s="225" t="s">
        <v>252</v>
      </c>
      <c r="B231" s="226" t="s">
        <v>255</v>
      </c>
      <c r="C231" s="227"/>
      <c r="D231" s="225">
        <v>163268</v>
      </c>
      <c r="E231" s="225">
        <v>2</v>
      </c>
    </row>
    <row r="232" spans="1:5">
      <c r="A232" s="256" t="s">
        <v>252</v>
      </c>
      <c r="B232" s="226" t="s">
        <v>253</v>
      </c>
      <c r="C232" s="227"/>
      <c r="D232" s="225">
        <v>163286</v>
      </c>
      <c r="E232" s="225">
        <v>1</v>
      </c>
    </row>
    <row r="233" spans="1:5">
      <c r="A233" s="256" t="s">
        <v>252</v>
      </c>
      <c r="B233" s="226" t="s">
        <v>261</v>
      </c>
      <c r="C233" s="227"/>
      <c r="D233" s="225">
        <v>163338</v>
      </c>
      <c r="E233" s="225">
        <v>4</v>
      </c>
    </row>
    <row r="234" spans="1:5">
      <c r="A234" s="256" t="s">
        <v>252</v>
      </c>
      <c r="B234" s="226" t="s">
        <v>640</v>
      </c>
      <c r="C234" s="227"/>
      <c r="D234" s="225">
        <v>163204</v>
      </c>
      <c r="E234" s="225">
        <v>15</v>
      </c>
    </row>
    <row r="235" spans="1:5">
      <c r="A235" s="225" t="s">
        <v>252</v>
      </c>
      <c r="B235" s="226" t="s">
        <v>254</v>
      </c>
      <c r="C235" s="228"/>
      <c r="D235" s="225">
        <v>163453</v>
      </c>
      <c r="E235" s="225">
        <v>2</v>
      </c>
    </row>
    <row r="236" spans="1:5">
      <c r="A236" s="225" t="s">
        <v>252</v>
      </c>
      <c r="B236" s="226" t="s">
        <v>263</v>
      </c>
      <c r="C236" s="227"/>
      <c r="D236" s="225">
        <v>163912</v>
      </c>
      <c r="E236" s="225">
        <v>6</v>
      </c>
    </row>
    <row r="237" spans="1:5">
      <c r="A237" s="259" t="s">
        <v>278</v>
      </c>
      <c r="B237" s="260" t="s">
        <v>279</v>
      </c>
      <c r="C237" s="261"/>
      <c r="D237" s="259">
        <v>176080</v>
      </c>
      <c r="E237" s="259">
        <v>1</v>
      </c>
    </row>
    <row r="238" spans="1:5" ht="15.75">
      <c r="A238" s="259" t="s">
        <v>278</v>
      </c>
      <c r="B238" s="260" t="s">
        <v>282</v>
      </c>
      <c r="C238" s="262"/>
      <c r="D238" s="259">
        <v>176017</v>
      </c>
      <c r="E238" s="259">
        <v>1</v>
      </c>
    </row>
    <row r="239" spans="1:5">
      <c r="A239" s="259" t="s">
        <v>278</v>
      </c>
      <c r="B239" s="260" t="s">
        <v>280</v>
      </c>
      <c r="C239" s="261"/>
      <c r="D239" s="259">
        <v>176372</v>
      </c>
      <c r="E239" s="259">
        <v>1</v>
      </c>
    </row>
    <row r="240" spans="1:5">
      <c r="A240" s="259" t="s">
        <v>278</v>
      </c>
      <c r="B240" s="260" t="s">
        <v>281</v>
      </c>
      <c r="C240" s="261"/>
      <c r="D240" s="259">
        <v>175856</v>
      </c>
      <c r="E240" s="259">
        <v>2</v>
      </c>
    </row>
    <row r="241" spans="1:5">
      <c r="A241" s="263" t="s">
        <v>278</v>
      </c>
      <c r="B241" s="260" t="s">
        <v>283</v>
      </c>
      <c r="C241" s="261"/>
      <c r="D241" s="259">
        <v>175342</v>
      </c>
      <c r="E241" s="259">
        <v>4</v>
      </c>
    </row>
    <row r="242" spans="1:5">
      <c r="A242" s="259" t="s">
        <v>278</v>
      </c>
      <c r="B242" s="260" t="s">
        <v>284</v>
      </c>
      <c r="C242" s="261"/>
      <c r="D242" s="259">
        <v>175616</v>
      </c>
      <c r="E242" s="259">
        <v>4</v>
      </c>
    </row>
    <row r="243" spans="1:5">
      <c r="A243" s="259" t="s">
        <v>278</v>
      </c>
      <c r="B243" s="260" t="s">
        <v>286</v>
      </c>
      <c r="C243" s="261"/>
      <c r="D243" s="259">
        <v>176035</v>
      </c>
      <c r="E243" s="259">
        <v>4</v>
      </c>
    </row>
    <row r="244" spans="1:5">
      <c r="A244" s="259" t="s">
        <v>278</v>
      </c>
      <c r="B244" s="260" t="s">
        <v>285</v>
      </c>
      <c r="C244" s="261"/>
      <c r="D244" s="259">
        <v>176044</v>
      </c>
      <c r="E244" s="259">
        <v>4</v>
      </c>
    </row>
    <row r="245" spans="1:5">
      <c r="A245" s="203" t="s">
        <v>278</v>
      </c>
      <c r="B245" s="3"/>
      <c r="C245" s="202"/>
      <c r="D245" s="4"/>
      <c r="E245" s="205"/>
    </row>
    <row r="246" spans="1:5">
      <c r="A246" s="266" t="s">
        <v>287</v>
      </c>
      <c r="B246" s="267" t="s">
        <v>344</v>
      </c>
      <c r="C246" s="268"/>
      <c r="D246" s="269">
        <v>199193</v>
      </c>
      <c r="E246" s="269">
        <v>1</v>
      </c>
    </row>
    <row r="247" spans="1:5">
      <c r="A247" s="266" t="s">
        <v>287</v>
      </c>
      <c r="B247" s="267" t="s">
        <v>345</v>
      </c>
      <c r="C247" s="268"/>
      <c r="D247" s="269">
        <v>199120</v>
      </c>
      <c r="E247" s="269">
        <v>1</v>
      </c>
    </row>
    <row r="248" spans="1:5">
      <c r="A248" s="266" t="s">
        <v>287</v>
      </c>
      <c r="B248" s="267" t="s">
        <v>346</v>
      </c>
      <c r="C248" s="270"/>
      <c r="D248" s="269">
        <v>199139</v>
      </c>
      <c r="E248" s="269">
        <v>1</v>
      </c>
    </row>
    <row r="249" spans="1:5">
      <c r="A249" s="266" t="s">
        <v>287</v>
      </c>
      <c r="B249" s="267" t="s">
        <v>347</v>
      </c>
      <c r="C249" s="268"/>
      <c r="D249" s="269">
        <v>199148</v>
      </c>
      <c r="E249" s="269">
        <v>1</v>
      </c>
    </row>
    <row r="250" spans="1:5">
      <c r="A250" s="266" t="s">
        <v>287</v>
      </c>
      <c r="B250" s="267" t="s">
        <v>348</v>
      </c>
      <c r="C250" s="270"/>
      <c r="D250" s="269">
        <v>198464</v>
      </c>
      <c r="E250" s="269">
        <v>2</v>
      </c>
    </row>
    <row r="251" spans="1:5">
      <c r="A251" s="266" t="s">
        <v>287</v>
      </c>
      <c r="B251" s="267" t="s">
        <v>349</v>
      </c>
      <c r="C251" s="268"/>
      <c r="D251" s="269">
        <v>197869</v>
      </c>
      <c r="E251" s="269">
        <v>3</v>
      </c>
    </row>
    <row r="252" spans="1:5">
      <c r="A252" s="266" t="s">
        <v>287</v>
      </c>
      <c r="B252" s="267" t="s">
        <v>350</v>
      </c>
      <c r="C252" s="378" t="s">
        <v>911</v>
      </c>
      <c r="D252" s="269">
        <v>199102</v>
      </c>
      <c r="E252" s="269">
        <v>3</v>
      </c>
    </row>
    <row r="253" spans="1:5">
      <c r="A253" s="266" t="s">
        <v>287</v>
      </c>
      <c r="B253" s="267" t="s">
        <v>351</v>
      </c>
      <c r="C253" s="268"/>
      <c r="D253" s="269">
        <v>199157</v>
      </c>
      <c r="E253" s="269">
        <v>3</v>
      </c>
    </row>
    <row r="254" spans="1:5">
      <c r="A254" s="266" t="s">
        <v>287</v>
      </c>
      <c r="B254" s="267" t="s">
        <v>352</v>
      </c>
      <c r="C254" s="268"/>
      <c r="D254" s="269">
        <v>199218</v>
      </c>
      <c r="E254" s="269">
        <v>3</v>
      </c>
    </row>
    <row r="255" spans="1:5">
      <c r="A255" s="266" t="s">
        <v>287</v>
      </c>
      <c r="B255" s="267" t="s">
        <v>353</v>
      </c>
      <c r="C255" s="268"/>
      <c r="D255" s="269">
        <v>200004</v>
      </c>
      <c r="E255" s="269">
        <v>3</v>
      </c>
    </row>
    <row r="256" spans="1:5">
      <c r="A256" s="266" t="s">
        <v>287</v>
      </c>
      <c r="B256" s="267" t="s">
        <v>354</v>
      </c>
      <c r="C256" s="268"/>
      <c r="D256" s="269">
        <v>198543</v>
      </c>
      <c r="E256" s="269">
        <v>4</v>
      </c>
    </row>
    <row r="257" spans="1:5">
      <c r="A257" s="266" t="s">
        <v>287</v>
      </c>
      <c r="B257" s="267" t="s">
        <v>355</v>
      </c>
      <c r="C257" s="268"/>
      <c r="D257" s="269">
        <v>199281</v>
      </c>
      <c r="E257" s="269">
        <v>5</v>
      </c>
    </row>
    <row r="258" spans="1:5">
      <c r="A258" s="266" t="s">
        <v>287</v>
      </c>
      <c r="B258" s="267" t="s">
        <v>356</v>
      </c>
      <c r="C258" s="268"/>
      <c r="D258" s="269">
        <v>199999</v>
      </c>
      <c r="E258" s="269">
        <v>5</v>
      </c>
    </row>
    <row r="259" spans="1:5">
      <c r="A259" s="266" t="s">
        <v>287</v>
      </c>
      <c r="B259" s="267" t="s">
        <v>357</v>
      </c>
      <c r="C259" s="268"/>
      <c r="D259" s="269">
        <v>198507</v>
      </c>
      <c r="E259" s="269">
        <v>6</v>
      </c>
    </row>
    <row r="260" spans="1:5">
      <c r="A260" s="266" t="s">
        <v>287</v>
      </c>
      <c r="B260" s="267" t="s">
        <v>358</v>
      </c>
      <c r="C260" s="268"/>
      <c r="D260" s="269">
        <v>199111</v>
      </c>
      <c r="E260" s="269">
        <v>6</v>
      </c>
    </row>
    <row r="261" spans="1:5">
      <c r="A261" s="266" t="s">
        <v>287</v>
      </c>
      <c r="B261" s="267" t="s">
        <v>623</v>
      </c>
      <c r="C261" s="268"/>
      <c r="D261" s="269">
        <v>199184</v>
      </c>
      <c r="E261" s="269">
        <v>15</v>
      </c>
    </row>
    <row r="262" spans="1:5">
      <c r="A262" s="236" t="s">
        <v>287</v>
      </c>
      <c r="B262" s="237" t="s">
        <v>289</v>
      </c>
      <c r="C262" s="238"/>
      <c r="D262" s="239">
        <v>197887</v>
      </c>
      <c r="E262" s="239">
        <v>8</v>
      </c>
    </row>
    <row r="263" spans="1:5">
      <c r="A263" s="236" t="s">
        <v>287</v>
      </c>
      <c r="B263" s="237" t="s">
        <v>295</v>
      </c>
      <c r="C263" s="238"/>
      <c r="D263" s="239">
        <v>198154</v>
      </c>
      <c r="E263" s="239">
        <v>8</v>
      </c>
    </row>
    <row r="264" spans="1:5">
      <c r="A264" s="236" t="s">
        <v>287</v>
      </c>
      <c r="B264" s="237" t="s">
        <v>299</v>
      </c>
      <c r="C264" s="238"/>
      <c r="D264" s="239">
        <v>198260</v>
      </c>
      <c r="E264" s="239">
        <v>8</v>
      </c>
    </row>
    <row r="265" spans="1:5">
      <c r="A265" s="236" t="s">
        <v>287</v>
      </c>
      <c r="B265" s="237" t="s">
        <v>305</v>
      </c>
      <c r="C265" s="238"/>
      <c r="D265" s="239">
        <v>198534</v>
      </c>
      <c r="E265" s="239">
        <v>8</v>
      </c>
    </row>
    <row r="266" spans="1:5">
      <c r="A266" s="236" t="s">
        <v>287</v>
      </c>
      <c r="B266" s="237" t="s">
        <v>306</v>
      </c>
      <c r="C266" s="238"/>
      <c r="D266" s="239">
        <v>198552</v>
      </c>
      <c r="E266" s="239">
        <v>8</v>
      </c>
    </row>
    <row r="267" spans="1:5">
      <c r="A267" s="236" t="s">
        <v>287</v>
      </c>
      <c r="B267" s="237" t="s">
        <v>308</v>
      </c>
      <c r="C267" s="238"/>
      <c r="D267" s="239">
        <v>198622</v>
      </c>
      <c r="E267" s="239">
        <v>8</v>
      </c>
    </row>
    <row r="268" spans="1:5">
      <c r="A268" s="236" t="s">
        <v>287</v>
      </c>
      <c r="B268" s="237" t="s">
        <v>323</v>
      </c>
      <c r="C268" s="238"/>
      <c r="D268" s="239">
        <v>199333</v>
      </c>
      <c r="E268" s="239">
        <v>8</v>
      </c>
    </row>
    <row r="269" spans="1:5">
      <c r="A269" s="236" t="s">
        <v>287</v>
      </c>
      <c r="B269" s="237" t="s">
        <v>329</v>
      </c>
      <c r="C269" s="238"/>
      <c r="D269" s="239">
        <v>199494</v>
      </c>
      <c r="E269" s="239">
        <v>8</v>
      </c>
    </row>
    <row r="270" spans="1:5">
      <c r="A270" s="236" t="s">
        <v>287</v>
      </c>
      <c r="B270" s="237" t="s">
        <v>339</v>
      </c>
      <c r="C270" s="238"/>
      <c r="D270" s="239">
        <v>199856</v>
      </c>
      <c r="E270" s="239">
        <v>8</v>
      </c>
    </row>
    <row r="271" spans="1:5">
      <c r="A271" s="236" t="s">
        <v>287</v>
      </c>
      <c r="B271" s="237" t="s">
        <v>288</v>
      </c>
      <c r="C271" s="238"/>
      <c r="D271" s="239">
        <v>199786</v>
      </c>
      <c r="E271" s="239">
        <v>9</v>
      </c>
    </row>
    <row r="272" spans="1:5">
      <c r="A272" s="236" t="s">
        <v>287</v>
      </c>
      <c r="B272" s="237" t="s">
        <v>294</v>
      </c>
      <c r="C272" s="238"/>
      <c r="D272" s="239">
        <v>198118</v>
      </c>
      <c r="E272" s="239">
        <v>9</v>
      </c>
    </row>
    <row r="273" spans="1:5">
      <c r="A273" s="236" t="s">
        <v>287</v>
      </c>
      <c r="B273" s="237" t="s">
        <v>297</v>
      </c>
      <c r="C273" s="238"/>
      <c r="D273" s="239">
        <v>198233</v>
      </c>
      <c r="E273" s="239">
        <v>9</v>
      </c>
    </row>
    <row r="274" spans="1:5">
      <c r="A274" s="236" t="s">
        <v>287</v>
      </c>
      <c r="B274" s="237" t="s">
        <v>298</v>
      </c>
      <c r="C274" s="238"/>
      <c r="D274" s="239">
        <v>198251</v>
      </c>
      <c r="E274" s="239">
        <v>9</v>
      </c>
    </row>
    <row r="275" spans="1:5">
      <c r="A275" s="236" t="s">
        <v>287</v>
      </c>
      <c r="B275" s="237" t="s">
        <v>300</v>
      </c>
      <c r="C275" s="238"/>
      <c r="D275" s="239">
        <v>198321</v>
      </c>
      <c r="E275" s="239">
        <v>9</v>
      </c>
    </row>
    <row r="276" spans="1:5">
      <c r="A276" s="236" t="s">
        <v>287</v>
      </c>
      <c r="B276" s="237" t="s">
        <v>301</v>
      </c>
      <c r="C276" s="238"/>
      <c r="D276" s="239">
        <v>198330</v>
      </c>
      <c r="E276" s="239">
        <v>9</v>
      </c>
    </row>
    <row r="277" spans="1:5">
      <c r="A277" s="236" t="s">
        <v>287</v>
      </c>
      <c r="B277" s="237" t="s">
        <v>302</v>
      </c>
      <c r="C277" s="238"/>
      <c r="D277" s="239">
        <v>198367</v>
      </c>
      <c r="E277" s="239">
        <v>9</v>
      </c>
    </row>
    <row r="278" spans="1:5">
      <c r="A278" s="236" t="s">
        <v>287</v>
      </c>
      <c r="B278" s="237" t="s">
        <v>663</v>
      </c>
      <c r="C278" s="238"/>
      <c r="D278" s="239">
        <v>198376</v>
      </c>
      <c r="E278" s="239">
        <v>9</v>
      </c>
    </row>
    <row r="279" spans="1:5">
      <c r="A279" s="236" t="s">
        <v>287</v>
      </c>
      <c r="B279" s="237" t="s">
        <v>303</v>
      </c>
      <c r="C279" s="238"/>
      <c r="D279" s="239">
        <v>198455</v>
      </c>
      <c r="E279" s="239">
        <v>9</v>
      </c>
    </row>
    <row r="280" spans="1:5">
      <c r="A280" s="236" t="s">
        <v>287</v>
      </c>
      <c r="B280" s="237" t="s">
        <v>307</v>
      </c>
      <c r="C280" s="238"/>
      <c r="D280" s="239">
        <v>198570</v>
      </c>
      <c r="E280" s="239">
        <v>9</v>
      </c>
    </row>
    <row r="281" spans="1:5">
      <c r="A281" s="236" t="s">
        <v>287</v>
      </c>
      <c r="B281" s="237" t="s">
        <v>313</v>
      </c>
      <c r="C281" s="238"/>
      <c r="D281" s="239">
        <v>198774</v>
      </c>
      <c r="E281" s="239">
        <v>9</v>
      </c>
    </row>
    <row r="282" spans="1:5">
      <c r="A282" s="236" t="s">
        <v>287</v>
      </c>
      <c r="B282" s="237" t="s">
        <v>314</v>
      </c>
      <c r="C282" s="238"/>
      <c r="D282" s="239">
        <v>198817</v>
      </c>
      <c r="E282" s="239">
        <v>9</v>
      </c>
    </row>
    <row r="283" spans="1:5">
      <c r="A283" s="236" t="s">
        <v>287</v>
      </c>
      <c r="B283" s="237" t="s">
        <v>318</v>
      </c>
      <c r="C283" s="238"/>
      <c r="D283" s="239">
        <v>198987</v>
      </c>
      <c r="E283" s="239">
        <v>9</v>
      </c>
    </row>
    <row r="284" spans="1:5">
      <c r="A284" s="236" t="s">
        <v>287</v>
      </c>
      <c r="B284" s="237" t="s">
        <v>320</v>
      </c>
      <c r="C284" s="238"/>
      <c r="D284" s="239">
        <v>199087</v>
      </c>
      <c r="E284" s="239">
        <v>9</v>
      </c>
    </row>
    <row r="285" spans="1:5">
      <c r="A285" s="236" t="s">
        <v>287</v>
      </c>
      <c r="B285" s="237" t="s">
        <v>324</v>
      </c>
      <c r="C285" s="238"/>
      <c r="D285" s="239">
        <v>199421</v>
      </c>
      <c r="E285" s="239">
        <v>9</v>
      </c>
    </row>
    <row r="286" spans="1:5">
      <c r="A286" s="236" t="s">
        <v>287</v>
      </c>
      <c r="B286" s="237" t="s">
        <v>325</v>
      </c>
      <c r="C286" s="240"/>
      <c r="D286" s="239">
        <v>199449</v>
      </c>
      <c r="E286" s="239">
        <v>9</v>
      </c>
    </row>
    <row r="287" spans="1:5">
      <c r="A287" s="236" t="s">
        <v>287</v>
      </c>
      <c r="B287" s="237" t="s">
        <v>331</v>
      </c>
      <c r="C287" s="238"/>
      <c r="D287" s="239">
        <v>199634</v>
      </c>
      <c r="E287" s="239">
        <v>9</v>
      </c>
    </row>
    <row r="288" spans="1:5">
      <c r="A288" s="236" t="s">
        <v>287</v>
      </c>
      <c r="B288" s="237" t="s">
        <v>332</v>
      </c>
      <c r="C288" s="240"/>
      <c r="D288" s="239">
        <v>197850</v>
      </c>
      <c r="E288" s="239">
        <v>9</v>
      </c>
    </row>
    <row r="289" spans="1:5">
      <c r="A289" s="236" t="s">
        <v>287</v>
      </c>
      <c r="B289" s="237" t="s">
        <v>335</v>
      </c>
      <c r="C289" s="238"/>
      <c r="D289" s="239">
        <v>199740</v>
      </c>
      <c r="E289" s="239">
        <v>9</v>
      </c>
    </row>
    <row r="290" spans="1:5">
      <c r="A290" s="236" t="s">
        <v>287</v>
      </c>
      <c r="B290" s="237" t="s">
        <v>336</v>
      </c>
      <c r="C290" s="238"/>
      <c r="D290" s="239">
        <v>199768</v>
      </c>
      <c r="E290" s="239">
        <v>9</v>
      </c>
    </row>
    <row r="291" spans="1:5">
      <c r="A291" s="236" t="s">
        <v>287</v>
      </c>
      <c r="B291" s="237" t="s">
        <v>338</v>
      </c>
      <c r="C291" s="238"/>
      <c r="D291" s="239">
        <v>199838</v>
      </c>
      <c r="E291" s="239">
        <v>9</v>
      </c>
    </row>
    <row r="292" spans="1:5">
      <c r="A292" s="236" t="s">
        <v>287</v>
      </c>
      <c r="B292" s="237" t="s">
        <v>340</v>
      </c>
      <c r="C292" s="238"/>
      <c r="D292" s="239">
        <v>199892</v>
      </c>
      <c r="E292" s="239">
        <v>9</v>
      </c>
    </row>
    <row r="293" spans="1:5">
      <c r="A293" s="236" t="s">
        <v>287</v>
      </c>
      <c r="B293" s="237" t="s">
        <v>342</v>
      </c>
      <c r="C293" s="238"/>
      <c r="D293" s="239">
        <v>199926</v>
      </c>
      <c r="E293" s="239">
        <v>9</v>
      </c>
    </row>
    <row r="294" spans="1:5">
      <c r="A294" s="236" t="s">
        <v>287</v>
      </c>
      <c r="B294" s="237" t="s">
        <v>290</v>
      </c>
      <c r="C294" s="238"/>
      <c r="D294" s="239">
        <v>197966</v>
      </c>
      <c r="E294" s="239">
        <v>10</v>
      </c>
    </row>
    <row r="295" spans="1:5">
      <c r="A295" s="236" t="s">
        <v>287</v>
      </c>
      <c r="B295" s="237" t="s">
        <v>291</v>
      </c>
      <c r="C295" s="238"/>
      <c r="D295" s="239">
        <v>198011</v>
      </c>
      <c r="E295" s="239">
        <v>10</v>
      </c>
    </row>
    <row r="296" spans="1:5">
      <c r="A296" s="236" t="s">
        <v>287</v>
      </c>
      <c r="B296" s="237" t="s">
        <v>292</v>
      </c>
      <c r="C296" s="238"/>
      <c r="D296" s="239">
        <v>198039</v>
      </c>
      <c r="E296" s="239">
        <v>10</v>
      </c>
    </row>
    <row r="297" spans="1:5">
      <c r="A297" s="236" t="s">
        <v>287</v>
      </c>
      <c r="B297" s="237" t="s">
        <v>293</v>
      </c>
      <c r="C297" s="238"/>
      <c r="D297" s="239">
        <v>198084</v>
      </c>
      <c r="E297" s="239">
        <v>10</v>
      </c>
    </row>
    <row r="298" spans="1:5">
      <c r="A298" s="236" t="s">
        <v>287</v>
      </c>
      <c r="B298" s="237" t="s">
        <v>296</v>
      </c>
      <c r="C298" s="238"/>
      <c r="D298" s="239">
        <v>198206</v>
      </c>
      <c r="E298" s="239">
        <v>10</v>
      </c>
    </row>
    <row r="299" spans="1:5">
      <c r="A299" s="236" t="s">
        <v>287</v>
      </c>
      <c r="B299" s="237" t="s">
        <v>664</v>
      </c>
      <c r="C299" s="238" t="s">
        <v>641</v>
      </c>
      <c r="D299" s="239">
        <v>197814</v>
      </c>
      <c r="E299" s="239">
        <v>10</v>
      </c>
    </row>
    <row r="300" spans="1:5">
      <c r="A300" s="236" t="s">
        <v>287</v>
      </c>
      <c r="B300" s="237" t="s">
        <v>304</v>
      </c>
      <c r="C300" s="240"/>
      <c r="D300" s="239">
        <v>198491</v>
      </c>
      <c r="E300" s="239">
        <v>10</v>
      </c>
    </row>
    <row r="301" spans="1:5">
      <c r="A301" s="236" t="s">
        <v>287</v>
      </c>
      <c r="B301" s="237" t="s">
        <v>309</v>
      </c>
      <c r="C301" s="238"/>
      <c r="D301" s="239">
        <v>198640</v>
      </c>
      <c r="E301" s="239">
        <v>10</v>
      </c>
    </row>
    <row r="302" spans="1:5">
      <c r="A302" s="236" t="s">
        <v>287</v>
      </c>
      <c r="B302" s="237" t="s">
        <v>310</v>
      </c>
      <c r="C302" s="240"/>
      <c r="D302" s="239">
        <v>198668</v>
      </c>
      <c r="E302" s="239">
        <v>10</v>
      </c>
    </row>
    <row r="303" spans="1:5">
      <c r="A303" s="236" t="s">
        <v>287</v>
      </c>
      <c r="B303" s="237" t="s">
        <v>311</v>
      </c>
      <c r="C303" s="240"/>
      <c r="D303" s="239">
        <v>198710</v>
      </c>
      <c r="E303" s="239">
        <v>10</v>
      </c>
    </row>
    <row r="304" spans="1:5">
      <c r="A304" s="236" t="s">
        <v>287</v>
      </c>
      <c r="B304" s="237" t="s">
        <v>312</v>
      </c>
      <c r="C304" s="238"/>
      <c r="D304" s="239">
        <v>198729</v>
      </c>
      <c r="E304" s="239">
        <v>10</v>
      </c>
    </row>
    <row r="305" spans="1:5">
      <c r="A305" s="236" t="s">
        <v>287</v>
      </c>
      <c r="B305" s="237" t="s">
        <v>315</v>
      </c>
      <c r="C305" s="238"/>
      <c r="D305" s="239">
        <v>198905</v>
      </c>
      <c r="E305" s="239">
        <v>10</v>
      </c>
    </row>
    <row r="306" spans="1:5">
      <c r="A306" s="236" t="s">
        <v>287</v>
      </c>
      <c r="B306" s="237" t="s">
        <v>316</v>
      </c>
      <c r="C306" s="238"/>
      <c r="D306" s="239">
        <v>198914</v>
      </c>
      <c r="E306" s="239">
        <v>10</v>
      </c>
    </row>
    <row r="307" spans="1:5">
      <c r="A307" s="236" t="s">
        <v>287</v>
      </c>
      <c r="B307" s="237" t="s">
        <v>317</v>
      </c>
      <c r="C307" s="238"/>
      <c r="D307" s="239">
        <v>198923</v>
      </c>
      <c r="E307" s="239">
        <v>10</v>
      </c>
    </row>
    <row r="308" spans="1:5">
      <c r="A308" s="236" t="s">
        <v>287</v>
      </c>
      <c r="B308" s="237" t="s">
        <v>319</v>
      </c>
      <c r="C308" s="238"/>
      <c r="D308" s="239">
        <v>199023</v>
      </c>
      <c r="E308" s="239">
        <v>10</v>
      </c>
    </row>
    <row r="309" spans="1:5">
      <c r="A309" s="236" t="s">
        <v>287</v>
      </c>
      <c r="B309" s="237" t="s">
        <v>321</v>
      </c>
      <c r="C309" s="238"/>
      <c r="D309" s="239">
        <v>199263</v>
      </c>
      <c r="E309" s="239">
        <v>10</v>
      </c>
    </row>
    <row r="310" spans="1:5">
      <c r="A310" s="236" t="s">
        <v>287</v>
      </c>
      <c r="B310" s="237" t="s">
        <v>322</v>
      </c>
      <c r="C310" s="238"/>
      <c r="D310" s="239">
        <v>199324</v>
      </c>
      <c r="E310" s="239">
        <v>10</v>
      </c>
    </row>
    <row r="311" spans="1:5">
      <c r="A311" s="236" t="s">
        <v>287</v>
      </c>
      <c r="B311" s="237" t="s">
        <v>326</v>
      </c>
      <c r="C311" s="238"/>
      <c r="D311" s="239">
        <v>199467</v>
      </c>
      <c r="E311" s="239">
        <v>10</v>
      </c>
    </row>
    <row r="312" spans="1:5">
      <c r="A312" s="236" t="s">
        <v>287</v>
      </c>
      <c r="B312" s="237" t="s">
        <v>327</v>
      </c>
      <c r="C312" s="240"/>
      <c r="D312" s="239">
        <v>199476</v>
      </c>
      <c r="E312" s="239">
        <v>10</v>
      </c>
    </row>
    <row r="313" spans="1:5">
      <c r="A313" s="236" t="s">
        <v>287</v>
      </c>
      <c r="B313" s="237" t="s">
        <v>328</v>
      </c>
      <c r="C313" s="238"/>
      <c r="D313" s="239">
        <v>199485</v>
      </c>
      <c r="E313" s="239">
        <v>10</v>
      </c>
    </row>
    <row r="314" spans="1:5">
      <c r="A314" s="236" t="s">
        <v>287</v>
      </c>
      <c r="B314" s="237" t="s">
        <v>330</v>
      </c>
      <c r="C314" s="238"/>
      <c r="D314" s="239">
        <v>199625</v>
      </c>
      <c r="E314" s="239">
        <v>10</v>
      </c>
    </row>
    <row r="315" spans="1:5">
      <c r="A315" s="236" t="s">
        <v>287</v>
      </c>
      <c r="B315" s="237" t="s">
        <v>333</v>
      </c>
      <c r="C315" s="238"/>
      <c r="D315" s="239">
        <v>199722</v>
      </c>
      <c r="E315" s="239">
        <v>10</v>
      </c>
    </row>
    <row r="316" spans="1:5">
      <c r="A316" s="236" t="s">
        <v>287</v>
      </c>
      <c r="B316" s="237" t="s">
        <v>334</v>
      </c>
      <c r="C316" s="238"/>
      <c r="D316" s="239">
        <v>199731</v>
      </c>
      <c r="E316" s="239">
        <v>10</v>
      </c>
    </row>
    <row r="317" spans="1:5">
      <c r="A317" s="236" t="s">
        <v>287</v>
      </c>
      <c r="B317" s="237" t="s">
        <v>337</v>
      </c>
      <c r="C317" s="238"/>
      <c r="D317" s="239">
        <v>199795</v>
      </c>
      <c r="E317" s="239">
        <v>10</v>
      </c>
    </row>
    <row r="318" spans="1:5">
      <c r="A318" s="236" t="s">
        <v>287</v>
      </c>
      <c r="B318" s="237" t="s">
        <v>341</v>
      </c>
      <c r="C318" s="240"/>
      <c r="D318" s="239">
        <v>199908</v>
      </c>
      <c r="E318" s="239">
        <v>10</v>
      </c>
    </row>
    <row r="319" spans="1:5" ht="15.75" thickBot="1">
      <c r="A319" s="236" t="s">
        <v>287</v>
      </c>
      <c r="B319" s="237" t="s">
        <v>343</v>
      </c>
      <c r="C319" s="238"/>
      <c r="D319" s="239">
        <v>199953</v>
      </c>
      <c r="E319" s="239">
        <v>10</v>
      </c>
    </row>
    <row r="320" spans="1:5">
      <c r="A320" s="222" t="s">
        <v>359</v>
      </c>
      <c r="B320" s="271" t="s">
        <v>665</v>
      </c>
      <c r="C320" s="272"/>
      <c r="D320" s="273">
        <v>365374</v>
      </c>
      <c r="E320" s="273">
        <v>12</v>
      </c>
    </row>
    <row r="321" spans="1:5">
      <c r="A321" s="222" t="s">
        <v>359</v>
      </c>
      <c r="B321" s="220" t="s">
        <v>666</v>
      </c>
      <c r="C321" s="221"/>
      <c r="D321" s="222">
        <v>245999</v>
      </c>
      <c r="E321" s="222">
        <v>12</v>
      </c>
    </row>
    <row r="322" spans="1:5">
      <c r="A322" s="222" t="s">
        <v>359</v>
      </c>
      <c r="B322" s="220" t="s">
        <v>667</v>
      </c>
      <c r="C322" s="221" t="s">
        <v>668</v>
      </c>
      <c r="D322" s="222">
        <v>261375</v>
      </c>
      <c r="E322" s="222">
        <v>12</v>
      </c>
    </row>
    <row r="323" spans="1:5">
      <c r="A323" s="222" t="s">
        <v>359</v>
      </c>
      <c r="B323" s="220" t="s">
        <v>669</v>
      </c>
      <c r="C323" s="221"/>
      <c r="D323" s="222">
        <v>365213</v>
      </c>
      <c r="E323" s="222">
        <v>13</v>
      </c>
    </row>
    <row r="324" spans="1:5">
      <c r="A324" s="222" t="s">
        <v>359</v>
      </c>
      <c r="B324" s="220" t="s">
        <v>670</v>
      </c>
      <c r="C324" s="221"/>
      <c r="D324" s="222">
        <v>364946</v>
      </c>
      <c r="E324" s="222">
        <v>13</v>
      </c>
    </row>
    <row r="325" spans="1:5">
      <c r="A325" s="222" t="s">
        <v>359</v>
      </c>
      <c r="B325" s="220" t="s">
        <v>671</v>
      </c>
      <c r="C325" s="221"/>
      <c r="D325" s="222">
        <v>246017</v>
      </c>
      <c r="E325" s="222">
        <v>13</v>
      </c>
    </row>
    <row r="326" spans="1:5">
      <c r="A326" s="222" t="s">
        <v>359</v>
      </c>
      <c r="B326" s="220" t="s">
        <v>672</v>
      </c>
      <c r="C326" s="221"/>
      <c r="D326" s="222">
        <v>375656</v>
      </c>
      <c r="E326" s="222">
        <v>13</v>
      </c>
    </row>
    <row r="327" spans="1:5">
      <c r="A327" s="222" t="s">
        <v>359</v>
      </c>
      <c r="B327" s="220" t="s">
        <v>673</v>
      </c>
      <c r="C327" s="221"/>
      <c r="D327" s="222">
        <v>418348</v>
      </c>
      <c r="E327" s="222">
        <v>13</v>
      </c>
    </row>
    <row r="328" spans="1:5">
      <c r="A328" s="222" t="s">
        <v>359</v>
      </c>
      <c r="B328" s="220" t="s">
        <v>674</v>
      </c>
      <c r="C328" s="221"/>
      <c r="D328" s="222">
        <v>375683</v>
      </c>
      <c r="E328" s="222">
        <v>13</v>
      </c>
    </row>
    <row r="329" spans="1:5">
      <c r="A329" s="222" t="s">
        <v>359</v>
      </c>
      <c r="B329" s="220" t="s">
        <v>675</v>
      </c>
      <c r="C329" s="221"/>
      <c r="D329" s="222">
        <v>364548</v>
      </c>
      <c r="E329" s="222">
        <v>13</v>
      </c>
    </row>
    <row r="330" spans="1:5">
      <c r="A330" s="222" t="s">
        <v>359</v>
      </c>
      <c r="B330" s="220" t="s">
        <v>676</v>
      </c>
      <c r="C330" s="223"/>
      <c r="D330" s="222">
        <v>428019</v>
      </c>
      <c r="E330" s="222">
        <v>13</v>
      </c>
    </row>
    <row r="331" spans="1:5">
      <c r="A331" s="222" t="s">
        <v>359</v>
      </c>
      <c r="B331" s="220" t="s">
        <v>677</v>
      </c>
      <c r="C331" s="221"/>
      <c r="D331" s="222">
        <v>208053</v>
      </c>
      <c r="E331" s="222">
        <v>13</v>
      </c>
    </row>
    <row r="332" spans="1:5">
      <c r="A332" s="222" t="s">
        <v>359</v>
      </c>
      <c r="B332" s="220" t="s">
        <v>678</v>
      </c>
      <c r="C332" s="221"/>
      <c r="D332" s="222">
        <v>418296</v>
      </c>
      <c r="E332" s="222">
        <v>13</v>
      </c>
    </row>
    <row r="333" spans="1:5">
      <c r="A333" s="222" t="s">
        <v>359</v>
      </c>
      <c r="B333" s="220" t="s">
        <v>679</v>
      </c>
      <c r="C333" s="221"/>
      <c r="D333" s="222">
        <v>421540</v>
      </c>
      <c r="E333" s="222">
        <v>13</v>
      </c>
    </row>
    <row r="334" spans="1:5">
      <c r="A334" s="222" t="s">
        <v>359</v>
      </c>
      <c r="B334" s="220" t="s">
        <v>680</v>
      </c>
      <c r="C334" s="221"/>
      <c r="D334" s="222">
        <v>421559</v>
      </c>
      <c r="E334" s="222">
        <v>13</v>
      </c>
    </row>
    <row r="335" spans="1:5">
      <c r="A335" s="222" t="s">
        <v>359</v>
      </c>
      <c r="B335" s="220" t="s">
        <v>681</v>
      </c>
      <c r="C335" s="221"/>
      <c r="D335" s="222">
        <v>208026</v>
      </c>
      <c r="E335" s="222">
        <v>13</v>
      </c>
    </row>
    <row r="336" spans="1:5">
      <c r="A336" s="222" t="s">
        <v>359</v>
      </c>
      <c r="B336" s="220" t="s">
        <v>682</v>
      </c>
      <c r="C336" s="221"/>
      <c r="D336" s="222">
        <v>375692</v>
      </c>
      <c r="E336" s="222">
        <v>13</v>
      </c>
    </row>
    <row r="337" spans="1:5">
      <c r="A337" s="222" t="s">
        <v>359</v>
      </c>
      <c r="B337" s="220" t="s">
        <v>683</v>
      </c>
      <c r="C337" s="221"/>
      <c r="D337" s="222">
        <v>375708</v>
      </c>
      <c r="E337" s="222">
        <v>13</v>
      </c>
    </row>
    <row r="338" spans="1:5">
      <c r="A338" s="222" t="s">
        <v>359</v>
      </c>
      <c r="B338" s="220" t="s">
        <v>684</v>
      </c>
      <c r="C338" s="221"/>
      <c r="D338" s="222">
        <v>375717</v>
      </c>
      <c r="E338" s="222">
        <v>13</v>
      </c>
    </row>
    <row r="339" spans="1:5">
      <c r="A339" s="222" t="s">
        <v>359</v>
      </c>
      <c r="B339" s="220" t="s">
        <v>685</v>
      </c>
      <c r="C339" s="221"/>
      <c r="D339" s="222">
        <v>375735</v>
      </c>
      <c r="E339" s="222">
        <v>13</v>
      </c>
    </row>
    <row r="340" spans="1:5">
      <c r="A340" s="222" t="s">
        <v>359</v>
      </c>
      <c r="B340" s="220" t="s">
        <v>686</v>
      </c>
      <c r="C340" s="221"/>
      <c r="D340" s="222">
        <v>375726</v>
      </c>
      <c r="E340" s="222">
        <v>13</v>
      </c>
    </row>
    <row r="341" spans="1:5">
      <c r="A341" s="222" t="s">
        <v>359</v>
      </c>
      <c r="B341" s="220" t="s">
        <v>687</v>
      </c>
      <c r="C341" s="221"/>
      <c r="D341" s="222">
        <v>375744</v>
      </c>
      <c r="E341" s="222">
        <v>13</v>
      </c>
    </row>
    <row r="342" spans="1:5">
      <c r="A342" s="222" t="s">
        <v>359</v>
      </c>
      <c r="B342" s="220" t="s">
        <v>688</v>
      </c>
      <c r="C342" s="221"/>
      <c r="D342" s="222">
        <v>375753</v>
      </c>
      <c r="E342" s="222">
        <v>13</v>
      </c>
    </row>
    <row r="343" spans="1:5">
      <c r="A343" s="222" t="s">
        <v>359</v>
      </c>
      <c r="B343" s="220" t="s">
        <v>689</v>
      </c>
      <c r="C343" s="221"/>
      <c r="D343" s="222">
        <v>405748</v>
      </c>
      <c r="E343" s="222">
        <v>13</v>
      </c>
    </row>
    <row r="344" spans="1:5">
      <c r="A344" s="222" t="s">
        <v>359</v>
      </c>
      <c r="B344" s="220" t="s">
        <v>690</v>
      </c>
      <c r="C344" s="221"/>
      <c r="D344" s="222">
        <v>375762</v>
      </c>
      <c r="E344" s="222">
        <v>13</v>
      </c>
    </row>
    <row r="345" spans="1:5">
      <c r="A345" s="222" t="s">
        <v>359</v>
      </c>
      <c r="B345" s="220" t="s">
        <v>691</v>
      </c>
      <c r="C345" s="221"/>
      <c r="D345" s="222">
        <v>365480</v>
      </c>
      <c r="E345" s="222">
        <v>13</v>
      </c>
    </row>
    <row r="346" spans="1:5">
      <c r="A346" s="222" t="s">
        <v>359</v>
      </c>
      <c r="B346" s="220" t="s">
        <v>692</v>
      </c>
      <c r="C346" s="221"/>
      <c r="D346" s="222">
        <v>363165</v>
      </c>
      <c r="E346" s="222">
        <v>13</v>
      </c>
    </row>
    <row r="347" spans="1:5">
      <c r="A347" s="222" t="s">
        <v>359</v>
      </c>
      <c r="B347" s="220" t="s">
        <v>693</v>
      </c>
      <c r="C347" s="221"/>
      <c r="D347" s="222">
        <v>418320</v>
      </c>
      <c r="E347" s="222">
        <v>13</v>
      </c>
    </row>
    <row r="348" spans="1:5">
      <c r="A348" s="222" t="s">
        <v>359</v>
      </c>
      <c r="B348" s="220" t="s">
        <v>694</v>
      </c>
      <c r="C348" s="221"/>
      <c r="D348" s="222">
        <v>431017</v>
      </c>
      <c r="E348" s="222">
        <v>13</v>
      </c>
    </row>
    <row r="349" spans="1:5">
      <c r="A349" s="222" t="s">
        <v>359</v>
      </c>
      <c r="B349" s="220" t="s">
        <v>695</v>
      </c>
      <c r="C349" s="221" t="s">
        <v>643</v>
      </c>
      <c r="D349" s="222">
        <v>248606</v>
      </c>
      <c r="E349" s="222">
        <v>13</v>
      </c>
    </row>
    <row r="350" spans="1:5">
      <c r="A350" s="222" t="s">
        <v>359</v>
      </c>
      <c r="B350" s="220" t="s">
        <v>696</v>
      </c>
      <c r="C350" s="221"/>
      <c r="D350" s="222">
        <v>420459</v>
      </c>
      <c r="E350" s="222">
        <v>13</v>
      </c>
    </row>
    <row r="351" spans="1:5">
      <c r="A351" s="222" t="s">
        <v>359</v>
      </c>
      <c r="B351" s="220" t="s">
        <v>697</v>
      </c>
      <c r="C351" s="221"/>
      <c r="D351" s="222">
        <v>456560</v>
      </c>
      <c r="E351" s="222">
        <v>13</v>
      </c>
    </row>
    <row r="352" spans="1:5">
      <c r="A352" s="222" t="s">
        <v>359</v>
      </c>
      <c r="B352" s="220" t="s">
        <v>698</v>
      </c>
      <c r="C352" s="221"/>
      <c r="D352" s="222">
        <v>432074</v>
      </c>
      <c r="E352" s="222">
        <v>13</v>
      </c>
    </row>
    <row r="353" spans="1:5">
      <c r="A353" s="222" t="s">
        <v>359</v>
      </c>
      <c r="B353" s="220" t="s">
        <v>699</v>
      </c>
      <c r="C353" s="221"/>
      <c r="D353" s="222">
        <v>418339</v>
      </c>
      <c r="E353" s="222">
        <v>13</v>
      </c>
    </row>
    <row r="354" spans="1:5">
      <c r="A354" s="222" t="s">
        <v>359</v>
      </c>
      <c r="B354" s="220" t="s">
        <v>700</v>
      </c>
      <c r="C354" s="221"/>
      <c r="D354" s="222">
        <v>366623</v>
      </c>
      <c r="E354" s="222">
        <v>13</v>
      </c>
    </row>
    <row r="355" spans="1:5">
      <c r="A355" s="222" t="s">
        <v>359</v>
      </c>
      <c r="B355" s="220" t="s">
        <v>701</v>
      </c>
      <c r="C355" s="221"/>
      <c r="D355" s="222">
        <v>407601</v>
      </c>
      <c r="E355" s="222">
        <v>13</v>
      </c>
    </row>
    <row r="356" spans="1:5">
      <c r="A356" s="222" t="s">
        <v>359</v>
      </c>
      <c r="B356" s="220" t="s">
        <v>702</v>
      </c>
      <c r="C356" s="221"/>
      <c r="D356" s="222">
        <v>364627</v>
      </c>
      <c r="E356" s="222">
        <v>13</v>
      </c>
    </row>
    <row r="357" spans="1:5">
      <c r="A357" s="222" t="s">
        <v>359</v>
      </c>
      <c r="B357" s="220" t="s">
        <v>703</v>
      </c>
      <c r="C357" s="221"/>
      <c r="D357" s="222">
        <v>206905</v>
      </c>
      <c r="E357" s="222">
        <v>13</v>
      </c>
    </row>
    <row r="358" spans="1:5">
      <c r="A358" s="222" t="s">
        <v>359</v>
      </c>
      <c r="B358" s="220" t="s">
        <v>704</v>
      </c>
      <c r="C358" s="221"/>
      <c r="D358" s="222">
        <v>250993</v>
      </c>
      <c r="E358" s="222">
        <v>13</v>
      </c>
    </row>
    <row r="359" spans="1:5">
      <c r="A359" s="222" t="s">
        <v>359</v>
      </c>
      <c r="B359" s="220" t="s">
        <v>705</v>
      </c>
      <c r="C359" s="221"/>
      <c r="D359" s="222">
        <v>365198</v>
      </c>
      <c r="E359" s="222">
        <v>13</v>
      </c>
    </row>
    <row r="360" spans="1:5">
      <c r="A360" s="222" t="s">
        <v>359</v>
      </c>
      <c r="B360" s="220" t="s">
        <v>706</v>
      </c>
      <c r="C360" s="221"/>
      <c r="D360" s="222">
        <v>368364</v>
      </c>
      <c r="E360" s="222">
        <v>13</v>
      </c>
    </row>
    <row r="361" spans="1:5">
      <c r="A361" s="222" t="s">
        <v>359</v>
      </c>
      <c r="B361" s="220" t="s">
        <v>707</v>
      </c>
      <c r="C361" s="221"/>
      <c r="D361" s="222">
        <v>418287</v>
      </c>
      <c r="E361" s="222">
        <v>13</v>
      </c>
    </row>
    <row r="362" spans="1:5">
      <c r="A362" s="222" t="s">
        <v>359</v>
      </c>
      <c r="B362" s="220" t="s">
        <v>708</v>
      </c>
      <c r="C362" s="221"/>
      <c r="D362" s="222">
        <v>207607</v>
      </c>
      <c r="E362" s="222">
        <v>13</v>
      </c>
    </row>
    <row r="363" spans="1:5">
      <c r="A363" s="222" t="s">
        <v>359</v>
      </c>
      <c r="B363" s="220" t="s">
        <v>709</v>
      </c>
      <c r="C363" s="220"/>
      <c r="D363" s="222">
        <v>261393</v>
      </c>
      <c r="E363" s="222">
        <v>13</v>
      </c>
    </row>
    <row r="364" spans="1:5">
      <c r="A364" s="219" t="s">
        <v>359</v>
      </c>
      <c r="B364" s="224" t="s">
        <v>710</v>
      </c>
      <c r="C364" s="220"/>
      <c r="D364" s="222">
        <v>482264</v>
      </c>
      <c r="E364" s="222">
        <v>13</v>
      </c>
    </row>
    <row r="365" spans="1:5">
      <c r="A365" s="222" t="s">
        <v>359</v>
      </c>
      <c r="B365" s="220" t="s">
        <v>711</v>
      </c>
      <c r="C365" s="221"/>
      <c r="D365" s="222">
        <v>261384</v>
      </c>
      <c r="E365" s="222">
        <v>13</v>
      </c>
    </row>
    <row r="366" spans="1:5">
      <c r="A366" s="219" t="s">
        <v>359</v>
      </c>
      <c r="B366" s="224" t="s">
        <v>712</v>
      </c>
      <c r="C366" s="221"/>
      <c r="D366" s="222">
        <v>482273</v>
      </c>
      <c r="E366" s="222">
        <v>13</v>
      </c>
    </row>
    <row r="367" spans="1:5">
      <c r="A367" s="219" t="s">
        <v>359</v>
      </c>
      <c r="B367" s="220" t="s">
        <v>713</v>
      </c>
      <c r="C367" s="221"/>
      <c r="D367" s="222">
        <v>418357</v>
      </c>
      <c r="E367" s="222">
        <v>13</v>
      </c>
    </row>
    <row r="368" spans="1:5">
      <c r="A368" s="222" t="s">
        <v>359</v>
      </c>
      <c r="B368" s="220" t="s">
        <v>714</v>
      </c>
      <c r="C368" s="221"/>
      <c r="D368" s="222">
        <v>418302</v>
      </c>
      <c r="E368" s="222">
        <v>13</v>
      </c>
    </row>
    <row r="369" spans="1:5">
      <c r="A369" s="216" t="s">
        <v>359</v>
      </c>
      <c r="B369" s="217" t="s">
        <v>898</v>
      </c>
      <c r="C369" s="362"/>
      <c r="D369" s="216">
        <v>207388</v>
      </c>
      <c r="E369" s="216"/>
    </row>
    <row r="370" spans="1:5">
      <c r="A370" s="249" t="s">
        <v>360</v>
      </c>
      <c r="B370" s="250" t="s">
        <v>361</v>
      </c>
      <c r="C370" s="251"/>
      <c r="D370" s="252">
        <v>217882</v>
      </c>
      <c r="E370" s="252">
        <v>1</v>
      </c>
    </row>
    <row r="371" spans="1:5">
      <c r="A371" s="249" t="s">
        <v>360</v>
      </c>
      <c r="B371" s="250" t="s">
        <v>362</v>
      </c>
      <c r="C371" s="251"/>
      <c r="D371" s="252">
        <v>218663</v>
      </c>
      <c r="E371" s="252">
        <v>1</v>
      </c>
    </row>
    <row r="372" spans="1:5">
      <c r="A372" s="249" t="s">
        <v>360</v>
      </c>
      <c r="B372" s="250" t="s">
        <v>363</v>
      </c>
      <c r="C372" s="251"/>
      <c r="D372" s="252">
        <v>217819</v>
      </c>
      <c r="E372" s="252">
        <v>3</v>
      </c>
    </row>
    <row r="373" spans="1:5">
      <c r="A373" s="249" t="s">
        <v>360</v>
      </c>
      <c r="B373" s="250" t="s">
        <v>364</v>
      </c>
      <c r="C373" s="253"/>
      <c r="D373" s="252">
        <v>217864</v>
      </c>
      <c r="E373" s="252">
        <v>3</v>
      </c>
    </row>
    <row r="374" spans="1:5">
      <c r="A374" s="249" t="s">
        <v>360</v>
      </c>
      <c r="B374" s="250" t="s">
        <v>365</v>
      </c>
      <c r="C374" s="251"/>
      <c r="D374" s="252">
        <v>218964</v>
      </c>
      <c r="E374" s="252">
        <v>3</v>
      </c>
    </row>
    <row r="375" spans="1:5" ht="15.75">
      <c r="A375" s="249" t="s">
        <v>360</v>
      </c>
      <c r="B375" s="250" t="s">
        <v>366</v>
      </c>
      <c r="C375" s="274"/>
      <c r="D375" s="252">
        <v>218724</v>
      </c>
      <c r="E375" s="252">
        <v>4</v>
      </c>
    </row>
    <row r="376" spans="1:5" ht="15.75">
      <c r="A376" s="249" t="s">
        <v>360</v>
      </c>
      <c r="B376" s="250" t="s">
        <v>367</v>
      </c>
      <c r="C376" s="275"/>
      <c r="D376" s="252">
        <v>218061</v>
      </c>
      <c r="E376" s="252">
        <v>5</v>
      </c>
    </row>
    <row r="377" spans="1:5" ht="15.75">
      <c r="A377" s="249" t="s">
        <v>360</v>
      </c>
      <c r="B377" s="250" t="s">
        <v>368</v>
      </c>
      <c r="C377" s="275"/>
      <c r="D377" s="252">
        <v>218733</v>
      </c>
      <c r="E377" s="252">
        <v>5</v>
      </c>
    </row>
    <row r="378" spans="1:5" ht="15.75">
      <c r="A378" s="249" t="s">
        <v>360</v>
      </c>
      <c r="B378" s="250" t="s">
        <v>369</v>
      </c>
      <c r="C378" s="275" t="s">
        <v>625</v>
      </c>
      <c r="D378" s="252">
        <v>218229</v>
      </c>
      <c r="E378" s="252">
        <v>6</v>
      </c>
    </row>
    <row r="379" spans="1:5" ht="15.75">
      <c r="A379" s="249" t="s">
        <v>360</v>
      </c>
      <c r="B379" s="250" t="s">
        <v>370</v>
      </c>
      <c r="C379" s="379" t="s">
        <v>904</v>
      </c>
      <c r="D379" s="252">
        <v>218645</v>
      </c>
      <c r="E379" s="252">
        <v>6</v>
      </c>
    </row>
    <row r="380" spans="1:5" ht="15.75">
      <c r="A380" s="249" t="s">
        <v>360</v>
      </c>
      <c r="B380" s="250" t="s">
        <v>371</v>
      </c>
      <c r="C380" s="275"/>
      <c r="D380" s="252">
        <v>218654</v>
      </c>
      <c r="E380" s="252">
        <v>6</v>
      </c>
    </row>
    <row r="381" spans="1:5" ht="15.75">
      <c r="A381" s="249" t="s">
        <v>360</v>
      </c>
      <c r="B381" s="250" t="s">
        <v>372</v>
      </c>
      <c r="C381" s="275"/>
      <c r="D381" s="252">
        <v>218742</v>
      </c>
      <c r="E381" s="252">
        <v>6</v>
      </c>
    </row>
    <row r="382" spans="1:5" ht="15.75">
      <c r="A382" s="249" t="s">
        <v>360</v>
      </c>
      <c r="B382" s="250" t="s">
        <v>374</v>
      </c>
      <c r="C382" s="275"/>
      <c r="D382" s="252">
        <v>218113</v>
      </c>
      <c r="E382" s="252">
        <v>8</v>
      </c>
    </row>
    <row r="383" spans="1:5" ht="15.75">
      <c r="A383" s="249" t="s">
        <v>360</v>
      </c>
      <c r="B383" s="250" t="s">
        <v>375</v>
      </c>
      <c r="C383" s="379" t="s">
        <v>907</v>
      </c>
      <c r="D383" s="252">
        <v>218140</v>
      </c>
      <c r="E383" s="252">
        <v>8</v>
      </c>
    </row>
    <row r="384" spans="1:5" ht="15.75">
      <c r="A384" s="249" t="s">
        <v>360</v>
      </c>
      <c r="B384" s="250" t="s">
        <v>376</v>
      </c>
      <c r="C384" s="275"/>
      <c r="D384" s="252">
        <v>218353</v>
      </c>
      <c r="E384" s="252">
        <v>8</v>
      </c>
    </row>
    <row r="385" spans="1:5" ht="15.75">
      <c r="A385" s="249" t="s">
        <v>360</v>
      </c>
      <c r="B385" s="250" t="s">
        <v>379</v>
      </c>
      <c r="C385" s="275"/>
      <c r="D385" s="252">
        <v>218894</v>
      </c>
      <c r="E385" s="252">
        <v>8</v>
      </c>
    </row>
    <row r="386" spans="1:5" ht="15.75">
      <c r="A386" s="249" t="s">
        <v>360</v>
      </c>
      <c r="B386" s="250" t="s">
        <v>381</v>
      </c>
      <c r="C386" s="275"/>
      <c r="D386" s="252">
        <v>218858</v>
      </c>
      <c r="E386" s="252">
        <v>9</v>
      </c>
    </row>
    <row r="387" spans="1:5" ht="15.75">
      <c r="A387" s="249" t="s">
        <v>360</v>
      </c>
      <c r="B387" s="250" t="s">
        <v>373</v>
      </c>
      <c r="C387" s="274"/>
      <c r="D387" s="252">
        <v>218025</v>
      </c>
      <c r="E387" s="252">
        <v>9</v>
      </c>
    </row>
    <row r="388" spans="1:5" ht="15.75">
      <c r="A388" s="249" t="s">
        <v>360</v>
      </c>
      <c r="B388" s="250" t="s">
        <v>377</v>
      </c>
      <c r="C388" s="274"/>
      <c r="D388" s="252">
        <v>218520</v>
      </c>
      <c r="E388" s="252">
        <v>9</v>
      </c>
    </row>
    <row r="389" spans="1:5" ht="15.75">
      <c r="A389" s="249" t="s">
        <v>360</v>
      </c>
      <c r="B389" s="250" t="s">
        <v>383</v>
      </c>
      <c r="C389" s="275"/>
      <c r="D389" s="252">
        <v>218830</v>
      </c>
      <c r="E389" s="252">
        <v>9</v>
      </c>
    </row>
    <row r="390" spans="1:5" ht="15.75">
      <c r="A390" s="249" t="s">
        <v>360</v>
      </c>
      <c r="B390" s="250" t="s">
        <v>378</v>
      </c>
      <c r="C390" s="274"/>
      <c r="D390" s="252">
        <v>218885</v>
      </c>
      <c r="E390" s="252">
        <v>9</v>
      </c>
    </row>
    <row r="391" spans="1:5" ht="15.75">
      <c r="A391" s="249" t="s">
        <v>360</v>
      </c>
      <c r="B391" s="250" t="s">
        <v>384</v>
      </c>
      <c r="C391" s="275"/>
      <c r="D391" s="252">
        <v>218991</v>
      </c>
      <c r="E391" s="252">
        <v>9</v>
      </c>
    </row>
    <row r="392" spans="1:5" ht="15.75">
      <c r="A392" s="249" t="s">
        <v>360</v>
      </c>
      <c r="B392" s="250" t="s">
        <v>380</v>
      </c>
      <c r="C392" s="274"/>
      <c r="D392" s="252">
        <v>217615</v>
      </c>
      <c r="E392" s="252">
        <v>10</v>
      </c>
    </row>
    <row r="393" spans="1:5">
      <c r="A393" s="249" t="s">
        <v>360</v>
      </c>
      <c r="B393" s="250" t="s">
        <v>385</v>
      </c>
      <c r="C393" s="251"/>
      <c r="D393" s="252">
        <v>217989</v>
      </c>
      <c r="E393" s="252">
        <v>10</v>
      </c>
    </row>
    <row r="394" spans="1:5">
      <c r="A394" s="249" t="s">
        <v>360</v>
      </c>
      <c r="B394" s="250" t="s">
        <v>386</v>
      </c>
      <c r="C394" s="251"/>
      <c r="D394" s="252">
        <v>217837</v>
      </c>
      <c r="E394" s="252">
        <v>10</v>
      </c>
    </row>
    <row r="395" spans="1:5" ht="15.75">
      <c r="A395" s="249" t="s">
        <v>360</v>
      </c>
      <c r="B395" s="250" t="s">
        <v>382</v>
      </c>
      <c r="C395" s="274"/>
      <c r="D395" s="252">
        <v>218487</v>
      </c>
      <c r="E395" s="252">
        <v>10</v>
      </c>
    </row>
    <row r="396" spans="1:5">
      <c r="A396" s="249" t="s">
        <v>360</v>
      </c>
      <c r="B396" s="250" t="s">
        <v>387</v>
      </c>
      <c r="C396" s="251"/>
      <c r="D396" s="252">
        <v>217712</v>
      </c>
      <c r="E396" s="252">
        <v>10</v>
      </c>
    </row>
    <row r="397" spans="1:5">
      <c r="A397" s="249" t="s">
        <v>360</v>
      </c>
      <c r="B397" s="250" t="s">
        <v>388</v>
      </c>
      <c r="C397" s="251"/>
      <c r="D397" s="252">
        <v>218672</v>
      </c>
      <c r="E397" s="252">
        <v>10</v>
      </c>
    </row>
    <row r="398" spans="1:5">
      <c r="A398" s="249" t="s">
        <v>360</v>
      </c>
      <c r="B398" s="250" t="s">
        <v>389</v>
      </c>
      <c r="C398" s="251"/>
      <c r="D398" s="252">
        <v>218681</v>
      </c>
      <c r="E398" s="252">
        <v>10</v>
      </c>
    </row>
    <row r="399" spans="1:5" ht="15.75">
      <c r="A399" s="249" t="s">
        <v>360</v>
      </c>
      <c r="B399" s="250" t="s">
        <v>390</v>
      </c>
      <c r="C399" s="275"/>
      <c r="D399" s="252">
        <v>218690</v>
      </c>
      <c r="E399" s="252">
        <v>10</v>
      </c>
    </row>
    <row r="400" spans="1:5" ht="15.75">
      <c r="A400" s="249" t="s">
        <v>360</v>
      </c>
      <c r="B400" s="250" t="s">
        <v>391</v>
      </c>
      <c r="C400" s="275"/>
      <c r="D400" s="252">
        <v>218706</v>
      </c>
      <c r="E400" s="252">
        <v>10</v>
      </c>
    </row>
    <row r="401" spans="1:5" ht="15.75">
      <c r="A401" s="249" t="s">
        <v>360</v>
      </c>
      <c r="B401" s="254" t="s">
        <v>642</v>
      </c>
      <c r="C401" s="275"/>
      <c r="D401" s="252">
        <v>218955</v>
      </c>
      <c r="E401" s="252">
        <v>10</v>
      </c>
    </row>
    <row r="402" spans="1:5">
      <c r="A402" s="252" t="s">
        <v>360</v>
      </c>
      <c r="B402" s="250" t="s">
        <v>392</v>
      </c>
      <c r="C402" s="251"/>
      <c r="D402" s="252">
        <v>218335</v>
      </c>
      <c r="E402" s="252">
        <v>15</v>
      </c>
    </row>
    <row r="403" spans="1:5">
      <c r="A403" s="225" t="s">
        <v>393</v>
      </c>
      <c r="B403" s="226" t="s">
        <v>394</v>
      </c>
      <c r="C403" s="227"/>
      <c r="D403" s="225">
        <v>220862</v>
      </c>
      <c r="E403" s="225">
        <v>1</v>
      </c>
    </row>
    <row r="404" spans="1:5">
      <c r="A404" s="225" t="s">
        <v>393</v>
      </c>
      <c r="B404" s="226" t="s">
        <v>395</v>
      </c>
      <c r="C404" s="228"/>
      <c r="D404" s="225">
        <v>221759</v>
      </c>
      <c r="E404" s="225">
        <v>1</v>
      </c>
    </row>
    <row r="405" spans="1:5">
      <c r="A405" s="225" t="s">
        <v>393</v>
      </c>
      <c r="B405" s="226" t="s">
        <v>396</v>
      </c>
      <c r="C405" s="227"/>
      <c r="D405" s="225">
        <v>220075</v>
      </c>
      <c r="E405" s="225">
        <v>2</v>
      </c>
    </row>
    <row r="406" spans="1:5" ht="15.75">
      <c r="A406" s="225" t="s">
        <v>393</v>
      </c>
      <c r="B406" s="226" t="s">
        <v>399</v>
      </c>
      <c r="C406" s="276"/>
      <c r="D406" s="225">
        <v>220978</v>
      </c>
      <c r="E406" s="225">
        <v>2</v>
      </c>
    </row>
    <row r="407" spans="1:5">
      <c r="A407" s="225" t="s">
        <v>393</v>
      </c>
      <c r="B407" s="226" t="s">
        <v>397</v>
      </c>
      <c r="C407" s="227"/>
      <c r="D407" s="225">
        <v>221838</v>
      </c>
      <c r="E407" s="225">
        <v>2</v>
      </c>
    </row>
    <row r="408" spans="1:5">
      <c r="A408" s="225" t="s">
        <v>393</v>
      </c>
      <c r="B408" s="226" t="s">
        <v>398</v>
      </c>
      <c r="C408" s="228"/>
      <c r="D408" s="225">
        <v>219602</v>
      </c>
      <c r="E408" s="225">
        <v>3</v>
      </c>
    </row>
    <row r="409" spans="1:5" ht="15.75">
      <c r="A409" s="225" t="s">
        <v>393</v>
      </c>
      <c r="B409" s="226" t="s">
        <v>400</v>
      </c>
      <c r="C409" s="277"/>
      <c r="D409" s="225">
        <v>221847</v>
      </c>
      <c r="E409" s="225">
        <v>3</v>
      </c>
    </row>
    <row r="410" spans="1:5" ht="15.75">
      <c r="A410" s="225" t="s">
        <v>393</v>
      </c>
      <c r="B410" s="226" t="s">
        <v>401</v>
      </c>
      <c r="C410" s="277"/>
      <c r="D410" s="225">
        <v>221740</v>
      </c>
      <c r="E410" s="225">
        <v>3</v>
      </c>
    </row>
    <row r="411" spans="1:5" ht="15.75">
      <c r="A411" s="225" t="s">
        <v>393</v>
      </c>
      <c r="B411" s="226" t="s">
        <v>402</v>
      </c>
      <c r="C411" s="363" t="s">
        <v>894</v>
      </c>
      <c r="D411" s="364">
        <v>221768</v>
      </c>
      <c r="E411" s="365">
        <v>4</v>
      </c>
    </row>
    <row r="412" spans="1:5" ht="15.75">
      <c r="A412" s="225" t="s">
        <v>393</v>
      </c>
      <c r="B412" s="226" t="s">
        <v>403</v>
      </c>
      <c r="C412" s="277"/>
      <c r="D412" s="225">
        <v>219824</v>
      </c>
      <c r="E412" s="225">
        <v>8</v>
      </c>
    </row>
    <row r="413" spans="1:5" ht="15.75">
      <c r="A413" s="225" t="s">
        <v>393</v>
      </c>
      <c r="B413" s="226" t="s">
        <v>404</v>
      </c>
      <c r="C413" s="277"/>
      <c r="D413" s="225">
        <v>221184</v>
      </c>
      <c r="E413" s="225">
        <v>8</v>
      </c>
    </row>
    <row r="414" spans="1:5" ht="15.75">
      <c r="A414" s="225" t="s">
        <v>393</v>
      </c>
      <c r="B414" s="226" t="s">
        <v>405</v>
      </c>
      <c r="C414" s="277"/>
      <c r="D414" s="225">
        <v>221643</v>
      </c>
      <c r="E414" s="225">
        <v>8</v>
      </c>
    </row>
    <row r="415" spans="1:5" ht="15.75">
      <c r="A415" s="225" t="s">
        <v>393</v>
      </c>
      <c r="B415" s="226" t="s">
        <v>406</v>
      </c>
      <c r="C415" s="277"/>
      <c r="D415" s="225">
        <v>221485</v>
      </c>
      <c r="E415" s="225">
        <v>8</v>
      </c>
    </row>
    <row r="416" spans="1:5" ht="15.75">
      <c r="A416" s="225" t="s">
        <v>393</v>
      </c>
      <c r="B416" s="226" t="s">
        <v>407</v>
      </c>
      <c r="C416" s="277"/>
      <c r="D416" s="225">
        <v>222053</v>
      </c>
      <c r="E416" s="225">
        <v>8</v>
      </c>
    </row>
    <row r="417" spans="1:5" ht="15.75">
      <c r="A417" s="225" t="s">
        <v>393</v>
      </c>
      <c r="B417" s="226" t="s">
        <v>408</v>
      </c>
      <c r="C417" s="277"/>
      <c r="D417" s="225">
        <v>219879</v>
      </c>
      <c r="E417" s="225">
        <v>9</v>
      </c>
    </row>
    <row r="418" spans="1:5" ht="15.75">
      <c r="A418" s="225" t="s">
        <v>393</v>
      </c>
      <c r="B418" s="226" t="s">
        <v>409</v>
      </c>
      <c r="C418" s="277"/>
      <c r="D418" s="225">
        <v>219888</v>
      </c>
      <c r="E418" s="225">
        <v>9</v>
      </c>
    </row>
    <row r="419" spans="1:5" ht="15.75">
      <c r="A419" s="225" t="s">
        <v>393</v>
      </c>
      <c r="B419" s="226" t="s">
        <v>411</v>
      </c>
      <c r="C419" s="277"/>
      <c r="D419" s="225">
        <v>220400</v>
      </c>
      <c r="E419" s="225">
        <v>9</v>
      </c>
    </row>
    <row r="420" spans="1:5" ht="15.75">
      <c r="A420" s="225" t="s">
        <v>393</v>
      </c>
      <c r="B420" s="226" t="s">
        <v>412</v>
      </c>
      <c r="C420" s="277"/>
      <c r="D420" s="225">
        <v>221096</v>
      </c>
      <c r="E420" s="225">
        <v>9</v>
      </c>
    </row>
    <row r="421" spans="1:5" ht="15.75">
      <c r="A421" s="225" t="s">
        <v>393</v>
      </c>
      <c r="B421" s="226" t="s">
        <v>413</v>
      </c>
      <c r="C421" s="277"/>
      <c r="D421" s="225">
        <v>221908</v>
      </c>
      <c r="E421" s="225">
        <v>9</v>
      </c>
    </row>
    <row r="422" spans="1:5" ht="15.75">
      <c r="A422" s="225" t="s">
        <v>393</v>
      </c>
      <c r="B422" s="226" t="s">
        <v>414</v>
      </c>
      <c r="C422" s="277"/>
      <c r="D422" s="225">
        <v>221397</v>
      </c>
      <c r="E422" s="225">
        <v>9</v>
      </c>
    </row>
    <row r="423" spans="1:5" ht="15.75">
      <c r="A423" s="225" t="s">
        <v>393</v>
      </c>
      <c r="B423" s="226" t="s">
        <v>415</v>
      </c>
      <c r="C423" s="277"/>
      <c r="D423" s="225">
        <v>222062</v>
      </c>
      <c r="E423" s="225">
        <v>9</v>
      </c>
    </row>
    <row r="424" spans="1:5" ht="15.75">
      <c r="A424" s="225" t="s">
        <v>393</v>
      </c>
      <c r="B424" s="226" t="s">
        <v>410</v>
      </c>
      <c r="C424" s="276"/>
      <c r="D424" s="225">
        <v>220057</v>
      </c>
      <c r="E424" s="225">
        <v>10</v>
      </c>
    </row>
    <row r="425" spans="1:5">
      <c r="A425" s="225" t="s">
        <v>393</v>
      </c>
      <c r="B425" s="226" t="s">
        <v>418</v>
      </c>
      <c r="C425" s="278"/>
      <c r="D425" s="225">
        <v>219596</v>
      </c>
      <c r="E425" s="225">
        <v>13</v>
      </c>
    </row>
    <row r="426" spans="1:5" ht="15.75">
      <c r="A426" s="225" t="s">
        <v>393</v>
      </c>
      <c r="B426" s="226" t="s">
        <v>416</v>
      </c>
      <c r="C426" s="366"/>
      <c r="D426" s="225" t="s">
        <v>417</v>
      </c>
      <c r="E426" s="225">
        <v>13</v>
      </c>
    </row>
    <row r="427" spans="1:5">
      <c r="A427" s="225" t="s">
        <v>393</v>
      </c>
      <c r="B427" s="226" t="s">
        <v>419</v>
      </c>
      <c r="C427" s="278"/>
      <c r="D427" s="225">
        <v>219921</v>
      </c>
      <c r="E427" s="225">
        <v>13</v>
      </c>
    </row>
    <row r="428" spans="1:5">
      <c r="A428" s="225" t="s">
        <v>393</v>
      </c>
      <c r="B428" s="226" t="s">
        <v>420</v>
      </c>
      <c r="C428" s="278"/>
      <c r="D428" s="225">
        <v>221591</v>
      </c>
      <c r="E428" s="225">
        <v>13</v>
      </c>
    </row>
    <row r="429" spans="1:5">
      <c r="A429" s="225" t="s">
        <v>393</v>
      </c>
      <c r="B429" s="226" t="s">
        <v>421</v>
      </c>
      <c r="C429" s="278"/>
      <c r="D429" s="225">
        <v>221430</v>
      </c>
      <c r="E429" s="225">
        <v>13</v>
      </c>
    </row>
    <row r="430" spans="1:5">
      <c r="A430" s="225" t="s">
        <v>393</v>
      </c>
      <c r="B430" s="226" t="s">
        <v>422</v>
      </c>
      <c r="C430" s="278"/>
      <c r="D430" s="225">
        <v>219994</v>
      </c>
      <c r="E430" s="225">
        <v>13</v>
      </c>
    </row>
    <row r="431" spans="1:5">
      <c r="A431" s="225" t="s">
        <v>393</v>
      </c>
      <c r="B431" s="226" t="s">
        <v>423</v>
      </c>
      <c r="C431" s="278"/>
      <c r="D431" s="225">
        <v>220127</v>
      </c>
      <c r="E431" s="225">
        <v>13</v>
      </c>
    </row>
    <row r="432" spans="1:5">
      <c r="A432" s="225" t="s">
        <v>393</v>
      </c>
      <c r="B432" s="226" t="s">
        <v>424</v>
      </c>
      <c r="C432" s="278"/>
      <c r="D432" s="225">
        <v>220251</v>
      </c>
      <c r="E432" s="225">
        <v>13</v>
      </c>
    </row>
    <row r="433" spans="1:5">
      <c r="A433" s="225" t="s">
        <v>393</v>
      </c>
      <c r="B433" s="226" t="s">
        <v>425</v>
      </c>
      <c r="C433" s="278"/>
      <c r="D433" s="225">
        <v>220279</v>
      </c>
      <c r="E433" s="225">
        <v>13</v>
      </c>
    </row>
    <row r="434" spans="1:5">
      <c r="A434" s="225" t="s">
        <v>393</v>
      </c>
      <c r="B434" s="226" t="s">
        <v>426</v>
      </c>
      <c r="C434" s="278"/>
      <c r="D434" s="225">
        <v>220321</v>
      </c>
      <c r="E434" s="225">
        <v>13</v>
      </c>
    </row>
    <row r="435" spans="1:5">
      <c r="A435" s="225" t="s">
        <v>393</v>
      </c>
      <c r="B435" s="226" t="s">
        <v>427</v>
      </c>
      <c r="C435" s="278"/>
      <c r="D435" s="225">
        <v>220394</v>
      </c>
      <c r="E435" s="225">
        <v>13</v>
      </c>
    </row>
    <row r="436" spans="1:5">
      <c r="A436" s="225" t="s">
        <v>393</v>
      </c>
      <c r="B436" s="226" t="s">
        <v>428</v>
      </c>
      <c r="C436" s="278"/>
      <c r="D436" s="225">
        <v>221616</v>
      </c>
      <c r="E436" s="225">
        <v>13</v>
      </c>
    </row>
    <row r="437" spans="1:5">
      <c r="A437" s="225" t="s">
        <v>393</v>
      </c>
      <c r="B437" s="226" t="s">
        <v>429</v>
      </c>
      <c r="C437" s="278"/>
      <c r="D437" s="225">
        <v>221625</v>
      </c>
      <c r="E437" s="225">
        <v>13</v>
      </c>
    </row>
    <row r="438" spans="1:5">
      <c r="A438" s="225" t="s">
        <v>393</v>
      </c>
      <c r="B438" s="226" t="s">
        <v>430</v>
      </c>
      <c r="C438" s="278"/>
      <c r="D438" s="225">
        <v>220640</v>
      </c>
      <c r="E438" s="225">
        <v>13</v>
      </c>
    </row>
    <row r="439" spans="1:5">
      <c r="A439" s="225" t="s">
        <v>393</v>
      </c>
      <c r="B439" s="226" t="s">
        <v>431</v>
      </c>
      <c r="C439" s="278"/>
      <c r="D439" s="225">
        <v>220756</v>
      </c>
      <c r="E439" s="225">
        <v>13</v>
      </c>
    </row>
    <row r="440" spans="1:5">
      <c r="A440" s="225" t="s">
        <v>393</v>
      </c>
      <c r="B440" s="226" t="s">
        <v>432</v>
      </c>
      <c r="C440" s="278"/>
      <c r="D440" s="225">
        <v>221607</v>
      </c>
      <c r="E440" s="225">
        <v>13</v>
      </c>
    </row>
    <row r="441" spans="1:5">
      <c r="A441" s="225" t="s">
        <v>393</v>
      </c>
      <c r="B441" s="226" t="s">
        <v>433</v>
      </c>
      <c r="C441" s="376" t="s">
        <v>912</v>
      </c>
      <c r="D441" s="225">
        <v>220853</v>
      </c>
      <c r="E441" s="225">
        <v>13</v>
      </c>
    </row>
    <row r="442" spans="1:5">
      <c r="A442" s="225" t="s">
        <v>393</v>
      </c>
      <c r="B442" s="226" t="s">
        <v>434</v>
      </c>
      <c r="C442" s="278"/>
      <c r="D442" s="225">
        <v>221050</v>
      </c>
      <c r="E442" s="225">
        <v>13</v>
      </c>
    </row>
    <row r="443" spans="1:5">
      <c r="A443" s="225" t="s">
        <v>393</v>
      </c>
      <c r="B443" s="279" t="s">
        <v>435</v>
      </c>
      <c r="C443" s="278"/>
      <c r="D443" s="225">
        <v>221102</v>
      </c>
      <c r="E443" s="225">
        <v>13</v>
      </c>
    </row>
    <row r="444" spans="1:5">
      <c r="A444" s="225" t="s">
        <v>393</v>
      </c>
      <c r="B444" s="226" t="s">
        <v>436</v>
      </c>
      <c r="C444" s="278"/>
      <c r="D444" s="225">
        <v>248925</v>
      </c>
      <c r="E444" s="225">
        <v>13</v>
      </c>
    </row>
    <row r="445" spans="1:5">
      <c r="A445" s="225" t="s">
        <v>393</v>
      </c>
      <c r="B445" s="226" t="s">
        <v>437</v>
      </c>
      <c r="C445" s="278"/>
      <c r="D445" s="225">
        <v>221236</v>
      </c>
      <c r="E445" s="225">
        <v>13</v>
      </c>
    </row>
    <row r="446" spans="1:5">
      <c r="A446" s="225" t="s">
        <v>393</v>
      </c>
      <c r="B446" s="226" t="s">
        <v>438</v>
      </c>
      <c r="C446" s="278"/>
      <c r="D446" s="225">
        <v>221582</v>
      </c>
      <c r="E446" s="225">
        <v>13</v>
      </c>
    </row>
    <row r="447" spans="1:5">
      <c r="A447" s="225" t="s">
        <v>393</v>
      </c>
      <c r="B447" s="226" t="s">
        <v>439</v>
      </c>
      <c r="C447" s="278"/>
      <c r="D447" s="225">
        <v>221281</v>
      </c>
      <c r="E447" s="225">
        <v>13</v>
      </c>
    </row>
    <row r="448" spans="1:5">
      <c r="A448" s="225" t="s">
        <v>393</v>
      </c>
      <c r="B448" s="226" t="s">
        <v>440</v>
      </c>
      <c r="C448" s="278"/>
      <c r="D448" s="225">
        <v>221333</v>
      </c>
      <c r="E448" s="225">
        <v>13</v>
      </c>
    </row>
    <row r="449" spans="1:5">
      <c r="A449" s="225" t="s">
        <v>393</v>
      </c>
      <c r="B449" s="226" t="s">
        <v>441</v>
      </c>
      <c r="C449" s="278"/>
      <c r="D449" s="225">
        <v>221388</v>
      </c>
      <c r="E449" s="225">
        <v>13</v>
      </c>
    </row>
    <row r="450" spans="1:5">
      <c r="A450" s="225" t="s">
        <v>393</v>
      </c>
      <c r="B450" s="226" t="s">
        <v>442</v>
      </c>
      <c r="C450" s="278"/>
      <c r="D450" s="225">
        <v>221494</v>
      </c>
      <c r="E450" s="225">
        <v>13</v>
      </c>
    </row>
    <row r="451" spans="1:5">
      <c r="A451" s="225" t="s">
        <v>393</v>
      </c>
      <c r="B451" s="226" t="s">
        <v>443</v>
      </c>
      <c r="C451" s="278"/>
      <c r="D451" s="225">
        <v>221634</v>
      </c>
      <c r="E451" s="225">
        <v>13</v>
      </c>
    </row>
    <row r="452" spans="1:5">
      <c r="A452" s="225" t="s">
        <v>393</v>
      </c>
      <c r="B452" s="226" t="s">
        <v>444</v>
      </c>
      <c r="C452" s="227"/>
      <c r="D452" s="225">
        <v>221704</v>
      </c>
      <c r="E452" s="225">
        <v>15</v>
      </c>
    </row>
    <row r="453" spans="1:5">
      <c r="A453" s="259" t="s">
        <v>507</v>
      </c>
      <c r="B453" s="260" t="s">
        <v>715</v>
      </c>
      <c r="C453" s="261"/>
      <c r="D453" s="259">
        <v>228723</v>
      </c>
      <c r="E453" s="259">
        <v>1</v>
      </c>
    </row>
    <row r="454" spans="1:5">
      <c r="A454" s="259" t="s">
        <v>507</v>
      </c>
      <c r="B454" s="260" t="s">
        <v>716</v>
      </c>
      <c r="C454" s="261"/>
      <c r="D454" s="259">
        <v>229115</v>
      </c>
      <c r="E454" s="259">
        <v>1</v>
      </c>
    </row>
    <row r="455" spans="1:5">
      <c r="A455" s="259" t="s">
        <v>507</v>
      </c>
      <c r="B455" s="260" t="s">
        <v>717</v>
      </c>
      <c r="C455" s="261"/>
      <c r="D455" s="259">
        <v>225511</v>
      </c>
      <c r="E455" s="259">
        <v>1</v>
      </c>
    </row>
    <row r="456" spans="1:5">
      <c r="A456" s="259" t="s">
        <v>507</v>
      </c>
      <c r="B456" s="260" t="s">
        <v>718</v>
      </c>
      <c r="C456" s="261"/>
      <c r="D456" s="259">
        <v>227216</v>
      </c>
      <c r="E456" s="259">
        <v>1</v>
      </c>
    </row>
    <row r="457" spans="1:5">
      <c r="A457" s="259" t="s">
        <v>507</v>
      </c>
      <c r="B457" s="260" t="s">
        <v>719</v>
      </c>
      <c r="C457" s="261"/>
      <c r="D457" s="259">
        <v>228769</v>
      </c>
      <c r="E457" s="259">
        <v>1</v>
      </c>
    </row>
    <row r="458" spans="1:5">
      <c r="A458" s="259" t="s">
        <v>507</v>
      </c>
      <c r="B458" s="260" t="s">
        <v>720</v>
      </c>
      <c r="C458" s="261"/>
      <c r="D458" s="259">
        <v>228778</v>
      </c>
      <c r="E458" s="259">
        <v>1</v>
      </c>
    </row>
    <row r="459" spans="1:5">
      <c r="A459" s="259" t="s">
        <v>507</v>
      </c>
      <c r="B459" s="260" t="s">
        <v>721</v>
      </c>
      <c r="C459" s="261"/>
      <c r="D459" s="259">
        <v>228787</v>
      </c>
      <c r="E459" s="259">
        <v>1</v>
      </c>
    </row>
    <row r="460" spans="1:5" ht="15.75">
      <c r="A460" s="259" t="s">
        <v>507</v>
      </c>
      <c r="B460" s="260" t="s">
        <v>722</v>
      </c>
      <c r="C460" s="262"/>
      <c r="D460" s="259">
        <v>229027</v>
      </c>
      <c r="E460" s="259">
        <v>1</v>
      </c>
    </row>
    <row r="461" spans="1:5" ht="15.75">
      <c r="A461" s="259" t="s">
        <v>507</v>
      </c>
      <c r="B461" s="280" t="s">
        <v>723</v>
      </c>
      <c r="C461" s="262"/>
      <c r="D461" s="259">
        <v>228459</v>
      </c>
      <c r="E461" s="259">
        <v>2</v>
      </c>
    </row>
    <row r="462" spans="1:5" ht="15.75">
      <c r="A462" s="259" t="s">
        <v>507</v>
      </c>
      <c r="B462" s="260" t="s">
        <v>724</v>
      </c>
      <c r="C462" s="380" t="s">
        <v>913</v>
      </c>
      <c r="D462" s="259">
        <v>229179</v>
      </c>
      <c r="E462" s="259">
        <v>2</v>
      </c>
    </row>
    <row r="463" spans="1:5" ht="15.75">
      <c r="A463" s="259" t="s">
        <v>507</v>
      </c>
      <c r="B463" s="260" t="s">
        <v>725</v>
      </c>
      <c r="C463" s="381" t="s">
        <v>914</v>
      </c>
      <c r="D463" s="259">
        <v>228796</v>
      </c>
      <c r="E463" s="259">
        <v>2</v>
      </c>
    </row>
    <row r="464" spans="1:5" ht="15.75">
      <c r="A464" s="259" t="s">
        <v>507</v>
      </c>
      <c r="B464" s="260" t="s">
        <v>726</v>
      </c>
      <c r="C464" s="281"/>
      <c r="D464" s="259">
        <v>222831</v>
      </c>
      <c r="E464" s="259">
        <v>3</v>
      </c>
    </row>
    <row r="465" spans="1:5" ht="15.75">
      <c r="A465" s="259" t="s">
        <v>507</v>
      </c>
      <c r="B465" s="260" t="s">
        <v>727</v>
      </c>
      <c r="C465" s="281"/>
      <c r="D465" s="259">
        <v>226091</v>
      </c>
      <c r="E465" s="259">
        <v>3</v>
      </c>
    </row>
    <row r="466" spans="1:5" ht="15.75">
      <c r="A466" s="282" t="s">
        <v>507</v>
      </c>
      <c r="B466" s="260" t="s">
        <v>728</v>
      </c>
      <c r="C466" s="281"/>
      <c r="D466" s="259">
        <v>226833</v>
      </c>
      <c r="E466" s="259">
        <v>3</v>
      </c>
    </row>
    <row r="467" spans="1:5" ht="15.75">
      <c r="A467" s="282" t="s">
        <v>507</v>
      </c>
      <c r="B467" s="260" t="s">
        <v>729</v>
      </c>
      <c r="C467" s="281"/>
      <c r="D467" s="259">
        <v>227526</v>
      </c>
      <c r="E467" s="259">
        <v>3</v>
      </c>
    </row>
    <row r="468" spans="1:5" ht="15.75">
      <c r="A468" s="263" t="s">
        <v>507</v>
      </c>
      <c r="B468" s="260" t="s">
        <v>730</v>
      </c>
      <c r="C468" s="281"/>
      <c r="D468" s="259">
        <v>227881</v>
      </c>
      <c r="E468" s="259">
        <v>3</v>
      </c>
    </row>
    <row r="469" spans="1:5" ht="15.75">
      <c r="A469" s="263" t="s">
        <v>507</v>
      </c>
      <c r="B469" s="260" t="s">
        <v>731</v>
      </c>
      <c r="C469" s="281"/>
      <c r="D469" s="259">
        <v>228431</v>
      </c>
      <c r="E469" s="259">
        <v>3</v>
      </c>
    </row>
    <row r="470" spans="1:5" ht="15.75">
      <c r="A470" s="259" t="s">
        <v>507</v>
      </c>
      <c r="B470" s="260" t="s">
        <v>732</v>
      </c>
      <c r="C470" s="281"/>
      <c r="D470" s="259">
        <v>228501</v>
      </c>
      <c r="E470" s="259">
        <v>3</v>
      </c>
    </row>
    <row r="471" spans="1:5" ht="15.75">
      <c r="A471" s="259" t="s">
        <v>507</v>
      </c>
      <c r="B471" s="260" t="s">
        <v>733</v>
      </c>
      <c r="C471" s="281"/>
      <c r="D471" s="259">
        <v>228529</v>
      </c>
      <c r="E471" s="259">
        <v>3</v>
      </c>
    </row>
    <row r="472" spans="1:5" ht="15.75">
      <c r="A472" s="259" t="s">
        <v>507</v>
      </c>
      <c r="B472" s="260" t="s">
        <v>734</v>
      </c>
      <c r="C472" s="281"/>
      <c r="D472" s="259">
        <v>226152</v>
      </c>
      <c r="E472" s="259">
        <v>3</v>
      </c>
    </row>
    <row r="473" spans="1:5" ht="15.75">
      <c r="A473" s="259" t="s">
        <v>507</v>
      </c>
      <c r="B473" s="260" t="s">
        <v>735</v>
      </c>
      <c r="C473" s="281"/>
      <c r="D473" s="259">
        <v>224554</v>
      </c>
      <c r="E473" s="259">
        <v>3</v>
      </c>
    </row>
    <row r="474" spans="1:5" ht="15.75">
      <c r="A474" s="259" t="s">
        <v>507</v>
      </c>
      <c r="B474" s="260" t="s">
        <v>736</v>
      </c>
      <c r="C474" s="281" t="s">
        <v>635</v>
      </c>
      <c r="D474" s="259">
        <v>224147</v>
      </c>
      <c r="E474" s="259">
        <v>3</v>
      </c>
    </row>
    <row r="475" spans="1:5" ht="15.75">
      <c r="A475" s="259" t="s">
        <v>507</v>
      </c>
      <c r="B475" s="260" t="s">
        <v>737</v>
      </c>
      <c r="C475" s="281"/>
      <c r="D475" s="259">
        <v>228705</v>
      </c>
      <c r="E475" s="259">
        <v>3</v>
      </c>
    </row>
    <row r="476" spans="1:5" ht="15.75">
      <c r="A476" s="259" t="s">
        <v>507</v>
      </c>
      <c r="B476" s="260" t="s">
        <v>738</v>
      </c>
      <c r="C476" s="281"/>
      <c r="D476" s="259">
        <v>229063</v>
      </c>
      <c r="E476" s="259">
        <v>3</v>
      </c>
    </row>
    <row r="477" spans="1:5" ht="15.75">
      <c r="A477" s="259" t="s">
        <v>507</v>
      </c>
      <c r="B477" s="260" t="s">
        <v>739</v>
      </c>
      <c r="C477" s="281"/>
      <c r="D477" s="259">
        <v>225414</v>
      </c>
      <c r="E477" s="259">
        <v>3</v>
      </c>
    </row>
    <row r="478" spans="1:5" ht="15.75">
      <c r="A478" s="259" t="s">
        <v>507</v>
      </c>
      <c r="B478" s="260" t="s">
        <v>740</v>
      </c>
      <c r="C478" s="281"/>
      <c r="D478" s="259">
        <v>228802</v>
      </c>
      <c r="E478" s="259">
        <v>3</v>
      </c>
    </row>
    <row r="479" spans="1:5" ht="15.75">
      <c r="A479" s="259" t="s">
        <v>507</v>
      </c>
      <c r="B479" s="283" t="s">
        <v>741</v>
      </c>
      <c r="C479" s="281"/>
      <c r="D479" s="259">
        <v>229018</v>
      </c>
      <c r="E479" s="259">
        <v>3</v>
      </c>
    </row>
    <row r="480" spans="1:5" ht="15.75">
      <c r="A480" s="263" t="s">
        <v>507</v>
      </c>
      <c r="B480" s="280" t="s">
        <v>742</v>
      </c>
      <c r="C480" s="281"/>
      <c r="D480" s="259">
        <v>227368</v>
      </c>
      <c r="E480" s="259">
        <v>3</v>
      </c>
    </row>
    <row r="481" spans="1:5" ht="15.75">
      <c r="A481" s="259" t="s">
        <v>507</v>
      </c>
      <c r="B481" s="260" t="s">
        <v>743</v>
      </c>
      <c r="C481" s="281"/>
      <c r="D481" s="259">
        <v>229814</v>
      </c>
      <c r="E481" s="259">
        <v>3</v>
      </c>
    </row>
    <row r="482" spans="1:5" ht="15.75">
      <c r="A482" s="259" t="s">
        <v>507</v>
      </c>
      <c r="B482" s="260" t="s">
        <v>744</v>
      </c>
      <c r="C482" s="281"/>
      <c r="D482" s="259">
        <v>224545</v>
      </c>
      <c r="E482" s="259">
        <v>4</v>
      </c>
    </row>
    <row r="483" spans="1:5" ht="15.75">
      <c r="A483" s="259" t="s">
        <v>507</v>
      </c>
      <c r="B483" s="260" t="s">
        <v>745</v>
      </c>
      <c r="C483" s="367" t="s">
        <v>899</v>
      </c>
      <c r="D483" s="2">
        <v>483036</v>
      </c>
      <c r="E483" s="368">
        <v>3</v>
      </c>
    </row>
    <row r="484" spans="1:5" ht="15.75">
      <c r="A484" s="259" t="s">
        <v>507</v>
      </c>
      <c r="B484" s="260" t="s">
        <v>746</v>
      </c>
      <c r="C484" s="369"/>
      <c r="D484" s="259">
        <v>225432</v>
      </c>
      <c r="E484" s="259">
        <v>4</v>
      </c>
    </row>
    <row r="485" spans="1:5" ht="15.75">
      <c r="A485" s="259" t="s">
        <v>507</v>
      </c>
      <c r="B485" s="260" t="s">
        <v>747</v>
      </c>
      <c r="C485" s="281"/>
      <c r="D485" s="259">
        <v>225502</v>
      </c>
      <c r="E485" s="259">
        <v>4</v>
      </c>
    </row>
    <row r="486" spans="1:5" ht="15.75">
      <c r="A486" s="259" t="s">
        <v>507</v>
      </c>
      <c r="B486" s="260" t="s">
        <v>748</v>
      </c>
      <c r="C486" s="281"/>
      <c r="D486" s="259" t="s">
        <v>749</v>
      </c>
      <c r="E486" s="259">
        <v>5</v>
      </c>
    </row>
    <row r="487" spans="1:5" ht="15.75">
      <c r="A487" s="259" t="s">
        <v>507</v>
      </c>
      <c r="B487" s="260" t="s">
        <v>750</v>
      </c>
      <c r="C487" s="262"/>
      <c r="D487" s="259">
        <v>228714</v>
      </c>
      <c r="E487" s="259">
        <v>5</v>
      </c>
    </row>
    <row r="488" spans="1:5" ht="15.75">
      <c r="A488" s="259" t="s">
        <v>507</v>
      </c>
      <c r="B488" s="260" t="s">
        <v>751</v>
      </c>
      <c r="C488" s="367" t="s">
        <v>900</v>
      </c>
      <c r="D488" s="2">
        <v>870501</v>
      </c>
      <c r="E488" s="368">
        <v>4</v>
      </c>
    </row>
    <row r="489" spans="1:5" ht="15.75">
      <c r="A489" s="259" t="s">
        <v>507</v>
      </c>
      <c r="B489" s="260" t="s">
        <v>752</v>
      </c>
      <c r="C489" s="281" t="s">
        <v>915</v>
      </c>
      <c r="D489" s="259">
        <v>223506</v>
      </c>
      <c r="E489" s="259">
        <v>7</v>
      </c>
    </row>
    <row r="490" spans="1:5" ht="15.75">
      <c r="A490" s="259" t="s">
        <v>507</v>
      </c>
      <c r="B490" s="260" t="s">
        <v>753</v>
      </c>
      <c r="C490" s="281" t="s">
        <v>915</v>
      </c>
      <c r="D490" s="259">
        <v>226806</v>
      </c>
      <c r="E490" s="259">
        <v>7</v>
      </c>
    </row>
    <row r="491" spans="1:5" ht="15.75">
      <c r="A491" s="259" t="s">
        <v>507</v>
      </c>
      <c r="B491" s="260" t="s">
        <v>754</v>
      </c>
      <c r="C491" s="281" t="s">
        <v>916</v>
      </c>
      <c r="D491" s="259">
        <v>409315</v>
      </c>
      <c r="E491" s="259">
        <v>7</v>
      </c>
    </row>
    <row r="492" spans="1:5" ht="15.75">
      <c r="A492" s="282" t="s">
        <v>507</v>
      </c>
      <c r="B492" s="260" t="s">
        <v>755</v>
      </c>
      <c r="C492" s="281"/>
      <c r="D492" s="259">
        <v>222576</v>
      </c>
      <c r="E492" s="259">
        <v>8</v>
      </c>
    </row>
    <row r="493" spans="1:5" ht="15.75">
      <c r="A493" s="282" t="s">
        <v>507</v>
      </c>
      <c r="B493" s="260" t="s">
        <v>756</v>
      </c>
      <c r="C493" s="281" t="s">
        <v>757</v>
      </c>
      <c r="D493" s="259">
        <v>222992</v>
      </c>
      <c r="E493" s="259">
        <v>8</v>
      </c>
    </row>
    <row r="494" spans="1:5" ht="15.75">
      <c r="A494" s="282" t="s">
        <v>507</v>
      </c>
      <c r="B494" s="260" t="s">
        <v>758</v>
      </c>
      <c r="C494" s="281"/>
      <c r="D494" s="259">
        <v>223427</v>
      </c>
      <c r="E494" s="259">
        <v>8</v>
      </c>
    </row>
    <row r="495" spans="1:5" ht="15.75">
      <c r="A495" s="282" t="s">
        <v>507</v>
      </c>
      <c r="B495" s="260" t="s">
        <v>759</v>
      </c>
      <c r="C495" s="381" t="s">
        <v>915</v>
      </c>
      <c r="D495" s="259">
        <v>223524</v>
      </c>
      <c r="E495" s="259">
        <v>8</v>
      </c>
    </row>
    <row r="496" spans="1:5" ht="15.75">
      <c r="A496" s="282" t="s">
        <v>507</v>
      </c>
      <c r="B496" s="260" t="s">
        <v>760</v>
      </c>
      <c r="C496" s="281"/>
      <c r="D496" s="259">
        <v>223816</v>
      </c>
      <c r="E496" s="259">
        <v>8</v>
      </c>
    </row>
    <row r="497" spans="1:5" ht="15.75">
      <c r="A497" s="282" t="s">
        <v>507</v>
      </c>
      <c r="B497" s="260" t="s">
        <v>761</v>
      </c>
      <c r="C497" s="281"/>
      <c r="D497" s="259">
        <v>247834</v>
      </c>
      <c r="E497" s="259">
        <v>8</v>
      </c>
    </row>
    <row r="498" spans="1:5" ht="15.75">
      <c r="A498" s="282" t="s">
        <v>507</v>
      </c>
      <c r="B498" s="260" t="s">
        <v>762</v>
      </c>
      <c r="C498" s="281"/>
      <c r="D498" s="259">
        <v>224350</v>
      </c>
      <c r="E498" s="259">
        <v>8</v>
      </c>
    </row>
    <row r="499" spans="1:5" ht="15.75">
      <c r="A499" s="282" t="s">
        <v>507</v>
      </c>
      <c r="B499" s="260" t="s">
        <v>763</v>
      </c>
      <c r="C499" s="281"/>
      <c r="D499" s="259">
        <v>224572</v>
      </c>
      <c r="E499" s="259">
        <v>8</v>
      </c>
    </row>
    <row r="500" spans="1:5" ht="15.75">
      <c r="A500" s="263" t="s">
        <v>507</v>
      </c>
      <c r="B500" s="260" t="s">
        <v>764</v>
      </c>
      <c r="C500" s="281"/>
      <c r="D500" s="259">
        <v>224615</v>
      </c>
      <c r="E500" s="259">
        <v>8</v>
      </c>
    </row>
    <row r="501" spans="1:5" ht="15.75">
      <c r="A501" s="263" t="s">
        <v>507</v>
      </c>
      <c r="B501" s="260" t="s">
        <v>765</v>
      </c>
      <c r="C501" s="281"/>
      <c r="D501" s="259">
        <v>224642</v>
      </c>
      <c r="E501" s="259">
        <v>8</v>
      </c>
    </row>
    <row r="502" spans="1:5" ht="15.75">
      <c r="A502" s="263" t="s">
        <v>507</v>
      </c>
      <c r="B502" s="260" t="s">
        <v>766</v>
      </c>
      <c r="C502" s="281"/>
      <c r="D502" s="259">
        <v>225423</v>
      </c>
      <c r="E502" s="259">
        <v>8</v>
      </c>
    </row>
    <row r="503" spans="1:5" ht="15.75">
      <c r="A503" s="263" t="s">
        <v>507</v>
      </c>
      <c r="B503" s="260" t="s">
        <v>767</v>
      </c>
      <c r="C503" s="281"/>
      <c r="D503" s="259">
        <v>226134</v>
      </c>
      <c r="E503" s="259">
        <v>8</v>
      </c>
    </row>
    <row r="504" spans="1:5" ht="15.75">
      <c r="A504" s="259" t="s">
        <v>507</v>
      </c>
      <c r="B504" s="260" t="s">
        <v>768</v>
      </c>
      <c r="C504" s="281"/>
      <c r="D504" s="259">
        <v>227182</v>
      </c>
      <c r="E504" s="259">
        <v>8</v>
      </c>
    </row>
    <row r="505" spans="1:5" ht="15.75">
      <c r="A505" s="259" t="s">
        <v>507</v>
      </c>
      <c r="B505" s="260" t="s">
        <v>769</v>
      </c>
      <c r="C505" s="281"/>
      <c r="D505" s="259">
        <v>226578</v>
      </c>
      <c r="E505" s="259">
        <v>8</v>
      </c>
    </row>
    <row r="506" spans="1:5" ht="15.75">
      <c r="A506" s="259" t="s">
        <v>507</v>
      </c>
      <c r="B506" s="260" t="s">
        <v>770</v>
      </c>
      <c r="C506" s="262"/>
      <c r="D506" s="259">
        <v>226930</v>
      </c>
      <c r="E506" s="259">
        <v>8</v>
      </c>
    </row>
    <row r="507" spans="1:5" ht="15.75">
      <c r="A507" s="259" t="s">
        <v>507</v>
      </c>
      <c r="B507" s="260" t="s">
        <v>771</v>
      </c>
      <c r="C507" s="281"/>
      <c r="D507" s="259">
        <v>227146</v>
      </c>
      <c r="E507" s="259">
        <v>8</v>
      </c>
    </row>
    <row r="508" spans="1:5" ht="15.75">
      <c r="A508" s="259" t="s">
        <v>507</v>
      </c>
      <c r="B508" s="260" t="s">
        <v>772</v>
      </c>
      <c r="C508" s="281"/>
      <c r="D508" s="259">
        <v>224110</v>
      </c>
      <c r="E508" s="259">
        <v>8</v>
      </c>
    </row>
    <row r="509" spans="1:5" ht="15.75">
      <c r="A509" s="259" t="s">
        <v>507</v>
      </c>
      <c r="B509" s="260" t="s">
        <v>773</v>
      </c>
      <c r="C509" s="281"/>
      <c r="D509" s="259">
        <v>227191</v>
      </c>
      <c r="E509" s="259">
        <v>8</v>
      </c>
    </row>
    <row r="510" spans="1:5" ht="15.75">
      <c r="A510" s="259" t="s">
        <v>507</v>
      </c>
      <c r="B510" s="260" t="s">
        <v>774</v>
      </c>
      <c r="C510" s="281"/>
      <c r="D510" s="259">
        <v>420398</v>
      </c>
      <c r="E510" s="259">
        <v>8</v>
      </c>
    </row>
    <row r="511" spans="1:5" ht="15.75">
      <c r="A511" s="259" t="s">
        <v>507</v>
      </c>
      <c r="B511" s="260" t="s">
        <v>775</v>
      </c>
      <c r="C511" s="281"/>
      <c r="D511" s="259">
        <v>246354</v>
      </c>
      <c r="E511" s="259">
        <v>8</v>
      </c>
    </row>
    <row r="512" spans="1:5" ht="15.75">
      <c r="A512" s="259" t="s">
        <v>507</v>
      </c>
      <c r="B512" s="260" t="s">
        <v>776</v>
      </c>
      <c r="C512" s="281"/>
      <c r="D512" s="259">
        <v>227766</v>
      </c>
      <c r="E512" s="259">
        <v>8</v>
      </c>
    </row>
    <row r="513" spans="1:5" ht="15.75">
      <c r="A513" s="259" t="s">
        <v>507</v>
      </c>
      <c r="B513" s="260" t="s">
        <v>777</v>
      </c>
      <c r="C513" s="281"/>
      <c r="D513" s="259">
        <v>227924</v>
      </c>
      <c r="E513" s="259">
        <v>8</v>
      </c>
    </row>
    <row r="514" spans="1:5" ht="15.75">
      <c r="A514" s="259" t="s">
        <v>507</v>
      </c>
      <c r="B514" s="260" t="s">
        <v>778</v>
      </c>
      <c r="C514" s="281"/>
      <c r="D514" s="259">
        <v>227979</v>
      </c>
      <c r="E514" s="259">
        <v>8</v>
      </c>
    </row>
    <row r="515" spans="1:5" ht="15.75">
      <c r="A515" s="259" t="s">
        <v>507</v>
      </c>
      <c r="B515" s="260" t="s">
        <v>779</v>
      </c>
      <c r="C515" s="281"/>
      <c r="D515" s="259">
        <v>228158</v>
      </c>
      <c r="E515" s="259">
        <v>8</v>
      </c>
    </row>
    <row r="516" spans="1:5" ht="15.75">
      <c r="A516" s="259" t="s">
        <v>507</v>
      </c>
      <c r="B516" s="260" t="s">
        <v>780</v>
      </c>
      <c r="C516" s="281"/>
      <c r="D516" s="259">
        <v>227854</v>
      </c>
      <c r="E516" s="259">
        <v>8</v>
      </c>
    </row>
    <row r="517" spans="1:5" ht="15.75">
      <c r="A517" s="259" t="s">
        <v>507</v>
      </c>
      <c r="B517" s="260" t="s">
        <v>781</v>
      </c>
      <c r="C517" s="281"/>
      <c r="D517" s="259">
        <v>228547</v>
      </c>
      <c r="E517" s="259">
        <v>8</v>
      </c>
    </row>
    <row r="518" spans="1:5" ht="15.75">
      <c r="A518" s="259" t="s">
        <v>507</v>
      </c>
      <c r="B518" s="260" t="s">
        <v>782</v>
      </c>
      <c r="C518" s="281"/>
      <c r="D518" s="259">
        <v>225308</v>
      </c>
      <c r="E518" s="259">
        <v>8</v>
      </c>
    </row>
    <row r="519" spans="1:5" ht="15.75">
      <c r="A519" s="259" t="s">
        <v>507</v>
      </c>
      <c r="B519" s="260" t="s">
        <v>783</v>
      </c>
      <c r="C519" s="281" t="s">
        <v>633</v>
      </c>
      <c r="D519" s="259">
        <v>229355</v>
      </c>
      <c r="E519" s="259">
        <v>8</v>
      </c>
    </row>
    <row r="520" spans="1:5" ht="15.75">
      <c r="A520" s="259" t="s">
        <v>507</v>
      </c>
      <c r="B520" s="260" t="s">
        <v>784</v>
      </c>
      <c r="C520" s="281"/>
      <c r="D520" s="259">
        <v>222567</v>
      </c>
      <c r="E520" s="259">
        <v>9</v>
      </c>
    </row>
    <row r="521" spans="1:5" ht="15.75">
      <c r="A521" s="259" t="s">
        <v>507</v>
      </c>
      <c r="B521" s="260" t="s">
        <v>785</v>
      </c>
      <c r="C521" s="281"/>
      <c r="D521" s="259">
        <v>222822</v>
      </c>
      <c r="E521" s="259">
        <v>9</v>
      </c>
    </row>
    <row r="522" spans="1:5" ht="15.75">
      <c r="A522" s="259" t="s">
        <v>507</v>
      </c>
      <c r="B522" s="260" t="s">
        <v>786</v>
      </c>
      <c r="C522" s="281"/>
      <c r="D522" s="259">
        <v>223773</v>
      </c>
      <c r="E522" s="259">
        <v>9</v>
      </c>
    </row>
    <row r="523" spans="1:5" ht="15.75">
      <c r="A523" s="259" t="s">
        <v>507</v>
      </c>
      <c r="B523" s="284" t="s">
        <v>787</v>
      </c>
      <c r="C523" s="281"/>
      <c r="D523" s="259">
        <v>223898</v>
      </c>
      <c r="E523" s="259">
        <v>9</v>
      </c>
    </row>
    <row r="524" spans="1:5" ht="15.75">
      <c r="A524" s="259" t="s">
        <v>507</v>
      </c>
      <c r="B524" s="260" t="s">
        <v>788</v>
      </c>
      <c r="C524" s="281"/>
      <c r="D524" s="259">
        <v>223320</v>
      </c>
      <c r="E524" s="259">
        <v>9</v>
      </c>
    </row>
    <row r="525" spans="1:5" ht="15.75">
      <c r="A525" s="259" t="s">
        <v>507</v>
      </c>
      <c r="B525" s="260" t="s">
        <v>789</v>
      </c>
      <c r="C525" s="281"/>
      <c r="D525" s="259">
        <v>226408</v>
      </c>
      <c r="E525" s="259">
        <v>9</v>
      </c>
    </row>
    <row r="526" spans="1:5" ht="15.75">
      <c r="A526" s="282" t="s">
        <v>507</v>
      </c>
      <c r="B526" s="284" t="s">
        <v>790</v>
      </c>
      <c r="C526" s="281"/>
      <c r="D526" s="259">
        <v>225070</v>
      </c>
      <c r="E526" s="259">
        <v>9</v>
      </c>
    </row>
    <row r="527" spans="1:5" ht="15.75">
      <c r="A527" s="282" t="s">
        <v>507</v>
      </c>
      <c r="B527" s="260" t="s">
        <v>791</v>
      </c>
      <c r="C527" s="281"/>
      <c r="D527" s="259">
        <v>225371</v>
      </c>
      <c r="E527" s="259">
        <v>9</v>
      </c>
    </row>
    <row r="528" spans="1:5" ht="15.75">
      <c r="A528" s="259" t="s">
        <v>507</v>
      </c>
      <c r="B528" s="260" t="s">
        <v>792</v>
      </c>
      <c r="C528" s="281"/>
      <c r="D528" s="259">
        <v>225520</v>
      </c>
      <c r="E528" s="259">
        <v>9</v>
      </c>
    </row>
    <row r="529" spans="1:5" ht="15.75">
      <c r="A529" s="259" t="s">
        <v>507</v>
      </c>
      <c r="B529" s="260" t="s">
        <v>793</v>
      </c>
      <c r="C529" s="281"/>
      <c r="D529" s="259">
        <v>226019</v>
      </c>
      <c r="E529" s="259">
        <v>9</v>
      </c>
    </row>
    <row r="530" spans="1:5" ht="15.75">
      <c r="A530" s="259" t="s">
        <v>507</v>
      </c>
      <c r="B530" s="260" t="s">
        <v>794</v>
      </c>
      <c r="C530" s="281"/>
      <c r="D530" s="259">
        <v>441760</v>
      </c>
      <c r="E530" s="259">
        <v>9</v>
      </c>
    </row>
    <row r="531" spans="1:5" ht="15.75">
      <c r="A531" s="259" t="s">
        <v>507</v>
      </c>
      <c r="B531" s="260" t="s">
        <v>795</v>
      </c>
      <c r="C531" s="281"/>
      <c r="D531" s="259">
        <v>226204</v>
      </c>
      <c r="E531" s="259">
        <v>9</v>
      </c>
    </row>
    <row r="532" spans="1:5">
      <c r="A532" s="259" t="s">
        <v>507</v>
      </c>
      <c r="B532" s="260" t="s">
        <v>796</v>
      </c>
      <c r="C532" s="261" t="s">
        <v>917</v>
      </c>
      <c r="D532" s="259">
        <v>227225</v>
      </c>
      <c r="E532" s="259">
        <v>9</v>
      </c>
    </row>
    <row r="533" spans="1:5">
      <c r="A533" s="259" t="s">
        <v>507</v>
      </c>
      <c r="B533" s="260" t="s">
        <v>797</v>
      </c>
      <c r="C533" s="261"/>
      <c r="D533" s="259">
        <v>227304</v>
      </c>
      <c r="E533" s="259">
        <v>9</v>
      </c>
    </row>
    <row r="534" spans="1:5">
      <c r="A534" s="259" t="s">
        <v>507</v>
      </c>
      <c r="B534" s="260" t="s">
        <v>798</v>
      </c>
      <c r="C534" s="261"/>
      <c r="D534" s="259">
        <v>227401</v>
      </c>
      <c r="E534" s="259">
        <v>9</v>
      </c>
    </row>
    <row r="535" spans="1:5">
      <c r="A535" s="259" t="s">
        <v>507</v>
      </c>
      <c r="B535" s="260" t="s">
        <v>799</v>
      </c>
      <c r="C535" s="261"/>
      <c r="D535" s="259">
        <v>228316</v>
      </c>
      <c r="E535" s="259">
        <v>9</v>
      </c>
    </row>
    <row r="536" spans="1:5">
      <c r="A536" s="259" t="s">
        <v>507</v>
      </c>
      <c r="B536" s="260" t="s">
        <v>800</v>
      </c>
      <c r="C536" s="261"/>
      <c r="D536" s="259">
        <v>228608</v>
      </c>
      <c r="E536" s="259">
        <v>9</v>
      </c>
    </row>
    <row r="537" spans="1:5">
      <c r="A537" s="259" t="s">
        <v>507</v>
      </c>
      <c r="B537" s="260" t="s">
        <v>801</v>
      </c>
      <c r="C537" s="261"/>
      <c r="D537" s="259">
        <v>228699</v>
      </c>
      <c r="E537" s="259">
        <v>9</v>
      </c>
    </row>
    <row r="538" spans="1:5">
      <c r="A538" s="259" t="s">
        <v>507</v>
      </c>
      <c r="B538" s="260" t="s">
        <v>802</v>
      </c>
      <c r="C538" s="261" t="s">
        <v>803</v>
      </c>
      <c r="D538" s="248">
        <v>227377</v>
      </c>
      <c r="E538" s="259">
        <v>9</v>
      </c>
    </row>
    <row r="539" spans="1:5">
      <c r="A539" s="259" t="s">
        <v>507</v>
      </c>
      <c r="B539" s="260" t="s">
        <v>804</v>
      </c>
      <c r="C539" s="264"/>
      <c r="D539" s="259">
        <v>229319</v>
      </c>
      <c r="E539" s="259">
        <v>9</v>
      </c>
    </row>
    <row r="540" spans="1:5">
      <c r="A540" s="259" t="s">
        <v>507</v>
      </c>
      <c r="B540" s="260" t="s">
        <v>805</v>
      </c>
      <c r="C540" s="264"/>
      <c r="D540" s="259">
        <v>228680</v>
      </c>
      <c r="E540" s="259">
        <v>9</v>
      </c>
    </row>
    <row r="541" spans="1:5">
      <c r="A541" s="259" t="s">
        <v>507</v>
      </c>
      <c r="B541" s="260" t="s">
        <v>806</v>
      </c>
      <c r="C541" s="261" t="s">
        <v>917</v>
      </c>
      <c r="D541" s="259">
        <v>229504</v>
      </c>
      <c r="E541" s="259">
        <v>9</v>
      </c>
    </row>
    <row r="542" spans="1:5">
      <c r="A542" s="259" t="s">
        <v>507</v>
      </c>
      <c r="B542" s="260" t="s">
        <v>807</v>
      </c>
      <c r="C542" s="261"/>
      <c r="D542" s="259">
        <v>229540</v>
      </c>
      <c r="E542" s="259">
        <v>9</v>
      </c>
    </row>
    <row r="543" spans="1:5">
      <c r="A543" s="259" t="s">
        <v>507</v>
      </c>
      <c r="B543" s="260" t="s">
        <v>808</v>
      </c>
      <c r="C543" s="261"/>
      <c r="D543" s="259">
        <v>229799</v>
      </c>
      <c r="E543" s="259">
        <v>9</v>
      </c>
    </row>
    <row r="544" spans="1:5">
      <c r="A544" s="259" t="s">
        <v>507</v>
      </c>
      <c r="B544" s="260" t="s">
        <v>809</v>
      </c>
      <c r="C544" s="261"/>
      <c r="D544" s="259">
        <v>229841</v>
      </c>
      <c r="E544" s="259">
        <v>9</v>
      </c>
    </row>
    <row r="545" spans="1:5">
      <c r="A545" s="259" t="s">
        <v>507</v>
      </c>
      <c r="B545" s="260" t="s">
        <v>810</v>
      </c>
      <c r="C545" s="261"/>
      <c r="D545" s="259">
        <v>223922</v>
      </c>
      <c r="E545" s="259">
        <v>10</v>
      </c>
    </row>
    <row r="546" spans="1:5">
      <c r="A546" s="259" t="s">
        <v>507</v>
      </c>
      <c r="B546" s="260" t="s">
        <v>811</v>
      </c>
      <c r="C546" s="261"/>
      <c r="D546" s="259">
        <v>224891</v>
      </c>
      <c r="E546" s="259">
        <v>10</v>
      </c>
    </row>
    <row r="547" spans="1:5">
      <c r="A547" s="259" t="s">
        <v>507</v>
      </c>
      <c r="B547" s="260" t="s">
        <v>812</v>
      </c>
      <c r="C547" s="261"/>
      <c r="D547" s="259">
        <v>224961</v>
      </c>
      <c r="E547" s="259">
        <v>10</v>
      </c>
    </row>
    <row r="548" spans="1:5">
      <c r="A548" s="259" t="s">
        <v>507</v>
      </c>
      <c r="B548" s="260" t="s">
        <v>813</v>
      </c>
      <c r="C548" s="261"/>
      <c r="D548" s="259">
        <v>226107</v>
      </c>
      <c r="E548" s="259">
        <v>10</v>
      </c>
    </row>
    <row r="549" spans="1:5" ht="15.75">
      <c r="A549" s="259" t="s">
        <v>507</v>
      </c>
      <c r="B549" s="260" t="s">
        <v>814</v>
      </c>
      <c r="C549" s="281" t="s">
        <v>641</v>
      </c>
      <c r="D549" s="259">
        <v>226116</v>
      </c>
      <c r="E549" s="259">
        <v>10</v>
      </c>
    </row>
    <row r="550" spans="1:5" ht="15.75">
      <c r="A550" s="259" t="s">
        <v>507</v>
      </c>
      <c r="B550" s="260" t="s">
        <v>815</v>
      </c>
      <c r="C550" s="367" t="s">
        <v>901</v>
      </c>
      <c r="D550" s="2">
        <v>488730</v>
      </c>
      <c r="E550" s="370">
        <v>9</v>
      </c>
    </row>
    <row r="551" spans="1:5">
      <c r="A551" s="259" t="s">
        <v>507</v>
      </c>
      <c r="B551" s="260" t="s">
        <v>816</v>
      </c>
      <c r="C551" s="261"/>
      <c r="D551" s="259">
        <v>227386</v>
      </c>
      <c r="E551" s="259">
        <v>10</v>
      </c>
    </row>
    <row r="552" spans="1:5">
      <c r="A552" s="259" t="s">
        <v>507</v>
      </c>
      <c r="B552" s="260" t="s">
        <v>817</v>
      </c>
      <c r="C552" s="261"/>
      <c r="D552" s="259">
        <v>227687</v>
      </c>
      <c r="E552" s="259">
        <v>10</v>
      </c>
    </row>
    <row r="553" spans="1:5">
      <c r="A553" s="259" t="s">
        <v>507</v>
      </c>
      <c r="B553" s="260" t="s">
        <v>818</v>
      </c>
      <c r="C553" s="261"/>
      <c r="D553" s="259">
        <v>382911</v>
      </c>
      <c r="E553" s="259">
        <v>10</v>
      </c>
    </row>
    <row r="554" spans="1:5">
      <c r="A554" s="259" t="s">
        <v>507</v>
      </c>
      <c r="B554" s="280" t="s">
        <v>819</v>
      </c>
      <c r="C554" s="261"/>
      <c r="D554" s="265" t="s">
        <v>84</v>
      </c>
      <c r="E554" s="259">
        <v>10</v>
      </c>
    </row>
    <row r="555" spans="1:5">
      <c r="A555" s="259" t="s">
        <v>507</v>
      </c>
      <c r="B555" s="260" t="s">
        <v>820</v>
      </c>
      <c r="C555" s="261"/>
      <c r="D555" s="259">
        <v>408394</v>
      </c>
      <c r="E555" s="259">
        <v>10</v>
      </c>
    </row>
    <row r="556" spans="1:5">
      <c r="A556" s="259" t="s">
        <v>507</v>
      </c>
      <c r="B556" s="280" t="s">
        <v>821</v>
      </c>
      <c r="C556" s="261"/>
      <c r="D556" s="265" t="s">
        <v>84</v>
      </c>
      <c r="E556" s="259">
        <v>10</v>
      </c>
    </row>
    <row r="557" spans="1:5">
      <c r="A557" s="259" t="s">
        <v>507</v>
      </c>
      <c r="B557" s="260" t="s">
        <v>822</v>
      </c>
      <c r="C557" s="261"/>
      <c r="D557" s="259">
        <v>229328</v>
      </c>
      <c r="E557" s="259">
        <v>10</v>
      </c>
    </row>
    <row r="558" spans="1:5">
      <c r="A558" s="259" t="s">
        <v>507</v>
      </c>
      <c r="B558" s="260" t="s">
        <v>823</v>
      </c>
      <c r="C558" s="261"/>
      <c r="D558" s="259">
        <v>229832</v>
      </c>
      <c r="E558" s="259">
        <v>10</v>
      </c>
    </row>
    <row r="559" spans="1:5">
      <c r="A559" s="259" t="s">
        <v>507</v>
      </c>
      <c r="B559" s="260" t="s">
        <v>824</v>
      </c>
      <c r="C559" s="261"/>
      <c r="D559" s="259">
        <v>223214</v>
      </c>
      <c r="E559" s="259">
        <v>15</v>
      </c>
    </row>
    <row r="560" spans="1:5">
      <c r="A560" s="259" t="s">
        <v>507</v>
      </c>
      <c r="B560" s="260" t="s">
        <v>825</v>
      </c>
      <c r="C560" s="261"/>
      <c r="D560" s="259">
        <v>229337</v>
      </c>
      <c r="E560" s="259">
        <v>15</v>
      </c>
    </row>
    <row r="561" spans="1:5">
      <c r="A561" s="259" t="s">
        <v>507</v>
      </c>
      <c r="B561" s="260" t="s">
        <v>826</v>
      </c>
      <c r="C561" s="259"/>
      <c r="D561" s="259">
        <v>492689</v>
      </c>
      <c r="E561" s="259">
        <v>15</v>
      </c>
    </row>
    <row r="562" spans="1:5">
      <c r="A562" s="259" t="s">
        <v>507</v>
      </c>
      <c r="B562" s="285" t="s">
        <v>827</v>
      </c>
      <c r="C562" s="242" t="s">
        <v>920</v>
      </c>
      <c r="D562" s="286">
        <v>484905</v>
      </c>
      <c r="E562" s="286">
        <v>4</v>
      </c>
    </row>
    <row r="563" spans="1:5">
      <c r="A563" s="259" t="s">
        <v>507</v>
      </c>
      <c r="B563" s="260" t="s">
        <v>828</v>
      </c>
      <c r="C563" s="261"/>
      <c r="D563" s="259">
        <v>228909</v>
      </c>
      <c r="E563" s="259">
        <v>15</v>
      </c>
    </row>
    <row r="564" spans="1:5">
      <c r="A564" s="259" t="s">
        <v>507</v>
      </c>
      <c r="B564" s="260" t="s">
        <v>829</v>
      </c>
      <c r="C564" s="259"/>
      <c r="D564" s="259">
        <v>229300</v>
      </c>
      <c r="E564" s="259">
        <v>15</v>
      </c>
    </row>
    <row r="565" spans="1:5">
      <c r="A565" s="259" t="s">
        <v>507</v>
      </c>
      <c r="B565" s="260" t="s">
        <v>830</v>
      </c>
      <c r="C565" s="259"/>
      <c r="D565" s="287">
        <v>228644</v>
      </c>
      <c r="E565" s="259">
        <v>15</v>
      </c>
    </row>
    <row r="566" spans="1:5">
      <c r="A566" s="259" t="s">
        <v>507</v>
      </c>
      <c r="B566" s="260" t="s">
        <v>831</v>
      </c>
      <c r="C566" s="259"/>
      <c r="D566" s="259">
        <v>416801</v>
      </c>
      <c r="E566" s="259">
        <v>15</v>
      </c>
    </row>
    <row r="567" spans="1:5">
      <c r="A567" s="259" t="s">
        <v>507</v>
      </c>
      <c r="B567" s="260" t="s">
        <v>832</v>
      </c>
      <c r="C567" s="259"/>
      <c r="D567" s="259">
        <v>228653</v>
      </c>
      <c r="E567" s="259">
        <v>15</v>
      </c>
    </row>
    <row r="568" spans="1:5">
      <c r="A568" s="259" t="s">
        <v>507</v>
      </c>
      <c r="B568" s="260" t="s">
        <v>833</v>
      </c>
      <c r="C568" s="259"/>
      <c r="D568" s="259">
        <v>228635</v>
      </c>
      <c r="E568" s="259">
        <v>15</v>
      </c>
    </row>
    <row r="569" spans="1:5">
      <c r="A569" s="259" t="s">
        <v>507</v>
      </c>
      <c r="B569" s="280" t="s">
        <v>834</v>
      </c>
      <c r="C569" s="259"/>
      <c r="D569" s="287">
        <v>485537</v>
      </c>
      <c r="E569" s="259">
        <v>15</v>
      </c>
    </row>
    <row r="570" spans="1:5">
      <c r="A570" s="259" t="s">
        <v>507</v>
      </c>
      <c r="B570" s="371" t="s">
        <v>902</v>
      </c>
      <c r="C570" s="2" t="s">
        <v>903</v>
      </c>
      <c r="D570" s="372">
        <v>224615</v>
      </c>
      <c r="E570" s="248">
        <v>10</v>
      </c>
    </row>
    <row r="571" spans="1:5" ht="15.75">
      <c r="A571" s="229" t="s">
        <v>445</v>
      </c>
      <c r="B571" s="230" t="s">
        <v>446</v>
      </c>
      <c r="C571" s="288"/>
      <c r="D571" s="229">
        <v>232186</v>
      </c>
      <c r="E571" s="229">
        <v>1</v>
      </c>
    </row>
    <row r="572" spans="1:5" ht="15.75">
      <c r="A572" s="229" t="s">
        <v>445</v>
      </c>
      <c r="B572" s="230" t="s">
        <v>447</v>
      </c>
      <c r="C572" s="288"/>
      <c r="D572" s="229">
        <v>232982</v>
      </c>
      <c r="E572" s="229">
        <v>1</v>
      </c>
    </row>
    <row r="573" spans="1:5">
      <c r="A573" s="229" t="s">
        <v>445</v>
      </c>
      <c r="B573" s="230" t="s">
        <v>448</v>
      </c>
      <c r="C573" s="232"/>
      <c r="D573" s="229">
        <v>234076</v>
      </c>
      <c r="E573" s="229">
        <v>1</v>
      </c>
    </row>
    <row r="574" spans="1:5">
      <c r="A574" s="229" t="s">
        <v>445</v>
      </c>
      <c r="B574" s="230" t="s">
        <v>449</v>
      </c>
      <c r="C574" s="231"/>
      <c r="D574" s="229">
        <v>234030</v>
      </c>
      <c r="E574" s="229">
        <v>1</v>
      </c>
    </row>
    <row r="575" spans="1:5">
      <c r="A575" s="229" t="s">
        <v>445</v>
      </c>
      <c r="B575" s="230" t="s">
        <v>450</v>
      </c>
      <c r="C575" s="232"/>
      <c r="D575" s="229">
        <v>233921</v>
      </c>
      <c r="E575" s="229">
        <v>1</v>
      </c>
    </row>
    <row r="576" spans="1:5">
      <c r="A576" s="229" t="s">
        <v>445</v>
      </c>
      <c r="B576" s="230" t="s">
        <v>451</v>
      </c>
      <c r="C576" s="232"/>
      <c r="D576" s="229">
        <v>231624</v>
      </c>
      <c r="E576" s="229">
        <v>2</v>
      </c>
    </row>
    <row r="577" spans="1:5" ht="15.75">
      <c r="A577" s="229" t="s">
        <v>445</v>
      </c>
      <c r="B577" s="230" t="s">
        <v>452</v>
      </c>
      <c r="C577" s="288"/>
      <c r="D577" s="229">
        <v>232423</v>
      </c>
      <c r="E577" s="229">
        <v>3</v>
      </c>
    </row>
    <row r="578" spans="1:5" ht="15.75">
      <c r="A578" s="229" t="s">
        <v>445</v>
      </c>
      <c r="B578" s="230" t="s">
        <v>453</v>
      </c>
      <c r="C578" s="373" t="s">
        <v>896</v>
      </c>
      <c r="D578" s="4">
        <v>232566</v>
      </c>
      <c r="E578" s="374">
        <v>5</v>
      </c>
    </row>
    <row r="579" spans="1:5" ht="15.75">
      <c r="A579" s="229" t="s">
        <v>445</v>
      </c>
      <c r="B579" s="230" t="s">
        <v>454</v>
      </c>
      <c r="C579" s="373" t="s">
        <v>894</v>
      </c>
      <c r="D579" s="4">
        <v>232937</v>
      </c>
      <c r="E579" s="374">
        <v>4</v>
      </c>
    </row>
    <row r="580" spans="1:5" ht="15.75">
      <c r="A580" s="229" t="s">
        <v>445</v>
      </c>
      <c r="B580" s="230" t="s">
        <v>455</v>
      </c>
      <c r="C580" s="288"/>
      <c r="D580" s="229">
        <v>233277</v>
      </c>
      <c r="E580" s="229">
        <v>3</v>
      </c>
    </row>
    <row r="581" spans="1:5" ht="15.75">
      <c r="A581" s="229" t="s">
        <v>445</v>
      </c>
      <c r="B581" s="230" t="s">
        <v>456</v>
      </c>
      <c r="C581" s="373" t="s">
        <v>896</v>
      </c>
      <c r="D581" s="4">
        <v>232681</v>
      </c>
      <c r="E581" s="374">
        <v>5</v>
      </c>
    </row>
    <row r="582" spans="1:5" ht="15.75">
      <c r="A582" s="229" t="s">
        <v>445</v>
      </c>
      <c r="B582" s="230" t="s">
        <v>457</v>
      </c>
      <c r="C582" s="288"/>
      <c r="D582" s="229">
        <v>234155</v>
      </c>
      <c r="E582" s="229">
        <v>3</v>
      </c>
    </row>
    <row r="583" spans="1:5" ht="15.75">
      <c r="A583" s="229" t="s">
        <v>445</v>
      </c>
      <c r="B583" s="230" t="s">
        <v>458</v>
      </c>
      <c r="C583" s="288"/>
      <c r="D583" s="229">
        <v>231712</v>
      </c>
      <c r="E583" s="229">
        <v>5</v>
      </c>
    </row>
    <row r="584" spans="1:5" ht="15.75">
      <c r="A584" s="229" t="s">
        <v>445</v>
      </c>
      <c r="B584" s="230" t="s">
        <v>459</v>
      </c>
      <c r="C584" s="288"/>
      <c r="D584" s="229">
        <v>233897</v>
      </c>
      <c r="E584" s="229">
        <v>6</v>
      </c>
    </row>
    <row r="585" spans="1:5" ht="15.75">
      <c r="A585" s="229" t="s">
        <v>445</v>
      </c>
      <c r="B585" s="230" t="s">
        <v>460</v>
      </c>
      <c r="C585" s="288"/>
      <c r="D585" s="229">
        <v>232414</v>
      </c>
      <c r="E585" s="229">
        <v>8</v>
      </c>
    </row>
    <row r="586" spans="1:5" ht="15.75">
      <c r="A586" s="229" t="s">
        <v>445</v>
      </c>
      <c r="B586" s="230" t="s">
        <v>461</v>
      </c>
      <c r="C586" s="288"/>
      <c r="D586" s="229">
        <v>232450</v>
      </c>
      <c r="E586" s="229">
        <v>8</v>
      </c>
    </row>
    <row r="587" spans="1:5" ht="15.75">
      <c r="A587" s="229" t="s">
        <v>445</v>
      </c>
      <c r="B587" s="230" t="s">
        <v>462</v>
      </c>
      <c r="C587" s="288"/>
      <c r="D587" s="229">
        <v>232946</v>
      </c>
      <c r="E587" s="229">
        <v>8</v>
      </c>
    </row>
    <row r="588" spans="1:5" ht="15.75">
      <c r="A588" s="229" t="s">
        <v>445</v>
      </c>
      <c r="B588" s="230" t="s">
        <v>463</v>
      </c>
      <c r="C588" s="382" t="s">
        <v>918</v>
      </c>
      <c r="D588" s="229">
        <v>233754</v>
      </c>
      <c r="E588" s="229">
        <v>8</v>
      </c>
    </row>
    <row r="589" spans="1:5" ht="15.75">
      <c r="A589" s="229" t="s">
        <v>445</v>
      </c>
      <c r="B589" s="230" t="s">
        <v>464</v>
      </c>
      <c r="C589" s="288"/>
      <c r="D589" s="229">
        <v>233772</v>
      </c>
      <c r="E589" s="229">
        <v>8</v>
      </c>
    </row>
    <row r="590" spans="1:5" ht="15.75">
      <c r="A590" s="229" t="s">
        <v>445</v>
      </c>
      <c r="B590" s="230" t="s">
        <v>465</v>
      </c>
      <c r="C590" s="288"/>
      <c r="D590" s="229">
        <v>231536</v>
      </c>
      <c r="E590" s="229">
        <v>9</v>
      </c>
    </row>
    <row r="591" spans="1:5" ht="15.75">
      <c r="A591" s="229" t="s">
        <v>445</v>
      </c>
      <c r="B591" s="230" t="s">
        <v>466</v>
      </c>
      <c r="C591" s="288"/>
      <c r="D591" s="229">
        <v>231697</v>
      </c>
      <c r="E591" s="229">
        <v>9</v>
      </c>
    </row>
    <row r="592" spans="1:5" ht="15.75">
      <c r="A592" s="229" t="s">
        <v>445</v>
      </c>
      <c r="B592" s="230" t="s">
        <v>468</v>
      </c>
      <c r="C592" s="288"/>
      <c r="D592" s="229">
        <v>232195</v>
      </c>
      <c r="E592" s="229">
        <v>9</v>
      </c>
    </row>
    <row r="593" spans="1:5" ht="15.75">
      <c r="A593" s="229" t="s">
        <v>445</v>
      </c>
      <c r="B593" s="230" t="s">
        <v>469</v>
      </c>
      <c r="C593" s="288"/>
      <c r="D593" s="229">
        <v>232575</v>
      </c>
      <c r="E593" s="229">
        <v>9</v>
      </c>
    </row>
    <row r="594" spans="1:5" ht="15.75">
      <c r="A594" s="229" t="s">
        <v>445</v>
      </c>
      <c r="B594" s="230" t="s">
        <v>470</v>
      </c>
      <c r="C594" s="288"/>
      <c r="D594" s="229">
        <v>232867</v>
      </c>
      <c r="E594" s="229">
        <v>9</v>
      </c>
    </row>
    <row r="595" spans="1:5" ht="15.75">
      <c r="A595" s="229" t="s">
        <v>445</v>
      </c>
      <c r="B595" s="230" t="s">
        <v>472</v>
      </c>
      <c r="C595" s="288"/>
      <c r="D595" s="229">
        <v>233116</v>
      </c>
      <c r="E595" s="229">
        <v>9</v>
      </c>
    </row>
    <row r="596" spans="1:5" ht="15.75">
      <c r="A596" s="229" t="s">
        <v>445</v>
      </c>
      <c r="B596" s="230" t="s">
        <v>473</v>
      </c>
      <c r="C596" s="382" t="s">
        <v>910</v>
      </c>
      <c r="D596" s="229">
        <v>233639</v>
      </c>
      <c r="E596" s="229">
        <v>9</v>
      </c>
    </row>
    <row r="597" spans="1:5" ht="15.75">
      <c r="A597" s="229" t="s">
        <v>445</v>
      </c>
      <c r="B597" s="230" t="s">
        <v>474</v>
      </c>
      <c r="C597" s="288"/>
      <c r="D597" s="229">
        <v>233949</v>
      </c>
      <c r="E597" s="229">
        <v>9</v>
      </c>
    </row>
    <row r="598" spans="1:5">
      <c r="A598" s="229" t="s">
        <v>445</v>
      </c>
      <c r="B598" s="230" t="s">
        <v>476</v>
      </c>
      <c r="C598" s="232"/>
      <c r="D598" s="229">
        <v>231873</v>
      </c>
      <c r="E598" s="229">
        <v>10</v>
      </c>
    </row>
    <row r="599" spans="1:5" ht="15.75">
      <c r="A599" s="229" t="s">
        <v>445</v>
      </c>
      <c r="B599" s="230" t="s">
        <v>467</v>
      </c>
      <c r="C599" s="289"/>
      <c r="D599" s="229">
        <v>231882</v>
      </c>
      <c r="E599" s="229">
        <v>10</v>
      </c>
    </row>
    <row r="600" spans="1:5">
      <c r="A600" s="229" t="s">
        <v>445</v>
      </c>
      <c r="B600" s="230" t="s">
        <v>477</v>
      </c>
      <c r="C600" s="232"/>
      <c r="D600" s="229">
        <v>232052</v>
      </c>
      <c r="E600" s="229">
        <v>10</v>
      </c>
    </row>
    <row r="601" spans="1:5">
      <c r="A601" s="229" t="s">
        <v>445</v>
      </c>
      <c r="B601" s="230" t="s">
        <v>478</v>
      </c>
      <c r="C601" s="231"/>
      <c r="D601" s="229">
        <v>232788</v>
      </c>
      <c r="E601" s="229">
        <v>10</v>
      </c>
    </row>
    <row r="602" spans="1:5" ht="15.75">
      <c r="A602" s="229" t="s">
        <v>445</v>
      </c>
      <c r="B602" s="230" t="s">
        <v>471</v>
      </c>
      <c r="C602" s="289"/>
      <c r="D602" s="229">
        <v>233019</v>
      </c>
      <c r="E602" s="229">
        <v>10</v>
      </c>
    </row>
    <row r="603" spans="1:5">
      <c r="A603" s="229" t="s">
        <v>445</v>
      </c>
      <c r="B603" s="230" t="s">
        <v>479</v>
      </c>
      <c r="C603" s="232"/>
      <c r="D603" s="229">
        <v>233037</v>
      </c>
      <c r="E603" s="229">
        <v>10</v>
      </c>
    </row>
    <row r="604" spans="1:5">
      <c r="A604" s="229" t="s">
        <v>445</v>
      </c>
      <c r="B604" s="230" t="s">
        <v>480</v>
      </c>
      <c r="C604" s="232"/>
      <c r="D604" s="229">
        <v>233310</v>
      </c>
      <c r="E604" s="229">
        <v>10</v>
      </c>
    </row>
    <row r="605" spans="1:5">
      <c r="A605" s="229" t="s">
        <v>445</v>
      </c>
      <c r="B605" s="230" t="s">
        <v>481</v>
      </c>
      <c r="C605" s="232"/>
      <c r="D605" s="229">
        <v>233338</v>
      </c>
      <c r="E605" s="229">
        <v>10</v>
      </c>
    </row>
    <row r="606" spans="1:5">
      <c r="A606" s="229" t="s">
        <v>445</v>
      </c>
      <c r="B606" s="230" t="s">
        <v>482</v>
      </c>
      <c r="C606" s="231"/>
      <c r="D606" s="229">
        <v>233648</v>
      </c>
      <c r="E606" s="229">
        <v>10</v>
      </c>
    </row>
    <row r="607" spans="1:5">
      <c r="A607" s="229" t="s">
        <v>445</v>
      </c>
      <c r="B607" s="230" t="s">
        <v>483</v>
      </c>
      <c r="C607" s="232"/>
      <c r="D607" s="229">
        <v>233903</v>
      </c>
      <c r="E607" s="229">
        <v>10</v>
      </c>
    </row>
    <row r="608" spans="1:5" ht="15.75">
      <c r="A608" s="229" t="s">
        <v>445</v>
      </c>
      <c r="B608" s="230" t="s">
        <v>475</v>
      </c>
      <c r="C608" s="289"/>
      <c r="D608" s="229">
        <v>234377</v>
      </c>
      <c r="E608" s="229">
        <v>10</v>
      </c>
    </row>
    <row r="609" spans="1:5">
      <c r="A609" s="234" t="s">
        <v>445</v>
      </c>
      <c r="B609" s="230" t="s">
        <v>484</v>
      </c>
      <c r="C609" s="232"/>
      <c r="D609" s="229">
        <v>234085</v>
      </c>
      <c r="E609" s="229">
        <v>15</v>
      </c>
    </row>
    <row r="610" spans="1:5">
      <c r="A610" s="266" t="s">
        <v>485</v>
      </c>
      <c r="B610" s="267" t="s">
        <v>486</v>
      </c>
      <c r="C610" s="268"/>
      <c r="D610" s="269">
        <v>238032</v>
      </c>
      <c r="E610" s="269">
        <v>1</v>
      </c>
    </row>
    <row r="611" spans="1:5">
      <c r="A611" s="266" t="s">
        <v>485</v>
      </c>
      <c r="B611" s="267" t="s">
        <v>487</v>
      </c>
      <c r="C611" s="268"/>
      <c r="D611" s="269">
        <v>237525</v>
      </c>
      <c r="E611" s="269">
        <v>3</v>
      </c>
    </row>
    <row r="612" spans="1:5" ht="15.75">
      <c r="A612" s="269" t="s">
        <v>485</v>
      </c>
      <c r="B612" s="267" t="s">
        <v>491</v>
      </c>
      <c r="C612" s="290"/>
      <c r="D612" s="269">
        <v>237330</v>
      </c>
      <c r="E612" s="269">
        <v>5</v>
      </c>
    </row>
    <row r="613" spans="1:5">
      <c r="A613" s="266" t="s">
        <v>485</v>
      </c>
      <c r="B613" s="267" t="s">
        <v>488</v>
      </c>
      <c r="C613" s="268"/>
      <c r="D613" s="269">
        <v>237367</v>
      </c>
      <c r="E613" s="269">
        <v>5</v>
      </c>
    </row>
    <row r="614" spans="1:5">
      <c r="A614" s="266" t="s">
        <v>485</v>
      </c>
      <c r="B614" s="267" t="s">
        <v>489</v>
      </c>
      <c r="C614" s="268"/>
      <c r="D614" s="269">
        <v>237792</v>
      </c>
      <c r="E614" s="269">
        <v>5</v>
      </c>
    </row>
    <row r="615" spans="1:5">
      <c r="A615" s="266" t="s">
        <v>485</v>
      </c>
      <c r="B615" s="267" t="s">
        <v>493</v>
      </c>
      <c r="C615" s="268" t="s">
        <v>919</v>
      </c>
      <c r="D615" s="269">
        <v>237932</v>
      </c>
      <c r="E615" s="269">
        <v>5</v>
      </c>
    </row>
    <row r="616" spans="1:5">
      <c r="A616" s="266" t="s">
        <v>485</v>
      </c>
      <c r="B616" s="267" t="s">
        <v>490</v>
      </c>
      <c r="C616" s="268"/>
      <c r="D616" s="269">
        <v>237215</v>
      </c>
      <c r="E616" s="269">
        <v>6</v>
      </c>
    </row>
    <row r="617" spans="1:5" ht="15.75">
      <c r="A617" s="266" t="s">
        <v>485</v>
      </c>
      <c r="B617" s="267" t="s">
        <v>492</v>
      </c>
      <c r="C617" s="291"/>
      <c r="D617" s="269">
        <v>237385</v>
      </c>
      <c r="E617" s="269">
        <v>6</v>
      </c>
    </row>
    <row r="618" spans="1:5">
      <c r="A618" s="266" t="s">
        <v>485</v>
      </c>
      <c r="B618" s="267" t="s">
        <v>494</v>
      </c>
      <c r="C618" s="268" t="s">
        <v>919</v>
      </c>
      <c r="D618" s="269">
        <v>237899</v>
      </c>
      <c r="E618" s="269">
        <v>6</v>
      </c>
    </row>
    <row r="619" spans="1:5">
      <c r="A619" s="266" t="s">
        <v>485</v>
      </c>
      <c r="B619" s="267" t="s">
        <v>496</v>
      </c>
      <c r="C619" s="268"/>
      <c r="D619" s="269">
        <v>237950</v>
      </c>
      <c r="E619" s="269">
        <v>6</v>
      </c>
    </row>
    <row r="620" spans="1:5">
      <c r="A620" s="266" t="s">
        <v>485</v>
      </c>
      <c r="B620" s="267" t="s">
        <v>497</v>
      </c>
      <c r="C620" s="268"/>
      <c r="D620" s="269">
        <v>237701</v>
      </c>
      <c r="E620" s="269">
        <v>7</v>
      </c>
    </row>
    <row r="621" spans="1:5">
      <c r="A621" s="266" t="s">
        <v>485</v>
      </c>
      <c r="B621" s="267" t="s">
        <v>495</v>
      </c>
      <c r="C621" s="268" t="s">
        <v>909</v>
      </c>
      <c r="D621" s="269">
        <v>237686</v>
      </c>
      <c r="E621" s="269">
        <v>7</v>
      </c>
    </row>
    <row r="622" spans="1:5">
      <c r="A622" s="269" t="s">
        <v>485</v>
      </c>
      <c r="B622" s="267" t="s">
        <v>500</v>
      </c>
      <c r="C622" s="268" t="s">
        <v>905</v>
      </c>
      <c r="D622" s="269">
        <v>446774</v>
      </c>
      <c r="E622" s="269">
        <v>9</v>
      </c>
    </row>
    <row r="623" spans="1:5">
      <c r="A623" s="269" t="s">
        <v>485</v>
      </c>
      <c r="B623" s="292" t="s">
        <v>501</v>
      </c>
      <c r="C623" s="268"/>
      <c r="D623" s="293">
        <v>484932</v>
      </c>
      <c r="E623" s="269">
        <v>10</v>
      </c>
    </row>
    <row r="624" spans="1:5">
      <c r="A624" s="266" t="s">
        <v>485</v>
      </c>
      <c r="B624" s="267" t="s">
        <v>502</v>
      </c>
      <c r="C624" s="268"/>
      <c r="D624" s="269">
        <v>438708</v>
      </c>
      <c r="E624" s="269">
        <v>10</v>
      </c>
    </row>
    <row r="625" spans="1:5">
      <c r="A625" s="269" t="s">
        <v>485</v>
      </c>
      <c r="B625" s="267" t="s">
        <v>503</v>
      </c>
      <c r="C625" s="268"/>
      <c r="D625" s="269">
        <v>444954</v>
      </c>
      <c r="E625" s="269">
        <v>10</v>
      </c>
    </row>
    <row r="626" spans="1:5" ht="15.75">
      <c r="A626" s="269" t="s">
        <v>485</v>
      </c>
      <c r="B626" s="267" t="s">
        <v>498</v>
      </c>
      <c r="C626" s="290"/>
      <c r="D626" s="269">
        <v>447582</v>
      </c>
      <c r="E626" s="269">
        <v>10</v>
      </c>
    </row>
    <row r="627" spans="1:5" ht="15.75">
      <c r="A627" s="269" t="s">
        <v>485</v>
      </c>
      <c r="B627" s="267" t="s">
        <v>499</v>
      </c>
      <c r="C627" s="290"/>
      <c r="D627" s="269">
        <v>443492</v>
      </c>
      <c r="E627" s="269">
        <v>10</v>
      </c>
    </row>
    <row r="628" spans="1:5">
      <c r="A628" s="269" t="s">
        <v>485</v>
      </c>
      <c r="B628" s="267" t="s">
        <v>504</v>
      </c>
      <c r="C628" s="268"/>
      <c r="D628" s="269">
        <v>237817</v>
      </c>
      <c r="E628" s="269">
        <v>10</v>
      </c>
    </row>
    <row r="629" spans="1:5">
      <c r="A629" s="269" t="s">
        <v>485</v>
      </c>
      <c r="B629" s="267" t="s">
        <v>505</v>
      </c>
      <c r="C629" s="270"/>
      <c r="D629" s="269">
        <v>238014</v>
      </c>
      <c r="E629" s="269">
        <v>10</v>
      </c>
    </row>
    <row r="630" spans="1:5">
      <c r="A630" s="269" t="s">
        <v>485</v>
      </c>
      <c r="B630" s="267" t="s">
        <v>506</v>
      </c>
      <c r="C630" s="294"/>
      <c r="D630" s="269">
        <v>237880</v>
      </c>
      <c r="E630" s="269">
        <v>15</v>
      </c>
    </row>
    <row r="631" spans="1:5">
      <c r="A631" s="239" t="s">
        <v>485</v>
      </c>
      <c r="B631" s="237" t="s">
        <v>644</v>
      </c>
      <c r="C631" s="237"/>
      <c r="D631" s="239">
        <v>237729</v>
      </c>
      <c r="E631" s="239">
        <v>14</v>
      </c>
    </row>
    <row r="632" spans="1:5">
      <c r="A632" s="239" t="s">
        <v>485</v>
      </c>
      <c r="B632" s="237" t="s">
        <v>645</v>
      </c>
      <c r="C632" s="237"/>
      <c r="D632" s="239">
        <v>237172</v>
      </c>
      <c r="E632" s="239">
        <v>14</v>
      </c>
    </row>
    <row r="633" spans="1:5">
      <c r="A633" s="239" t="s">
        <v>485</v>
      </c>
      <c r="B633" s="237" t="s">
        <v>646</v>
      </c>
      <c r="C633" s="237"/>
      <c r="D633" s="239">
        <v>237224</v>
      </c>
      <c r="E633" s="239">
        <v>14</v>
      </c>
    </row>
    <row r="634" spans="1:5">
      <c r="A634" s="239" t="s">
        <v>485</v>
      </c>
      <c r="B634" s="237" t="s">
        <v>508</v>
      </c>
      <c r="C634" s="237"/>
      <c r="D634" s="239">
        <v>237242</v>
      </c>
      <c r="E634" s="239">
        <v>14</v>
      </c>
    </row>
    <row r="635" spans="1:5">
      <c r="A635" s="239" t="s">
        <v>485</v>
      </c>
      <c r="B635" s="237" t="s">
        <v>647</v>
      </c>
      <c r="C635" s="237"/>
      <c r="D635" s="239">
        <v>430795</v>
      </c>
      <c r="E635" s="239">
        <v>14</v>
      </c>
    </row>
    <row r="636" spans="1:5">
      <c r="A636" s="239" t="s">
        <v>485</v>
      </c>
      <c r="B636" s="237" t="s">
        <v>509</v>
      </c>
      <c r="C636" s="237"/>
      <c r="D636" s="239">
        <v>413176</v>
      </c>
      <c r="E636" s="239">
        <v>14</v>
      </c>
    </row>
    <row r="637" spans="1:5">
      <c r="A637" s="239" t="s">
        <v>485</v>
      </c>
      <c r="B637" s="237" t="s">
        <v>510</v>
      </c>
      <c r="C637" s="237"/>
      <c r="D637" s="239">
        <v>237844</v>
      </c>
      <c r="E637" s="239">
        <v>14</v>
      </c>
    </row>
    <row r="638" spans="1:5">
      <c r="A638" s="239" t="s">
        <v>485</v>
      </c>
      <c r="B638" s="237" t="s">
        <v>511</v>
      </c>
      <c r="C638" s="237"/>
      <c r="D638" s="239">
        <v>431169</v>
      </c>
      <c r="E638" s="239">
        <v>14</v>
      </c>
    </row>
    <row r="639" spans="1:5">
      <c r="A639" s="239" t="s">
        <v>485</v>
      </c>
      <c r="B639" s="237" t="s">
        <v>512</v>
      </c>
      <c r="C639" s="237"/>
      <c r="D639" s="239">
        <v>237473</v>
      </c>
      <c r="E639" s="239">
        <v>14</v>
      </c>
    </row>
    <row r="640" spans="1:5">
      <c r="A640" s="239" t="s">
        <v>485</v>
      </c>
      <c r="B640" s="237" t="s">
        <v>513</v>
      </c>
      <c r="C640" s="237"/>
      <c r="D640" s="239">
        <v>446349</v>
      </c>
      <c r="E640" s="239">
        <v>14</v>
      </c>
    </row>
    <row r="641" spans="1:5">
      <c r="A641" s="239" t="s">
        <v>485</v>
      </c>
      <c r="B641" s="237" t="s">
        <v>648</v>
      </c>
      <c r="C641" s="237"/>
      <c r="D641" s="239">
        <v>237516</v>
      </c>
      <c r="E641" s="239">
        <v>14</v>
      </c>
    </row>
    <row r="642" spans="1:5">
      <c r="A642" s="239" t="s">
        <v>485</v>
      </c>
      <c r="B642" s="237" t="s">
        <v>649</v>
      </c>
      <c r="C642" s="237"/>
      <c r="D642" s="239">
        <v>237534</v>
      </c>
      <c r="E642" s="239">
        <v>14</v>
      </c>
    </row>
    <row r="643" spans="1:5">
      <c r="A643" s="239" t="s">
        <v>485</v>
      </c>
      <c r="B643" s="237" t="s">
        <v>514</v>
      </c>
      <c r="C643" s="237"/>
      <c r="D643" s="239">
        <v>237543</v>
      </c>
      <c r="E643" s="239">
        <v>14</v>
      </c>
    </row>
    <row r="644" spans="1:5">
      <c r="A644" s="239" t="s">
        <v>485</v>
      </c>
      <c r="B644" s="237" t="s">
        <v>650</v>
      </c>
      <c r="C644" s="237"/>
      <c r="D644" s="239">
        <v>368647</v>
      </c>
      <c r="E644" s="239">
        <v>14</v>
      </c>
    </row>
    <row r="645" spans="1:5">
      <c r="A645" s="239" t="s">
        <v>485</v>
      </c>
      <c r="B645" s="237" t="s">
        <v>515</v>
      </c>
      <c r="C645" s="237"/>
      <c r="D645" s="239">
        <v>237561</v>
      </c>
      <c r="E645" s="239">
        <v>14</v>
      </c>
    </row>
    <row r="646" spans="1:5">
      <c r="A646" s="239" t="s">
        <v>485</v>
      </c>
      <c r="B646" s="237" t="s">
        <v>516</v>
      </c>
      <c r="C646" s="237"/>
      <c r="D646" s="239">
        <v>419420</v>
      </c>
      <c r="E646" s="239">
        <v>14</v>
      </c>
    </row>
    <row r="647" spans="1:5">
      <c r="A647" s="239" t="s">
        <v>485</v>
      </c>
      <c r="B647" s="237" t="s">
        <v>651</v>
      </c>
      <c r="C647" s="237"/>
      <c r="D647" s="239">
        <v>237491</v>
      </c>
      <c r="E647" s="239">
        <v>14</v>
      </c>
    </row>
    <row r="648" spans="1:5">
      <c r="A648" s="239" t="s">
        <v>485</v>
      </c>
      <c r="B648" s="237" t="s">
        <v>517</v>
      </c>
      <c r="C648" s="237"/>
      <c r="D648" s="239">
        <v>364575</v>
      </c>
      <c r="E648" s="239">
        <v>14</v>
      </c>
    </row>
    <row r="649" spans="1:5">
      <c r="A649" s="239" t="s">
        <v>485</v>
      </c>
      <c r="B649" s="237" t="s">
        <v>518</v>
      </c>
      <c r="C649" s="237"/>
      <c r="D649" s="239">
        <v>441894</v>
      </c>
      <c r="E649" s="239">
        <v>14</v>
      </c>
    </row>
    <row r="650" spans="1:5">
      <c r="A650" s="239" t="s">
        <v>485</v>
      </c>
      <c r="B650" s="237" t="s">
        <v>519</v>
      </c>
      <c r="C650" s="237"/>
      <c r="D650" s="239">
        <v>419031</v>
      </c>
      <c r="E650" s="239">
        <v>14</v>
      </c>
    </row>
    <row r="651" spans="1:5">
      <c r="A651" s="239" t="s">
        <v>485</v>
      </c>
      <c r="B651" s="237" t="s">
        <v>652</v>
      </c>
      <c r="C651" s="237"/>
      <c r="D651" s="295" t="s">
        <v>84</v>
      </c>
      <c r="E651" s="239">
        <v>14</v>
      </c>
    </row>
    <row r="652" spans="1:5">
      <c r="A652" s="239" t="s">
        <v>485</v>
      </c>
      <c r="B652" s="237" t="s">
        <v>653</v>
      </c>
      <c r="C652" s="237"/>
      <c r="D652" s="295" t="s">
        <v>84</v>
      </c>
      <c r="E652" s="239">
        <v>15</v>
      </c>
    </row>
    <row r="653" spans="1:5">
      <c r="A653" s="239" t="s">
        <v>485</v>
      </c>
      <c r="B653" s="237" t="s">
        <v>520</v>
      </c>
      <c r="C653" s="237"/>
      <c r="D653" s="239">
        <v>486202</v>
      </c>
      <c r="E653" s="239">
        <v>15</v>
      </c>
    </row>
    <row r="654" spans="1:5">
      <c r="A654" s="239" t="s">
        <v>485</v>
      </c>
      <c r="B654" s="237" t="s">
        <v>654</v>
      </c>
      <c r="C654" s="237"/>
      <c r="D654" s="239">
        <v>486406</v>
      </c>
      <c r="E654" s="239">
        <v>15</v>
      </c>
    </row>
    <row r="655" spans="1:5">
      <c r="A655" s="239" t="s">
        <v>485</v>
      </c>
      <c r="B655" s="237" t="s">
        <v>655</v>
      </c>
      <c r="C655" s="237"/>
      <c r="D655" s="295" t="s">
        <v>84</v>
      </c>
      <c r="E655" s="239">
        <v>15</v>
      </c>
    </row>
    <row r="656" spans="1:5">
      <c r="A656" s="239" t="s">
        <v>485</v>
      </c>
      <c r="B656" s="237" t="s">
        <v>835</v>
      </c>
      <c r="C656" s="237"/>
      <c r="D656" s="239">
        <v>238096</v>
      </c>
      <c r="E656" s="239">
        <v>15</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59999389629810485"/>
  </sheetPr>
  <dimension ref="A1:S258"/>
  <sheetViews>
    <sheetView showZeros="0" view="pageBreakPreview" zoomScaleNormal="100" zoomScaleSheetLayoutView="100" workbookViewId="0">
      <selection activeCell="R26" sqref="R26"/>
    </sheetView>
  </sheetViews>
  <sheetFormatPr defaultColWidth="9" defaultRowHeight="15"/>
  <cols>
    <col min="1" max="1" width="12" style="63" customWidth="1"/>
    <col min="2" max="6" width="8.6640625" style="63" customWidth="1"/>
    <col min="7" max="7" width="9.6640625" style="63" customWidth="1"/>
    <col min="8" max="8" width="8.6640625" style="63" customWidth="1"/>
    <col min="9" max="9" width="5.77734375" style="63" customWidth="1"/>
    <col min="10" max="16384" width="9" style="63"/>
  </cols>
  <sheetData>
    <row r="1" spans="1:18" ht="18">
      <c r="A1" s="62" t="s">
        <v>561</v>
      </c>
      <c r="B1" s="62"/>
      <c r="C1" s="62"/>
      <c r="D1" s="62"/>
      <c r="E1" s="62"/>
      <c r="F1" s="62"/>
      <c r="G1" s="62"/>
      <c r="H1" s="62"/>
    </row>
    <row r="2" spans="1:18" s="53" customFormat="1" ht="12.75">
      <c r="A2" s="64"/>
      <c r="B2" s="64"/>
      <c r="C2" s="64"/>
      <c r="D2" s="64"/>
      <c r="E2" s="64"/>
      <c r="F2" s="64"/>
      <c r="G2" s="64"/>
      <c r="H2" s="64"/>
    </row>
    <row r="3" spans="1:18" ht="15.75">
      <c r="A3" s="65" t="s">
        <v>562</v>
      </c>
      <c r="B3" s="65"/>
      <c r="C3" s="65"/>
      <c r="D3" s="65"/>
      <c r="E3" s="65"/>
      <c r="F3" s="65"/>
      <c r="G3" s="65"/>
      <c r="H3" s="65"/>
    </row>
    <row r="4" spans="1:18" ht="15.75">
      <c r="A4" s="65" t="s">
        <v>563</v>
      </c>
      <c r="B4" s="65"/>
      <c r="C4" s="65"/>
      <c r="D4" s="65"/>
      <c r="E4" s="65"/>
      <c r="F4" s="65"/>
      <c r="G4" s="65"/>
      <c r="H4" s="65"/>
    </row>
    <row r="5" spans="1:18" ht="15.75">
      <c r="A5" s="65" t="s">
        <v>890</v>
      </c>
      <c r="B5" s="65"/>
      <c r="C5" s="65"/>
      <c r="D5" s="65"/>
      <c r="E5" s="65"/>
      <c r="F5" s="65"/>
      <c r="G5" s="65"/>
      <c r="H5" s="65"/>
    </row>
    <row r="6" spans="1:18" s="53" customFormat="1" ht="12.75">
      <c r="A6" s="66"/>
      <c r="B6" s="66"/>
      <c r="C6" s="66"/>
      <c r="D6" s="66"/>
      <c r="E6" s="66"/>
      <c r="F6" s="66"/>
      <c r="G6" s="66"/>
      <c r="H6" s="66"/>
    </row>
    <row r="7" spans="1:18">
      <c r="A7" s="67"/>
      <c r="B7" s="68" t="s">
        <v>564</v>
      </c>
      <c r="C7" s="68"/>
      <c r="D7" s="68"/>
      <c r="E7" s="68"/>
      <c r="F7" s="68"/>
      <c r="G7" s="68"/>
      <c r="H7" s="68"/>
    </row>
    <row r="8" spans="1:18" s="72" customFormat="1">
      <c r="A8" s="69"/>
      <c r="B8" s="70">
        <v>1</v>
      </c>
      <c r="C8" s="70">
        <v>2</v>
      </c>
      <c r="D8" s="70">
        <v>3</v>
      </c>
      <c r="E8" s="70">
        <v>4</v>
      </c>
      <c r="F8" s="70">
        <v>5</v>
      </c>
      <c r="G8" s="70">
        <v>6</v>
      </c>
      <c r="H8" s="71" t="s">
        <v>565</v>
      </c>
    </row>
    <row r="9" spans="1:18" ht="12.75" customHeight="1">
      <c r="A9" s="66"/>
      <c r="B9" s="73"/>
      <c r="C9" s="73"/>
      <c r="D9" s="73"/>
      <c r="E9" s="73"/>
      <c r="F9" s="73"/>
      <c r="G9" s="74"/>
      <c r="H9" s="73"/>
      <c r="L9" s="72"/>
      <c r="M9" s="72"/>
      <c r="N9" s="72"/>
      <c r="O9" s="72"/>
      <c r="P9" s="72"/>
      <c r="Q9" s="72"/>
      <c r="R9" s="72"/>
    </row>
    <row r="10" spans="1:18" ht="12.75" customHeight="1">
      <c r="A10" s="66" t="s">
        <v>566</v>
      </c>
      <c r="B10" s="75">
        <f>+'Summary Medians'!$C$3</f>
        <v>11534</v>
      </c>
      <c r="C10" s="75">
        <f>+'Summary Medians'!$C$4</f>
        <v>9538</v>
      </c>
      <c r="D10" s="75">
        <f>+'Summary Medians'!$C$5</f>
        <v>9255</v>
      </c>
      <c r="E10" s="75">
        <f>+'Summary Medians'!$C$6</f>
        <v>8499.5</v>
      </c>
      <c r="F10" s="75">
        <f>+'Summary Medians'!$C$7</f>
        <v>7917</v>
      </c>
      <c r="G10" s="75">
        <f>+'Summary Medians'!$C$8</f>
        <v>7449.5</v>
      </c>
      <c r="H10" s="76">
        <f>+'Summary Medians'!$C$9</f>
        <v>9254.5</v>
      </c>
      <c r="L10" s="72"/>
      <c r="M10" s="72"/>
      <c r="N10" s="72"/>
      <c r="O10" s="72"/>
      <c r="P10" s="72"/>
      <c r="Q10" s="72"/>
      <c r="R10" s="72"/>
    </row>
    <row r="11" spans="1:18" ht="12.75" customHeight="1">
      <c r="A11" s="66"/>
      <c r="B11" s="77"/>
      <c r="C11" s="77"/>
      <c r="D11" s="77"/>
      <c r="E11" s="77"/>
      <c r="F11" s="77"/>
      <c r="G11" s="78"/>
      <c r="H11" s="77"/>
      <c r="L11" s="72"/>
      <c r="M11" s="72"/>
      <c r="N11" s="72"/>
      <c r="O11" s="72"/>
      <c r="P11" s="72"/>
      <c r="Q11" s="72"/>
      <c r="R11" s="72"/>
    </row>
    <row r="12" spans="1:18" ht="12.75" customHeight="1">
      <c r="A12" s="66" t="s">
        <v>567</v>
      </c>
      <c r="B12" s="77">
        <f>+'Summary Medians'!$C$20</f>
        <v>11620</v>
      </c>
      <c r="C12" s="77">
        <f>+'Summary Medians'!$C$21</f>
        <v>10704</v>
      </c>
      <c r="D12" s="77">
        <f>+'Summary Medians'!$C$22</f>
        <v>10918</v>
      </c>
      <c r="E12" s="77">
        <f>+'Summary Medians'!$C$23</f>
        <v>11029</v>
      </c>
      <c r="F12" s="77">
        <f>+'Summary Medians'!$C$24</f>
        <v>10709</v>
      </c>
      <c r="G12" s="77" t="str">
        <f>+'Summary Medians'!$C$25</f>
        <v xml:space="preserve"> </v>
      </c>
      <c r="H12" s="79">
        <f>+'Summary Medians'!$C$26</f>
        <v>11029</v>
      </c>
      <c r="L12" s="72"/>
      <c r="M12" s="72"/>
      <c r="N12" s="72"/>
      <c r="O12" s="72"/>
      <c r="P12" s="72"/>
      <c r="Q12" s="72"/>
      <c r="R12" s="72"/>
    </row>
    <row r="13" spans="1:18" ht="12.75" customHeight="1">
      <c r="A13" s="66" t="s">
        <v>568</v>
      </c>
      <c r="B13" s="77">
        <f>+'Summary Medians'!$C$37</f>
        <v>9385</v>
      </c>
      <c r="C13" s="77">
        <f>+'Summary Medians'!$C$38</f>
        <v>9529</v>
      </c>
      <c r="D13" s="77">
        <f>+'Summary Medians'!$C$39</f>
        <v>9188</v>
      </c>
      <c r="E13" s="77">
        <f>+'Summary Medians'!$C$40</f>
        <v>8811</v>
      </c>
      <c r="F13" s="77" t="str">
        <f>+'Summary Medians'!$C$41</f>
        <v xml:space="preserve"> </v>
      </c>
      <c r="G13" s="77">
        <f>+'Summary Medians'!$C$42</f>
        <v>7701.5</v>
      </c>
      <c r="H13" s="79">
        <f>+'Summary Medians'!$C$43</f>
        <v>8940</v>
      </c>
      <c r="L13" s="72"/>
      <c r="M13" s="72"/>
      <c r="N13" s="72"/>
      <c r="O13" s="72"/>
      <c r="P13" s="72"/>
      <c r="Q13" s="72"/>
      <c r="R13" s="72"/>
    </row>
    <row r="14" spans="1:18" ht="12.75" customHeight="1">
      <c r="A14" s="66" t="s">
        <v>569</v>
      </c>
      <c r="B14" s="77">
        <f>+'Summary Medians'!$C$54</f>
        <v>14660</v>
      </c>
      <c r="C14" s="77" t="str">
        <f>+'Summary Medians'!$C$55</f>
        <v xml:space="preserve"> </v>
      </c>
      <c r="D14" s="77">
        <f>+'Summary Medians'!$C$56</f>
        <v>8358</v>
      </c>
      <c r="E14" s="77" t="str">
        <f>+'Summary Medians'!$C$57</f>
        <v xml:space="preserve"> </v>
      </c>
      <c r="F14" s="77" t="str">
        <f>+'Summary Medians'!$C$58</f>
        <v xml:space="preserve"> </v>
      </c>
      <c r="G14" s="77" t="str">
        <f>+'Summary Medians'!$C$59</f>
        <v xml:space="preserve"> </v>
      </c>
      <c r="H14" s="79">
        <f>+'Summary Medians'!$C$60</f>
        <v>11509</v>
      </c>
      <c r="L14" s="72"/>
      <c r="M14" s="72"/>
      <c r="N14" s="72"/>
      <c r="O14" s="72"/>
      <c r="P14" s="72"/>
      <c r="Q14" s="72"/>
      <c r="R14" s="72"/>
    </row>
    <row r="15" spans="1:18" ht="12.75" customHeight="1">
      <c r="A15" s="66" t="s">
        <v>570</v>
      </c>
      <c r="B15" s="77" t="str">
        <f>+'Summary Medians'!$C$71</f>
        <v xml:space="preserve"> </v>
      </c>
      <c r="C15" s="77" t="str">
        <f>+'Summary Medians'!$C$72</f>
        <v xml:space="preserve"> </v>
      </c>
      <c r="D15" s="77" t="str">
        <f>+'Summary Medians'!$C$73</f>
        <v xml:space="preserve"> </v>
      </c>
      <c r="E15" s="77" t="str">
        <f>+'Summary Medians'!$C$74</f>
        <v xml:space="preserve"> </v>
      </c>
      <c r="F15" s="77" t="str">
        <f>+'Summary Medians'!$C$75</f>
        <v xml:space="preserve"> </v>
      </c>
      <c r="G15" s="77" t="str">
        <f>+'Summary Medians'!$C$76</f>
        <v xml:space="preserve"> </v>
      </c>
      <c r="H15" s="79" t="str">
        <f>+'Summary Medians'!$C$77</f>
        <v xml:space="preserve"> </v>
      </c>
      <c r="L15" s="72"/>
      <c r="M15" s="72"/>
      <c r="N15" s="72"/>
      <c r="O15" s="72"/>
      <c r="P15" s="72"/>
      <c r="Q15" s="72"/>
      <c r="R15" s="72"/>
    </row>
    <row r="16" spans="1:18" ht="12.75" customHeight="1">
      <c r="A16" s="66"/>
      <c r="B16" s="77"/>
      <c r="C16" s="77"/>
      <c r="D16" s="77"/>
      <c r="E16" s="77"/>
      <c r="F16" s="77"/>
      <c r="G16" s="77"/>
      <c r="H16" s="79"/>
      <c r="L16" s="72"/>
      <c r="M16" s="72"/>
      <c r="N16" s="72"/>
      <c r="O16" s="72"/>
      <c r="P16" s="72"/>
      <c r="Q16" s="72"/>
      <c r="R16" s="72"/>
    </row>
    <row r="17" spans="1:18" ht="12.75" customHeight="1">
      <c r="A17" s="66" t="s">
        <v>571</v>
      </c>
      <c r="B17" s="77">
        <f>+'Summary Medians'!$C$88</f>
        <v>11578</v>
      </c>
      <c r="C17" s="77">
        <f>+'Summary Medians'!$C$89</f>
        <v>12852</v>
      </c>
      <c r="D17" s="77">
        <f>+'Summary Medians'!$C$90</f>
        <v>7596</v>
      </c>
      <c r="E17" s="77">
        <f>+'Summary Medians'!$C$91</f>
        <v>7334</v>
      </c>
      <c r="F17" s="77">
        <f>+'Summary Medians'!$C$92</f>
        <v>6848</v>
      </c>
      <c r="G17" s="77">
        <f>+'Summary Medians'!$C$93</f>
        <v>4430</v>
      </c>
      <c r="H17" s="79">
        <f>+'Summary Medians'!$C$94</f>
        <v>7142</v>
      </c>
      <c r="L17" s="72"/>
      <c r="M17" s="72"/>
      <c r="N17" s="72"/>
      <c r="O17" s="72"/>
      <c r="P17" s="72"/>
      <c r="Q17" s="72"/>
      <c r="R17" s="72"/>
    </row>
    <row r="18" spans="1:18" ht="12.75" customHeight="1">
      <c r="A18" s="66" t="s">
        <v>572</v>
      </c>
      <c r="B18" s="77">
        <f>+'Summary Medians'!$C$105</f>
        <v>12323</v>
      </c>
      <c r="C18" s="77" t="str">
        <f>+'Summary Medians'!$C$106</f>
        <v xml:space="preserve"> </v>
      </c>
      <c r="D18" s="77">
        <f>+'Summary Medians'!$C$107</f>
        <v>9866</v>
      </c>
      <c r="E18" s="77">
        <f>+'Summary Medians'!$C$108</f>
        <v>8800</v>
      </c>
      <c r="F18" s="77" t="str">
        <f>+'Summary Medians'!$C$109</f>
        <v xml:space="preserve"> </v>
      </c>
      <c r="G18" s="77" t="str">
        <f>+'Summary Medians'!$C$110</f>
        <v xml:space="preserve"> </v>
      </c>
      <c r="H18" s="79">
        <f>+'Summary Medians'!$C$111</f>
        <v>10081</v>
      </c>
      <c r="L18" s="72"/>
      <c r="M18" s="72"/>
      <c r="N18" s="72"/>
      <c r="O18" s="72"/>
      <c r="P18" s="72"/>
      <c r="Q18" s="72"/>
      <c r="R18" s="72"/>
    </row>
    <row r="19" spans="1:18" ht="12.75" customHeight="1">
      <c r="A19" s="66" t="s">
        <v>573</v>
      </c>
      <c r="B19" s="77">
        <f>+'Summary Medians'!$C$122</f>
        <v>11962</v>
      </c>
      <c r="C19" s="77">
        <f>+'Summary Medians'!$C$123</f>
        <v>10634</v>
      </c>
      <c r="D19" s="77">
        <f>+'Summary Medians'!$C$124</f>
        <v>8950.5</v>
      </c>
      <c r="E19" s="77">
        <f>+'Summary Medians'!$C$125</f>
        <v>7805</v>
      </c>
      <c r="F19" s="77">
        <f>+'Summary Medians'!$C$126</f>
        <v>7287.3339999999998</v>
      </c>
      <c r="G19" s="77">
        <f>+'Summary Medians'!$C$127</f>
        <v>6910.1</v>
      </c>
      <c r="H19" s="79">
        <f>+'Summary Medians'!$C$128</f>
        <v>8683.5</v>
      </c>
      <c r="L19" s="72"/>
      <c r="M19" s="72"/>
      <c r="N19" s="72"/>
      <c r="O19" s="72"/>
      <c r="P19" s="72"/>
      <c r="Q19" s="72"/>
      <c r="R19" s="72"/>
    </row>
    <row r="20" spans="1:18" ht="12.75" customHeight="1">
      <c r="A20" s="66" t="s">
        <v>574</v>
      </c>
      <c r="B20" s="77">
        <f>+'Summary Medians'!$C$139</f>
        <v>10779</v>
      </c>
      <c r="C20" s="77">
        <f>+'Summary Medians'!$C$140</f>
        <v>9828</v>
      </c>
      <c r="D20" s="77">
        <f>+'Summary Medians'!$C$141</f>
        <v>9647</v>
      </c>
      <c r="E20" s="77">
        <f>+'Summary Medians'!$C$142</f>
        <v>8984</v>
      </c>
      <c r="F20" s="77">
        <f>+'Summary Medians'!$C$143</f>
        <v>6716</v>
      </c>
      <c r="G20" s="77">
        <f>+'Summary Medians'!$C$144</f>
        <v>15124</v>
      </c>
      <c r="H20" s="79">
        <f>+'Summary Medians'!$C$145</f>
        <v>9410</v>
      </c>
      <c r="L20" s="72"/>
      <c r="M20" s="72"/>
      <c r="N20" s="72"/>
      <c r="O20" s="72"/>
      <c r="P20" s="72"/>
      <c r="Q20" s="72"/>
      <c r="R20" s="72"/>
    </row>
    <row r="21" spans="1:18" ht="12.75" customHeight="1">
      <c r="A21" s="66"/>
      <c r="B21" s="77"/>
      <c r="C21" s="77"/>
      <c r="D21" s="77"/>
      <c r="E21" s="77"/>
      <c r="F21" s="77"/>
      <c r="G21" s="77"/>
      <c r="H21" s="79"/>
      <c r="L21" s="72"/>
      <c r="M21" s="72"/>
      <c r="N21" s="72"/>
      <c r="O21" s="72"/>
      <c r="P21" s="72"/>
      <c r="Q21" s="72"/>
      <c r="R21" s="72"/>
    </row>
    <row r="22" spans="1:18" ht="12.75" customHeight="1">
      <c r="A22" s="66" t="s">
        <v>575</v>
      </c>
      <c r="B22" s="77">
        <f>+'Summary Medians'!$C$156</f>
        <v>8896</v>
      </c>
      <c r="C22" s="77">
        <f>+'Summary Medians'!$C$157</f>
        <v>8445</v>
      </c>
      <c r="D22" s="77" t="str">
        <f>+'Summary Medians'!$C$158</f>
        <v xml:space="preserve"> </v>
      </c>
      <c r="E22" s="77">
        <f>+'Summary Medians'!$C$159</f>
        <v>7716</v>
      </c>
      <c r="F22" s="77" t="str">
        <f>+'Summary Medians'!$C$160</f>
        <v xml:space="preserve"> </v>
      </c>
      <c r="G22" s="77" t="str">
        <f>+'Summary Medians'!$C$161</f>
        <v xml:space="preserve"> </v>
      </c>
      <c r="H22" s="79">
        <f>+'Summary Medians'!$C$162</f>
        <v>8283</v>
      </c>
      <c r="L22" s="72"/>
      <c r="M22" s="72"/>
      <c r="N22" s="72"/>
      <c r="O22" s="72"/>
      <c r="P22" s="72"/>
      <c r="Q22" s="72"/>
      <c r="R22" s="72"/>
    </row>
    <row r="23" spans="1:18" ht="12.75" customHeight="1">
      <c r="A23" s="66" t="s">
        <v>576</v>
      </c>
      <c r="B23" s="77">
        <f>+'Summary Medians'!$C$173</f>
        <v>8191.5</v>
      </c>
      <c r="C23" s="77">
        <f>+'Summary Medians'!$C$174</f>
        <v>6948</v>
      </c>
      <c r="D23" s="77">
        <f>+'Summary Medians'!$C$175</f>
        <v>6905</v>
      </c>
      <c r="E23" s="77">
        <f>+'Summary Medians'!$C$176</f>
        <v>5309</v>
      </c>
      <c r="F23" s="77">
        <f>+'Summary Medians'!$C$177</f>
        <v>4698.5</v>
      </c>
      <c r="G23" s="77">
        <f>+'Summary Medians'!$C$178</f>
        <v>5252</v>
      </c>
      <c r="H23" s="79">
        <f>+'Summary Medians'!$C$179</f>
        <v>6941</v>
      </c>
      <c r="L23" s="72"/>
      <c r="M23" s="72"/>
      <c r="N23" s="72"/>
      <c r="O23" s="72"/>
      <c r="P23" s="72"/>
      <c r="Q23" s="72"/>
      <c r="R23" s="72"/>
    </row>
    <row r="24" spans="1:18" ht="12.75" customHeight="1">
      <c r="A24" s="66" t="s">
        <v>577</v>
      </c>
      <c r="B24" s="77" t="str">
        <f>+'Summary Medians'!$C$190</f>
        <v xml:space="preserve"> </v>
      </c>
      <c r="C24" s="77" t="str">
        <f>+'Summary Medians'!$C$191</f>
        <v xml:space="preserve"> </v>
      </c>
      <c r="D24" s="77" t="str">
        <f>+'Summary Medians'!$C$192</f>
        <v xml:space="preserve"> </v>
      </c>
      <c r="E24" s="77" t="str">
        <f>+'Summary Medians'!$C$193</f>
        <v xml:space="preserve"> </v>
      </c>
      <c r="F24" s="77" t="str">
        <f>+'Summary Medians'!$C$194</f>
        <v xml:space="preserve"> </v>
      </c>
      <c r="G24" s="77" t="str">
        <f>+'Summary Medians'!$C$195</f>
        <v xml:space="preserve"> </v>
      </c>
      <c r="H24" s="79" t="str">
        <f>+'Summary Medians'!$C$196</f>
        <v xml:space="preserve"> </v>
      </c>
      <c r="L24" s="72"/>
      <c r="M24" s="72"/>
      <c r="N24" s="72"/>
      <c r="O24" s="72"/>
      <c r="P24" s="72"/>
      <c r="Q24" s="72"/>
      <c r="R24" s="72"/>
    </row>
    <row r="25" spans="1:18" ht="12.75" customHeight="1">
      <c r="A25" s="66" t="s">
        <v>578</v>
      </c>
      <c r="B25" s="77">
        <f>+'Summary Medians'!$C$207</f>
        <v>13904</v>
      </c>
      <c r="C25" s="77" t="str">
        <f>+'Summary Medians'!$C$208</f>
        <v xml:space="preserve"> </v>
      </c>
      <c r="D25" s="77">
        <f>+'Summary Medians'!$C$209</f>
        <v>13140</v>
      </c>
      <c r="E25" s="77">
        <f>+'Summary Medians'!$C$210</f>
        <v>11640</v>
      </c>
      <c r="F25" s="77">
        <f>+'Summary Medians'!$C$211</f>
        <v>11060</v>
      </c>
      <c r="G25" s="77">
        <f>+'Summary Medians'!$C$212</f>
        <v>11488</v>
      </c>
      <c r="H25" s="79">
        <f>+'Summary Medians'!$C$213</f>
        <v>11670</v>
      </c>
      <c r="L25" s="72"/>
      <c r="M25" s="72"/>
      <c r="N25" s="72"/>
      <c r="O25" s="72"/>
      <c r="P25" s="72"/>
      <c r="Q25" s="72"/>
      <c r="R25" s="72"/>
    </row>
    <row r="26" spans="1:18" ht="12.75" customHeight="1">
      <c r="A26" s="66"/>
      <c r="B26" s="77"/>
      <c r="C26" s="77"/>
      <c r="D26" s="77"/>
      <c r="E26" s="77"/>
      <c r="F26" s="77"/>
      <c r="G26" s="77"/>
      <c r="H26" s="79"/>
      <c r="L26" s="72"/>
      <c r="M26" s="72"/>
      <c r="N26" s="72"/>
      <c r="O26" s="72"/>
      <c r="P26" s="72"/>
      <c r="Q26" s="72"/>
      <c r="R26" s="72"/>
    </row>
    <row r="27" spans="1:18" ht="12.75" customHeight="1">
      <c r="A27" s="66" t="s">
        <v>579</v>
      </c>
      <c r="B27" s="77">
        <f>+'Summary Medians'!$C$224</f>
        <v>11600</v>
      </c>
      <c r="C27" s="77">
        <f>+'Summary Medians'!$C$225</f>
        <v>9424</v>
      </c>
      <c r="D27" s="77">
        <f>+'Summary Medians'!$C$226</f>
        <v>9656</v>
      </c>
      <c r="E27" s="77">
        <f>+'Summary Medians'!$C$227</f>
        <v>9748</v>
      </c>
      <c r="F27" s="77" t="str">
        <f>+'Summary Medians'!$C$228</f>
        <v xml:space="preserve"> </v>
      </c>
      <c r="G27" s="77" t="str">
        <f>+'Summary Medians'!$C$229</f>
        <v xml:space="preserve"> </v>
      </c>
      <c r="H27" s="79">
        <f>+'Summary Medians'!$C$230</f>
        <v>9656</v>
      </c>
      <c r="L27" s="72"/>
      <c r="M27" s="72"/>
      <c r="N27" s="72"/>
      <c r="O27" s="72"/>
      <c r="P27" s="72"/>
      <c r="Q27" s="72"/>
      <c r="R27" s="72"/>
    </row>
    <row r="28" spans="1:18" ht="12.75" customHeight="1">
      <c r="A28" s="66" t="s">
        <v>580</v>
      </c>
      <c r="B28" s="77">
        <f>+'Summary Medians'!$C$241</f>
        <v>11700</v>
      </c>
      <c r="C28" s="77">
        <f>+'Summary Medians'!$C$242</f>
        <v>10158</v>
      </c>
      <c r="D28" s="77">
        <f>+'Summary Medians'!$C$243</f>
        <v>9254</v>
      </c>
      <c r="E28" s="77">
        <f>+'Summary Medians'!$C$244</f>
        <v>8686</v>
      </c>
      <c r="F28" s="77">
        <f>+'Summary Medians'!$C$245</f>
        <v>9463</v>
      </c>
      <c r="G28" s="77" t="str">
        <f>+'Summary Medians'!$C$246</f>
        <v xml:space="preserve"> </v>
      </c>
      <c r="H28" s="79">
        <f>+'Summary Medians'!$C$247</f>
        <v>9820</v>
      </c>
      <c r="L28" s="72"/>
      <c r="M28" s="72"/>
      <c r="N28" s="72"/>
      <c r="O28" s="72"/>
      <c r="P28" s="72"/>
      <c r="Q28" s="72"/>
      <c r="R28" s="72"/>
    </row>
    <row r="29" spans="1:18" ht="12.75" customHeight="1">
      <c r="A29" s="66" t="s">
        <v>581</v>
      </c>
      <c r="B29" s="77">
        <f>+'Summary Medians'!$C$258</f>
        <v>13749</v>
      </c>
      <c r="C29" s="77">
        <f>+'Summary Medians'!$C$259</f>
        <v>23628</v>
      </c>
      <c r="D29" s="77">
        <f>+'Summary Medians'!$C$260</f>
        <v>11416</v>
      </c>
      <c r="E29" s="77">
        <f>+'Summary Medians'!$C$261</f>
        <v>9622</v>
      </c>
      <c r="F29" s="77">
        <f>+'Summary Medians'!$C$262</f>
        <v>13910</v>
      </c>
      <c r="G29" s="77">
        <f>+'Summary Medians'!$C$263</f>
        <v>10837</v>
      </c>
      <c r="H29" s="79">
        <f>+'Summary Medians'!$C$264</f>
        <v>13294</v>
      </c>
      <c r="L29" s="72"/>
      <c r="M29" s="72"/>
      <c r="N29" s="72"/>
      <c r="O29" s="72"/>
      <c r="P29" s="72"/>
      <c r="Q29" s="72"/>
      <c r="R29" s="72"/>
    </row>
    <row r="30" spans="1:18" ht="12.75" customHeight="1">
      <c r="A30" s="80" t="s">
        <v>582</v>
      </c>
      <c r="B30" s="81">
        <f>+'Summary Medians'!$C$275</f>
        <v>8976</v>
      </c>
      <c r="C30" s="81" t="str">
        <f>+'Summary Medians'!$C$276</f>
        <v xml:space="preserve"> </v>
      </c>
      <c r="D30" s="81">
        <f>+'Summary Medians'!$C$277</f>
        <v>8512</v>
      </c>
      <c r="E30" s="81">
        <f>+'Summary Medians'!$C$278</f>
        <v>8031</v>
      </c>
      <c r="F30" s="81">
        <f>+'Summary Medians'!$C$279</f>
        <v>7784</v>
      </c>
      <c r="G30" s="81">
        <f>+'Summary Medians'!$C$280</f>
        <v>7584</v>
      </c>
      <c r="H30" s="82">
        <f>+'Summary Medians'!$C$281</f>
        <v>7899</v>
      </c>
      <c r="L30" s="72"/>
      <c r="M30" s="72"/>
      <c r="N30" s="72"/>
      <c r="O30" s="72"/>
      <c r="P30" s="72"/>
      <c r="Q30" s="72"/>
      <c r="R30" s="72"/>
    </row>
    <row r="31" spans="1:18" ht="37.5" customHeight="1">
      <c r="A31" s="544" t="s">
        <v>583</v>
      </c>
      <c r="B31" s="544"/>
      <c r="C31" s="544"/>
      <c r="D31" s="544"/>
      <c r="E31" s="544"/>
      <c r="F31" s="544"/>
      <c r="G31" s="544"/>
      <c r="H31" s="544"/>
      <c r="L31" s="72"/>
      <c r="M31" s="72"/>
      <c r="N31" s="72"/>
      <c r="O31" s="72"/>
      <c r="P31" s="72"/>
      <c r="Q31" s="72"/>
      <c r="R31" s="72"/>
    </row>
    <row r="32" spans="1:18">
      <c r="H32" s="83" t="s">
        <v>1054</v>
      </c>
    </row>
    <row r="33" spans="1:19" ht="18">
      <c r="A33" s="545" t="s">
        <v>584</v>
      </c>
      <c r="B33" s="545"/>
      <c r="C33" s="545"/>
      <c r="D33" s="545"/>
      <c r="E33" s="545"/>
      <c r="F33" s="545"/>
      <c r="G33" s="545"/>
      <c r="H33" s="545"/>
      <c r="I33" s="545"/>
      <c r="J33" s="545"/>
    </row>
    <row r="34" spans="1:19">
      <c r="A34" s="84"/>
      <c r="B34" s="84"/>
      <c r="C34" s="84"/>
      <c r="D34" s="84"/>
      <c r="E34" s="84"/>
      <c r="F34" s="84"/>
      <c r="G34" s="84"/>
      <c r="H34" s="84"/>
      <c r="I34" s="84"/>
      <c r="J34" s="84"/>
      <c r="K34" s="53"/>
      <c r="L34" s="53"/>
      <c r="M34" s="53"/>
      <c r="N34" s="53"/>
      <c r="O34" s="53"/>
      <c r="P34" s="53"/>
      <c r="Q34" s="53"/>
      <c r="R34" s="53"/>
      <c r="S34" s="53"/>
    </row>
    <row r="35" spans="1:19" ht="15.75">
      <c r="A35" s="543" t="s">
        <v>562</v>
      </c>
      <c r="B35" s="543"/>
      <c r="C35" s="543"/>
      <c r="D35" s="543"/>
      <c r="E35" s="543"/>
      <c r="F35" s="543"/>
      <c r="G35" s="543"/>
      <c r="H35" s="543"/>
      <c r="I35" s="543"/>
      <c r="J35" s="543"/>
    </row>
    <row r="36" spans="1:19" ht="15.75">
      <c r="A36" s="543" t="s">
        <v>563</v>
      </c>
      <c r="B36" s="543"/>
      <c r="C36" s="543"/>
      <c r="D36" s="543"/>
      <c r="E36" s="543"/>
      <c r="F36" s="543"/>
      <c r="G36" s="543"/>
      <c r="H36" s="543"/>
      <c r="I36" s="543"/>
      <c r="J36" s="543"/>
    </row>
    <row r="37" spans="1:19" ht="15.75">
      <c r="A37" s="543" t="s">
        <v>891</v>
      </c>
      <c r="B37" s="543"/>
      <c r="C37" s="543"/>
      <c r="D37" s="543"/>
      <c r="E37" s="543"/>
      <c r="F37" s="543"/>
      <c r="G37" s="543"/>
      <c r="H37" s="543"/>
      <c r="I37" s="543"/>
      <c r="J37" s="543"/>
    </row>
    <row r="38" spans="1:19">
      <c r="A38" s="66"/>
      <c r="B38" s="66"/>
      <c r="C38" s="66"/>
      <c r="D38" s="66"/>
      <c r="E38" s="66"/>
      <c r="F38" s="66"/>
      <c r="G38" s="66"/>
      <c r="H38" s="66"/>
      <c r="I38" s="66"/>
      <c r="J38" s="66"/>
      <c r="K38" s="53"/>
      <c r="L38" s="53"/>
      <c r="M38" s="53"/>
      <c r="N38" s="53"/>
      <c r="O38" s="53"/>
      <c r="P38" s="53"/>
      <c r="Q38" s="53"/>
      <c r="R38" s="53"/>
      <c r="S38" s="53"/>
    </row>
    <row r="39" spans="1:19">
      <c r="A39" s="67"/>
      <c r="B39" s="68" t="s">
        <v>585</v>
      </c>
      <c r="C39" s="68"/>
      <c r="D39" s="68"/>
      <c r="E39" s="68"/>
      <c r="F39" s="85"/>
      <c r="G39" s="86" t="s">
        <v>586</v>
      </c>
      <c r="H39" s="68"/>
      <c r="I39" s="68"/>
      <c r="J39" s="87"/>
    </row>
    <row r="40" spans="1:19" ht="24">
      <c r="A40" s="69"/>
      <c r="B40" s="88" t="s">
        <v>587</v>
      </c>
      <c r="C40" s="70">
        <v>1</v>
      </c>
      <c r="D40" s="70">
        <v>2</v>
      </c>
      <c r="E40" s="70">
        <v>3</v>
      </c>
      <c r="F40" s="89" t="s">
        <v>565</v>
      </c>
      <c r="G40" s="70">
        <v>1</v>
      </c>
      <c r="H40" s="70">
        <v>2</v>
      </c>
      <c r="I40" s="90" t="s">
        <v>588</v>
      </c>
      <c r="J40" s="71" t="s">
        <v>565</v>
      </c>
      <c r="K40" s="72"/>
      <c r="L40" s="53"/>
      <c r="M40" s="53"/>
      <c r="N40" s="53"/>
      <c r="O40" s="53"/>
      <c r="P40" s="53"/>
      <c r="Q40" s="53"/>
      <c r="R40" s="53"/>
      <c r="S40" s="53"/>
    </row>
    <row r="41" spans="1:19">
      <c r="A41" s="66"/>
      <c r="B41" s="73"/>
      <c r="C41" s="73"/>
      <c r="D41" s="73"/>
      <c r="E41" s="74"/>
      <c r="F41" s="91"/>
      <c r="G41" s="92"/>
      <c r="H41" s="93"/>
      <c r="I41" s="94"/>
      <c r="J41" s="93"/>
    </row>
    <row r="42" spans="1:19">
      <c r="A42" s="66" t="s">
        <v>566</v>
      </c>
      <c r="B42" s="75">
        <f>'Summary Medians'!C10</f>
        <v>3150.9</v>
      </c>
      <c r="C42" s="75">
        <f>'Summary Medians'!C11</f>
        <v>3390</v>
      </c>
      <c r="D42" s="75">
        <f>'Summary Medians'!C12</f>
        <v>4128</v>
      </c>
      <c r="E42" s="75">
        <f>'Summary Medians'!C13</f>
        <v>4050</v>
      </c>
      <c r="F42" s="95">
        <f>+'Summary Medians'!$C$14</f>
        <v>3790</v>
      </c>
      <c r="G42" s="76">
        <f>+'Summary Medians'!$C$15</f>
        <v>3678</v>
      </c>
      <c r="H42" s="75">
        <f>+'Summary Medians'!$C$16</f>
        <v>2340</v>
      </c>
      <c r="I42" s="96">
        <f>+'Summary Medians'!$C$17</f>
        <v>6058</v>
      </c>
      <c r="J42" s="76">
        <f>+'Summary Medians'!$C$18</f>
        <v>3726</v>
      </c>
      <c r="L42" s="53"/>
      <c r="M42" s="53"/>
      <c r="N42" s="53"/>
      <c r="O42" s="53"/>
      <c r="P42" s="53"/>
      <c r="Q42" s="53"/>
      <c r="R42" s="53"/>
      <c r="S42" s="53"/>
    </row>
    <row r="43" spans="1:19">
      <c r="A43" s="66"/>
      <c r="B43" s="77"/>
      <c r="C43" s="77"/>
      <c r="D43" s="77"/>
      <c r="E43" s="77"/>
      <c r="F43" s="97"/>
      <c r="G43" s="79"/>
      <c r="H43" s="77"/>
      <c r="I43" s="98"/>
      <c r="J43" s="79"/>
    </row>
    <row r="44" spans="1:19">
      <c r="A44" s="66" t="s">
        <v>567</v>
      </c>
      <c r="B44" s="77" t="str">
        <f>'Summary Medians'!C27</f>
        <v xml:space="preserve"> </v>
      </c>
      <c r="C44" s="77">
        <f>'Summary Medians'!C28</f>
        <v>4920</v>
      </c>
      <c r="D44" s="77">
        <f>'Summary Medians'!C29</f>
        <v>4860</v>
      </c>
      <c r="E44" s="77">
        <f>'Summary Medians'!C30</f>
        <v>4860</v>
      </c>
      <c r="F44" s="97">
        <f>+'Summary Medians'!$C$31</f>
        <v>4860</v>
      </c>
      <c r="G44" s="79">
        <f>+'Summary Medians'!$C$32</f>
        <v>4770</v>
      </c>
      <c r="H44" s="77">
        <f>+'Summary Medians'!$C$33</f>
        <v>4900</v>
      </c>
      <c r="I44" s="98" t="str">
        <f>+'Summary Medians'!$C$34</f>
        <v xml:space="preserve"> </v>
      </c>
      <c r="J44" s="79">
        <f>'Summary Medians'!$C$35</f>
        <v>4865</v>
      </c>
      <c r="L44" s="53"/>
      <c r="M44" s="53"/>
      <c r="N44" s="53"/>
      <c r="O44" s="53"/>
      <c r="P44" s="53"/>
      <c r="Q44" s="53"/>
      <c r="R44" s="53"/>
      <c r="S44" s="53"/>
    </row>
    <row r="45" spans="1:19">
      <c r="A45" s="66" t="s">
        <v>568</v>
      </c>
      <c r="B45" s="77" t="str">
        <f>'Summary Medians'!C44</f>
        <v xml:space="preserve"> </v>
      </c>
      <c r="C45" s="77">
        <f>'Summary Medians'!C45</f>
        <v>3258</v>
      </c>
      <c r="D45" s="77">
        <f>'Summary Medians'!C46</f>
        <v>4665</v>
      </c>
      <c r="E45" s="77">
        <f>'Summary Medians'!C47</f>
        <v>3570</v>
      </c>
      <c r="F45" s="97">
        <f>+'Summary Medians'!$C$48</f>
        <v>3600</v>
      </c>
      <c r="G45" s="79" t="str">
        <f>+'Summary Medians'!$C$49</f>
        <v xml:space="preserve"> </v>
      </c>
      <c r="H45" s="77" t="str">
        <f>+'Summary Medians'!$C$50</f>
        <v xml:space="preserve"> </v>
      </c>
      <c r="I45" s="98" t="str">
        <f>+'Summary Medians'!$C$51</f>
        <v xml:space="preserve"> </v>
      </c>
      <c r="J45" s="79"/>
    </row>
    <row r="46" spans="1:19">
      <c r="A46" s="66" t="s">
        <v>569</v>
      </c>
      <c r="B46" s="77">
        <f>'Summary Medians'!C61</f>
        <v>4945</v>
      </c>
      <c r="C46" s="77" t="str">
        <f>'Summary Medians'!C62</f>
        <v xml:space="preserve"> </v>
      </c>
      <c r="D46" s="77" t="str">
        <f>'Summary Medians'!C63</f>
        <v xml:space="preserve"> </v>
      </c>
      <c r="E46" s="77" t="str">
        <f>'Summary Medians'!C64</f>
        <v xml:space="preserve"> </v>
      </c>
      <c r="F46" s="97">
        <f>+'Summary Medians'!$C$65</f>
        <v>4945</v>
      </c>
      <c r="G46" s="79" t="str">
        <f>+'Summary Medians'!$C$66</f>
        <v xml:space="preserve"> </v>
      </c>
      <c r="H46" s="77" t="str">
        <f>+'Summary Medians'!$C$67</f>
        <v xml:space="preserve"> </v>
      </c>
      <c r="I46" s="98" t="str">
        <f>+'Summary Medians'!$C$68</f>
        <v xml:space="preserve"> </v>
      </c>
      <c r="J46" s="79" t="str">
        <f>+'Summary Medians'!$C$69</f>
        <v xml:space="preserve"> </v>
      </c>
      <c r="L46" s="53"/>
      <c r="M46" s="53"/>
      <c r="N46" s="53"/>
      <c r="O46" s="53"/>
      <c r="P46" s="53"/>
      <c r="Q46" s="53"/>
      <c r="R46" s="53"/>
      <c r="S46" s="53"/>
    </row>
    <row r="47" spans="1:19">
      <c r="A47" s="66" t="s">
        <v>570</v>
      </c>
      <c r="B47" s="77">
        <f>'Summary Medians'!C78</f>
        <v>3129</v>
      </c>
      <c r="C47" s="77">
        <f>'Summary Medians'!C79</f>
        <v>3070.2</v>
      </c>
      <c r="D47" s="77" t="str">
        <f>'Summary Medians'!C80</f>
        <v xml:space="preserve"> </v>
      </c>
      <c r="E47" s="77">
        <f>'Summary Medians'!C81</f>
        <v>3135.3</v>
      </c>
      <c r="F47" s="97">
        <f>+'Summary Medians'!$C$82</f>
        <v>3121.3500000000004</v>
      </c>
      <c r="G47" s="79" t="str">
        <f>+'Summary Medians'!$C$83</f>
        <v xml:space="preserve"> </v>
      </c>
      <c r="H47" s="77" t="str">
        <f>+'Summary Medians'!$C$84</f>
        <v xml:space="preserve"> </v>
      </c>
      <c r="I47" s="98" t="str">
        <f>+'Summary Medians'!$C$85</f>
        <v xml:space="preserve"> </v>
      </c>
      <c r="J47" s="79" t="str">
        <f>+'Summary Medians'!$C$86</f>
        <v xml:space="preserve"> </v>
      </c>
    </row>
    <row r="48" spans="1:19">
      <c r="A48" s="66"/>
      <c r="B48" s="77"/>
      <c r="C48" s="77"/>
      <c r="D48" s="77"/>
      <c r="E48" s="77"/>
      <c r="F48" s="97"/>
      <c r="G48" s="79"/>
      <c r="H48" s="77"/>
      <c r="I48" s="98"/>
      <c r="J48" s="79"/>
    </row>
    <row r="49" spans="1:19">
      <c r="A49" s="66" t="s">
        <v>571</v>
      </c>
      <c r="B49" s="77">
        <f>'Summary Medians'!C95</f>
        <v>3897</v>
      </c>
      <c r="C49" s="77" t="str">
        <f>'Summary Medians'!C96</f>
        <v xml:space="preserve"> </v>
      </c>
      <c r="D49" s="77" t="str">
        <f>'Summary Medians'!C97</f>
        <v xml:space="preserve"> </v>
      </c>
      <c r="E49" s="77" t="str">
        <f>'Summary Medians'!C98</f>
        <v xml:space="preserve"> </v>
      </c>
      <c r="F49" s="97">
        <f>+'Summary Medians'!$C$99</f>
        <v>3897</v>
      </c>
      <c r="G49" s="79">
        <f>+'Summary Medians'!$C$100</f>
        <v>3664</v>
      </c>
      <c r="H49" s="77" t="str">
        <f>+'Summary Medians'!$C$101</f>
        <v xml:space="preserve"> </v>
      </c>
      <c r="I49" s="98" t="str">
        <f>+'Summary Medians'!$C$102</f>
        <v xml:space="preserve"> </v>
      </c>
      <c r="J49" s="79">
        <f>+'Summary Medians'!$C$103</f>
        <v>3664</v>
      </c>
    </row>
    <row r="50" spans="1:19">
      <c r="A50" s="66" t="s">
        <v>572</v>
      </c>
      <c r="B50" s="77" t="str">
        <f>'Summary Medians'!C112</f>
        <v xml:space="preserve"> </v>
      </c>
      <c r="C50" s="77">
        <f>'Summary Medians'!C113</f>
        <v>5610</v>
      </c>
      <c r="D50" s="77">
        <f>'Summary Medians'!C114</f>
        <v>5610</v>
      </c>
      <c r="E50" s="77">
        <f>'Summary Medians'!C115</f>
        <v>5610</v>
      </c>
      <c r="F50" s="97">
        <f>+'Summary Medians'!$C$116</f>
        <v>5610</v>
      </c>
      <c r="G50" s="79">
        <f>+'Summary Medians'!$C$117</f>
        <v>5610</v>
      </c>
      <c r="H50" s="77" t="str">
        <f>+'Summary Medians'!$C$118</f>
        <v xml:space="preserve"> </v>
      </c>
      <c r="I50" s="98" t="str">
        <f>+'Summary Medians'!$C$119</f>
        <v xml:space="preserve"> </v>
      </c>
      <c r="J50" s="79">
        <f>+'Summary Medians'!$C$120</f>
        <v>5610</v>
      </c>
      <c r="L50" s="53"/>
      <c r="M50" s="53"/>
      <c r="N50" s="53"/>
      <c r="O50" s="53"/>
      <c r="P50" s="53"/>
      <c r="Q50" s="53"/>
      <c r="R50" s="53"/>
      <c r="S50" s="53"/>
    </row>
    <row r="51" spans="1:19">
      <c r="A51" s="66" t="s">
        <v>573</v>
      </c>
      <c r="B51" s="77" t="str">
        <f>'Summary Medians'!C129</f>
        <v xml:space="preserve"> </v>
      </c>
      <c r="C51" s="77">
        <f>'Summary Medians'!C130</f>
        <v>4250.2</v>
      </c>
      <c r="D51" s="77">
        <f>'Summary Medians'!C131</f>
        <v>4283.04</v>
      </c>
      <c r="E51" s="77">
        <f>'Summary Medians'!C132</f>
        <v>4218.04</v>
      </c>
      <c r="F51" s="97">
        <f>+'Summary Medians'!$C$133</f>
        <v>4279.04</v>
      </c>
      <c r="G51" s="79">
        <f>+'Summary Medians'!$C$134</f>
        <v>4114.04</v>
      </c>
      <c r="H51" s="77">
        <f>+'Summary Medians'!$C$135</f>
        <v>4109.3500000000004</v>
      </c>
      <c r="I51" s="98" t="str">
        <f>+'Summary Medians'!$C$136</f>
        <v xml:space="preserve"> </v>
      </c>
      <c r="J51" s="79">
        <f>+'Summary Medians'!$C$137</f>
        <v>4109.3500000000004</v>
      </c>
    </row>
    <row r="52" spans="1:19">
      <c r="A52" s="66" t="s">
        <v>574</v>
      </c>
      <c r="B52" s="77" t="str">
        <f>'Summary Medians'!C146</f>
        <v xml:space="preserve"> </v>
      </c>
      <c r="C52" s="77">
        <f>'Summary Medians'!C147</f>
        <v>5016</v>
      </c>
      <c r="D52" s="77">
        <f>'Summary Medians'!C148</f>
        <v>4726</v>
      </c>
      <c r="E52" s="77">
        <f>'Summary Medians'!C149</f>
        <v>4770</v>
      </c>
      <c r="F52" s="97">
        <f>+'Summary Medians'!$C$150</f>
        <v>4776.5</v>
      </c>
      <c r="G52" s="79" t="str">
        <f>+'Summary Medians'!$C$151</f>
        <v xml:space="preserve"> </v>
      </c>
      <c r="H52" s="77" t="str">
        <f>+'Summary Medians'!$C$152</f>
        <v xml:space="preserve"> </v>
      </c>
      <c r="I52" s="98" t="str">
        <f>+'Summary Medians'!$C$153</f>
        <v xml:space="preserve"> </v>
      </c>
      <c r="J52" s="79" t="str">
        <f>+'Summary Medians'!$C$154</f>
        <v xml:space="preserve"> </v>
      </c>
      <c r="L52" s="53"/>
      <c r="M52" s="53"/>
      <c r="N52" s="53"/>
      <c r="O52" s="53"/>
      <c r="P52" s="53"/>
      <c r="Q52" s="53"/>
      <c r="R52" s="53"/>
      <c r="S52" s="53"/>
    </row>
    <row r="53" spans="1:19">
      <c r="A53" s="66"/>
      <c r="B53" s="77"/>
      <c r="C53" s="77"/>
      <c r="D53" s="77"/>
      <c r="E53" s="77"/>
      <c r="F53" s="97"/>
      <c r="G53" s="79"/>
      <c r="H53" s="77"/>
      <c r="I53" s="98"/>
      <c r="J53" s="79"/>
      <c r="L53" s="53"/>
      <c r="M53" s="53"/>
      <c r="N53" s="53"/>
      <c r="O53" s="53"/>
      <c r="P53" s="53"/>
      <c r="Q53" s="53"/>
      <c r="R53" s="53"/>
      <c r="S53" s="53"/>
    </row>
    <row r="54" spans="1:19">
      <c r="A54" s="66" t="s">
        <v>575</v>
      </c>
      <c r="B54" s="77" t="str">
        <f>'Summary Medians'!C163</f>
        <v xml:space="preserve"> </v>
      </c>
      <c r="C54" s="77">
        <f>'Summary Medians'!C164</f>
        <v>3345</v>
      </c>
      <c r="D54" s="77">
        <f>'Summary Medians'!C165</f>
        <v>3410</v>
      </c>
      <c r="E54" s="77">
        <f>'Summary Medians'!C166</f>
        <v>3225</v>
      </c>
      <c r="F54" s="97">
        <f>+'Summary Medians'!$C$167</f>
        <v>3380</v>
      </c>
      <c r="G54" s="79" t="str">
        <f>+'Summary Medians'!$C$168</f>
        <v xml:space="preserve"> </v>
      </c>
      <c r="H54" s="77" t="str">
        <f>+'Summary Medians'!$C$169</f>
        <v xml:space="preserve"> </v>
      </c>
      <c r="I54" s="98" t="str">
        <f>+'Summary Medians'!$C$170</f>
        <v xml:space="preserve"> </v>
      </c>
      <c r="J54" s="79" t="str">
        <f>+'Summary Medians'!$C$171</f>
        <v xml:space="preserve"> </v>
      </c>
      <c r="L54" s="53"/>
      <c r="M54" s="53"/>
      <c r="N54" s="53"/>
      <c r="O54" s="53"/>
      <c r="P54" s="53"/>
      <c r="Q54" s="53"/>
      <c r="R54" s="53"/>
      <c r="S54" s="53"/>
    </row>
    <row r="55" spans="1:19">
      <c r="A55" s="66" t="s">
        <v>576</v>
      </c>
      <c r="B55" s="77" t="str">
        <f>'Summary Medians'!C180</f>
        <v xml:space="preserve"> </v>
      </c>
      <c r="C55" s="77">
        <f>'Summary Medians'!C181</f>
        <v>2544</v>
      </c>
      <c r="D55" s="77">
        <f>'Summary Medians'!C182</f>
        <v>2554</v>
      </c>
      <c r="E55" s="77">
        <f>'Summary Medians'!C183</f>
        <v>2558</v>
      </c>
      <c r="F55" s="97">
        <f>+'Summary Medians'!$C$184</f>
        <v>2556</v>
      </c>
      <c r="G55" s="79" t="str">
        <f>+'Summary Medians'!$C$185</f>
        <v xml:space="preserve"> </v>
      </c>
      <c r="H55" s="77" t="str">
        <f>+'Summary Medians'!$C$186</f>
        <v xml:space="preserve"> </v>
      </c>
      <c r="I55" s="98" t="str">
        <f>+'Summary Medians'!$C$187</f>
        <v xml:space="preserve"> </v>
      </c>
      <c r="J55" s="77" t="str">
        <f>+'Summary Medians'!$C$188</f>
        <v xml:space="preserve"> </v>
      </c>
    </row>
    <row r="56" spans="1:19">
      <c r="A56" s="66" t="s">
        <v>577</v>
      </c>
      <c r="B56" s="77" t="str">
        <f>'Summary Medians'!C197</f>
        <v xml:space="preserve"> </v>
      </c>
      <c r="C56" s="77" t="str">
        <f>'Summary Medians'!C198</f>
        <v xml:space="preserve"> </v>
      </c>
      <c r="D56" s="77" t="str">
        <f>'Summary Medians'!C199</f>
        <v xml:space="preserve"> </v>
      </c>
      <c r="E56" s="77" t="str">
        <f>'Summary Medians'!C200</f>
        <v xml:space="preserve"> </v>
      </c>
      <c r="F56" s="97" t="str">
        <f>+'Summary Medians'!$C$201</f>
        <v xml:space="preserve"> </v>
      </c>
      <c r="G56" s="79">
        <f>+'Summary Medians'!$C$202</f>
        <v>1980</v>
      </c>
      <c r="H56" s="77">
        <f>+'Summary Medians'!$C$203</f>
        <v>1800</v>
      </c>
      <c r="I56" s="98" t="str">
        <f>+'Summary Medians'!$C$204</f>
        <v xml:space="preserve"> </v>
      </c>
      <c r="J56" s="77">
        <f>+'Summary Medians'!$C$205</f>
        <v>1800</v>
      </c>
      <c r="L56" s="53"/>
      <c r="M56" s="53"/>
      <c r="N56" s="53"/>
      <c r="O56" s="53"/>
      <c r="P56" s="53"/>
      <c r="Q56" s="53"/>
      <c r="R56" s="53"/>
      <c r="S56" s="53"/>
    </row>
    <row r="57" spans="1:19">
      <c r="A57" s="66" t="s">
        <v>578</v>
      </c>
      <c r="B57" s="77" t="str">
        <f>'Summary Medians'!C214</f>
        <v xml:space="preserve"> </v>
      </c>
      <c r="C57" s="77">
        <f>'Summary Medians'!C215</f>
        <v>5806</v>
      </c>
      <c r="D57" s="77">
        <f>'Summary Medians'!C216</f>
        <v>5705</v>
      </c>
      <c r="E57" s="77">
        <f>'Summary Medians'!C217</f>
        <v>6260</v>
      </c>
      <c r="F57" s="97">
        <f>+'Summary Medians'!$C$218</f>
        <v>5938.75</v>
      </c>
      <c r="G57" s="79" t="str">
        <f>+'Summary Medians'!$C$219</f>
        <v xml:space="preserve"> </v>
      </c>
      <c r="H57" s="77" t="str">
        <f>+'Summary Medians'!$C$220</f>
        <v xml:space="preserve"> </v>
      </c>
      <c r="I57" s="98" t="str">
        <f>+'Summary Medians'!$C$221</f>
        <v xml:space="preserve"> </v>
      </c>
      <c r="J57" s="77" t="str">
        <f>+'Summary Medians'!$C$222</f>
        <v xml:space="preserve"> </v>
      </c>
    </row>
    <row r="58" spans="1:19">
      <c r="A58" s="66"/>
      <c r="B58" s="77"/>
      <c r="C58" s="77"/>
      <c r="D58" s="77"/>
      <c r="E58" s="77"/>
      <c r="F58" s="97"/>
      <c r="G58" s="79"/>
      <c r="H58" s="77"/>
      <c r="I58" s="98"/>
      <c r="J58" s="77"/>
    </row>
    <row r="59" spans="1:19">
      <c r="A59" s="66" t="s">
        <v>579</v>
      </c>
      <c r="B59" s="77" t="str">
        <f>'Summary Medians'!C231</f>
        <v xml:space="preserve"> </v>
      </c>
      <c r="C59" s="77">
        <f>'Summary Medians'!C232</f>
        <v>4568</v>
      </c>
      <c r="D59" s="77">
        <f>'Summary Medians'!C233</f>
        <v>4552</v>
      </c>
      <c r="E59" s="77">
        <f>'Summary Medians'!C234</f>
        <v>4548</v>
      </c>
      <c r="F59" s="97">
        <f>+'Summary Medians'!$C$235</f>
        <v>4552</v>
      </c>
      <c r="G59" s="79" t="str">
        <f>+'Summary Medians'!$C$236</f>
        <v xml:space="preserve"> </v>
      </c>
      <c r="H59" s="77">
        <f>+'Summary Medians'!$C$237</f>
        <v>3936</v>
      </c>
      <c r="I59" s="98" t="str">
        <f>+'Summary Medians'!$C$238</f>
        <v xml:space="preserve"> </v>
      </c>
      <c r="J59" s="77">
        <f>+'Summary Medians'!$C$239</f>
        <v>3936</v>
      </c>
    </row>
    <row r="60" spans="1:19">
      <c r="A60" s="66" t="s">
        <v>589</v>
      </c>
      <c r="B60" s="77">
        <f>'Summary Medians'!C248</f>
        <v>2878</v>
      </c>
      <c r="C60" s="77">
        <f>'Summary Medians'!C249</f>
        <v>2918</v>
      </c>
      <c r="D60" s="77">
        <f>'Summary Medians'!C250</f>
        <v>3199</v>
      </c>
      <c r="E60" s="77">
        <f>'Summary Medians'!C251</f>
        <v>4046</v>
      </c>
      <c r="F60" s="97">
        <f>+'Summary Medians'!$C$252</f>
        <v>3140</v>
      </c>
      <c r="G60" s="79" t="str">
        <f>+'Summary Medians'!$C$253</f>
        <v xml:space="preserve"> </v>
      </c>
      <c r="H60" s="77" t="str">
        <f>+'Summary Medians'!$C$254</f>
        <v xml:space="preserve"> </v>
      </c>
      <c r="I60" s="98" t="str">
        <f>+'Summary Medians'!$C$255</f>
        <v xml:space="preserve"> </v>
      </c>
      <c r="J60" s="77" t="str">
        <f>+'Summary Medians'!$C$256</f>
        <v xml:space="preserve"> </v>
      </c>
      <c r="L60" s="53"/>
      <c r="M60" s="53"/>
      <c r="N60" s="53"/>
      <c r="O60" s="53"/>
      <c r="P60" s="53"/>
      <c r="Q60" s="53"/>
      <c r="R60" s="53"/>
      <c r="S60" s="53"/>
    </row>
    <row r="61" spans="1:19">
      <c r="A61" s="66" t="s">
        <v>590</v>
      </c>
      <c r="B61" s="77" t="str">
        <f>'Summary Medians'!C265</f>
        <v xml:space="preserve"> </v>
      </c>
      <c r="C61" s="77">
        <f>'Summary Medians'!C266</f>
        <v>4620.1000000000004</v>
      </c>
      <c r="D61" s="77">
        <f>'Summary Medians'!C267</f>
        <v>4620.1000000000004</v>
      </c>
      <c r="E61" s="77">
        <f>'Summary Medians'!C268</f>
        <v>4620.1000000000004</v>
      </c>
      <c r="F61" s="97">
        <f>+'Summary Medians'!$C$269</f>
        <v>4620.1000000000004</v>
      </c>
      <c r="G61" s="79" t="str">
        <f>+'Summary Medians'!$C$270</f>
        <v xml:space="preserve"> </v>
      </c>
      <c r="H61" s="77" t="str">
        <f>+'Summary Medians'!$C$271</f>
        <v xml:space="preserve"> </v>
      </c>
      <c r="I61" s="98" t="str">
        <f>+'Summary Medians'!$C$272</f>
        <v xml:space="preserve"> </v>
      </c>
      <c r="J61" s="77" t="str">
        <f>+'Summary Medians'!$C$273</f>
        <v xml:space="preserve"> </v>
      </c>
    </row>
    <row r="62" spans="1:19">
      <c r="A62" s="80" t="s">
        <v>582</v>
      </c>
      <c r="B62" s="81">
        <f>'Summary Medians'!C282</f>
        <v>4238</v>
      </c>
      <c r="C62" s="81" t="str">
        <f>'Summary Medians'!C283</f>
        <v xml:space="preserve"> </v>
      </c>
      <c r="D62" s="81">
        <f>'Summary Medians'!C284</f>
        <v>4128</v>
      </c>
      <c r="E62" s="81">
        <f>'Summary Medians'!C285</f>
        <v>4372</v>
      </c>
      <c r="F62" s="99">
        <f>+'Summary Medians'!$C$286</f>
        <v>4250</v>
      </c>
      <c r="G62" s="82" t="str">
        <f>+'Summary Medians'!$C$287</f>
        <v xml:space="preserve"> </v>
      </c>
      <c r="H62" s="81" t="str">
        <f>+'Summary Medians'!$C$288</f>
        <v xml:space="preserve"> </v>
      </c>
      <c r="I62" s="100">
        <f>+'Summary Medians'!$C$289</f>
        <v>6058</v>
      </c>
      <c r="J62" s="81">
        <f>+'Summary Medians'!$C$290</f>
        <v>6058</v>
      </c>
      <c r="L62" s="53"/>
      <c r="M62" s="53"/>
      <c r="N62" s="53"/>
      <c r="O62" s="53"/>
      <c r="P62" s="53"/>
      <c r="Q62" s="53"/>
      <c r="R62" s="53"/>
      <c r="S62" s="53"/>
    </row>
    <row r="63" spans="1:19" ht="18.75" customHeight="1">
      <c r="A63" s="101" t="s">
        <v>591</v>
      </c>
      <c r="B63" s="102"/>
      <c r="C63" s="102"/>
      <c r="D63" s="102"/>
      <c r="E63" s="102"/>
      <c r="F63" s="102"/>
      <c r="G63" s="102"/>
      <c r="H63" s="102"/>
      <c r="I63" s="102"/>
      <c r="J63" s="102"/>
    </row>
    <row r="64" spans="1:19" ht="61.5" customHeight="1">
      <c r="A64" s="544" t="s">
        <v>592</v>
      </c>
      <c r="B64" s="544"/>
      <c r="C64" s="544"/>
      <c r="D64" s="544"/>
      <c r="E64" s="544"/>
      <c r="F64" s="544"/>
      <c r="G64" s="544"/>
      <c r="H64" s="544"/>
      <c r="I64" s="544"/>
      <c r="J64" s="544"/>
      <c r="L64" s="53"/>
      <c r="M64" s="53"/>
      <c r="N64" s="53"/>
      <c r="O64" s="53"/>
      <c r="P64" s="53"/>
      <c r="Q64" s="53"/>
      <c r="R64" s="53"/>
      <c r="S64" s="53"/>
    </row>
    <row r="65" spans="1:19">
      <c r="J65" s="83" t="s">
        <v>1054</v>
      </c>
    </row>
    <row r="66" spans="1:19" ht="18">
      <c r="A66" s="62" t="s">
        <v>593</v>
      </c>
      <c r="B66" s="62"/>
      <c r="C66" s="62"/>
      <c r="D66" s="62"/>
      <c r="E66" s="62"/>
      <c r="F66" s="62"/>
      <c r="G66" s="62"/>
      <c r="H66" s="62"/>
      <c r="L66" s="53"/>
      <c r="M66" s="53"/>
      <c r="N66" s="53"/>
      <c r="O66" s="53"/>
      <c r="P66" s="53"/>
      <c r="Q66" s="53"/>
      <c r="R66" s="53"/>
      <c r="S66" s="53"/>
    </row>
    <row r="67" spans="1:19">
      <c r="A67" s="64"/>
      <c r="B67" s="64"/>
      <c r="C67" s="64"/>
      <c r="D67" s="64"/>
      <c r="E67" s="64"/>
      <c r="F67" s="64"/>
      <c r="G67" s="64"/>
      <c r="H67" s="64"/>
    </row>
    <row r="68" spans="1:19" ht="15.75">
      <c r="A68" s="65" t="s">
        <v>562</v>
      </c>
      <c r="B68" s="65"/>
      <c r="C68" s="65"/>
      <c r="D68" s="65"/>
      <c r="E68" s="65"/>
      <c r="F68" s="65"/>
      <c r="G68" s="65"/>
      <c r="H68" s="65"/>
      <c r="L68" s="53"/>
      <c r="M68" s="53"/>
      <c r="N68" s="53"/>
      <c r="O68" s="53"/>
      <c r="P68" s="53"/>
      <c r="Q68" s="53"/>
      <c r="R68" s="53"/>
      <c r="S68" s="53"/>
    </row>
    <row r="69" spans="1:19" ht="15.75">
      <c r="A69" s="65" t="s">
        <v>594</v>
      </c>
      <c r="B69" s="65"/>
      <c r="C69" s="65"/>
      <c r="D69" s="65"/>
      <c r="E69" s="65"/>
      <c r="F69" s="65"/>
      <c r="G69" s="65"/>
      <c r="H69" s="65"/>
    </row>
    <row r="70" spans="1:19" ht="15.75">
      <c r="A70" s="65" t="s">
        <v>890</v>
      </c>
      <c r="B70" s="65"/>
      <c r="C70" s="65"/>
      <c r="D70" s="65"/>
      <c r="E70" s="65"/>
      <c r="F70" s="65"/>
      <c r="G70" s="65"/>
      <c r="H70" s="65"/>
      <c r="L70" s="53"/>
      <c r="M70" s="53"/>
      <c r="N70" s="53"/>
      <c r="O70" s="53"/>
      <c r="P70" s="53"/>
      <c r="Q70" s="53"/>
      <c r="R70" s="53"/>
      <c r="S70" s="53"/>
    </row>
    <row r="71" spans="1:19">
      <c r="A71" s="103"/>
      <c r="B71" s="103"/>
      <c r="C71" s="103"/>
      <c r="D71" s="103"/>
      <c r="E71" s="103"/>
      <c r="F71" s="103"/>
      <c r="G71" s="103"/>
      <c r="H71" s="103"/>
    </row>
    <row r="72" spans="1:19">
      <c r="A72" s="67"/>
      <c r="B72" s="68" t="s">
        <v>564</v>
      </c>
      <c r="C72" s="68"/>
      <c r="D72" s="68"/>
      <c r="E72" s="68"/>
      <c r="F72" s="68"/>
      <c r="G72" s="68"/>
      <c r="H72" s="68"/>
      <c r="L72" s="53"/>
      <c r="M72" s="53"/>
      <c r="N72" s="53"/>
      <c r="O72" s="53"/>
      <c r="P72" s="53"/>
      <c r="Q72" s="53"/>
      <c r="R72" s="53"/>
      <c r="S72" s="53"/>
    </row>
    <row r="73" spans="1:19">
      <c r="A73" s="69"/>
      <c r="B73" s="70">
        <v>1</v>
      </c>
      <c r="C73" s="70">
        <v>2</v>
      </c>
      <c r="D73" s="70">
        <v>3</v>
      </c>
      <c r="E73" s="70">
        <v>4</v>
      </c>
      <c r="F73" s="70">
        <v>5</v>
      </c>
      <c r="G73" s="70">
        <v>6</v>
      </c>
      <c r="H73" s="104" t="s">
        <v>565</v>
      </c>
    </row>
    <row r="74" spans="1:19" ht="15.75">
      <c r="A74" s="105"/>
      <c r="B74" s="105"/>
      <c r="C74" s="105"/>
      <c r="D74" s="105"/>
      <c r="E74" s="105"/>
      <c r="F74" s="105"/>
      <c r="G74" s="106"/>
      <c r="H74" s="105"/>
      <c r="L74" s="53"/>
      <c r="M74" s="53"/>
      <c r="N74" s="53"/>
      <c r="O74" s="53"/>
      <c r="P74" s="53"/>
      <c r="Q74" s="53"/>
      <c r="R74" s="53"/>
      <c r="S74" s="53"/>
    </row>
    <row r="75" spans="1:19">
      <c r="A75" s="66" t="s">
        <v>566</v>
      </c>
      <c r="B75" s="75">
        <f>+'Summary Medians'!$F$3</f>
        <v>30602</v>
      </c>
      <c r="C75" s="75">
        <f>+'Summary Medians'!$F$4</f>
        <v>23516</v>
      </c>
      <c r="D75" s="75">
        <f>+'Summary Medians'!$F$5</f>
        <v>21396</v>
      </c>
      <c r="E75" s="75">
        <f>+'Summary Medians'!$F$6</f>
        <v>19443</v>
      </c>
      <c r="F75" s="75">
        <f>+'Summary Medians'!$F$7</f>
        <v>20285</v>
      </c>
      <c r="G75" s="75">
        <f>+'Summary Medians'!$F$8</f>
        <v>15501.5</v>
      </c>
      <c r="H75" s="107">
        <f>+'Summary Medians'!$F$9</f>
        <v>21444</v>
      </c>
    </row>
    <row r="76" spans="1:19">
      <c r="A76" s="66"/>
      <c r="B76" s="77"/>
      <c r="C76" s="77"/>
      <c r="D76" s="77"/>
      <c r="E76" s="77"/>
      <c r="F76" s="77"/>
      <c r="G76" s="108"/>
      <c r="H76" s="77"/>
      <c r="L76" s="53"/>
      <c r="M76" s="53"/>
      <c r="N76" s="53"/>
      <c r="O76" s="53"/>
      <c r="P76" s="53"/>
      <c r="Q76" s="53"/>
      <c r="R76" s="53"/>
      <c r="S76" s="53"/>
    </row>
    <row r="77" spans="1:19">
      <c r="A77" s="66" t="s">
        <v>567</v>
      </c>
      <c r="B77" s="77">
        <f>+'Summary Medians'!$F$20</f>
        <v>31090</v>
      </c>
      <c r="C77" s="77">
        <f>+'Summary Medians'!$F$21</f>
        <v>21837</v>
      </c>
      <c r="D77" s="77">
        <f>+'Summary Medians'!$F$22</f>
        <v>20840</v>
      </c>
      <c r="E77" s="77">
        <f>+'Summary Medians'!$F$23</f>
        <v>19743</v>
      </c>
      <c r="F77" s="77">
        <f>+'Summary Medians'!$F$24</f>
        <v>20309</v>
      </c>
      <c r="G77" s="77" t="str">
        <f>+'Summary Medians'!$F$25</f>
        <v xml:space="preserve"> </v>
      </c>
      <c r="H77" s="109">
        <f>+'Summary Medians'!$F$26</f>
        <v>20850</v>
      </c>
    </row>
    <row r="78" spans="1:19">
      <c r="A78" s="66" t="s">
        <v>568</v>
      </c>
      <c r="B78" s="77">
        <f>+'Summary Medians'!$F$37</f>
        <v>25873</v>
      </c>
      <c r="C78" s="77">
        <f>+'Summary Medians'!$F$38</f>
        <v>21784</v>
      </c>
      <c r="D78" s="77">
        <f>+'Summary Medians'!$F$39</f>
        <v>15998</v>
      </c>
      <c r="E78" s="77">
        <f>+'Summary Medians'!$F$40</f>
        <v>13480</v>
      </c>
      <c r="F78" s="77" t="str">
        <f>+'Summary Medians'!$F$41</f>
        <v xml:space="preserve"> </v>
      </c>
      <c r="G78" s="77">
        <f>+'Summary Medians'!$F$42</f>
        <v>15501.5</v>
      </c>
      <c r="H78" s="109">
        <f>+'Summary Medians'!$F$43</f>
        <v>15929</v>
      </c>
    </row>
    <row r="79" spans="1:19">
      <c r="A79" s="66" t="s">
        <v>569</v>
      </c>
      <c r="B79" s="77">
        <f>+'Summary Medians'!$F$54</f>
        <v>36090</v>
      </c>
      <c r="C79" s="77" t="str">
        <f>+'Summary Medians'!$F$55</f>
        <v xml:space="preserve"> </v>
      </c>
      <c r="D79" s="77">
        <f>+'Summary Medians'!$F$56</f>
        <v>18280</v>
      </c>
      <c r="E79" s="77" t="str">
        <f>+'Summary Medians'!$F$57</f>
        <v xml:space="preserve"> </v>
      </c>
      <c r="F79" s="77" t="str">
        <f>+'Summary Medians'!$F$58</f>
        <v xml:space="preserve"> </v>
      </c>
      <c r="G79" s="77" t="str">
        <f>+'Summary Medians'!$F$59</f>
        <v xml:space="preserve"> </v>
      </c>
      <c r="H79" s="109">
        <f>+'Summary Medians'!$F$60</f>
        <v>27185</v>
      </c>
    </row>
    <row r="80" spans="1:19">
      <c r="A80" s="66" t="s">
        <v>570</v>
      </c>
      <c r="B80" s="77" t="str">
        <f>+'Summary Medians'!$F$71</f>
        <v xml:space="preserve"> </v>
      </c>
      <c r="C80" s="77" t="str">
        <f>+'Summary Medians'!$F$72</f>
        <v xml:space="preserve"> </v>
      </c>
      <c r="D80" s="77" t="str">
        <f>+'Summary Medians'!$F$73</f>
        <v xml:space="preserve"> </v>
      </c>
      <c r="E80" s="77" t="str">
        <f>+'Summary Medians'!$F$74</f>
        <v xml:space="preserve"> </v>
      </c>
      <c r="F80" s="77" t="str">
        <f>+'Summary Medians'!$F$75</f>
        <v xml:space="preserve"> </v>
      </c>
      <c r="G80" s="77" t="str">
        <f>+'Summary Medians'!$F$76</f>
        <v xml:space="preserve"> </v>
      </c>
      <c r="H80" s="109" t="str">
        <f>+'Summary Medians'!$F$77</f>
        <v xml:space="preserve"> </v>
      </c>
    </row>
    <row r="81" spans="1:8">
      <c r="A81" s="66"/>
      <c r="B81" s="77"/>
      <c r="C81" s="77"/>
      <c r="D81" s="77"/>
      <c r="E81" s="77"/>
      <c r="F81" s="77"/>
      <c r="G81" s="77"/>
      <c r="H81" s="109"/>
    </row>
    <row r="82" spans="1:8">
      <c r="A82" s="66" t="s">
        <v>571</v>
      </c>
      <c r="B82" s="77">
        <f>+'Summary Medians'!$F$88</f>
        <v>30617</v>
      </c>
      <c r="C82" s="77">
        <f>+'Summary Medians'!$F$89</f>
        <v>33964</v>
      </c>
      <c r="D82" s="77">
        <f>+'Summary Medians'!$F$90</f>
        <v>21463</v>
      </c>
      <c r="E82" s="77">
        <f>+'Summary Medians'!$F$91</f>
        <v>21152</v>
      </c>
      <c r="F82" s="77">
        <f>+'Summary Medians'!$F$92</f>
        <v>20250</v>
      </c>
      <c r="G82" s="77">
        <f>+'Summary Medians'!$F$93</f>
        <v>13062</v>
      </c>
      <c r="H82" s="109">
        <f>+'Summary Medians'!$F$94</f>
        <v>20752</v>
      </c>
    </row>
    <row r="83" spans="1:8">
      <c r="A83" s="66" t="s">
        <v>572</v>
      </c>
      <c r="B83" s="77">
        <f>+'Summary Medians'!$F$105</f>
        <v>29901</v>
      </c>
      <c r="C83" s="77" t="str">
        <f>+'Summary Medians'!$F$106</f>
        <v xml:space="preserve"> </v>
      </c>
      <c r="D83" s="77">
        <f>+'Summary Medians'!$F$107</f>
        <v>19938</v>
      </c>
      <c r="E83" s="77">
        <f>+'Summary Medians'!$F$108</f>
        <v>12650</v>
      </c>
      <c r="F83" s="77" t="str">
        <f>+'Summary Medians'!$F$109</f>
        <v xml:space="preserve"> </v>
      </c>
      <c r="G83" s="77" t="str">
        <f>+'Summary Medians'!$F$110</f>
        <v xml:space="preserve"> </v>
      </c>
      <c r="H83" s="109">
        <f>+'Summary Medians'!$F$111</f>
        <v>20097</v>
      </c>
    </row>
    <row r="84" spans="1:8">
      <c r="A84" s="66" t="s">
        <v>573</v>
      </c>
      <c r="B84" s="77">
        <f>+'Summary Medians'!$F$122</f>
        <v>28639</v>
      </c>
      <c r="C84" s="77">
        <f>+'Summary Medians'!$F$123</f>
        <v>19547.2</v>
      </c>
      <c r="D84" s="77">
        <f>+'Summary Medians'!$F$124</f>
        <v>20336</v>
      </c>
      <c r="E84" s="77">
        <f>+'Summary Medians'!$F$125</f>
        <v>18074</v>
      </c>
      <c r="F84" s="77">
        <f>+'Summary Medians'!$F$126</f>
        <v>16188.34</v>
      </c>
      <c r="G84" s="77">
        <f>+'Summary Medians'!$F$127</f>
        <v>14175.86</v>
      </c>
      <c r="H84" s="109">
        <f>+'Summary Medians'!$F$128</f>
        <v>19518.599999999999</v>
      </c>
    </row>
    <row r="85" spans="1:8">
      <c r="A85" s="66" t="s">
        <v>574</v>
      </c>
      <c r="B85" s="77">
        <f>+'Summary Medians'!$F$139</f>
        <v>36891</v>
      </c>
      <c r="C85" s="77">
        <f>+'Summary Medians'!$F$140</f>
        <v>22881</v>
      </c>
      <c r="D85" s="77">
        <f>+'Summary Medians'!$F$141</f>
        <v>22895</v>
      </c>
      <c r="E85" s="77">
        <f>+'Summary Medians'!$F$142</f>
        <v>19623</v>
      </c>
      <c r="F85" s="77">
        <f>+'Summary Medians'!$F$143</f>
        <v>13113</v>
      </c>
      <c r="G85" s="77">
        <f>+'Summary Medians'!$F$144</f>
        <v>31200</v>
      </c>
      <c r="H85" s="109">
        <f>+'Summary Medians'!$F$145</f>
        <v>21456</v>
      </c>
    </row>
    <row r="86" spans="1:8">
      <c r="A86" s="66"/>
      <c r="B86" s="77"/>
      <c r="C86" s="77"/>
      <c r="D86" s="77"/>
      <c r="E86" s="77"/>
      <c r="F86" s="77"/>
      <c r="G86" s="77"/>
      <c r="H86" s="109"/>
    </row>
    <row r="87" spans="1:8">
      <c r="A87" s="66" t="s">
        <v>575</v>
      </c>
      <c r="B87" s="77">
        <f>+'Summary Medians'!$F$156</f>
        <v>23950</v>
      </c>
      <c r="C87" s="77">
        <f>+'Summary Medians'!$F$157</f>
        <v>9445</v>
      </c>
      <c r="D87" s="77" t="str">
        <f>+'Summary Medians'!$F$158</f>
        <v xml:space="preserve"> </v>
      </c>
      <c r="E87" s="77">
        <f>+'Summary Medians'!$F$159</f>
        <v>7716</v>
      </c>
      <c r="F87" s="77" t="str">
        <f>+'Summary Medians'!$F$160</f>
        <v xml:space="preserve"> </v>
      </c>
      <c r="G87" s="77" t="str">
        <f>+'Summary Medians'!$F$161</f>
        <v xml:space="preserve"> </v>
      </c>
      <c r="H87" s="109">
        <f>+'Summary Medians'!$F$162</f>
        <v>8783</v>
      </c>
    </row>
    <row r="88" spans="1:8">
      <c r="A88" s="66" t="s">
        <v>576</v>
      </c>
      <c r="B88" s="77">
        <f>+'Summary Medians'!$F$173</f>
        <v>25891</v>
      </c>
      <c r="C88" s="77">
        <f>+'Summary Medians'!$F$174</f>
        <v>21841.5</v>
      </c>
      <c r="D88" s="77">
        <f>+'Summary Medians'!$F$175</f>
        <v>20291</v>
      </c>
      <c r="E88" s="77">
        <f>+'Summary Medians'!$F$176</f>
        <v>16917</v>
      </c>
      <c r="F88" s="77">
        <f>+'Summary Medians'!$F$177</f>
        <v>11822</v>
      </c>
      <c r="G88" s="77">
        <f>+'Summary Medians'!$F$178</f>
        <v>15926</v>
      </c>
      <c r="H88" s="109">
        <f>+'Summary Medians'!$F$179</f>
        <v>20375</v>
      </c>
    </row>
    <row r="89" spans="1:8">
      <c r="A89" s="66" t="s">
        <v>577</v>
      </c>
      <c r="B89" s="77" t="str">
        <f>+'Summary Medians'!$F$190</f>
        <v xml:space="preserve"> </v>
      </c>
      <c r="C89" s="77" t="str">
        <f>+'Summary Medians'!$F$191</f>
        <v xml:space="preserve"> </v>
      </c>
      <c r="D89" s="77" t="str">
        <f>+'Summary Medians'!$F$192</f>
        <v xml:space="preserve"> </v>
      </c>
      <c r="E89" s="77" t="str">
        <f>+'Summary Medians'!$F$193</f>
        <v xml:space="preserve"> </v>
      </c>
      <c r="F89" s="77" t="str">
        <f>+'Summary Medians'!$F$194</f>
        <v xml:space="preserve"> </v>
      </c>
      <c r="G89" s="77" t="str">
        <f>+'Summary Medians'!$F$195</f>
        <v xml:space="preserve"> </v>
      </c>
      <c r="H89" s="109" t="str">
        <f>+'Summary Medians'!$F$196</f>
        <v xml:space="preserve"> </v>
      </c>
    </row>
    <row r="90" spans="1:8">
      <c r="A90" s="66" t="s">
        <v>578</v>
      </c>
      <c r="B90" s="77">
        <f>+'Summary Medians'!$F$207</f>
        <v>36020</v>
      </c>
      <c r="C90" s="77" t="str">
        <f>+'Summary Medians'!$F$208</f>
        <v xml:space="preserve"> </v>
      </c>
      <c r="D90" s="77">
        <f>+'Summary Medians'!$F$209</f>
        <v>32848</v>
      </c>
      <c r="E90" s="77">
        <f>+'Summary Medians'!$F$210</f>
        <v>27394</v>
      </c>
      <c r="F90" s="77">
        <f>+'Summary Medians'!$F$211</f>
        <v>21544</v>
      </c>
      <c r="G90" s="77">
        <f>+'Summary Medians'!$F$212</f>
        <v>21726</v>
      </c>
      <c r="H90" s="109">
        <f>+'Summary Medians'!$F$213</f>
        <v>25192</v>
      </c>
    </row>
    <row r="91" spans="1:8" ht="15.75">
      <c r="A91" s="66"/>
      <c r="B91" s="105"/>
      <c r="C91" s="105"/>
      <c r="D91" s="105"/>
      <c r="E91" s="105"/>
      <c r="F91" s="105"/>
      <c r="G91" s="105"/>
      <c r="H91" s="110"/>
    </row>
    <row r="92" spans="1:8">
      <c r="A92" s="66" t="s">
        <v>579</v>
      </c>
      <c r="B92" s="77">
        <f>+'Summary Medians'!$F$224</f>
        <v>24239</v>
      </c>
      <c r="C92" s="77">
        <f>+'Summary Medians'!$F$225</f>
        <v>28673</v>
      </c>
      <c r="D92" s="77">
        <f>+'Summary Medians'!$F$226</f>
        <v>14538</v>
      </c>
      <c r="E92" s="77">
        <f>+'Summary Medians'!$F$227</f>
        <v>15788</v>
      </c>
      <c r="F92" s="77" t="str">
        <f>+'Summary Medians'!$F$228</f>
        <v xml:space="preserve"> </v>
      </c>
      <c r="G92" s="77" t="str">
        <f>+'Summary Medians'!$F$229</f>
        <v xml:space="preserve"> </v>
      </c>
      <c r="H92" s="109">
        <f>+'Summary Medians'!$F$230</f>
        <v>21539</v>
      </c>
    </row>
    <row r="93" spans="1:8">
      <c r="A93" s="66" t="s">
        <v>589</v>
      </c>
      <c r="B93" s="77">
        <f>+'Summary Medians'!$F$241</f>
        <v>27669.5</v>
      </c>
      <c r="C93" s="77">
        <f>+'Summary Medians'!$F$242</f>
        <v>23718</v>
      </c>
      <c r="D93" s="77">
        <f>+'Summary Medians'!$F$243</f>
        <v>22734</v>
      </c>
      <c r="E93" s="77">
        <f>+'Summary Medians'!$F$244</f>
        <v>20874</v>
      </c>
      <c r="F93" s="77">
        <f>+'Summary Medians'!$F$245</f>
        <v>30289.5</v>
      </c>
      <c r="G93" s="77" t="str">
        <f>+'Summary Medians'!$F$246</f>
        <v xml:space="preserve"> </v>
      </c>
      <c r="H93" s="109">
        <f>+'Summary Medians'!$F$247</f>
        <v>23342</v>
      </c>
    </row>
    <row r="94" spans="1:8">
      <c r="A94" s="66" t="s">
        <v>581</v>
      </c>
      <c r="B94" s="77">
        <f>+'Summary Medians'!$F$258</f>
        <v>36048</v>
      </c>
      <c r="C94" s="77">
        <f>+'Summary Medians'!$F$259</f>
        <v>46854</v>
      </c>
      <c r="D94" s="77">
        <f>+'Summary Medians'!$F$260</f>
        <v>23498</v>
      </c>
      <c r="E94" s="77">
        <f>+'Summary Medians'!$F$261</f>
        <v>21550</v>
      </c>
      <c r="F94" s="77">
        <f>+'Summary Medians'!$F$262</f>
        <v>30000</v>
      </c>
      <c r="G94" s="77">
        <f>+'Summary Medians'!$F$263</f>
        <v>29950</v>
      </c>
      <c r="H94" s="109">
        <f>+'Summary Medians'!$F$264</f>
        <v>30175</v>
      </c>
    </row>
    <row r="95" spans="1:8">
      <c r="A95" s="80" t="s">
        <v>582</v>
      </c>
      <c r="B95" s="81">
        <f>+'Summary Medians'!$F$275</f>
        <v>25320</v>
      </c>
      <c r="C95" s="81" t="str">
        <f>+'Summary Medians'!$F$276</f>
        <v xml:space="preserve"> </v>
      </c>
      <c r="D95" s="81">
        <f>+'Summary Medians'!$F$277</f>
        <v>19366</v>
      </c>
      <c r="E95" s="81">
        <f>+'Summary Medians'!$F$278</f>
        <v>14845</v>
      </c>
      <c r="F95" s="81">
        <f>+'Summary Medians'!$F$279</f>
        <v>17702</v>
      </c>
      <c r="G95" s="81">
        <f>+'Summary Medians'!$F$280</f>
        <v>14448</v>
      </c>
      <c r="H95" s="111">
        <f>+'Summary Medians'!$F$281</f>
        <v>17258</v>
      </c>
    </row>
    <row r="96" spans="1:8" ht="40.5" customHeight="1">
      <c r="A96" s="544" t="s">
        <v>583</v>
      </c>
      <c r="B96" s="544"/>
      <c r="C96" s="544"/>
      <c r="D96" s="544"/>
      <c r="E96" s="544"/>
      <c r="F96" s="544"/>
      <c r="G96" s="544"/>
      <c r="H96" s="544"/>
    </row>
    <row r="97" spans="1:10" ht="15.75">
      <c r="A97" s="105"/>
      <c r="B97" s="105"/>
      <c r="C97" s="105"/>
      <c r="D97" s="105"/>
      <c r="E97" s="105"/>
      <c r="F97" s="105"/>
      <c r="G97" s="105"/>
      <c r="H97" s="83" t="s">
        <v>1054</v>
      </c>
    </row>
    <row r="98" spans="1:10" ht="18">
      <c r="A98" s="545" t="s">
        <v>595</v>
      </c>
      <c r="B98" s="545"/>
      <c r="C98" s="545"/>
      <c r="D98" s="545"/>
      <c r="E98" s="545"/>
      <c r="F98" s="545"/>
      <c r="G98" s="545"/>
      <c r="H98" s="545"/>
      <c r="I98" s="545"/>
      <c r="J98" s="545"/>
    </row>
    <row r="99" spans="1:10">
      <c r="A99" s="84"/>
      <c r="B99" s="84"/>
      <c r="C99" s="84"/>
      <c r="D99" s="84"/>
      <c r="E99" s="84"/>
      <c r="F99" s="84"/>
      <c r="G99" s="84"/>
      <c r="H99" s="84"/>
      <c r="I99" s="84"/>
      <c r="J99" s="84"/>
    </row>
    <row r="100" spans="1:10" ht="15.75">
      <c r="A100" s="543" t="s">
        <v>562</v>
      </c>
      <c r="B100" s="543"/>
      <c r="C100" s="543"/>
      <c r="D100" s="543"/>
      <c r="E100" s="543"/>
      <c r="F100" s="543"/>
      <c r="G100" s="543"/>
      <c r="H100" s="543"/>
      <c r="I100" s="543"/>
      <c r="J100" s="543"/>
    </row>
    <row r="101" spans="1:10" ht="15.75">
      <c r="A101" s="543" t="s">
        <v>594</v>
      </c>
      <c r="B101" s="543"/>
      <c r="C101" s="543"/>
      <c r="D101" s="543"/>
      <c r="E101" s="543"/>
      <c r="F101" s="543"/>
      <c r="G101" s="543"/>
      <c r="H101" s="543"/>
      <c r="I101" s="543"/>
      <c r="J101" s="543"/>
    </row>
    <row r="102" spans="1:10" ht="15.75">
      <c r="A102" s="543" t="s">
        <v>891</v>
      </c>
      <c r="B102" s="543"/>
      <c r="C102" s="543"/>
      <c r="D102" s="543"/>
      <c r="E102" s="543"/>
      <c r="F102" s="543"/>
      <c r="G102" s="543"/>
      <c r="H102" s="543"/>
      <c r="I102" s="543"/>
      <c r="J102" s="543"/>
    </row>
    <row r="103" spans="1:10">
      <c r="A103" s="66"/>
      <c r="B103" s="66"/>
      <c r="C103" s="66"/>
      <c r="D103" s="66"/>
      <c r="E103" s="66"/>
      <c r="F103" s="66"/>
      <c r="G103" s="66"/>
      <c r="H103" s="66"/>
      <c r="I103" s="66"/>
      <c r="J103" s="66"/>
    </row>
    <row r="104" spans="1:10">
      <c r="A104" s="67"/>
      <c r="B104" s="112" t="s">
        <v>585</v>
      </c>
      <c r="C104" s="112"/>
      <c r="D104" s="112"/>
      <c r="E104" s="112"/>
      <c r="F104" s="113"/>
      <c r="G104" s="114" t="s">
        <v>586</v>
      </c>
      <c r="H104" s="112"/>
      <c r="I104" s="112"/>
      <c r="J104" s="115"/>
    </row>
    <row r="105" spans="1:10" ht="24">
      <c r="A105" s="69"/>
      <c r="B105" s="88" t="s">
        <v>1049</v>
      </c>
      <c r="C105" s="70">
        <v>1</v>
      </c>
      <c r="D105" s="70">
        <v>2</v>
      </c>
      <c r="E105" s="70">
        <v>3</v>
      </c>
      <c r="F105" s="89" t="s">
        <v>565</v>
      </c>
      <c r="G105" s="70">
        <v>1</v>
      </c>
      <c r="H105" s="70">
        <v>2</v>
      </c>
      <c r="I105" s="90" t="s">
        <v>588</v>
      </c>
      <c r="J105" s="71" t="s">
        <v>565</v>
      </c>
    </row>
    <row r="106" spans="1:10">
      <c r="A106" s="66"/>
      <c r="B106" s="73"/>
      <c r="C106" s="73"/>
      <c r="D106" s="73"/>
      <c r="E106" s="74"/>
      <c r="F106" s="91"/>
      <c r="G106" s="116"/>
      <c r="H106" s="117"/>
      <c r="I106" s="117"/>
      <c r="J106" s="118"/>
    </row>
    <row r="107" spans="1:10">
      <c r="A107" s="66" t="s">
        <v>566</v>
      </c>
      <c r="B107" s="75">
        <f>'Summary Medians'!$F10</f>
        <v>11737.4</v>
      </c>
      <c r="C107" s="75">
        <f>'Summary Medians'!$F11</f>
        <v>8576</v>
      </c>
      <c r="D107" s="75">
        <f>'Summary Medians'!$F12</f>
        <v>8680</v>
      </c>
      <c r="E107" s="75">
        <f>'Summary Medians'!$F13</f>
        <v>8721</v>
      </c>
      <c r="F107" s="119">
        <f>+'Summary Medians'!$F$14</f>
        <v>8784</v>
      </c>
      <c r="G107" s="76">
        <f>+'Summary Medians'!$F$15</f>
        <v>6662</v>
      </c>
      <c r="H107" s="75">
        <f>+'Summary Medians'!$F$16</f>
        <v>3600</v>
      </c>
      <c r="I107" s="96">
        <f>+'Summary Medians'!$F$17</f>
        <v>0</v>
      </c>
      <c r="J107" s="76">
        <f>+'Summary Medians'!$F$18</f>
        <v>4500</v>
      </c>
    </row>
    <row r="108" spans="1:10">
      <c r="A108" s="66"/>
      <c r="B108" s="77"/>
      <c r="C108" s="77"/>
      <c r="D108" s="77"/>
      <c r="E108" s="77"/>
      <c r="F108" s="119"/>
      <c r="G108" s="79"/>
      <c r="H108" s="77"/>
      <c r="I108" s="98"/>
      <c r="J108" s="79"/>
    </row>
    <row r="109" spans="1:10">
      <c r="A109" s="66" t="s">
        <v>567</v>
      </c>
      <c r="B109" s="77" t="str">
        <f>'Summary Medians'!$F27</f>
        <v xml:space="preserve"> </v>
      </c>
      <c r="C109" s="77">
        <f>'Summary Medians'!$F28</f>
        <v>8910</v>
      </c>
      <c r="D109" s="77">
        <f>'Summary Medians'!$F29</f>
        <v>8850</v>
      </c>
      <c r="E109" s="77">
        <f>'Summary Medians'!$F30</f>
        <v>8850</v>
      </c>
      <c r="F109" s="119">
        <f>+'Summary Medians'!$F$31</f>
        <v>8850</v>
      </c>
      <c r="G109" s="79">
        <f>+'Summary Medians'!$F$32</f>
        <v>8760</v>
      </c>
      <c r="H109" s="77">
        <f>+'Summary Medians'!$F$33</f>
        <v>8820</v>
      </c>
      <c r="I109" s="98" t="str">
        <f>+'Summary Medians'!$F$34</f>
        <v xml:space="preserve"> </v>
      </c>
      <c r="J109" s="79">
        <f>+'Summary Medians'!$F$35</f>
        <v>8790</v>
      </c>
    </row>
    <row r="110" spans="1:10">
      <c r="A110" s="66" t="s">
        <v>568</v>
      </c>
      <c r="B110" s="77" t="str">
        <f>'Summary Medians'!$F44</f>
        <v xml:space="preserve"> </v>
      </c>
      <c r="C110" s="77">
        <f>'Summary Medians'!$F45</f>
        <v>5508</v>
      </c>
      <c r="D110" s="77">
        <f>'Summary Medians'!$F46</f>
        <v>6360</v>
      </c>
      <c r="E110" s="77">
        <f>'Summary Medians'!$F47</f>
        <v>5400</v>
      </c>
      <c r="F110" s="119">
        <f>+'Summary Medians'!$F$48</f>
        <v>5574</v>
      </c>
      <c r="G110" s="79" t="str">
        <f>+'Summary Medians'!$F$49</f>
        <v xml:space="preserve"> </v>
      </c>
      <c r="H110" s="77" t="str">
        <f>+'Summary Medians'!$F$50</f>
        <v xml:space="preserve"> </v>
      </c>
      <c r="I110" s="98" t="str">
        <f>+'Summary Medians'!$F$51</f>
        <v xml:space="preserve"> </v>
      </c>
      <c r="J110" s="79"/>
    </row>
    <row r="111" spans="1:10">
      <c r="A111" s="66" t="s">
        <v>569</v>
      </c>
      <c r="B111" s="77">
        <f>'Summary Medians'!$F61</f>
        <v>11808</v>
      </c>
      <c r="C111" s="77" t="str">
        <f>'Summary Medians'!$F62</f>
        <v xml:space="preserve"> </v>
      </c>
      <c r="D111" s="77" t="str">
        <f>'Summary Medians'!$F63</f>
        <v xml:space="preserve"> </v>
      </c>
      <c r="E111" s="77" t="str">
        <f>'Summary Medians'!$F64</f>
        <v xml:space="preserve"> </v>
      </c>
      <c r="F111" s="119">
        <f>+'Summary Medians'!$F$65</f>
        <v>11808</v>
      </c>
      <c r="G111" s="79" t="str">
        <f>+'Summary Medians'!$F$66</f>
        <v xml:space="preserve"> </v>
      </c>
      <c r="H111" s="77" t="str">
        <f>+'Summary Medians'!$F$67</f>
        <v xml:space="preserve"> </v>
      </c>
      <c r="I111" s="98" t="str">
        <f>+'Summary Medians'!$F$68</f>
        <v xml:space="preserve"> </v>
      </c>
      <c r="J111" s="79" t="str">
        <f>+'Summary Medians'!$F$69</f>
        <v xml:space="preserve"> </v>
      </c>
    </row>
    <row r="112" spans="1:10">
      <c r="A112" s="66" t="s">
        <v>570</v>
      </c>
      <c r="B112" s="77">
        <f>'Summary Medians'!$F78</f>
        <v>11779.05</v>
      </c>
      <c r="C112" s="77">
        <f>'Summary Medians'!$F79</f>
        <v>11495.1</v>
      </c>
      <c r="D112" s="77" t="str">
        <f>'Summary Medians'!$F80</f>
        <v xml:space="preserve"> </v>
      </c>
      <c r="E112" s="77">
        <f>'Summary Medians'!$F81</f>
        <v>12525.45</v>
      </c>
      <c r="F112" s="119">
        <f>+'Summary Medians'!$F$82</f>
        <v>11779.05</v>
      </c>
      <c r="G112" s="79" t="str">
        <f>+'Summary Medians'!$F$83</f>
        <v xml:space="preserve"> </v>
      </c>
      <c r="H112" s="77" t="str">
        <f>+'Summary Medians'!$F$84</f>
        <v xml:space="preserve"> </v>
      </c>
      <c r="I112" s="98" t="str">
        <f>+'Summary Medians'!$F$85</f>
        <v xml:space="preserve"> </v>
      </c>
      <c r="J112" s="79" t="str">
        <f>+'Summary Medians'!$F$86</f>
        <v xml:space="preserve"> </v>
      </c>
    </row>
    <row r="113" spans="1:10">
      <c r="A113" s="66"/>
      <c r="B113" s="77"/>
      <c r="C113" s="77"/>
      <c r="D113" s="77"/>
      <c r="E113" s="77"/>
      <c r="F113" s="119"/>
      <c r="G113" s="79"/>
      <c r="H113" s="77"/>
      <c r="I113" s="98"/>
      <c r="J113" s="79"/>
    </row>
    <row r="114" spans="1:10">
      <c r="A114" s="66" t="s">
        <v>571</v>
      </c>
      <c r="B114" s="77">
        <f>'Summary Medians'!$F95</f>
        <v>11837</v>
      </c>
      <c r="C114" s="77" t="str">
        <f>'Summary Medians'!$F96</f>
        <v xml:space="preserve"> </v>
      </c>
      <c r="D114" s="77" t="str">
        <f>'Summary Medians'!$F97</f>
        <v xml:space="preserve"> </v>
      </c>
      <c r="E114" s="77" t="str">
        <f>'Summary Medians'!$F98</f>
        <v xml:space="preserve"> </v>
      </c>
      <c r="F114" s="119">
        <f>+'Summary Medians'!$F$99</f>
        <v>11837</v>
      </c>
      <c r="G114" s="79">
        <f>+'Summary Medians'!$F$100</f>
        <v>6664</v>
      </c>
      <c r="H114" s="77" t="str">
        <f>+'Summary Medians'!$F$101</f>
        <v xml:space="preserve"> </v>
      </c>
      <c r="I114" s="98" t="str">
        <f>+'Summary Medians'!$F$102</f>
        <v xml:space="preserve"> </v>
      </c>
      <c r="J114" s="79">
        <f>+'Summary Medians'!$F$103</f>
        <v>6664</v>
      </c>
    </row>
    <row r="115" spans="1:10">
      <c r="A115" s="66" t="s">
        <v>572</v>
      </c>
      <c r="B115" s="77" t="str">
        <f>'Summary Medians'!$F112</f>
        <v xml:space="preserve"> </v>
      </c>
      <c r="C115" s="77">
        <f>'Summary Medians'!$F113</f>
        <v>19050</v>
      </c>
      <c r="D115" s="77">
        <f>'Summary Medians'!$F114</f>
        <v>19050</v>
      </c>
      <c r="E115" s="77">
        <f>'Summary Medians'!$F115</f>
        <v>19050</v>
      </c>
      <c r="F115" s="119">
        <f>+'Summary Medians'!$F$116</f>
        <v>19050</v>
      </c>
      <c r="G115" s="79">
        <f>+'Summary Medians'!$F$117</f>
        <v>19050</v>
      </c>
      <c r="H115" s="77" t="str">
        <f>+'Summary Medians'!$F$118</f>
        <v xml:space="preserve"> </v>
      </c>
      <c r="I115" s="98" t="str">
        <f>+'Summary Medians'!$F$119</f>
        <v xml:space="preserve"> </v>
      </c>
      <c r="J115" s="79">
        <f>+'Summary Medians'!$F$120</f>
        <v>19050</v>
      </c>
    </row>
    <row r="116" spans="1:10">
      <c r="A116" s="66" t="s">
        <v>573</v>
      </c>
      <c r="B116" s="77" t="str">
        <f>'Summary Medians'!$F129</f>
        <v xml:space="preserve"> </v>
      </c>
      <c r="C116" s="77">
        <f>'Summary Medians'!$F130</f>
        <v>4250.2</v>
      </c>
      <c r="D116" s="77">
        <f>'Summary Medians'!$F131</f>
        <v>4283.04</v>
      </c>
      <c r="E116" s="77">
        <f>'Summary Medians'!$F132</f>
        <v>4218.04</v>
      </c>
      <c r="F116" s="119">
        <f>+'Summary Medians'!$F$133</f>
        <v>4279.04</v>
      </c>
      <c r="G116" s="79">
        <f>+'Summary Medians'!$F$134</f>
        <v>4114.04</v>
      </c>
      <c r="H116" s="77">
        <f>+'Summary Medians'!$F$135</f>
        <v>4109.3500000000004</v>
      </c>
      <c r="I116" s="98" t="str">
        <f>+'Summary Medians'!$F$136</f>
        <v xml:space="preserve"> </v>
      </c>
      <c r="J116" s="79">
        <f>+'Summary Medians'!$F$137</f>
        <v>4109.3500000000004</v>
      </c>
    </row>
    <row r="117" spans="1:10">
      <c r="A117" s="66" t="s">
        <v>574</v>
      </c>
      <c r="B117" s="77" t="str">
        <f>'Summary Medians'!$F146</f>
        <v xml:space="preserve"> </v>
      </c>
      <c r="C117" s="77">
        <f>'Summary Medians'!$F147</f>
        <v>12516</v>
      </c>
      <c r="D117" s="77">
        <f>'Summary Medians'!$F148</f>
        <v>10701</v>
      </c>
      <c r="E117" s="77">
        <f>'Summary Medians'!$F149</f>
        <v>9990</v>
      </c>
      <c r="F117" s="119">
        <f>+'Summary Medians'!$F$150</f>
        <v>10525</v>
      </c>
      <c r="G117" s="79" t="str">
        <f>+'Summary Medians'!$F$151</f>
        <v xml:space="preserve"> </v>
      </c>
      <c r="H117" s="77" t="str">
        <f>+'Summary Medians'!$F$152</f>
        <v xml:space="preserve"> </v>
      </c>
      <c r="I117" s="98" t="str">
        <f>+'Summary Medians'!$F$153</f>
        <v xml:space="preserve"> </v>
      </c>
      <c r="J117" s="79" t="str">
        <f>+'Summary Medians'!$F$154</f>
        <v xml:space="preserve"> </v>
      </c>
    </row>
    <row r="118" spans="1:10">
      <c r="A118" s="66"/>
      <c r="B118" s="77"/>
      <c r="C118" s="77"/>
      <c r="D118" s="77"/>
      <c r="E118" s="77"/>
      <c r="F118" s="119"/>
      <c r="G118" s="79"/>
      <c r="H118" s="77"/>
      <c r="I118" s="98"/>
      <c r="J118" s="79"/>
    </row>
    <row r="119" spans="1:10">
      <c r="A119" s="66" t="s">
        <v>575</v>
      </c>
      <c r="B119" s="77" t="str">
        <f>'Summary Medians'!$F163</f>
        <v xml:space="preserve"> </v>
      </c>
      <c r="C119" s="77">
        <f>'Summary Medians'!$F164</f>
        <v>6095</v>
      </c>
      <c r="D119" s="77">
        <f>'Summary Medians'!$F165</f>
        <v>5454</v>
      </c>
      <c r="E119" s="77">
        <f>'Summary Medians'!$F166</f>
        <v>6125</v>
      </c>
      <c r="F119" s="119">
        <f>+'Summary Medians'!$F$167</f>
        <v>5870</v>
      </c>
      <c r="G119" s="79" t="str">
        <f>+'Summary Medians'!$F$168</f>
        <v xml:space="preserve"> </v>
      </c>
      <c r="H119" s="77" t="str">
        <f>+'Summary Medians'!$F$169</f>
        <v xml:space="preserve"> </v>
      </c>
      <c r="I119" s="98" t="str">
        <f>+'Summary Medians'!$F$170</f>
        <v xml:space="preserve"> </v>
      </c>
      <c r="J119" s="79" t="str">
        <f>+'Summary Medians'!$F$171</f>
        <v xml:space="preserve"> </v>
      </c>
    </row>
    <row r="120" spans="1:10">
      <c r="A120" s="66" t="s">
        <v>576</v>
      </c>
      <c r="B120" s="77" t="str">
        <f>'Summary Medians'!$F180</f>
        <v xml:space="preserve"> </v>
      </c>
      <c r="C120" s="77">
        <f>'Summary Medians'!$F181</f>
        <v>8688</v>
      </c>
      <c r="D120" s="77">
        <f>'Summary Medians'!$F182</f>
        <v>8698</v>
      </c>
      <c r="E120" s="77">
        <f>'Summary Medians'!$F183</f>
        <v>8696</v>
      </c>
      <c r="F120" s="119">
        <f>+'Summary Medians'!$F$184</f>
        <v>8694</v>
      </c>
      <c r="G120" s="79" t="str">
        <f>+'Summary Medians'!$F$185</f>
        <v xml:space="preserve"> </v>
      </c>
      <c r="H120" s="77" t="str">
        <f>+'Summary Medians'!$F$186</f>
        <v xml:space="preserve"> </v>
      </c>
      <c r="I120" s="98" t="str">
        <f>+'Summary Medians'!$F$187</f>
        <v xml:space="preserve"> </v>
      </c>
      <c r="J120" s="77" t="str">
        <f>+'Summary Medians'!$F$188</f>
        <v xml:space="preserve"> </v>
      </c>
    </row>
    <row r="121" spans="1:10">
      <c r="A121" s="66" t="s">
        <v>577</v>
      </c>
      <c r="B121" s="77" t="str">
        <f>'Summary Medians'!$F197</f>
        <v xml:space="preserve"> </v>
      </c>
      <c r="C121" s="77" t="str">
        <f>'Summary Medians'!$F198</f>
        <v xml:space="preserve"> </v>
      </c>
      <c r="D121" s="77" t="str">
        <f>'Summary Medians'!$F199</f>
        <v xml:space="preserve"> </v>
      </c>
      <c r="E121" s="77" t="str">
        <f>'Summary Medians'!$F200</f>
        <v xml:space="preserve"> </v>
      </c>
      <c r="F121" s="119" t="str">
        <f>+'Summary Medians'!$F$201</f>
        <v xml:space="preserve"> </v>
      </c>
      <c r="G121" s="79">
        <f>+'Summary Medians'!$F$202</f>
        <v>3960</v>
      </c>
      <c r="H121" s="77">
        <f>+'Summary Medians'!$F$203</f>
        <v>3600</v>
      </c>
      <c r="I121" s="98" t="str">
        <f>+'Summary Medians'!$F$204</f>
        <v xml:space="preserve"> </v>
      </c>
      <c r="J121" s="77">
        <f>+'Summary Medians'!$F$205</f>
        <v>3600</v>
      </c>
    </row>
    <row r="122" spans="1:10">
      <c r="A122" s="66" t="s">
        <v>578</v>
      </c>
      <c r="B122" s="77" t="str">
        <f>'Summary Medians'!$F214</f>
        <v xml:space="preserve"> </v>
      </c>
      <c r="C122" s="77">
        <f>'Summary Medians'!$F215</f>
        <v>11234.5</v>
      </c>
      <c r="D122" s="77">
        <f>'Summary Medians'!$F216</f>
        <v>11235</v>
      </c>
      <c r="E122" s="77">
        <f>'Summary Medians'!$F217</f>
        <v>12552.5</v>
      </c>
      <c r="F122" s="119">
        <f>+'Summary Medians'!$F$218</f>
        <v>11537.5</v>
      </c>
      <c r="G122" s="79" t="str">
        <f>+'Summary Medians'!$F$219</f>
        <v xml:space="preserve"> </v>
      </c>
      <c r="H122" s="77" t="str">
        <f>+'Summary Medians'!$F$220</f>
        <v xml:space="preserve"> </v>
      </c>
      <c r="I122" s="98" t="str">
        <f>+'Summary Medians'!$F$221</f>
        <v xml:space="preserve"> </v>
      </c>
      <c r="J122" s="77" t="str">
        <f>+'Summary Medians'!$F$222</f>
        <v xml:space="preserve"> </v>
      </c>
    </row>
    <row r="123" spans="1:10">
      <c r="A123" s="66"/>
      <c r="B123" s="77"/>
      <c r="C123" s="77"/>
      <c r="D123" s="77"/>
      <c r="E123" s="77"/>
      <c r="F123" s="119"/>
      <c r="G123" s="79"/>
      <c r="H123" s="77"/>
      <c r="I123" s="98"/>
      <c r="J123" s="77"/>
    </row>
    <row r="124" spans="1:10">
      <c r="A124" s="66" t="s">
        <v>579</v>
      </c>
      <c r="B124" s="77" t="str">
        <f>'Summary Medians'!$F231</f>
        <v xml:space="preserve"> </v>
      </c>
      <c r="C124" s="77">
        <f>'Summary Medians'!$F232</f>
        <v>17774</v>
      </c>
      <c r="D124" s="77">
        <f>'Summary Medians'!$F233</f>
        <v>17758</v>
      </c>
      <c r="E124" s="77">
        <f>'Summary Medians'!$F234</f>
        <v>17754</v>
      </c>
      <c r="F124" s="119">
        <f>+'Summary Medians'!$F$235</f>
        <v>17758</v>
      </c>
      <c r="G124" s="79" t="str">
        <f>+'Summary Medians'!$F$236</f>
        <v xml:space="preserve"> </v>
      </c>
      <c r="H124" s="77">
        <f>+'Summary Medians'!$F$237</f>
        <v>0</v>
      </c>
      <c r="I124" s="98" t="str">
        <f>+'Summary Medians'!$F$238</f>
        <v xml:space="preserve"> </v>
      </c>
      <c r="J124" s="77">
        <f>+'Summary Medians'!$F$239</f>
        <v>0</v>
      </c>
    </row>
    <row r="125" spans="1:10">
      <c r="A125" s="66" t="s">
        <v>589</v>
      </c>
      <c r="B125" s="77">
        <f>'Summary Medians'!$F248</f>
        <v>5610</v>
      </c>
      <c r="C125" s="77">
        <f>'Summary Medians'!$F249</f>
        <v>6000</v>
      </c>
      <c r="D125" s="77">
        <f>'Summary Medians'!$F250</f>
        <v>5930</v>
      </c>
      <c r="E125" s="77">
        <f>'Summary Medians'!$F251</f>
        <v>5160</v>
      </c>
      <c r="F125" s="119">
        <f>+'Summary Medians'!$F$252</f>
        <v>5935</v>
      </c>
      <c r="G125" s="79" t="str">
        <f>+'Summary Medians'!$F$253</f>
        <v xml:space="preserve"> </v>
      </c>
      <c r="H125" s="77" t="str">
        <f>+'Summary Medians'!$F$254</f>
        <v xml:space="preserve"> </v>
      </c>
      <c r="I125" s="98" t="str">
        <f>+'Summary Medians'!$F$255</f>
        <v xml:space="preserve"> </v>
      </c>
      <c r="J125" s="77" t="str">
        <f>+'Summary Medians'!$F$256</f>
        <v xml:space="preserve"> </v>
      </c>
    </row>
    <row r="126" spans="1:10">
      <c r="A126" s="66" t="s">
        <v>590</v>
      </c>
      <c r="B126" s="77" t="str">
        <f>'Summary Medians'!$F265</f>
        <v xml:space="preserve"> </v>
      </c>
      <c r="C126" s="77">
        <f>'Summary Medians'!$F266</f>
        <v>10623</v>
      </c>
      <c r="D126" s="77">
        <f>'Summary Medians'!$F267</f>
        <v>10623</v>
      </c>
      <c r="E126" s="77">
        <f>'Summary Medians'!$F268</f>
        <v>10623</v>
      </c>
      <c r="F126" s="119">
        <f>+'Summary Medians'!$F$269</f>
        <v>10623</v>
      </c>
      <c r="G126" s="79" t="str">
        <f>+'Summary Medians'!$F$270</f>
        <v xml:space="preserve"> </v>
      </c>
      <c r="H126" s="77" t="str">
        <f>+'Summary Medians'!$F$271</f>
        <v xml:space="preserve"> </v>
      </c>
      <c r="I126" s="98" t="str">
        <f>+'Summary Medians'!$F$272</f>
        <v xml:space="preserve"> </v>
      </c>
      <c r="J126" s="77" t="str">
        <f>+'Summary Medians'!$F$273</f>
        <v xml:space="preserve"> </v>
      </c>
    </row>
    <row r="127" spans="1:10">
      <c r="A127" s="80" t="s">
        <v>582</v>
      </c>
      <c r="B127" s="81">
        <f>'Summary Medians'!$F282</f>
        <v>10118</v>
      </c>
      <c r="C127" s="81" t="str">
        <f>'Summary Medians'!$F283</f>
        <v xml:space="preserve"> </v>
      </c>
      <c r="D127" s="81">
        <f>'Summary Medians'!$F284</f>
        <v>7464</v>
      </c>
      <c r="E127" s="81">
        <f>'Summary Medians'!$F285</f>
        <v>10720</v>
      </c>
      <c r="F127" s="120">
        <f>+'Summary Medians'!$F$286</f>
        <v>9706</v>
      </c>
      <c r="G127" s="82" t="str">
        <f>+'Summary Medians'!$F$287</f>
        <v xml:space="preserve"> </v>
      </c>
      <c r="H127" s="81" t="str">
        <f>+'Summary Medians'!$F$288</f>
        <v xml:space="preserve"> </v>
      </c>
      <c r="I127" s="100">
        <f>+'Summary Medians'!$F$289</f>
        <v>0</v>
      </c>
      <c r="J127" s="81">
        <f>+'Summary Medians'!$F$290</f>
        <v>0</v>
      </c>
    </row>
    <row r="128" spans="1:10" ht="21" customHeight="1">
      <c r="A128" s="101" t="s">
        <v>591</v>
      </c>
      <c r="B128" s="102"/>
      <c r="C128" s="102"/>
      <c r="D128" s="102"/>
      <c r="E128" s="102"/>
      <c r="F128" s="102"/>
      <c r="G128" s="102"/>
      <c r="H128" s="102"/>
      <c r="I128" s="102"/>
      <c r="J128" s="102"/>
    </row>
    <row r="129" spans="1:10" ht="61.5" customHeight="1">
      <c r="A129" s="546" t="s">
        <v>596</v>
      </c>
      <c r="B129" s="546"/>
      <c r="C129" s="546"/>
      <c r="D129" s="546"/>
      <c r="E129" s="546"/>
      <c r="F129" s="546"/>
      <c r="G129" s="546"/>
      <c r="H129" s="546"/>
      <c r="I129" s="546"/>
      <c r="J129" s="546"/>
    </row>
    <row r="130" spans="1:10" ht="15.75">
      <c r="A130" s="105"/>
      <c r="B130" s="105"/>
      <c r="C130" s="105"/>
      <c r="D130" s="105"/>
      <c r="E130" s="105"/>
      <c r="F130" s="105"/>
      <c r="G130" s="105"/>
      <c r="H130" s="105"/>
      <c r="I130" s="105"/>
      <c r="J130" s="83" t="s">
        <v>1054</v>
      </c>
    </row>
    <row r="131" spans="1:10" ht="18">
      <c r="A131" s="545" t="s">
        <v>597</v>
      </c>
      <c r="B131" s="545"/>
      <c r="C131" s="545"/>
      <c r="D131" s="545"/>
      <c r="E131" s="545"/>
      <c r="F131" s="545"/>
      <c r="G131" s="545"/>
      <c r="H131" s="545"/>
    </row>
    <row r="132" spans="1:10" ht="18">
      <c r="A132" s="121"/>
      <c r="B132" s="121"/>
      <c r="C132" s="121"/>
      <c r="D132" s="121"/>
      <c r="E132" s="121"/>
      <c r="F132" s="121"/>
      <c r="G132" s="121"/>
      <c r="H132" s="105"/>
    </row>
    <row r="133" spans="1:10" ht="15.75">
      <c r="A133" s="543" t="s">
        <v>562</v>
      </c>
      <c r="B133" s="543"/>
      <c r="C133" s="543"/>
      <c r="D133" s="543"/>
      <c r="E133" s="543"/>
      <c r="F133" s="543"/>
      <c r="G133" s="543"/>
      <c r="H133" s="543"/>
    </row>
    <row r="134" spans="1:10" ht="15.75">
      <c r="A134" s="543" t="s">
        <v>598</v>
      </c>
      <c r="B134" s="543"/>
      <c r="C134" s="543"/>
      <c r="D134" s="543"/>
      <c r="E134" s="543"/>
      <c r="F134" s="543"/>
      <c r="G134" s="543"/>
      <c r="H134" s="543"/>
    </row>
    <row r="135" spans="1:10" ht="15.75">
      <c r="A135" s="543" t="s">
        <v>892</v>
      </c>
      <c r="B135" s="543"/>
      <c r="C135" s="543"/>
      <c r="D135" s="543"/>
      <c r="E135" s="543"/>
      <c r="F135" s="543"/>
      <c r="G135" s="543"/>
      <c r="H135" s="543"/>
    </row>
    <row r="136" spans="1:10" ht="15.75">
      <c r="A136" s="66"/>
      <c r="B136" s="66"/>
      <c r="C136" s="66"/>
      <c r="D136" s="66"/>
      <c r="E136" s="66"/>
      <c r="F136" s="66"/>
      <c r="G136" s="66"/>
      <c r="H136" s="105"/>
    </row>
    <row r="137" spans="1:10">
      <c r="A137" s="112"/>
      <c r="B137" s="112" t="s">
        <v>564</v>
      </c>
      <c r="C137" s="112"/>
      <c r="D137" s="112"/>
      <c r="E137" s="112"/>
      <c r="F137" s="112"/>
      <c r="G137" s="112"/>
      <c r="H137" s="122"/>
    </row>
    <row r="138" spans="1:10">
      <c r="A138" s="123"/>
      <c r="B138" s="70">
        <v>1</v>
      </c>
      <c r="C138" s="70">
        <v>2</v>
      </c>
      <c r="D138" s="70">
        <v>3</v>
      </c>
      <c r="E138" s="70">
        <v>4</v>
      </c>
      <c r="F138" s="70">
        <v>5</v>
      </c>
      <c r="G138" s="70">
        <v>6</v>
      </c>
      <c r="H138" s="104" t="s">
        <v>565</v>
      </c>
    </row>
    <row r="139" spans="1:10" ht="15.75">
      <c r="A139" s="105"/>
      <c r="B139" s="124"/>
      <c r="C139" s="124"/>
      <c r="D139" s="124"/>
      <c r="E139" s="124"/>
      <c r="F139" s="124"/>
      <c r="G139" s="125"/>
      <c r="H139" s="105"/>
    </row>
    <row r="140" spans="1:10">
      <c r="A140" s="66" t="s">
        <v>566</v>
      </c>
      <c r="B140" s="75">
        <f>+'Summary Medians'!$I$3</f>
        <v>11945</v>
      </c>
      <c r="C140" s="75">
        <f>+'Summary Medians'!$I$4</f>
        <v>10746.666666666701</v>
      </c>
      <c r="D140" s="75">
        <f>+'Summary Medians'!$I$5</f>
        <v>10212</v>
      </c>
      <c r="E140" s="75">
        <f>+'Summary Medians'!$I$6</f>
        <v>8314.5</v>
      </c>
      <c r="F140" s="75">
        <f>+'Summary Medians'!$I$7</f>
        <v>8922</v>
      </c>
      <c r="G140" s="75">
        <f>+'Summary Medians'!$I$8</f>
        <v>8946</v>
      </c>
      <c r="H140" s="107">
        <f>+'Summary Medians'!$I$9</f>
        <v>10278</v>
      </c>
    </row>
    <row r="141" spans="1:10">
      <c r="A141" s="66"/>
      <c r="B141" s="77"/>
      <c r="C141" s="77"/>
      <c r="D141" s="77"/>
      <c r="E141" s="77"/>
      <c r="F141" s="77"/>
      <c r="G141" s="108"/>
      <c r="H141" s="126"/>
    </row>
    <row r="142" spans="1:10">
      <c r="A142" s="66" t="s">
        <v>567</v>
      </c>
      <c r="B142" s="77">
        <f>+'Summary Medians'!$I$20</f>
        <v>11470</v>
      </c>
      <c r="C142" s="77">
        <f>+'Summary Medians'!$I$21</f>
        <v>11363</v>
      </c>
      <c r="D142" s="77">
        <f>+'Summary Medians'!$I$22</f>
        <v>10930</v>
      </c>
      <c r="E142" s="77">
        <f>+'Summary Medians'!$I$23</f>
        <v>10946</v>
      </c>
      <c r="F142" s="77">
        <f>+'Summary Medians'!$I$24</f>
        <v>10038</v>
      </c>
      <c r="G142" s="77" t="str">
        <f>+'Summary Medians'!$I$25</f>
        <v xml:space="preserve"> </v>
      </c>
      <c r="H142" s="126">
        <f>+'Summary Medians'!$I$26</f>
        <v>11119</v>
      </c>
    </row>
    <row r="143" spans="1:10">
      <c r="A143" s="66" t="s">
        <v>568</v>
      </c>
      <c r="B143" s="77">
        <f>+'Summary Medians'!$I$37</f>
        <v>11789</v>
      </c>
      <c r="C143" s="77">
        <f>+'Summary Medians'!$I$38</f>
        <v>10119</v>
      </c>
      <c r="D143" s="77">
        <f>+'Summary Medians'!$I$39</f>
        <v>8633</v>
      </c>
      <c r="E143" s="77">
        <f>+'Summary Medians'!$I$40</f>
        <v>8766</v>
      </c>
      <c r="F143" s="77" t="str">
        <f>+'Summary Medians'!$I$41</f>
        <v xml:space="preserve"> </v>
      </c>
      <c r="G143" s="77">
        <f>+'Summary Medians'!$I$42</f>
        <v>8838</v>
      </c>
      <c r="H143" s="126">
        <f>+'Summary Medians'!$I$43</f>
        <v>8805</v>
      </c>
    </row>
    <row r="144" spans="1:10">
      <c r="A144" s="66" t="s">
        <v>569</v>
      </c>
      <c r="B144" s="77">
        <f>+'Summary Medians'!$I$54</f>
        <v>35192</v>
      </c>
      <c r="C144" s="77" t="str">
        <f>+'Summary Medians'!$I$55</f>
        <v xml:space="preserve"> </v>
      </c>
      <c r="D144" s="77">
        <f>+'Summary Medians'!$I$56</f>
        <v>5510</v>
      </c>
      <c r="E144" s="77" t="str">
        <f>+'Summary Medians'!$I$57</f>
        <v xml:space="preserve"> </v>
      </c>
      <c r="F144" s="77" t="str">
        <f>+'Summary Medians'!$I$58</f>
        <v xml:space="preserve"> </v>
      </c>
      <c r="G144" s="77" t="str">
        <f>+'Summary Medians'!$I$59</f>
        <v xml:space="preserve"> </v>
      </c>
      <c r="H144" s="126">
        <f>+'Summary Medians'!$I$60</f>
        <v>20351</v>
      </c>
    </row>
    <row r="145" spans="1:8">
      <c r="A145" s="66" t="s">
        <v>570</v>
      </c>
      <c r="B145" s="77" t="str">
        <f>+'Summary Medians'!$I$71</f>
        <v xml:space="preserve"> </v>
      </c>
      <c r="C145" s="77" t="str">
        <f>+'Summary Medians'!$I$72</f>
        <v xml:space="preserve"> </v>
      </c>
      <c r="D145" s="77" t="str">
        <f>+'Summary Medians'!$I$73</f>
        <v xml:space="preserve"> </v>
      </c>
      <c r="E145" s="77" t="str">
        <f>+'Summary Medians'!$I$74</f>
        <v xml:space="preserve"> </v>
      </c>
      <c r="F145" s="77" t="str">
        <f>+'Summary Medians'!$I$75</f>
        <v xml:space="preserve"> </v>
      </c>
      <c r="G145" s="77" t="str">
        <f>+'Summary Medians'!$I$76</f>
        <v xml:space="preserve"> </v>
      </c>
      <c r="H145" s="126" t="str">
        <f>+'Summary Medians'!$I$77</f>
        <v xml:space="preserve"> </v>
      </c>
    </row>
    <row r="146" spans="1:8">
      <c r="A146" s="66"/>
      <c r="B146" s="77"/>
      <c r="C146" s="77"/>
      <c r="D146" s="77"/>
      <c r="E146" s="77"/>
      <c r="F146" s="77"/>
      <c r="G146" s="77"/>
      <c r="H146" s="126"/>
    </row>
    <row r="147" spans="1:8">
      <c r="A147" s="66" t="s">
        <v>571</v>
      </c>
      <c r="B147" s="77">
        <f>+'Summary Medians'!$I$88</f>
        <v>11424</v>
      </c>
      <c r="C147" s="77">
        <f>+'Summary Medians'!$I$89</f>
        <v>16258</v>
      </c>
      <c r="D147" s="77">
        <f>+'Summary Medians'!$I$90</f>
        <v>8523</v>
      </c>
      <c r="E147" s="77">
        <f>+'Summary Medians'!$I$91</f>
        <v>6892</v>
      </c>
      <c r="F147" s="77">
        <f>+'Summary Medians'!$I$92</f>
        <v>6106</v>
      </c>
      <c r="G147" s="77">
        <f>+'Summary Medians'!$I$93</f>
        <v>0</v>
      </c>
      <c r="H147" s="126">
        <f>+'Summary Medians'!$I$94</f>
        <v>7634</v>
      </c>
    </row>
    <row r="148" spans="1:8">
      <c r="A148" s="66" t="s">
        <v>572</v>
      </c>
      <c r="B148" s="77">
        <f>+'Summary Medians'!$I$105</f>
        <v>13497</v>
      </c>
      <c r="C148" s="77" t="str">
        <f>+'Summary Medians'!$I$106</f>
        <v xml:space="preserve"> </v>
      </c>
      <c r="D148" s="77">
        <f>+'Summary Medians'!$I$107</f>
        <v>14016</v>
      </c>
      <c r="E148" s="77">
        <f>+'Summary Medians'!$I$108</f>
        <v>11180</v>
      </c>
      <c r="F148" s="77" t="str">
        <f>+'Summary Medians'!$I$109</f>
        <v xml:space="preserve"> </v>
      </c>
      <c r="G148" s="77" t="str">
        <f>+'Summary Medians'!$I$110</f>
        <v xml:space="preserve"> </v>
      </c>
      <c r="H148" s="126">
        <f>+'Summary Medians'!$I$111</f>
        <v>13639</v>
      </c>
    </row>
    <row r="149" spans="1:8">
      <c r="A149" s="66" t="s">
        <v>573</v>
      </c>
      <c r="B149" s="77">
        <f>+'Summary Medians'!$I$122</f>
        <v>13035</v>
      </c>
      <c r="C149" s="77">
        <f>+'Summary Medians'!$I$123</f>
        <v>10053</v>
      </c>
      <c r="D149" s="77">
        <f>+'Summary Medians'!$I$124</f>
        <v>9375</v>
      </c>
      <c r="E149" s="77">
        <f>+'Summary Medians'!$I$125</f>
        <v>8134.3249999999998</v>
      </c>
      <c r="F149" s="77">
        <f>+'Summary Medians'!$I$126</f>
        <v>9120.34</v>
      </c>
      <c r="G149" s="77">
        <f>+'Summary Medians'!$I$127</f>
        <v>0</v>
      </c>
      <c r="H149" s="126">
        <f>+'Summary Medians'!$I$128</f>
        <v>9648</v>
      </c>
    </row>
    <row r="150" spans="1:8">
      <c r="A150" s="66" t="s">
        <v>574</v>
      </c>
      <c r="B150" s="77">
        <f>+'Summary Medians'!$I$139</f>
        <v>19485</v>
      </c>
      <c r="C150" s="77">
        <f>+'Summary Medians'!$I$140</f>
        <v>16074</v>
      </c>
      <c r="D150" s="77">
        <f>+'Summary Medians'!$I$141</f>
        <v>17269</v>
      </c>
      <c r="E150" s="77">
        <f>+'Summary Medians'!$I$142</f>
        <v>12763.5</v>
      </c>
      <c r="F150" s="77">
        <f>+'Summary Medians'!$I$143</f>
        <v>10278</v>
      </c>
      <c r="G150" s="77">
        <f>+'Summary Medians'!$I$144</f>
        <v>0</v>
      </c>
      <c r="H150" s="126">
        <f>+'Summary Medians'!$I$145</f>
        <v>13400</v>
      </c>
    </row>
    <row r="151" spans="1:8">
      <c r="A151" s="66"/>
      <c r="B151" s="77"/>
      <c r="C151" s="77"/>
      <c r="D151" s="77"/>
      <c r="E151" s="77"/>
      <c r="F151" s="77"/>
      <c r="G151" s="77"/>
      <c r="H151" s="126"/>
    </row>
    <row r="152" spans="1:8">
      <c r="A152" s="66" t="s">
        <v>575</v>
      </c>
      <c r="B152" s="77">
        <f>+'Summary Medians'!$I$156</f>
        <v>8896</v>
      </c>
      <c r="C152" s="77">
        <f>+'Summary Medians'!$I$157</f>
        <v>8445</v>
      </c>
      <c r="D152" s="77" t="str">
        <f>+'Summary Medians'!$I$158</f>
        <v xml:space="preserve"> </v>
      </c>
      <c r="E152" s="77">
        <f>+'Summary Medians'!$I$159</f>
        <v>7716</v>
      </c>
      <c r="F152" s="77" t="str">
        <f>+'Summary Medians'!$I$160</f>
        <v xml:space="preserve"> </v>
      </c>
      <c r="G152" s="77" t="str">
        <f>+'Summary Medians'!$I$161</f>
        <v xml:space="preserve"> </v>
      </c>
      <c r="H152" s="126">
        <f>+'Summary Medians'!$I$162</f>
        <v>8283</v>
      </c>
    </row>
    <row r="153" spans="1:8">
      <c r="A153" s="66" t="s">
        <v>576</v>
      </c>
      <c r="B153" s="77">
        <f>+'Summary Medians'!$I$173</f>
        <v>9936.5</v>
      </c>
      <c r="C153" s="77">
        <f>+'Summary Medians'!$I$174</f>
        <v>7699</v>
      </c>
      <c r="D153" s="77">
        <f>+'Summary Medians'!$I$175</f>
        <v>7549</v>
      </c>
      <c r="E153" s="77">
        <f>+'Summary Medians'!$I$176</f>
        <v>5765</v>
      </c>
      <c r="F153" s="77">
        <f>+'Summary Medians'!$I$177</f>
        <v>6574</v>
      </c>
      <c r="G153" s="77">
        <f>+'Summary Medians'!$I$178</f>
        <v>6835.5</v>
      </c>
      <c r="H153" s="126">
        <f>+'Summary Medians'!$I$179</f>
        <v>7536</v>
      </c>
    </row>
    <row r="154" spans="1:8">
      <c r="A154" s="66" t="s">
        <v>577</v>
      </c>
      <c r="B154" s="77" t="str">
        <f>+'Summary Medians'!$I$190</f>
        <v xml:space="preserve"> </v>
      </c>
      <c r="C154" s="77" t="str">
        <f>+'Summary Medians'!$I$191</f>
        <v xml:space="preserve"> </v>
      </c>
      <c r="D154" s="77" t="str">
        <f>+'Summary Medians'!$I$192</f>
        <v xml:space="preserve"> </v>
      </c>
      <c r="E154" s="77" t="str">
        <f>+'Summary Medians'!$I$193</f>
        <v xml:space="preserve"> </v>
      </c>
      <c r="F154" s="77" t="str">
        <f>+'Summary Medians'!$I$194</f>
        <v xml:space="preserve"> </v>
      </c>
      <c r="G154" s="77" t="str">
        <f>+'Summary Medians'!$I$195</f>
        <v xml:space="preserve"> </v>
      </c>
      <c r="H154" s="126" t="str">
        <f>+'Summary Medians'!$I$196</f>
        <v xml:space="preserve"> </v>
      </c>
    </row>
    <row r="155" spans="1:8">
      <c r="A155" s="66" t="s">
        <v>578</v>
      </c>
      <c r="B155" s="77">
        <f>+'Summary Medians'!$I$207</f>
        <v>13039</v>
      </c>
      <c r="C155" s="77" t="str">
        <f>+'Summary Medians'!$I$208</f>
        <v xml:space="preserve"> </v>
      </c>
      <c r="D155" s="77">
        <f>+'Summary Medians'!$I$209</f>
        <v>11538</v>
      </c>
      <c r="E155" s="77">
        <f>+'Summary Medians'!$I$210</f>
        <v>10764</v>
      </c>
      <c r="F155" s="77">
        <f>+'Summary Medians'!$I$211</f>
        <v>11460</v>
      </c>
      <c r="G155" s="77">
        <f>+'Summary Medians'!$I$212</f>
        <v>11994</v>
      </c>
      <c r="H155" s="126">
        <f>+'Summary Medians'!$I$213</f>
        <v>11538</v>
      </c>
    </row>
    <row r="156" spans="1:8" ht="15.75">
      <c r="A156" s="66"/>
      <c r="B156" s="105"/>
      <c r="C156" s="105"/>
      <c r="D156" s="105"/>
      <c r="E156" s="105"/>
      <c r="F156" s="105"/>
      <c r="G156" s="105"/>
      <c r="H156" s="127"/>
    </row>
    <row r="157" spans="1:8">
      <c r="A157" s="66" t="s">
        <v>579</v>
      </c>
      <c r="B157" s="77">
        <f>+'Summary Medians'!$I$224</f>
        <v>12660</v>
      </c>
      <c r="C157" s="77">
        <f>+'Summary Medians'!$I$225</f>
        <v>11903</v>
      </c>
      <c r="D157" s="77">
        <f>+'Summary Medians'!$I$226</f>
        <v>10931</v>
      </c>
      <c r="E157" s="77">
        <f>+'Summary Medians'!$I$227</f>
        <v>10616</v>
      </c>
      <c r="F157" s="77" t="str">
        <f>+'Summary Medians'!$I$228</f>
        <v xml:space="preserve"> </v>
      </c>
      <c r="G157" s="77" t="str">
        <f>+'Summary Medians'!$I$229</f>
        <v xml:space="preserve"> </v>
      </c>
      <c r="H157" s="126">
        <f>+'Summary Medians'!$I$230</f>
        <v>11903</v>
      </c>
    </row>
    <row r="158" spans="1:8">
      <c r="A158" s="66" t="s">
        <v>589</v>
      </c>
      <c r="B158" s="77">
        <f>+'Summary Medians'!$I$241</f>
        <v>12004</v>
      </c>
      <c r="C158" s="77">
        <f>+'Summary Medians'!$I$242</f>
        <v>10224</v>
      </c>
      <c r="D158" s="77">
        <f>+'Summary Medians'!$I$243</f>
        <v>9880</v>
      </c>
      <c r="E158" s="77">
        <f>+'Summary Medians'!$I$244</f>
        <v>8802.6666666666697</v>
      </c>
      <c r="F158" s="77">
        <f>+'Summary Medians'!$I$245</f>
        <v>9686.6666666666861</v>
      </c>
      <c r="G158" s="77" t="str">
        <f>+'Summary Medians'!$I$246</f>
        <v xml:space="preserve"> </v>
      </c>
      <c r="H158" s="126">
        <f>+'Summary Medians'!$I$247</f>
        <v>10312</v>
      </c>
    </row>
    <row r="159" spans="1:8">
      <c r="A159" s="66" t="s">
        <v>581</v>
      </c>
      <c r="B159" s="77">
        <f>+'Summary Medians'!$I$258</f>
        <v>16030</v>
      </c>
      <c r="C159" s="77">
        <f>+'Summary Medians'!$I$259</f>
        <v>16440</v>
      </c>
      <c r="D159" s="77">
        <f>+'Summary Medians'!$I$260</f>
        <v>11989</v>
      </c>
      <c r="E159" s="77">
        <f>+'Summary Medians'!$I$261</f>
        <v>12690</v>
      </c>
      <c r="F159" s="77">
        <f>+'Summary Medians'!$I$262</f>
        <v>11661</v>
      </c>
      <c r="G159" s="77">
        <f>+'Summary Medians'!$I$263</f>
        <v>0</v>
      </c>
      <c r="H159" s="126">
        <f>+'Summary Medians'!$I$264</f>
        <v>13137</v>
      </c>
    </row>
    <row r="160" spans="1:8">
      <c r="A160" s="80" t="s">
        <v>582</v>
      </c>
      <c r="B160" s="81">
        <f>+'Summary Medians'!$I$275</f>
        <v>10134</v>
      </c>
      <c r="C160" s="81" t="str">
        <f>+'Summary Medians'!$I$276</f>
        <v xml:space="preserve"> </v>
      </c>
      <c r="D160" s="81">
        <f>+'Summary Medians'!$I$277</f>
        <v>8828</v>
      </c>
      <c r="E160" s="81">
        <f>+'Summary Medians'!$I$278</f>
        <v>8252</v>
      </c>
      <c r="F160" s="81">
        <f>+'Summary Medians'!$I$279</f>
        <v>8644</v>
      </c>
      <c r="G160" s="81">
        <f>+'Summary Medians'!$I$280</f>
        <v>0</v>
      </c>
      <c r="H160" s="111">
        <f>+'Summary Medians'!$I$281</f>
        <v>8644</v>
      </c>
    </row>
    <row r="161" spans="1:8" ht="39.75" customHeight="1">
      <c r="A161" s="544" t="s">
        <v>599</v>
      </c>
      <c r="B161" s="544"/>
      <c r="C161" s="544"/>
      <c r="D161" s="544"/>
      <c r="E161" s="544"/>
      <c r="F161" s="544"/>
      <c r="G161" s="544"/>
      <c r="H161" s="544"/>
    </row>
    <row r="162" spans="1:8" ht="15.75">
      <c r="A162" s="105"/>
      <c r="B162" s="105"/>
      <c r="C162" s="105"/>
      <c r="D162" s="105"/>
      <c r="E162" s="105"/>
      <c r="F162" s="105"/>
      <c r="G162" s="105"/>
      <c r="H162" s="83" t="s">
        <v>1054</v>
      </c>
    </row>
    <row r="163" spans="1:8" ht="18">
      <c r="A163" s="545" t="s">
        <v>600</v>
      </c>
      <c r="B163" s="545"/>
      <c r="C163" s="545"/>
      <c r="D163" s="545"/>
      <c r="E163" s="545"/>
      <c r="F163" s="545"/>
      <c r="G163" s="545"/>
      <c r="H163" s="545"/>
    </row>
    <row r="164" spans="1:8">
      <c r="A164" s="84"/>
      <c r="B164" s="84"/>
      <c r="C164" s="84"/>
      <c r="D164" s="84"/>
      <c r="E164" s="84"/>
      <c r="F164" s="84"/>
      <c r="G164" s="84"/>
      <c r="H164" s="128"/>
    </row>
    <row r="165" spans="1:8" ht="15.75">
      <c r="A165" s="543" t="s">
        <v>562</v>
      </c>
      <c r="B165" s="543"/>
      <c r="C165" s="543"/>
      <c r="D165" s="543"/>
      <c r="E165" s="543"/>
      <c r="F165" s="543"/>
      <c r="G165" s="543"/>
      <c r="H165" s="543"/>
    </row>
    <row r="166" spans="1:8" ht="15.75">
      <c r="A166" s="543" t="s">
        <v>601</v>
      </c>
      <c r="B166" s="543"/>
      <c r="C166" s="543"/>
      <c r="D166" s="543"/>
      <c r="E166" s="543"/>
      <c r="F166" s="543"/>
      <c r="G166" s="543"/>
      <c r="H166" s="543"/>
    </row>
    <row r="167" spans="1:8" ht="15.75">
      <c r="A167" s="543" t="s">
        <v>892</v>
      </c>
      <c r="B167" s="543"/>
      <c r="C167" s="543"/>
      <c r="D167" s="543"/>
      <c r="E167" s="543"/>
      <c r="F167" s="543"/>
      <c r="G167" s="543"/>
      <c r="H167" s="543"/>
    </row>
    <row r="168" spans="1:8">
      <c r="A168" s="66"/>
      <c r="B168" s="66"/>
      <c r="C168" s="66"/>
      <c r="D168" s="66"/>
      <c r="E168" s="128"/>
      <c r="F168" s="128"/>
      <c r="G168" s="128"/>
      <c r="H168" s="129"/>
    </row>
    <row r="169" spans="1:8">
      <c r="A169" s="112"/>
      <c r="B169" s="112" t="s">
        <v>564</v>
      </c>
      <c r="C169" s="112"/>
      <c r="D169" s="112"/>
      <c r="E169" s="112"/>
      <c r="F169" s="112"/>
      <c r="G169" s="130"/>
      <c r="H169" s="131"/>
    </row>
    <row r="170" spans="1:8">
      <c r="A170" s="123"/>
      <c r="B170" s="132">
        <v>1</v>
      </c>
      <c r="C170" s="132">
        <v>2</v>
      </c>
      <c r="D170" s="132">
        <v>3</v>
      </c>
      <c r="E170" s="132">
        <v>4</v>
      </c>
      <c r="F170" s="132">
        <v>5</v>
      </c>
      <c r="G170" s="132">
        <v>6</v>
      </c>
      <c r="H170" s="133" t="s">
        <v>565</v>
      </c>
    </row>
    <row r="171" spans="1:8" ht="15.75">
      <c r="A171" s="105"/>
      <c r="B171" s="105"/>
      <c r="C171" s="105"/>
      <c r="D171" s="105"/>
      <c r="E171" s="105"/>
      <c r="F171" s="105"/>
      <c r="G171" s="134"/>
      <c r="H171" s="105"/>
    </row>
    <row r="172" spans="1:8">
      <c r="A172" s="66" t="s">
        <v>566</v>
      </c>
      <c r="B172" s="75">
        <f>+'Summary Medians'!$L$3</f>
        <v>29361</v>
      </c>
      <c r="C172" s="75">
        <f>+'Summary Medians'!$L$4</f>
        <v>21416</v>
      </c>
      <c r="D172" s="75">
        <f>+'Summary Medians'!$L$5</f>
        <v>20468</v>
      </c>
      <c r="E172" s="75">
        <f>+'Summary Medians'!$L$6</f>
        <v>19045</v>
      </c>
      <c r="F172" s="75">
        <f>+'Summary Medians'!$L$7</f>
        <v>18800</v>
      </c>
      <c r="G172" s="75">
        <f>+'Summary Medians'!$L$8</f>
        <v>18290.5</v>
      </c>
      <c r="H172" s="107">
        <f>+'Summary Medians'!$L$9</f>
        <v>20902</v>
      </c>
    </row>
    <row r="173" spans="1:8">
      <c r="A173" s="66"/>
      <c r="B173" s="77"/>
      <c r="C173" s="77"/>
      <c r="D173" s="77"/>
      <c r="E173" s="77"/>
      <c r="F173" s="77"/>
      <c r="G173" s="108"/>
      <c r="H173" s="126"/>
    </row>
    <row r="174" spans="1:8">
      <c r="A174" s="66" t="s">
        <v>567</v>
      </c>
      <c r="B174" s="77">
        <f>+'Summary Medians'!$L$20</f>
        <v>30940</v>
      </c>
      <c r="C174" s="77">
        <f>+'Summary Medians'!$L$21</f>
        <v>23566</v>
      </c>
      <c r="D174" s="77">
        <f>+'Summary Medians'!$L$22</f>
        <v>21508</v>
      </c>
      <c r="E174" s="77">
        <f>+'Summary Medians'!$L$23</f>
        <v>20342</v>
      </c>
      <c r="F174" s="77">
        <f>+'Summary Medians'!$L$24</f>
        <v>19878</v>
      </c>
      <c r="G174" s="77" t="str">
        <f>+'Summary Medians'!$L$25</f>
        <v xml:space="preserve"> </v>
      </c>
      <c r="H174" s="126">
        <f>+'Summary Medians'!$L$26</f>
        <v>22045</v>
      </c>
    </row>
    <row r="175" spans="1:8">
      <c r="A175" s="66" t="s">
        <v>568</v>
      </c>
      <c r="B175" s="77">
        <f>+'Summary Medians'!$L$37</f>
        <v>29494</v>
      </c>
      <c r="C175" s="77">
        <f>+'Summary Medians'!$L$38</f>
        <v>19839</v>
      </c>
      <c r="D175" s="77">
        <f>+'Summary Medians'!$L$39</f>
        <v>15324</v>
      </c>
      <c r="E175" s="77">
        <f>+'Summary Medians'!$L$40</f>
        <v>12606</v>
      </c>
      <c r="F175" s="77" t="str">
        <f>+'Summary Medians'!$L$41</f>
        <v xml:space="preserve"> </v>
      </c>
      <c r="G175" s="77">
        <f>+'Summary Medians'!$L$42</f>
        <v>14994</v>
      </c>
      <c r="H175" s="126">
        <f>+'Summary Medians'!$L$43</f>
        <v>15259</v>
      </c>
    </row>
    <row r="176" spans="1:8">
      <c r="A176" s="66" t="s">
        <v>569</v>
      </c>
      <c r="B176" s="77">
        <f>+'Summary Medians'!$L$54</f>
        <v>35192</v>
      </c>
      <c r="C176" s="77" t="str">
        <f>+'Summary Medians'!$L$55</f>
        <v xml:space="preserve"> </v>
      </c>
      <c r="D176" s="77">
        <f>+'Summary Medians'!$L$56</f>
        <v>11726</v>
      </c>
      <c r="E176" s="77" t="str">
        <f>+'Summary Medians'!$L$57</f>
        <v xml:space="preserve"> </v>
      </c>
      <c r="F176" s="77" t="str">
        <f>+'Summary Medians'!$L$58</f>
        <v xml:space="preserve"> </v>
      </c>
      <c r="G176" s="77" t="str">
        <f>+'Summary Medians'!$L$59</f>
        <v xml:space="preserve"> </v>
      </c>
      <c r="H176" s="126">
        <f>+'Summary Medians'!$L$60</f>
        <v>23459</v>
      </c>
    </row>
    <row r="177" spans="1:8">
      <c r="A177" s="66" t="s">
        <v>570</v>
      </c>
      <c r="B177" s="77" t="str">
        <f>+'Summary Medians'!$L$71</f>
        <v xml:space="preserve"> </v>
      </c>
      <c r="C177" s="77" t="str">
        <f>+'Summary Medians'!$L$72</f>
        <v xml:space="preserve"> </v>
      </c>
      <c r="D177" s="77" t="str">
        <f>+'Summary Medians'!$L$73</f>
        <v xml:space="preserve"> </v>
      </c>
      <c r="E177" s="77" t="str">
        <f>+'Summary Medians'!$L$74</f>
        <v xml:space="preserve"> </v>
      </c>
      <c r="F177" s="77" t="str">
        <f>+'Summary Medians'!$L$75</f>
        <v xml:space="preserve"> </v>
      </c>
      <c r="G177" s="77" t="str">
        <f>+'Summary Medians'!$L$76</f>
        <v xml:space="preserve"> </v>
      </c>
      <c r="H177" s="126" t="str">
        <f>+'Summary Medians'!$L$77</f>
        <v xml:space="preserve"> </v>
      </c>
    </row>
    <row r="178" spans="1:8">
      <c r="A178" s="66"/>
      <c r="B178" s="77"/>
      <c r="C178" s="77"/>
      <c r="D178" s="77"/>
      <c r="E178" s="77"/>
      <c r="F178" s="77"/>
      <c r="G178" s="77"/>
      <c r="H178" s="126"/>
    </row>
    <row r="179" spans="1:8">
      <c r="A179" s="66" t="s">
        <v>571</v>
      </c>
      <c r="B179" s="77">
        <f>+'Summary Medians'!$L$88</f>
        <v>29910</v>
      </c>
      <c r="C179" s="77">
        <f>+'Summary Medians'!$L$89</f>
        <v>31334</v>
      </c>
      <c r="D179" s="77">
        <f>+'Summary Medians'!$L$90</f>
        <v>26079</v>
      </c>
      <c r="E179" s="77">
        <f>+'Summary Medians'!$L$91</f>
        <v>20902</v>
      </c>
      <c r="F179" s="77">
        <f>+'Summary Medians'!$L$92</f>
        <v>17978</v>
      </c>
      <c r="G179" s="77">
        <f>+'Summary Medians'!$L$93</f>
        <v>0</v>
      </c>
      <c r="H179" s="126">
        <f>+'Summary Medians'!$L$94</f>
        <v>23834</v>
      </c>
    </row>
    <row r="180" spans="1:8">
      <c r="A180" s="66" t="s">
        <v>572</v>
      </c>
      <c r="B180" s="77">
        <f>+'Summary Medians'!$L$105</f>
        <v>30393</v>
      </c>
      <c r="C180" s="77" t="str">
        <f>+'Summary Medians'!$L$106</f>
        <v xml:space="preserve"> </v>
      </c>
      <c r="D180" s="77">
        <f>+'Summary Medians'!$L$107</f>
        <v>19440</v>
      </c>
      <c r="E180" s="77">
        <f>+'Summary Medians'!$L$108</f>
        <v>16220</v>
      </c>
      <c r="F180" s="77" t="str">
        <f>+'Summary Medians'!$L$109</f>
        <v xml:space="preserve"> </v>
      </c>
      <c r="G180" s="77" t="str">
        <f>+'Summary Medians'!$L$110</f>
        <v xml:space="preserve"> </v>
      </c>
      <c r="H180" s="126">
        <f>+'Summary Medians'!$L$111</f>
        <v>20844</v>
      </c>
    </row>
    <row r="181" spans="1:8">
      <c r="A181" s="66" t="s">
        <v>573</v>
      </c>
      <c r="B181" s="77">
        <f>+'Summary Medians'!$L$122</f>
        <v>29970</v>
      </c>
      <c r="C181" s="77">
        <f>+'Summary Medians'!$L$123</f>
        <v>16794</v>
      </c>
      <c r="D181" s="77">
        <f>+'Summary Medians'!$L$124</f>
        <v>20668.5</v>
      </c>
      <c r="E181" s="77">
        <f>+'Summary Medians'!$L$125</f>
        <v>18391.434999999998</v>
      </c>
      <c r="F181" s="77">
        <f>+'Summary Medians'!$L$126</f>
        <v>16062.34</v>
      </c>
      <c r="G181" s="77">
        <f>+'Summary Medians'!$L$127</f>
        <v>0</v>
      </c>
      <c r="H181" s="126">
        <f>+'Summary Medians'!$L$128</f>
        <v>19897</v>
      </c>
    </row>
    <row r="182" spans="1:8">
      <c r="A182" s="66" t="s">
        <v>574</v>
      </c>
      <c r="B182" s="77">
        <f>+'Summary Medians'!$L$139</f>
        <v>40941</v>
      </c>
      <c r="C182" s="77">
        <f>+'Summary Medians'!$L$140</f>
        <v>27015</v>
      </c>
      <c r="D182" s="77">
        <f>+'Summary Medians'!$L$141</f>
        <v>27133</v>
      </c>
      <c r="E182" s="77">
        <f>+'Summary Medians'!$L$142</f>
        <v>18308</v>
      </c>
      <c r="F182" s="77">
        <f>+'Summary Medians'!$L$143</f>
        <v>17214</v>
      </c>
      <c r="G182" s="77">
        <f>+'Summary Medians'!$L$144</f>
        <v>0</v>
      </c>
      <c r="H182" s="126">
        <f>+'Summary Medians'!$L$145</f>
        <v>21807</v>
      </c>
    </row>
    <row r="183" spans="1:8">
      <c r="A183" s="66"/>
      <c r="B183" s="77"/>
      <c r="C183" s="77"/>
      <c r="D183" s="77"/>
      <c r="E183" s="77"/>
      <c r="F183" s="77"/>
      <c r="G183" s="77"/>
      <c r="H183" s="126"/>
    </row>
    <row r="184" spans="1:8">
      <c r="A184" s="66" t="s">
        <v>575</v>
      </c>
      <c r="B184" s="77">
        <f>+'Summary Medians'!$L$156</f>
        <v>23950</v>
      </c>
      <c r="C184" s="77">
        <f>+'Summary Medians'!$L$157</f>
        <v>9445</v>
      </c>
      <c r="D184" s="77" t="str">
        <f>+'Summary Medians'!$L$158</f>
        <v xml:space="preserve"> </v>
      </c>
      <c r="E184" s="77">
        <f>+'Summary Medians'!$L$159</f>
        <v>7716</v>
      </c>
      <c r="F184" s="77" t="str">
        <f>+'Summary Medians'!$L$160</f>
        <v xml:space="preserve"> </v>
      </c>
      <c r="G184" s="77" t="str">
        <f>+'Summary Medians'!$L$161</f>
        <v xml:space="preserve"> </v>
      </c>
      <c r="H184" s="126">
        <f>+'Summary Medians'!$L$162</f>
        <v>8783</v>
      </c>
    </row>
    <row r="185" spans="1:8">
      <c r="A185" s="66" t="s">
        <v>576</v>
      </c>
      <c r="B185" s="77">
        <f>+'Summary Medians'!$L$173</f>
        <v>25458.5</v>
      </c>
      <c r="C185" s="77">
        <f>+'Summary Medians'!$L$174</f>
        <v>20673.5</v>
      </c>
      <c r="D185" s="77">
        <f>+'Summary Medians'!$L$175</f>
        <v>20940.5</v>
      </c>
      <c r="E185" s="77">
        <f>+'Summary Medians'!$L$176</f>
        <v>16830</v>
      </c>
      <c r="F185" s="77">
        <f>+'Summary Medians'!$L$177</f>
        <v>17663.5</v>
      </c>
      <c r="G185" s="77">
        <f>+'Summary Medians'!$L$178</f>
        <v>21527.5</v>
      </c>
      <c r="H185" s="126">
        <f>+'Summary Medians'!$L$179</f>
        <v>20685</v>
      </c>
    </row>
    <row r="186" spans="1:8">
      <c r="A186" s="66" t="s">
        <v>577</v>
      </c>
      <c r="B186" s="77" t="str">
        <f>+'Summary Medians'!$L$190</f>
        <v xml:space="preserve"> </v>
      </c>
      <c r="C186" s="77" t="str">
        <f>+'Summary Medians'!$L$191</f>
        <v xml:space="preserve"> </v>
      </c>
      <c r="D186" s="77" t="str">
        <f>+'Summary Medians'!$L$192</f>
        <v xml:space="preserve"> </v>
      </c>
      <c r="E186" s="77" t="str">
        <f>+'Summary Medians'!$L$193</f>
        <v xml:space="preserve"> </v>
      </c>
      <c r="F186" s="77" t="str">
        <f>+'Summary Medians'!$L$194</f>
        <v xml:space="preserve"> </v>
      </c>
      <c r="G186" s="77" t="str">
        <f>+'Summary Medians'!$L$195</f>
        <v xml:space="preserve"> </v>
      </c>
      <c r="H186" s="126" t="str">
        <f>+'Summary Medians'!$L$196</f>
        <v xml:space="preserve"> </v>
      </c>
    </row>
    <row r="187" spans="1:8">
      <c r="A187" s="66" t="s">
        <v>578</v>
      </c>
      <c r="B187" s="77">
        <f>+'Summary Medians'!$L$207</f>
        <v>27003</v>
      </c>
      <c r="C187" s="77" t="str">
        <f>+'Summary Medians'!$L$208</f>
        <v xml:space="preserve"> </v>
      </c>
      <c r="D187" s="77">
        <f>+'Summary Medians'!$L$209</f>
        <v>22212</v>
      </c>
      <c r="E187" s="77">
        <f>+'Summary Medians'!$L$210</f>
        <v>19836</v>
      </c>
      <c r="F187" s="77">
        <f>+'Summary Medians'!$L$211</f>
        <v>22570</v>
      </c>
      <c r="G187" s="77">
        <f>+'Summary Medians'!$L$212</f>
        <v>24022</v>
      </c>
      <c r="H187" s="126">
        <f>+'Summary Medians'!$L$213</f>
        <v>22570</v>
      </c>
    </row>
    <row r="188" spans="1:8" ht="15.75">
      <c r="A188" s="66"/>
      <c r="B188" s="105"/>
      <c r="C188" s="105"/>
      <c r="D188" s="105"/>
      <c r="E188" s="105"/>
      <c r="F188" s="105"/>
      <c r="G188" s="105"/>
      <c r="H188" s="127"/>
    </row>
    <row r="189" spans="1:8">
      <c r="A189" s="66" t="s">
        <v>579</v>
      </c>
      <c r="B189" s="77">
        <f>+'Summary Medians'!$L$224</f>
        <v>25197</v>
      </c>
      <c r="C189" s="77">
        <f>+'Summary Medians'!$L$225</f>
        <v>27023</v>
      </c>
      <c r="D189" s="77">
        <f>+'Summary Medians'!$L$226</f>
        <v>16471</v>
      </c>
      <c r="E189" s="77">
        <f>+'Summary Medians'!$L$227</f>
        <v>16656</v>
      </c>
      <c r="F189" s="77" t="str">
        <f>+'Summary Medians'!$L$228</f>
        <v xml:space="preserve"> </v>
      </c>
      <c r="G189" s="77" t="str">
        <f>+'Summary Medians'!$L$229</f>
        <v xml:space="preserve"> </v>
      </c>
      <c r="H189" s="126">
        <f>+'Summary Medians'!$L$230</f>
        <v>18596</v>
      </c>
    </row>
    <row r="190" spans="1:8">
      <c r="A190" s="66" t="s">
        <v>589</v>
      </c>
      <c r="B190" s="77">
        <f>+'Summary Medians'!$L$241</f>
        <v>25032</v>
      </c>
      <c r="C190" s="77">
        <f>+'Summary Medians'!$L$242</f>
        <v>20560</v>
      </c>
      <c r="D190" s="77">
        <f>+'Summary Medians'!$L$243</f>
        <v>20141.333333333299</v>
      </c>
      <c r="E190" s="77">
        <f>+'Summary Medians'!$L$244</f>
        <v>19992</v>
      </c>
      <c r="F190" s="77">
        <f>+'Summary Medians'!$L$245</f>
        <v>20730.66666666665</v>
      </c>
      <c r="G190" s="77" t="str">
        <f>+'Summary Medians'!$L$246</f>
        <v xml:space="preserve"> </v>
      </c>
      <c r="H190" s="126">
        <f>+'Summary Medians'!$L$247</f>
        <v>20560</v>
      </c>
    </row>
    <row r="191" spans="1:8">
      <c r="A191" s="66" t="s">
        <v>581</v>
      </c>
      <c r="B191" s="77">
        <f>+'Summary Medians'!$L$258</f>
        <v>33648</v>
      </c>
      <c r="C191" s="77">
        <f>+'Summary Medians'!$L$259</f>
        <v>34800</v>
      </c>
      <c r="D191" s="77">
        <f>+'Summary Medians'!$L$260</f>
        <v>22994</v>
      </c>
      <c r="E191" s="77">
        <f>+'Summary Medians'!$L$261</f>
        <v>25502</v>
      </c>
      <c r="F191" s="77">
        <f>+'Summary Medians'!$L$262</f>
        <v>24381</v>
      </c>
      <c r="G191" s="77">
        <f>+'Summary Medians'!$L$263</f>
        <v>0</v>
      </c>
      <c r="H191" s="126">
        <f>+'Summary Medians'!$L$264</f>
        <v>29386</v>
      </c>
    </row>
    <row r="192" spans="1:8">
      <c r="A192" s="80" t="s">
        <v>582</v>
      </c>
      <c r="B192" s="81">
        <f>+'Summary Medians'!$L$275</f>
        <v>26154</v>
      </c>
      <c r="C192" s="81" t="str">
        <f>+'Summary Medians'!$L$276</f>
        <v xml:space="preserve"> </v>
      </c>
      <c r="D192" s="81">
        <f>+'Summary Medians'!$L$277</f>
        <v>21162</v>
      </c>
      <c r="E192" s="81">
        <f>+'Summary Medians'!$L$278</f>
        <v>13655</v>
      </c>
      <c r="F192" s="81">
        <f>+'Summary Medians'!$L$279</f>
        <v>15072</v>
      </c>
      <c r="G192" s="81">
        <f>+'Summary Medians'!$L$280</f>
        <v>0</v>
      </c>
      <c r="H192" s="111">
        <f>+'Summary Medians'!$L$281</f>
        <v>19030</v>
      </c>
    </row>
    <row r="193" spans="1:8" ht="39.75" customHeight="1">
      <c r="A193" s="544" t="s">
        <v>599</v>
      </c>
      <c r="B193" s="544"/>
      <c r="C193" s="544"/>
      <c r="D193" s="544"/>
      <c r="E193" s="544"/>
      <c r="F193" s="544"/>
      <c r="G193" s="544"/>
      <c r="H193" s="544"/>
    </row>
    <row r="194" spans="1:8" ht="15.75">
      <c r="A194" s="105"/>
      <c r="B194" s="105"/>
      <c r="C194" s="105"/>
      <c r="D194" s="105"/>
      <c r="E194" s="105"/>
      <c r="F194" s="105"/>
      <c r="G194" s="105"/>
      <c r="H194" s="83" t="s">
        <v>1054</v>
      </c>
    </row>
    <row r="195" spans="1:8" ht="18">
      <c r="A195" s="545" t="s">
        <v>602</v>
      </c>
      <c r="B195" s="545"/>
      <c r="C195" s="545"/>
      <c r="D195" s="545"/>
      <c r="E195" s="545"/>
      <c r="F195" s="545"/>
      <c r="G195" s="545"/>
      <c r="H195" s="545"/>
    </row>
    <row r="196" spans="1:8">
      <c r="A196" s="84"/>
      <c r="B196" s="84"/>
      <c r="C196" s="84"/>
      <c r="D196" s="84"/>
      <c r="E196" s="84"/>
      <c r="F196" s="84"/>
      <c r="G196" s="84"/>
      <c r="H196" s="128"/>
    </row>
    <row r="197" spans="1:8" ht="15.75">
      <c r="A197" s="543" t="s">
        <v>562</v>
      </c>
      <c r="B197" s="543"/>
      <c r="C197" s="543"/>
      <c r="D197" s="543"/>
      <c r="E197" s="543"/>
      <c r="F197" s="543"/>
      <c r="G197" s="543"/>
      <c r="H197" s="543"/>
    </row>
    <row r="198" spans="1:8" ht="15.75">
      <c r="A198" s="543" t="s">
        <v>603</v>
      </c>
      <c r="B198" s="543"/>
      <c r="C198" s="543"/>
      <c r="D198" s="543"/>
      <c r="E198" s="543"/>
      <c r="F198" s="543"/>
      <c r="G198" s="543"/>
      <c r="H198" s="543"/>
    </row>
    <row r="199" spans="1:8" ht="15.75">
      <c r="A199" s="543" t="s">
        <v>892</v>
      </c>
      <c r="B199" s="543"/>
      <c r="C199" s="543"/>
      <c r="D199" s="543"/>
      <c r="E199" s="543"/>
      <c r="F199" s="543"/>
      <c r="G199" s="543"/>
      <c r="H199" s="543"/>
    </row>
    <row r="200" spans="1:8">
      <c r="A200" s="66"/>
      <c r="B200" s="66"/>
      <c r="C200" s="66"/>
      <c r="D200" s="66"/>
      <c r="E200" s="128"/>
      <c r="F200" s="128"/>
      <c r="G200" s="128"/>
      <c r="H200" s="129"/>
    </row>
    <row r="201" spans="1:8">
      <c r="A201" s="112"/>
      <c r="B201" s="112"/>
      <c r="C201" s="112"/>
      <c r="D201" s="112"/>
      <c r="E201" s="112"/>
      <c r="F201" s="112"/>
      <c r="G201" s="68" t="s">
        <v>604</v>
      </c>
      <c r="H201" s="68" t="s">
        <v>605</v>
      </c>
    </row>
    <row r="202" spans="1:8">
      <c r="A202" s="123"/>
      <c r="B202" s="135" t="s">
        <v>2</v>
      </c>
      <c r="C202" s="135" t="s">
        <v>3</v>
      </c>
      <c r="D202" s="135" t="s">
        <v>4</v>
      </c>
      <c r="E202" s="135" t="s">
        <v>5</v>
      </c>
      <c r="F202" s="135" t="s">
        <v>6</v>
      </c>
      <c r="G202" s="135" t="s">
        <v>3</v>
      </c>
      <c r="H202" s="135" t="s">
        <v>3</v>
      </c>
    </row>
    <row r="203" spans="1:8" ht="15.75">
      <c r="A203" s="105"/>
      <c r="B203" s="105"/>
      <c r="C203" s="105"/>
      <c r="D203" s="105"/>
      <c r="E203" s="105"/>
      <c r="F203" s="105"/>
      <c r="G203" s="136"/>
      <c r="H203" s="105"/>
    </row>
    <row r="204" spans="1:8">
      <c r="A204" s="66" t="s">
        <v>566</v>
      </c>
      <c r="B204" s="75">
        <f>+'Summary Medians'!$O$19</f>
        <v>22751</v>
      </c>
      <c r="C204" s="75">
        <f>+'Summary Medians'!$U$19</f>
        <v>31378</v>
      </c>
      <c r="D204" s="75">
        <f>+'Summary Medians'!$AA$19</f>
        <v>35660</v>
      </c>
      <c r="E204" s="75">
        <f>+'Summary Medians'!$AG$19</f>
        <v>24232.5</v>
      </c>
      <c r="F204" s="75">
        <f>+'Summary Medians'!$AM$19</f>
        <v>17149.5</v>
      </c>
      <c r="G204" s="75">
        <f>+'Summary Medians'!$AS$19</f>
        <v>24744</v>
      </c>
      <c r="H204" s="75">
        <f>+'Summary Medians'!$AY$19</f>
        <v>25435</v>
      </c>
    </row>
    <row r="205" spans="1:8">
      <c r="A205" s="66"/>
      <c r="B205" s="77"/>
      <c r="C205" s="77"/>
      <c r="D205" s="77"/>
      <c r="E205" s="77"/>
      <c r="F205" s="77"/>
      <c r="G205" s="77"/>
      <c r="H205" s="77"/>
    </row>
    <row r="206" spans="1:8">
      <c r="A206" s="66" t="s">
        <v>567</v>
      </c>
      <c r="B206" s="77">
        <f>+'Summary Medians'!$O$36</f>
        <v>23910</v>
      </c>
      <c r="C206" s="77">
        <f>+'Summary Medians'!$U$36</f>
        <v>29702</v>
      </c>
      <c r="D206" s="77">
        <f>+'Summary Medians'!$AA$36</f>
        <v>29484</v>
      </c>
      <c r="E206" s="77">
        <f>+'Summary Medians'!$AG$36</f>
        <v>22362</v>
      </c>
      <c r="F206" s="77">
        <f>+'Summary Medians'!$AM$36</f>
        <v>27492</v>
      </c>
      <c r="G206" s="77">
        <f>+'Summary Medians'!$AS$36</f>
        <v>0</v>
      </c>
      <c r="H206" s="77">
        <f>+'Summary Medians'!$AY$36</f>
        <v>24296</v>
      </c>
    </row>
    <row r="207" spans="1:8">
      <c r="A207" s="66" t="s">
        <v>568</v>
      </c>
      <c r="B207" s="77">
        <f>+'Summary Medians'!$O$53</f>
        <v>13488</v>
      </c>
      <c r="C207" s="77">
        <f>+'Summary Medians'!$U$53</f>
        <v>34668</v>
      </c>
      <c r="D207" s="77">
        <f>+'Summary Medians'!$AA$53</f>
        <v>0</v>
      </c>
      <c r="E207" s="77">
        <f>+'Summary Medians'!$AG$53</f>
        <v>20938</v>
      </c>
      <c r="F207" s="77">
        <f>+'Summary Medians'!$AM$53</f>
        <v>0</v>
      </c>
      <c r="G207" s="77">
        <f>+'Summary Medians'!$AS$53</f>
        <v>0</v>
      </c>
      <c r="H207" s="77">
        <f>+'Summary Medians'!$AY$53</f>
        <v>0</v>
      </c>
    </row>
    <row r="208" spans="1:8">
      <c r="A208" s="66" t="s">
        <v>569</v>
      </c>
      <c r="B208" s="77">
        <f>+'Summary Medians'!$O$70</f>
        <v>0</v>
      </c>
      <c r="C208" s="77">
        <f>+'Summary Medians'!$U$70</f>
        <v>0</v>
      </c>
      <c r="D208" s="77">
        <f>+'Summary Medians'!$AA$70</f>
        <v>0</v>
      </c>
      <c r="E208" s="77">
        <f>+'Summary Medians'!$AG$70</f>
        <v>0</v>
      </c>
      <c r="F208" s="77">
        <f>+'Summary Medians'!$AM$70</f>
        <v>0</v>
      </c>
      <c r="G208" s="77">
        <f>+'Summary Medians'!$AS$70</f>
        <v>0</v>
      </c>
      <c r="H208" s="77">
        <f>+'Summary Medians'!$AY$70</f>
        <v>0</v>
      </c>
    </row>
    <row r="209" spans="1:8">
      <c r="A209" s="66" t="s">
        <v>570</v>
      </c>
      <c r="B209" s="77">
        <f>+'Summary Medians'!$O$87</f>
        <v>0</v>
      </c>
      <c r="C209" s="77">
        <f>+'Summary Medians'!$U$87</f>
        <v>0</v>
      </c>
      <c r="D209" s="77">
        <f>+'Summary Medians'!$AA$87</f>
        <v>0</v>
      </c>
      <c r="E209" s="77">
        <f>+'Summary Medians'!$AG$87</f>
        <v>0</v>
      </c>
      <c r="F209" s="77">
        <f>+'Summary Medians'!$AM$87</f>
        <v>0</v>
      </c>
      <c r="G209" s="77">
        <f>+'Summary Medians'!$AS$87</f>
        <v>0</v>
      </c>
      <c r="H209" s="77">
        <f>+'Summary Medians'!$AY$87</f>
        <v>0</v>
      </c>
    </row>
    <row r="210" spans="1:8">
      <c r="A210" s="66"/>
      <c r="B210" s="77"/>
      <c r="C210" s="77"/>
      <c r="D210" s="77"/>
      <c r="E210" s="77"/>
      <c r="F210" s="77"/>
      <c r="G210" s="77"/>
      <c r="H210" s="77"/>
    </row>
    <row r="211" spans="1:8">
      <c r="A211" s="66" t="s">
        <v>571</v>
      </c>
      <c r="B211" s="77">
        <f>+'Summary Medians'!$O$104</f>
        <v>18895</v>
      </c>
      <c r="C211" s="77">
        <f>+'Summary Medians'!$U$104</f>
        <v>31056</v>
      </c>
      <c r="D211" s="77">
        <f>+'Summary Medians'!$AA$104</f>
        <v>27674</v>
      </c>
      <c r="E211" s="77">
        <f>+'Summary Medians'!$AG$104</f>
        <v>18926</v>
      </c>
      <c r="F211" s="77">
        <f>+'Summary Medians'!$AM$104</f>
        <v>0</v>
      </c>
      <c r="G211" s="77">
        <f>+'Summary Medians'!$AS$104</f>
        <v>0</v>
      </c>
      <c r="H211" s="77">
        <f>+'Summary Medians'!$AY$104</f>
        <v>19804</v>
      </c>
    </row>
    <row r="212" spans="1:8">
      <c r="A212" s="66" t="s">
        <v>572</v>
      </c>
      <c r="B212" s="77">
        <f>+'Summary Medians'!$O$121</f>
        <v>23302</v>
      </c>
      <c r="C212" s="77">
        <f>+'Summary Medians'!$U$121</f>
        <v>41218</v>
      </c>
      <c r="D212" s="77">
        <f>+'Summary Medians'!$AA$121</f>
        <v>35660</v>
      </c>
      <c r="E212" s="77">
        <f>+'Summary Medians'!$AG$121</f>
        <v>28662</v>
      </c>
      <c r="F212" s="77">
        <f>+'Summary Medians'!$AM$121</f>
        <v>0</v>
      </c>
      <c r="G212" s="77">
        <f>+'Summary Medians'!$AS$121</f>
        <v>0</v>
      </c>
      <c r="H212" s="77">
        <f>+'Summary Medians'!$AY$121</f>
        <v>0</v>
      </c>
    </row>
    <row r="213" spans="1:8">
      <c r="A213" s="66" t="s">
        <v>573</v>
      </c>
      <c r="B213" s="77">
        <f>+'Summary Medians'!$O$138</f>
        <v>20553.5</v>
      </c>
      <c r="C213" s="77">
        <f>+'Summary Medians'!$U$138</f>
        <v>31140.1</v>
      </c>
      <c r="D213" s="77">
        <f>+'Summary Medians'!$AA$138</f>
        <v>34403</v>
      </c>
      <c r="E213" s="77">
        <f>+'Summary Medians'!$AG$138</f>
        <v>24493</v>
      </c>
      <c r="F213" s="77">
        <f>+'Summary Medians'!$AM$138</f>
        <v>0</v>
      </c>
      <c r="G213" s="77">
        <f>+'Summary Medians'!$AS$138</f>
        <v>0</v>
      </c>
      <c r="H213" s="77">
        <f>+'Summary Medians'!$AY$138</f>
        <v>27399</v>
      </c>
    </row>
    <row r="214" spans="1:8">
      <c r="A214" s="66" t="s">
        <v>574</v>
      </c>
      <c r="B214" s="77">
        <f>+'Summary Medians'!$O$155</f>
        <v>33783</v>
      </c>
      <c r="C214" s="77">
        <f>+'Summary Medians'!$U$155</f>
        <v>39736</v>
      </c>
      <c r="D214" s="77">
        <f>+'Summary Medians'!$AA$155</f>
        <v>43999</v>
      </c>
      <c r="E214" s="77">
        <f>+'Summary Medians'!$AG$155</f>
        <v>30065</v>
      </c>
      <c r="F214" s="77">
        <f>+'Summary Medians'!$AM$155</f>
        <v>0</v>
      </c>
      <c r="G214" s="77">
        <f>+'Summary Medians'!$AS$155</f>
        <v>0</v>
      </c>
      <c r="H214" s="77">
        <f>+'Summary Medians'!$AY$155</f>
        <v>25435</v>
      </c>
    </row>
    <row r="215" spans="1:8">
      <c r="A215" s="66"/>
      <c r="B215" s="77"/>
      <c r="C215" s="77"/>
      <c r="D215" s="77"/>
      <c r="E215" s="77"/>
      <c r="F215" s="77"/>
      <c r="G215" s="77"/>
      <c r="H215" s="77"/>
    </row>
    <row r="216" spans="1:8">
      <c r="A216" s="66" t="s">
        <v>575</v>
      </c>
      <c r="B216" s="77">
        <f>+'Summary Medians'!$O$172</f>
        <v>16980</v>
      </c>
      <c r="C216" s="77">
        <f>+'Summary Medians'!$U$172</f>
        <v>31197</v>
      </c>
      <c r="D216" s="77">
        <f>+'Summary Medians'!$AA$172</f>
        <v>31167</v>
      </c>
      <c r="E216" s="77">
        <f>+'Summary Medians'!$AG$172</f>
        <v>26582</v>
      </c>
      <c r="F216" s="77">
        <f>+'Summary Medians'!$AM$172</f>
        <v>0</v>
      </c>
      <c r="G216" s="77">
        <f>+'Summary Medians'!$AS$172</f>
        <v>0</v>
      </c>
      <c r="H216" s="77">
        <f>+'Summary Medians'!$AY$172</f>
        <v>27397</v>
      </c>
    </row>
    <row r="217" spans="1:8">
      <c r="A217" s="66" t="s">
        <v>576</v>
      </c>
      <c r="B217" s="77">
        <f>+'Summary Medians'!$O$189</f>
        <v>20412.5</v>
      </c>
      <c r="C217" s="77">
        <f>+'Summary Medians'!$U$189</f>
        <v>28924.5</v>
      </c>
      <c r="D217" s="77">
        <f>+'Summary Medians'!$AA$189</f>
        <v>36849.5</v>
      </c>
      <c r="E217" s="77">
        <f>+'Summary Medians'!$AG$189</f>
        <v>24335</v>
      </c>
      <c r="F217" s="77">
        <f>+'Summary Medians'!$AM$189</f>
        <v>0</v>
      </c>
      <c r="G217" s="77">
        <f>+'Summary Medians'!$AS$189</f>
        <v>0</v>
      </c>
      <c r="H217" s="77">
        <f>+'Summary Medians'!$AY$189</f>
        <v>19617</v>
      </c>
    </row>
    <row r="218" spans="1:8">
      <c r="A218" s="66" t="s">
        <v>577</v>
      </c>
      <c r="B218" s="77">
        <f>+'Summary Medians'!$O$206</f>
        <v>0</v>
      </c>
      <c r="C218" s="77">
        <f>+'Summary Medians'!$U$206</f>
        <v>0</v>
      </c>
      <c r="D218" s="77">
        <f>+'Summary Medians'!$AA$206</f>
        <v>0</v>
      </c>
      <c r="E218" s="77">
        <f>+'Summary Medians'!$AG$206</f>
        <v>0</v>
      </c>
      <c r="F218" s="77">
        <f>+'Summary Medians'!$AM$206</f>
        <v>0</v>
      </c>
      <c r="G218" s="77">
        <f>+'Summary Medians'!$AS$206</f>
        <v>0</v>
      </c>
      <c r="H218" s="77">
        <f>+'Summary Medians'!$AY$206</f>
        <v>0</v>
      </c>
    </row>
    <row r="219" spans="1:8">
      <c r="A219" s="66" t="s">
        <v>578</v>
      </c>
      <c r="B219" s="77">
        <f>+'Summary Medians'!$O$223</f>
        <v>21472</v>
      </c>
      <c r="C219" s="77">
        <f>+'Summary Medians'!$U$223</f>
        <v>40258.5</v>
      </c>
      <c r="D219" s="77">
        <f>+'Summary Medians'!$AA$223</f>
        <v>34300</v>
      </c>
      <c r="E219" s="77">
        <f>+'Summary Medians'!$AG$223</f>
        <v>26725.5</v>
      </c>
      <c r="F219" s="77">
        <f>+'Summary Medians'!$AM$223</f>
        <v>0</v>
      </c>
      <c r="G219" s="77">
        <f>+'Summary Medians'!$AS$223</f>
        <v>0</v>
      </c>
      <c r="H219" s="77">
        <f>+'Summary Medians'!$AY$223</f>
        <v>0</v>
      </c>
    </row>
    <row r="220" spans="1:8" ht="15.75">
      <c r="A220" s="66"/>
      <c r="B220" s="105"/>
      <c r="C220" s="105"/>
      <c r="D220" s="105"/>
      <c r="E220" s="105"/>
      <c r="F220" s="105"/>
      <c r="G220" s="105"/>
      <c r="H220" s="105"/>
    </row>
    <row r="221" spans="1:8">
      <c r="A221" s="66" t="s">
        <v>579</v>
      </c>
      <c r="B221" s="77">
        <f>+'Summary Medians'!$O$240</f>
        <v>18832</v>
      </c>
      <c r="C221" s="77">
        <f>+'Summary Medians'!$U$240</f>
        <v>37222.5</v>
      </c>
      <c r="D221" s="77">
        <f>+'Summary Medians'!$AA$240</f>
        <v>38387</v>
      </c>
      <c r="E221" s="77">
        <f>+'Summary Medians'!$AG$240</f>
        <v>33635.75</v>
      </c>
      <c r="F221" s="77">
        <f>+'Summary Medians'!$AM$240</f>
        <v>0</v>
      </c>
      <c r="G221" s="77">
        <f>+'Summary Medians'!$AS$240</f>
        <v>0</v>
      </c>
      <c r="H221" s="77">
        <f>+'Summary Medians'!$AY$240</f>
        <v>29336</v>
      </c>
    </row>
    <row r="222" spans="1:8">
      <c r="A222" s="66" t="s">
        <v>589</v>
      </c>
      <c r="B222" s="77">
        <f>+'Summary Medians'!$O$257</f>
        <v>23264.811428571447</v>
      </c>
      <c r="C222" s="77">
        <f>+'Summary Medians'!$U$257</f>
        <v>27596</v>
      </c>
      <c r="D222" s="77">
        <f>+'Summary Medians'!$AA$257</f>
        <v>42836</v>
      </c>
      <c r="E222" s="77">
        <f>+'Summary Medians'!$AG$257</f>
        <v>21030</v>
      </c>
      <c r="F222" s="77">
        <f>+'Summary Medians'!$AM$257</f>
        <v>6807</v>
      </c>
      <c r="G222" s="77">
        <f>+'Summary Medians'!$AS$257</f>
        <v>27016</v>
      </c>
      <c r="H222" s="77">
        <f>+'Summary Medians'!$AY$257</f>
        <v>31430.400000000001</v>
      </c>
    </row>
    <row r="223" spans="1:8">
      <c r="A223" s="66" t="s">
        <v>581</v>
      </c>
      <c r="B223" s="77">
        <f>+'Summary Medians'!$O$274</f>
        <v>35000</v>
      </c>
      <c r="C223" s="77">
        <f>+'Summary Medians'!$U$274</f>
        <v>46936</v>
      </c>
      <c r="D223" s="77">
        <f>+'Summary Medians'!$AA$274</f>
        <v>60215</v>
      </c>
      <c r="E223" s="77">
        <f>+'Summary Medians'!$AG$274</f>
        <v>31866</v>
      </c>
      <c r="F223" s="77">
        <f>+'Summary Medians'!$AM$274</f>
        <v>0</v>
      </c>
      <c r="G223" s="77">
        <f>+'Summary Medians'!$AS$274</f>
        <v>0</v>
      </c>
      <c r="H223" s="77">
        <f>+'Summary Medians'!$AY$274</f>
        <v>25435</v>
      </c>
    </row>
    <row r="224" spans="1:8">
      <c r="A224" s="137" t="s">
        <v>582</v>
      </c>
      <c r="B224" s="138">
        <f>+'Summary Medians'!$O$291</f>
        <v>24228</v>
      </c>
      <c r="C224" s="138">
        <f>+'Summary Medians'!$U$291</f>
        <v>27860</v>
      </c>
      <c r="D224" s="138">
        <f>+'Summary Medians'!$AA$291</f>
        <v>25506</v>
      </c>
      <c r="E224" s="138">
        <f>+'Summary Medians'!$AG$291</f>
        <v>22105</v>
      </c>
      <c r="F224" s="138">
        <f>+'Summary Medians'!$AM$291</f>
        <v>0</v>
      </c>
      <c r="G224" s="138">
        <f>+'Summary Medians'!$AS$291</f>
        <v>22472</v>
      </c>
      <c r="H224" s="138">
        <f>+'Summary Medians'!$AY$291</f>
        <v>0</v>
      </c>
    </row>
    <row r="225" spans="1:8" ht="29.25" customHeight="1">
      <c r="A225" s="544" t="s">
        <v>606</v>
      </c>
      <c r="B225" s="544"/>
      <c r="C225" s="544"/>
      <c r="D225" s="544"/>
      <c r="E225" s="544"/>
      <c r="F225" s="544"/>
      <c r="G225" s="544"/>
      <c r="H225" s="544"/>
    </row>
    <row r="226" spans="1:8" ht="15.75">
      <c r="A226" s="105"/>
      <c r="B226" s="105"/>
      <c r="C226" s="105"/>
      <c r="D226" s="105"/>
      <c r="E226" s="105"/>
      <c r="F226" s="105"/>
      <c r="G226" s="105"/>
      <c r="H226" s="83" t="s">
        <v>1054</v>
      </c>
    </row>
    <row r="227" spans="1:8" ht="18">
      <c r="A227" s="62" t="s">
        <v>607</v>
      </c>
      <c r="B227" s="62"/>
      <c r="C227" s="62"/>
      <c r="D227" s="62"/>
      <c r="E227" s="62"/>
      <c r="F227" s="62"/>
      <c r="G227" s="62"/>
      <c r="H227" s="62"/>
    </row>
    <row r="228" spans="1:8">
      <c r="A228" s="64"/>
      <c r="B228" s="64"/>
      <c r="C228" s="64"/>
      <c r="D228" s="64"/>
      <c r="E228" s="64"/>
      <c r="F228" s="64"/>
      <c r="G228" s="64"/>
      <c r="H228" s="64"/>
    </row>
    <row r="229" spans="1:8" ht="15.75">
      <c r="A229" s="65" t="s">
        <v>562</v>
      </c>
      <c r="B229" s="65"/>
      <c r="C229" s="65"/>
      <c r="D229" s="65"/>
      <c r="E229" s="65"/>
      <c r="F229" s="65"/>
      <c r="G229" s="65"/>
      <c r="H229" s="65"/>
    </row>
    <row r="230" spans="1:8" ht="15.75">
      <c r="A230" s="65" t="s">
        <v>608</v>
      </c>
      <c r="B230" s="65"/>
      <c r="C230" s="65"/>
      <c r="D230" s="65"/>
      <c r="E230" s="65"/>
      <c r="F230" s="65"/>
      <c r="G230" s="65"/>
      <c r="H230" s="65"/>
    </row>
    <row r="231" spans="1:8" ht="15.75">
      <c r="A231" s="65" t="s">
        <v>892</v>
      </c>
      <c r="B231" s="65"/>
      <c r="C231" s="65"/>
      <c r="D231" s="65"/>
      <c r="E231" s="65"/>
      <c r="F231" s="65"/>
      <c r="G231" s="65"/>
      <c r="H231" s="65"/>
    </row>
    <row r="232" spans="1:8">
      <c r="A232" s="128"/>
      <c r="B232" s="128"/>
      <c r="C232" s="128"/>
      <c r="D232" s="128"/>
      <c r="E232" s="128"/>
      <c r="F232" s="128"/>
      <c r="G232" s="128"/>
      <c r="H232" s="128"/>
    </row>
    <row r="233" spans="1:8">
      <c r="A233" s="139"/>
      <c r="B233" s="140"/>
      <c r="C233" s="140"/>
      <c r="D233" s="140"/>
      <c r="E233" s="140"/>
      <c r="F233" s="140"/>
      <c r="G233" s="140" t="s">
        <v>604</v>
      </c>
      <c r="H233" s="140" t="s">
        <v>605</v>
      </c>
    </row>
    <row r="234" spans="1:8">
      <c r="A234" s="141"/>
      <c r="B234" s="142" t="s">
        <v>2</v>
      </c>
      <c r="C234" s="142" t="s">
        <v>3</v>
      </c>
      <c r="D234" s="142" t="s">
        <v>4</v>
      </c>
      <c r="E234" s="142" t="s">
        <v>5</v>
      </c>
      <c r="F234" s="142" t="s">
        <v>6</v>
      </c>
      <c r="G234" s="142" t="s">
        <v>3</v>
      </c>
      <c r="H234" s="142" t="s">
        <v>3</v>
      </c>
    </row>
    <row r="235" spans="1:8" ht="15.75">
      <c r="A235" s="143"/>
      <c r="B235" s="144"/>
      <c r="C235" s="144"/>
      <c r="D235" s="144"/>
      <c r="E235" s="144"/>
      <c r="F235" s="144"/>
      <c r="G235" s="144"/>
      <c r="H235" s="144"/>
    </row>
    <row r="236" spans="1:8">
      <c r="A236" s="66" t="s">
        <v>566</v>
      </c>
      <c r="B236" s="75">
        <f>+'Summary Medians'!$R$19</f>
        <v>38929.5</v>
      </c>
      <c r="C236" s="75">
        <f>+'Summary Medians'!$X$19</f>
        <v>60838</v>
      </c>
      <c r="D236" s="75">
        <f>+'Summary Medians'!$AD$19</f>
        <v>67947</v>
      </c>
      <c r="E236" s="75">
        <f>+'Summary Medians'!$AJ$19</f>
        <v>42843</v>
      </c>
      <c r="F236" s="75">
        <f>+'Summary Medians'!$AP$19</f>
        <v>36517.5</v>
      </c>
      <c r="G236" s="75">
        <f>+'Summary Medians'!$AV$19</f>
        <v>50821.66666666665</v>
      </c>
      <c r="H236" s="75">
        <f>+'Summary Medians'!$BB$19</f>
        <v>50456</v>
      </c>
    </row>
    <row r="237" spans="1:8">
      <c r="A237" s="66"/>
      <c r="B237" s="77"/>
      <c r="C237" s="77"/>
      <c r="D237" s="77"/>
      <c r="E237" s="77"/>
      <c r="F237" s="77"/>
      <c r="G237" s="77"/>
      <c r="H237" s="77"/>
    </row>
    <row r="238" spans="1:8">
      <c r="A238" s="66" t="s">
        <v>567</v>
      </c>
      <c r="B238" s="77">
        <f>+'Summary Medians'!$R$36</f>
        <v>43360</v>
      </c>
      <c r="C238" s="77">
        <f>+'Summary Medians'!$X$36</f>
        <v>62714</v>
      </c>
      <c r="D238" s="77">
        <f>+'Summary Medians'!$AD$36</f>
        <v>68726</v>
      </c>
      <c r="E238" s="77">
        <f>+'Summary Medians'!$AJ$36</f>
        <v>42522</v>
      </c>
      <c r="F238" s="77">
        <f>+'Summary Medians'!$AP$36</f>
        <v>54012</v>
      </c>
      <c r="G238" s="77">
        <f>+'Summary Medians'!$AV$36</f>
        <v>0</v>
      </c>
      <c r="H238" s="77">
        <f>+'Summary Medians'!$BB$36</f>
        <v>50456</v>
      </c>
    </row>
    <row r="239" spans="1:8">
      <c r="A239" s="66" t="s">
        <v>568</v>
      </c>
      <c r="B239" s="77">
        <f>+'Summary Medians'!$R$53</f>
        <v>28119.5</v>
      </c>
      <c r="C239" s="77">
        <f>+'Summary Medians'!$X$53</f>
        <v>66838</v>
      </c>
      <c r="D239" s="77">
        <f>+'Summary Medians'!$AD$53</f>
        <v>0</v>
      </c>
      <c r="E239" s="77">
        <f>+'Summary Medians'!$AJ$53</f>
        <v>40218</v>
      </c>
      <c r="F239" s="77">
        <f>+'Summary Medians'!$AP$53</f>
        <v>0</v>
      </c>
      <c r="G239" s="77">
        <f>+'Summary Medians'!$AV$53</f>
        <v>0</v>
      </c>
      <c r="H239" s="77">
        <f>+'Summary Medians'!$BB$53</f>
        <v>0</v>
      </c>
    </row>
    <row r="240" spans="1:8">
      <c r="A240" s="66" t="s">
        <v>569</v>
      </c>
      <c r="B240" s="77">
        <f>+'Summary Medians'!$R$70</f>
        <v>0</v>
      </c>
      <c r="C240" s="77">
        <f>+'Summary Medians'!$X$70</f>
        <v>0</v>
      </c>
      <c r="D240" s="77">
        <f>+'Summary Medians'!$AD$70</f>
        <v>0</v>
      </c>
      <c r="E240" s="77">
        <f>+'Summary Medians'!$AJ$70</f>
        <v>0</v>
      </c>
      <c r="F240" s="77">
        <f>+'Summary Medians'!$AP$70</f>
        <v>0</v>
      </c>
      <c r="G240" s="77">
        <f>+'Summary Medians'!$AV$70</f>
        <v>0</v>
      </c>
      <c r="H240" s="77">
        <f>+'Summary Medians'!$BB$70</f>
        <v>0</v>
      </c>
    </row>
    <row r="241" spans="1:8">
      <c r="A241" s="66" t="s">
        <v>570</v>
      </c>
      <c r="B241" s="77">
        <f>+'Summary Medians'!$R$87</f>
        <v>0</v>
      </c>
      <c r="C241" s="77">
        <f>+'Summary Medians'!$X$87</f>
        <v>0</v>
      </c>
      <c r="D241" s="77">
        <f>+'Summary Medians'!$AD$87</f>
        <v>0</v>
      </c>
      <c r="E241" s="77">
        <f>+'Summary Medians'!$AJ$87</f>
        <v>0</v>
      </c>
      <c r="F241" s="77">
        <f>+'Summary Medians'!$AP$87</f>
        <v>0</v>
      </c>
      <c r="G241" s="77">
        <f>+'Summary Medians'!$AV$87</f>
        <v>0</v>
      </c>
      <c r="H241" s="77">
        <f>+'Summary Medians'!$BB$87</f>
        <v>0</v>
      </c>
    </row>
    <row r="242" spans="1:8">
      <c r="A242" s="66"/>
      <c r="B242" s="77"/>
      <c r="C242" s="77"/>
      <c r="D242" s="77"/>
      <c r="E242" s="77"/>
      <c r="F242" s="77"/>
      <c r="G242" s="77"/>
      <c r="H242" s="77"/>
    </row>
    <row r="243" spans="1:8">
      <c r="A243" s="66" t="s">
        <v>571</v>
      </c>
      <c r="B243" s="77">
        <f>+'Summary Medians'!$R$104</f>
        <v>38078</v>
      </c>
      <c r="C243" s="77">
        <f>+'Summary Medians'!$X$104</f>
        <v>59980</v>
      </c>
      <c r="D243" s="77">
        <f>+'Summary Medians'!$AD$104</f>
        <v>64940</v>
      </c>
      <c r="E243" s="77">
        <f>+'Summary Medians'!$AJ$104</f>
        <v>39634</v>
      </c>
      <c r="F243" s="77">
        <f>+'Summary Medians'!$AP$104</f>
        <v>0</v>
      </c>
      <c r="G243" s="77">
        <f>+'Summary Medians'!$AV$104</f>
        <v>0</v>
      </c>
      <c r="H243" s="77">
        <f>+'Summary Medians'!$BB$104</f>
        <v>49466</v>
      </c>
    </row>
    <row r="244" spans="1:8">
      <c r="A244" s="66" t="s">
        <v>572</v>
      </c>
      <c r="B244" s="77">
        <f>+'Summary Medians'!$R$121</f>
        <v>35910</v>
      </c>
      <c r="C244" s="77">
        <f>+'Summary Medians'!$X$121</f>
        <v>68790</v>
      </c>
      <c r="D244" s="77">
        <f>+'Summary Medians'!$AD$121</f>
        <v>75504</v>
      </c>
      <c r="E244" s="77">
        <f>+'Summary Medians'!$AJ$121</f>
        <v>53686</v>
      </c>
      <c r="F244" s="77">
        <f>+'Summary Medians'!$AP$121</f>
        <v>0</v>
      </c>
      <c r="G244" s="77">
        <f>+'Summary Medians'!$AV$121</f>
        <v>0</v>
      </c>
      <c r="H244" s="77">
        <f>+'Summary Medians'!$BB$121</f>
        <v>0</v>
      </c>
    </row>
    <row r="245" spans="1:8">
      <c r="A245" s="66" t="s">
        <v>573</v>
      </c>
      <c r="B245" s="77">
        <f>+'Summary Medians'!$R$138</f>
        <v>34573.5</v>
      </c>
      <c r="C245" s="77">
        <f>+'Summary Medians'!$X$138</f>
        <v>61139.770000000004</v>
      </c>
      <c r="D245" s="77">
        <f>+'Summary Medians'!$AD$138</f>
        <v>63869</v>
      </c>
      <c r="E245" s="77">
        <f>+'Summary Medians'!$AJ$138</f>
        <v>44749</v>
      </c>
      <c r="F245" s="77">
        <f>+'Summary Medians'!$AP$138</f>
        <v>0</v>
      </c>
      <c r="G245" s="77">
        <f>+'Summary Medians'!$AV$138</f>
        <v>0</v>
      </c>
      <c r="H245" s="77">
        <f>+'Summary Medians'!$BB$138</f>
        <v>56499</v>
      </c>
    </row>
    <row r="246" spans="1:8">
      <c r="A246" s="66" t="s">
        <v>574</v>
      </c>
      <c r="B246" s="77">
        <f>+'Summary Medians'!$R$155</f>
        <v>49146</v>
      </c>
      <c r="C246" s="77">
        <f>+'Summary Medians'!$X$155</f>
        <v>68381</v>
      </c>
      <c r="D246" s="77">
        <f>+'Summary Medians'!$AD$155</f>
        <v>80156</v>
      </c>
      <c r="E246" s="77">
        <f>+'Summary Medians'!$AJ$155</f>
        <v>53265.5</v>
      </c>
      <c r="F246" s="77">
        <f>+'Summary Medians'!$AP$155</f>
        <v>0</v>
      </c>
      <c r="G246" s="77">
        <f>+'Summary Medians'!$AV$155</f>
        <v>0</v>
      </c>
      <c r="H246" s="77">
        <f>+'Summary Medians'!$BB$155</f>
        <v>54568</v>
      </c>
    </row>
    <row r="247" spans="1:8">
      <c r="A247" s="66"/>
      <c r="B247" s="77"/>
      <c r="C247" s="77"/>
      <c r="D247" s="77"/>
      <c r="E247" s="77"/>
      <c r="F247" s="77"/>
      <c r="G247" s="77"/>
      <c r="H247" s="77"/>
    </row>
    <row r="248" spans="1:8">
      <c r="A248" s="66" t="s">
        <v>575</v>
      </c>
      <c r="B248" s="77">
        <f>+'Summary Medians'!$R$172</f>
        <v>37045</v>
      </c>
      <c r="C248" s="77">
        <f>+'Summary Medians'!$X$172</f>
        <v>73460</v>
      </c>
      <c r="D248" s="77">
        <f>+'Summary Medians'!$AD$172</f>
        <v>73220</v>
      </c>
      <c r="E248" s="77">
        <f>+'Summary Medians'!$AJ$172</f>
        <v>53660</v>
      </c>
      <c r="F248" s="77">
        <f>+'Summary Medians'!$AP$172</f>
        <v>0</v>
      </c>
      <c r="G248" s="77">
        <f>+'Summary Medians'!$AV$172</f>
        <v>0</v>
      </c>
      <c r="H248" s="77">
        <f>+'Summary Medians'!$BB$172</f>
        <v>48597</v>
      </c>
    </row>
    <row r="249" spans="1:8">
      <c r="A249" s="66" t="s">
        <v>576</v>
      </c>
      <c r="B249" s="77">
        <f>+'Summary Medians'!$R$189</f>
        <v>40321.5</v>
      </c>
      <c r="C249" s="77">
        <f>+'Summary Medians'!$X$189</f>
        <v>42621.5</v>
      </c>
      <c r="D249" s="77">
        <f>+'Summary Medians'!$AD$189</f>
        <v>50107</v>
      </c>
      <c r="E249" s="77">
        <f>+'Summary Medians'!$AJ$189</f>
        <v>46896</v>
      </c>
      <c r="F249" s="77">
        <f>+'Summary Medians'!$AP$189</f>
        <v>0</v>
      </c>
      <c r="G249" s="77">
        <f>+'Summary Medians'!$AV$189</f>
        <v>0</v>
      </c>
      <c r="H249" s="77">
        <f>+'Summary Medians'!$BB$189</f>
        <v>47658</v>
      </c>
    </row>
    <row r="250" spans="1:8">
      <c r="A250" s="66" t="s">
        <v>577</v>
      </c>
      <c r="B250" s="77">
        <f>+'Summary Medians'!$R$206</f>
        <v>0</v>
      </c>
      <c r="C250" s="77">
        <f>+'Summary Medians'!$X$206</f>
        <v>0</v>
      </c>
      <c r="D250" s="77">
        <f>+'Summary Medians'!$AD$206</f>
        <v>0</v>
      </c>
      <c r="E250" s="77">
        <f>+'Summary Medians'!$AJ$206</f>
        <v>0</v>
      </c>
      <c r="F250" s="77">
        <f>+'Summary Medians'!$AP$206</f>
        <v>0</v>
      </c>
      <c r="G250" s="77">
        <f>+'Summary Medians'!$AV$206</f>
        <v>0</v>
      </c>
      <c r="H250" s="77">
        <f>+'Summary Medians'!$BB$206</f>
        <v>0</v>
      </c>
    </row>
    <row r="251" spans="1:8">
      <c r="A251" s="66" t="s">
        <v>578</v>
      </c>
      <c r="B251" s="77">
        <f>+'Summary Medians'!$R$223</f>
        <v>52480</v>
      </c>
      <c r="C251" s="77">
        <f>+'Summary Medians'!$X$223</f>
        <v>76227</v>
      </c>
      <c r="D251" s="77">
        <f>+'Summary Medians'!$AD$223</f>
        <v>60000</v>
      </c>
      <c r="E251" s="77">
        <f>+'Summary Medians'!$AJ$223</f>
        <v>39374.5</v>
      </c>
      <c r="F251" s="77">
        <f>+'Summary Medians'!$AP$223</f>
        <v>0</v>
      </c>
      <c r="G251" s="77">
        <f>+'Summary Medians'!$AV$223</f>
        <v>0</v>
      </c>
      <c r="H251" s="77">
        <f>+'Summary Medians'!$BB$223</f>
        <v>0</v>
      </c>
    </row>
    <row r="252" spans="1:8" ht="15.75">
      <c r="A252" s="66"/>
      <c r="B252" s="105"/>
      <c r="C252" s="105"/>
      <c r="D252" s="105"/>
      <c r="E252" s="105"/>
      <c r="F252" s="105"/>
      <c r="G252" s="105"/>
      <c r="H252" s="105"/>
    </row>
    <row r="253" spans="1:8">
      <c r="A253" s="66" t="s">
        <v>579</v>
      </c>
      <c r="B253" s="77">
        <f>+'Summary Medians'!$R$240</f>
        <v>31345</v>
      </c>
      <c r="C253" s="77">
        <f>+'Summary Medians'!$X$240</f>
        <v>55109</v>
      </c>
      <c r="D253" s="77">
        <f>+'Summary Medians'!$AD$240</f>
        <v>77147</v>
      </c>
      <c r="E253" s="77">
        <f>+'Summary Medians'!$AJ$240</f>
        <v>36137.75</v>
      </c>
      <c r="F253" s="77">
        <f>+'Summary Medians'!$AP$240</f>
        <v>0</v>
      </c>
      <c r="G253" s="77">
        <f>+'Summary Medians'!$AV$240</f>
        <v>0</v>
      </c>
      <c r="H253" s="77">
        <f>+'Summary Medians'!$BB$240</f>
        <v>56602</v>
      </c>
    </row>
    <row r="254" spans="1:8">
      <c r="A254" s="66" t="s">
        <v>589</v>
      </c>
      <c r="B254" s="77">
        <f>+'Summary Medians'!$R$257</f>
        <v>33716.811428571455</v>
      </c>
      <c r="C254" s="77">
        <f>+'Summary Medians'!$X$257</f>
        <v>45314.666666666701</v>
      </c>
      <c r="D254" s="77">
        <f>+'Summary Medians'!$AD$257</f>
        <v>57236</v>
      </c>
      <c r="E254" s="77">
        <f>+'Summary Medians'!$AJ$257</f>
        <v>40529.33333333335</v>
      </c>
      <c r="F254" s="77">
        <f>+'Summary Medians'!$AP$257</f>
        <v>19023</v>
      </c>
      <c r="G254" s="77">
        <f>+'Summary Medians'!$AV$257</f>
        <v>47933.333333333299</v>
      </c>
      <c r="H254" s="77">
        <f>+'Summary Medians'!$BB$257</f>
        <v>49426.8</v>
      </c>
    </row>
    <row r="255" spans="1:8">
      <c r="A255" s="66" t="s">
        <v>590</v>
      </c>
      <c r="B255" s="77">
        <f>+'Summary Medians'!$R$274</f>
        <v>44000</v>
      </c>
      <c r="C255" s="77">
        <f>+'Summary Medians'!$X$274</f>
        <v>57742</v>
      </c>
      <c r="D255" s="77">
        <f>+'Summary Medians'!$AD$274</f>
        <v>93884</v>
      </c>
      <c r="E255" s="77">
        <f>+'Summary Medians'!$AJ$274</f>
        <v>45194</v>
      </c>
      <c r="F255" s="77">
        <f>+'Summary Medians'!$AP$274</f>
        <v>0</v>
      </c>
      <c r="G255" s="77">
        <f>+'Summary Medians'!$AV$274</f>
        <v>0</v>
      </c>
      <c r="H255" s="77">
        <f>+'Summary Medians'!$BB$274</f>
        <v>54568</v>
      </c>
    </row>
    <row r="256" spans="1:8">
      <c r="A256" s="137" t="s">
        <v>582</v>
      </c>
      <c r="B256" s="138">
        <f>+'Summary Medians'!$R$291</f>
        <v>40248</v>
      </c>
      <c r="C256" s="138">
        <f>+'Summary Medians'!$X$291</f>
        <v>59525</v>
      </c>
      <c r="D256" s="138">
        <f>+'Summary Medians'!$AD$291</f>
        <v>56574</v>
      </c>
      <c r="E256" s="138">
        <f>+'Summary Medians'!$AJ$291</f>
        <v>40107</v>
      </c>
      <c r="F256" s="138">
        <f>+'Summary Medians'!$AP$291</f>
        <v>0</v>
      </c>
      <c r="G256" s="138">
        <f>+'Summary Medians'!$AV$291</f>
        <v>53710</v>
      </c>
      <c r="H256" s="138">
        <f>+'Summary Medians'!$BB$291</f>
        <v>0</v>
      </c>
    </row>
    <row r="257" spans="1:8" ht="30.75" customHeight="1">
      <c r="A257" s="544" t="s">
        <v>609</v>
      </c>
      <c r="B257" s="544"/>
      <c r="C257" s="544"/>
      <c r="D257" s="544"/>
      <c r="E257" s="544"/>
      <c r="F257" s="544"/>
      <c r="G257" s="544"/>
      <c r="H257" s="544"/>
    </row>
    <row r="258" spans="1:8" ht="15.75">
      <c r="A258" s="105"/>
      <c r="B258" s="105"/>
      <c r="C258" s="105"/>
      <c r="D258" s="105"/>
      <c r="E258" s="105"/>
      <c r="F258" s="105"/>
      <c r="G258" s="105"/>
      <c r="H258" s="83" t="s">
        <v>1054</v>
      </c>
    </row>
  </sheetData>
  <mergeCells count="28">
    <mergeCell ref="A64:J64"/>
    <mergeCell ref="A31:H31"/>
    <mergeCell ref="A33:J33"/>
    <mergeCell ref="A35:J35"/>
    <mergeCell ref="A36:J36"/>
    <mergeCell ref="A37:J37"/>
    <mergeCell ref="A163:H163"/>
    <mergeCell ref="A96:H96"/>
    <mergeCell ref="A98:J98"/>
    <mergeCell ref="A100:J100"/>
    <mergeCell ref="A101:J101"/>
    <mergeCell ref="A102:J102"/>
    <mergeCell ref="A129:J129"/>
    <mergeCell ref="A131:H131"/>
    <mergeCell ref="A133:H133"/>
    <mergeCell ref="A134:H134"/>
    <mergeCell ref="A135:H135"/>
    <mergeCell ref="A161:H161"/>
    <mergeCell ref="A198:H198"/>
    <mergeCell ref="A199:H199"/>
    <mergeCell ref="A225:H225"/>
    <mergeCell ref="A257:H257"/>
    <mergeCell ref="A165:H165"/>
    <mergeCell ref="A166:H166"/>
    <mergeCell ref="A167:H167"/>
    <mergeCell ref="A193:H193"/>
    <mergeCell ref="A195:H195"/>
    <mergeCell ref="A197:H197"/>
  </mergeCells>
  <printOptions horizontalCentered="1"/>
  <pageMargins left="0.75" right="0.75" top="1" bottom="1" header="0.75" footer="0.5"/>
  <pageSetup scale="83" firstPageNumber="134" orientation="landscape" useFirstPageNumber="1" r:id="rId1"/>
  <headerFooter alignWithMargins="0">
    <oddHeader>&amp;R&amp;"Arial,Regular"&amp;8SREB-State Data Exchange</oddHeader>
    <oddFooter>&amp;C&amp;"Arial,Regular"&amp;10C-&amp;P</oddFooter>
  </headerFooter>
  <rowBreaks count="7" manualBreakCount="7">
    <brk id="32" max="9" man="1"/>
    <brk id="65" max="9" man="1"/>
    <brk id="97" max="9" man="1"/>
    <brk id="130" max="9" man="1"/>
    <brk id="162" max="9" man="1"/>
    <brk id="194" max="9" man="1"/>
    <brk id="226" max="9"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BD292"/>
  <sheetViews>
    <sheetView showGridLines="0" showZeros="0" zoomScale="92" zoomScaleNormal="90" workbookViewId="0">
      <pane xSplit="2" ySplit="2" topLeftCell="C165" activePane="bottomRight" state="frozen"/>
      <selection pane="topRight" activeCell="C1" sqref="C1"/>
      <selection pane="bottomLeft" activeCell="A3" sqref="A3"/>
      <selection pane="bottomRight" activeCell="C164" sqref="C164"/>
    </sheetView>
  </sheetViews>
  <sheetFormatPr defaultColWidth="9" defaultRowHeight="12.75"/>
  <cols>
    <col min="1" max="1" width="5" style="10" customWidth="1"/>
    <col min="2" max="2" width="20.77734375" style="19" customWidth="1"/>
    <col min="3" max="3" width="6.6640625" style="10" customWidth="1"/>
    <col min="4" max="4" width="6.21875" style="10" customWidth="1"/>
    <col min="5" max="5" width="7.77734375" style="10" customWidth="1"/>
    <col min="6" max="6" width="6.21875" style="10" customWidth="1"/>
    <col min="7" max="7" width="7.109375" style="10" customWidth="1"/>
    <col min="8" max="8" width="7.77734375" style="10" customWidth="1"/>
    <col min="9" max="10" width="6" style="10" customWidth="1"/>
    <col min="11" max="11" width="7" style="10" customWidth="1"/>
    <col min="12" max="13" width="6.21875" style="10" customWidth="1"/>
    <col min="14" max="14" width="8" style="10" customWidth="1"/>
    <col min="15" max="15" width="6.21875" style="10" customWidth="1"/>
    <col min="16" max="16" width="6.77734375" style="10" customWidth="1"/>
    <col min="17" max="17" width="8" style="10" customWidth="1"/>
    <col min="18" max="18" width="6.21875" style="10" customWidth="1"/>
    <col min="19" max="19" width="6" style="10" customWidth="1"/>
    <col min="20" max="20" width="8" style="10" customWidth="1"/>
    <col min="21" max="21" width="7" style="10" customWidth="1"/>
    <col min="22" max="22" width="6.44140625" style="10" customWidth="1"/>
    <col min="23" max="23" width="8.21875" style="10" customWidth="1"/>
    <col min="24" max="25" width="6.77734375" style="10" customWidth="1"/>
    <col min="26" max="26" width="8.21875" style="10" customWidth="1"/>
    <col min="27" max="28" width="6.44140625" style="10" customWidth="1"/>
    <col min="29" max="29" width="8.21875" style="10" customWidth="1"/>
    <col min="30" max="31" width="6.77734375" style="10" customWidth="1"/>
    <col min="32" max="32" width="8.21875" style="10" customWidth="1"/>
    <col min="33" max="34" width="6.44140625" style="10" customWidth="1"/>
    <col min="35" max="35" width="8.21875" style="10" customWidth="1"/>
    <col min="36" max="37" width="6.77734375" style="10" customWidth="1"/>
    <col min="38" max="38" width="8.21875" style="10" customWidth="1"/>
    <col min="39" max="40" width="6.44140625" style="10" customWidth="1"/>
    <col min="41" max="41" width="8.21875" style="10" customWidth="1"/>
    <col min="42" max="43" width="6.77734375" style="10" customWidth="1"/>
    <col min="44" max="44" width="8.21875" style="10" customWidth="1"/>
    <col min="45" max="45" width="6.44140625" style="10" customWidth="1"/>
    <col min="46" max="46" width="6.77734375" style="10" customWidth="1"/>
    <col min="47" max="47" width="8.109375" style="10" customWidth="1"/>
    <col min="48" max="48" width="6.21875" style="10" customWidth="1"/>
    <col min="49" max="49" width="6.77734375" style="10" customWidth="1"/>
    <col min="50" max="50" width="8.109375" style="10" customWidth="1"/>
    <col min="51" max="52" width="7.44140625" style="10" customWidth="1"/>
    <col min="53" max="53" width="8.109375" style="10" customWidth="1"/>
    <col min="54" max="55" width="7.44140625" style="10" bestFit="1" customWidth="1"/>
    <col min="56" max="56" width="8.109375" style="10" bestFit="1" customWidth="1"/>
    <col min="57" max="16384" width="9" style="10"/>
  </cols>
  <sheetData>
    <row r="1" spans="1:56" ht="25.5">
      <c r="A1" s="5" t="s">
        <v>521</v>
      </c>
      <c r="B1" s="6"/>
      <c r="C1" s="7" t="s">
        <v>522</v>
      </c>
      <c r="D1" s="7"/>
      <c r="E1" s="8"/>
      <c r="F1" s="7" t="s">
        <v>523</v>
      </c>
      <c r="G1" s="7"/>
      <c r="H1" s="7"/>
      <c r="I1" s="9" t="s">
        <v>524</v>
      </c>
      <c r="J1" s="7"/>
      <c r="K1" s="7"/>
      <c r="L1" s="9" t="s">
        <v>525</v>
      </c>
      <c r="M1" s="7"/>
      <c r="N1" s="8"/>
      <c r="O1" s="9" t="s">
        <v>526</v>
      </c>
      <c r="P1" s="7"/>
      <c r="Q1" s="8"/>
      <c r="R1" s="211" t="s">
        <v>527</v>
      </c>
      <c r="S1" s="212"/>
      <c r="T1" s="213"/>
      <c r="U1" s="211" t="s">
        <v>528</v>
      </c>
      <c r="V1" s="7"/>
      <c r="W1" s="8"/>
      <c r="X1" s="9" t="s">
        <v>529</v>
      </c>
      <c r="Y1" s="7"/>
      <c r="Z1" s="8"/>
      <c r="AA1" s="9" t="s">
        <v>530</v>
      </c>
      <c r="AB1" s="7"/>
      <c r="AC1" s="8"/>
      <c r="AD1" s="9" t="s">
        <v>531</v>
      </c>
      <c r="AE1" s="7"/>
      <c r="AF1" s="8"/>
      <c r="AG1" s="9" t="s">
        <v>532</v>
      </c>
      <c r="AH1" s="7"/>
      <c r="AI1" s="8"/>
      <c r="AJ1" s="9" t="s">
        <v>533</v>
      </c>
      <c r="AK1" s="7"/>
      <c r="AL1" s="8"/>
      <c r="AM1" s="9" t="s">
        <v>534</v>
      </c>
      <c r="AN1" s="7"/>
      <c r="AO1" s="8"/>
      <c r="AP1" s="9" t="s">
        <v>535</v>
      </c>
      <c r="AQ1" s="7"/>
      <c r="AR1" s="8"/>
      <c r="AS1" s="9" t="s">
        <v>536</v>
      </c>
      <c r="AT1" s="7"/>
      <c r="AU1" s="8"/>
      <c r="AV1" s="9" t="s">
        <v>537</v>
      </c>
      <c r="AW1" s="7"/>
      <c r="AX1" s="8"/>
      <c r="AY1" s="9" t="s">
        <v>538</v>
      </c>
      <c r="AZ1" s="7"/>
      <c r="BA1" s="8"/>
      <c r="BB1" s="9" t="s">
        <v>539</v>
      </c>
      <c r="BC1" s="7"/>
      <c r="BD1" s="8"/>
    </row>
    <row r="2" spans="1:56" s="17" customFormat="1" ht="25.5">
      <c r="A2" s="11" t="s">
        <v>12</v>
      </c>
      <c r="B2" s="12" t="s">
        <v>19</v>
      </c>
      <c r="C2" s="13" t="s">
        <v>540</v>
      </c>
      <c r="D2" s="13" t="s">
        <v>541</v>
      </c>
      <c r="E2" s="14" t="s">
        <v>542</v>
      </c>
      <c r="F2" s="13" t="s">
        <v>540</v>
      </c>
      <c r="G2" s="13" t="s">
        <v>541</v>
      </c>
      <c r="H2" s="15" t="s">
        <v>542</v>
      </c>
      <c r="I2" s="11" t="s">
        <v>540</v>
      </c>
      <c r="J2" s="13" t="s">
        <v>541</v>
      </c>
      <c r="K2" s="15" t="s">
        <v>542</v>
      </c>
      <c r="L2" s="16" t="s">
        <v>540</v>
      </c>
      <c r="M2" s="13" t="s">
        <v>541</v>
      </c>
      <c r="N2" s="14" t="s">
        <v>542</v>
      </c>
      <c r="O2" s="13" t="s">
        <v>540</v>
      </c>
      <c r="P2" s="13" t="s">
        <v>541</v>
      </c>
      <c r="Q2" s="14" t="s">
        <v>542</v>
      </c>
      <c r="R2" s="13" t="s">
        <v>540</v>
      </c>
      <c r="S2" s="13" t="s">
        <v>541</v>
      </c>
      <c r="T2" s="14" t="s">
        <v>542</v>
      </c>
      <c r="U2" s="13" t="s">
        <v>540</v>
      </c>
      <c r="V2" s="13" t="s">
        <v>541</v>
      </c>
      <c r="W2" s="14" t="s">
        <v>542</v>
      </c>
      <c r="X2" s="13" t="s">
        <v>540</v>
      </c>
      <c r="Y2" s="13" t="s">
        <v>541</v>
      </c>
      <c r="Z2" s="14" t="s">
        <v>542</v>
      </c>
      <c r="AA2" s="13" t="s">
        <v>540</v>
      </c>
      <c r="AB2" s="13" t="s">
        <v>541</v>
      </c>
      <c r="AC2" s="14" t="s">
        <v>542</v>
      </c>
      <c r="AD2" s="13" t="s">
        <v>540</v>
      </c>
      <c r="AE2" s="13" t="s">
        <v>541</v>
      </c>
      <c r="AF2" s="14" t="s">
        <v>542</v>
      </c>
      <c r="AG2" s="13" t="s">
        <v>540</v>
      </c>
      <c r="AH2" s="13" t="s">
        <v>541</v>
      </c>
      <c r="AI2" s="14" t="s">
        <v>542</v>
      </c>
      <c r="AJ2" s="13" t="s">
        <v>540</v>
      </c>
      <c r="AK2" s="13" t="s">
        <v>541</v>
      </c>
      <c r="AL2" s="14" t="s">
        <v>542</v>
      </c>
      <c r="AM2" s="13" t="s">
        <v>540</v>
      </c>
      <c r="AN2" s="13" t="s">
        <v>541</v>
      </c>
      <c r="AO2" s="14" t="s">
        <v>542</v>
      </c>
      <c r="AP2" s="13" t="s">
        <v>540</v>
      </c>
      <c r="AQ2" s="13" t="s">
        <v>541</v>
      </c>
      <c r="AR2" s="14" t="s">
        <v>542</v>
      </c>
      <c r="AS2" s="13" t="s">
        <v>540</v>
      </c>
      <c r="AT2" s="13" t="s">
        <v>541</v>
      </c>
      <c r="AU2" s="14" t="s">
        <v>542</v>
      </c>
      <c r="AV2" s="13" t="s">
        <v>540</v>
      </c>
      <c r="AW2" s="13" t="s">
        <v>541</v>
      </c>
      <c r="AX2" s="14" t="s">
        <v>542</v>
      </c>
      <c r="AY2" s="13" t="s">
        <v>540</v>
      </c>
      <c r="AZ2" s="13" t="s">
        <v>541</v>
      </c>
      <c r="BA2" s="14" t="s">
        <v>542</v>
      </c>
      <c r="BB2" s="13" t="s">
        <v>540</v>
      </c>
      <c r="BC2" s="13" t="s">
        <v>541</v>
      </c>
      <c r="BD2" s="14" t="s">
        <v>542</v>
      </c>
    </row>
    <row r="3" spans="1:56">
      <c r="A3" s="18" t="s">
        <v>543</v>
      </c>
      <c r="B3" s="19" t="s">
        <v>544</v>
      </c>
      <c r="C3" s="20">
        <f>IFERROR(GETPIVOTDATA("[Measures].[mOldUGIS]",'Pivot Table SREB'!$A$78,"[Range 1].[Type]","[Range 1].[Type].&amp;[1]"), " ")</f>
        <v>11534</v>
      </c>
      <c r="D3" s="20">
        <f>IFERROR(GETPIVOTDATA("[Measures].[mNewUGIS]",'Pivot Table SREB'!$A$78,"[Range 1].[Type]","[Range 1].[Type].&amp;[1]"), " ")</f>
        <v>11740</v>
      </c>
      <c r="E3" s="21">
        <f t="shared" ref="E3:E17" si="0">IF(C3&gt;0,(((D3-C3)/C3)*100),0)</f>
        <v>1.7860239292526443</v>
      </c>
      <c r="F3" s="20">
        <f>IFERROR(GETPIVOTDATA("[Measures].[mOldUGOS]",'Pivot Table SREB'!$A$78,"[Range 1].[Type]","[Range 1].[Type].&amp;[1]"), " ")</f>
        <v>30602</v>
      </c>
      <c r="G3" s="20">
        <f>IFERROR(GETPIVOTDATA("[Measures].[mNewUGOS]",'Pivot Table SREB'!$A$78,"[Range 1].[Type]","[Range 1].[Type].&amp;[1]"), " ")</f>
        <v>30602</v>
      </c>
      <c r="H3" s="22">
        <f t="shared" ref="H3:H18" si="1">IF(F3&gt;0,(((G3-F3)/F3)*100),0)</f>
        <v>0</v>
      </c>
      <c r="I3" s="20">
        <f>IFERROR(GETPIVOTDATA("[Measures].[mOLDGIS]",'Pivot Table SREB'!$A$78,"[Range 1].[Type]","[Range 1].[Type].&amp;[1]"), " ")</f>
        <v>11945</v>
      </c>
      <c r="J3" s="20">
        <f>IFERROR(GETPIVOTDATA("[Measures].[mNewGIS]",'Pivot Table SREB'!$A$78,"[Range 1].[Type]","[Range 1].[Type].&amp;[1]"), " ")</f>
        <v>12164</v>
      </c>
      <c r="K3" s="22">
        <f t="shared" ref="K3:K9" si="2">IF(I3&gt;0,(((J3-I3)/I3)*100),0)</f>
        <v>1.8334030975303475</v>
      </c>
      <c r="L3" s="20">
        <f>IFERROR(GETPIVOTDATA("[Measures].[mOldGOS]",'Pivot Table SREB'!$A$78,"[Range 1].[Type]","[Range 1].[Type].&amp;[1]"), " ")</f>
        <v>29361</v>
      </c>
      <c r="M3" s="20">
        <f>IFERROR(GETPIVOTDATA("[Measures].[mNewGOS]",'Pivot Table SREB'!$A$78,"[Range 1].[Type]","[Range 1].[Type].&amp;[1]"), " ")</f>
        <v>29618</v>
      </c>
      <c r="N3" s="24">
        <f t="shared" ref="N3:N9" si="3">IF(L3&gt;0,(((M3-L3)/L3)*100),0)</f>
        <v>0.87531078641735638</v>
      </c>
      <c r="O3" s="25"/>
      <c r="P3" s="26"/>
      <c r="Q3" s="27"/>
      <c r="R3" s="25"/>
      <c r="S3" s="26"/>
      <c r="T3" s="27"/>
      <c r="U3" s="25"/>
      <c r="V3" s="26"/>
      <c r="W3" s="27"/>
      <c r="X3" s="25"/>
      <c r="Y3" s="26"/>
      <c r="Z3" s="27"/>
      <c r="AA3" s="25"/>
      <c r="AB3" s="26"/>
      <c r="AC3" s="27"/>
      <c r="AD3" s="25"/>
      <c r="AE3" s="26"/>
      <c r="AF3" s="27"/>
      <c r="AG3" s="25"/>
      <c r="AH3" s="26"/>
      <c r="AI3" s="27"/>
      <c r="AJ3" s="25"/>
      <c r="AK3" s="26"/>
      <c r="AL3" s="27"/>
      <c r="AM3" s="25"/>
      <c r="AN3" s="26"/>
      <c r="AO3" s="27"/>
      <c r="AP3" s="25"/>
      <c r="AQ3" s="26"/>
      <c r="AR3" s="27"/>
      <c r="AS3" s="25"/>
      <c r="AT3" s="26"/>
      <c r="AU3" s="27"/>
      <c r="AV3" s="25"/>
      <c r="AW3" s="26"/>
      <c r="AX3" s="27"/>
      <c r="AY3" s="25"/>
      <c r="AZ3" s="26"/>
      <c r="BA3" s="27"/>
      <c r="BB3" s="25"/>
      <c r="BC3" s="26"/>
      <c r="BD3" s="27"/>
    </row>
    <row r="4" spans="1:56">
      <c r="A4" s="28"/>
      <c r="B4" s="19" t="s">
        <v>545</v>
      </c>
      <c r="C4" s="20">
        <f>IFERROR(GETPIVOTDATA("[Measures].[mOldUGIS]",'Pivot Table SREB'!$A$78,"[Range 1].[Type]","[Range 1].[Type].&amp;[2]"), " ")</f>
        <v>9538</v>
      </c>
      <c r="D4" s="20">
        <f>IFERROR(GETPIVOTDATA("[Measures].[mNewUGIS]",'Pivot Table SREB'!$A$78,"[Range 1].[Type]","[Range 1].[Type].&amp;[2]"), " ")</f>
        <v>10222</v>
      </c>
      <c r="E4" s="21">
        <f t="shared" si="0"/>
        <v>7.1713147410358573</v>
      </c>
      <c r="F4" s="20">
        <f>IFERROR(GETPIVOTDATA("[Measures].[mOldUGOS]",'Pivot Table SREB'!$A$78,"[Range 1].[Type]","[Range 1].[Type].&amp;[2]"), " ")</f>
        <v>23516</v>
      </c>
      <c r="G4" s="20">
        <f>IFERROR(GETPIVOTDATA("[Measures].[mNewUGOS]",'Pivot Table SREB'!$A$78,"[Range 1].[Type]","[Range 1].[Type].&amp;[2]"), " ")</f>
        <v>23574</v>
      </c>
      <c r="H4" s="22">
        <f t="shared" si="1"/>
        <v>0.2466405851335261</v>
      </c>
      <c r="I4" s="20">
        <f>IFERROR(GETPIVOTDATA("[Measures].[mOLDGIS]",'Pivot Table SREB'!$A$78,"[Range 1].[Type]","[Range 1].[Type].&amp;[2]"), " ")</f>
        <v>10746.666666666701</v>
      </c>
      <c r="J4" s="20">
        <f>IFERROR(GETPIVOTDATA("[Measures].[mNewGIS]",'Pivot Table SREB'!$A$78,"[Range 1].[Type]","[Range 1].[Type].&amp;[2]"), " ")</f>
        <v>11013.333333333299</v>
      </c>
      <c r="K4" s="22">
        <f t="shared" si="2"/>
        <v>2.4813895781631321</v>
      </c>
      <c r="L4" s="20">
        <f>IFERROR(GETPIVOTDATA("[Measures].[mOldGOS]",'Pivot Table SREB'!$A$78,"[Range 1].[Type]","[Range 1].[Type].&amp;[2]"), " ")</f>
        <v>21416</v>
      </c>
      <c r="M4" s="20">
        <f>IFERROR(GETPIVOTDATA("[Measures].[mNewGOS]",'Pivot Table SREB'!$A$78,"[Range 1].[Type]","[Range 1].[Type].&amp;[2]"), " ")</f>
        <v>22144</v>
      </c>
      <c r="N4" s="24">
        <f t="shared" si="3"/>
        <v>3.3993276055285766</v>
      </c>
      <c r="O4" s="25"/>
      <c r="P4" s="26"/>
      <c r="Q4" s="27"/>
      <c r="R4" s="25"/>
      <c r="S4" s="26"/>
      <c r="T4" s="27"/>
      <c r="U4" s="25"/>
      <c r="V4" s="26"/>
      <c r="W4" s="27"/>
      <c r="X4" s="25"/>
      <c r="Y4" s="26"/>
      <c r="Z4" s="27"/>
      <c r="AA4" s="25"/>
      <c r="AB4" s="26"/>
      <c r="AC4" s="27"/>
      <c r="AD4" s="25"/>
      <c r="AE4" s="26"/>
      <c r="AF4" s="27"/>
      <c r="AG4" s="25"/>
      <c r="AH4" s="26"/>
      <c r="AI4" s="27"/>
      <c r="AJ4" s="25"/>
      <c r="AK4" s="26"/>
      <c r="AL4" s="27"/>
      <c r="AM4" s="25"/>
      <c r="AN4" s="26"/>
      <c r="AO4" s="27"/>
      <c r="AP4" s="25"/>
      <c r="AQ4" s="26"/>
      <c r="AR4" s="27"/>
      <c r="AS4" s="25"/>
      <c r="AT4" s="26"/>
      <c r="AU4" s="27"/>
      <c r="AV4" s="25"/>
      <c r="AW4" s="26"/>
      <c r="AX4" s="27"/>
      <c r="AY4" s="25"/>
      <c r="AZ4" s="26"/>
      <c r="BA4" s="27"/>
      <c r="BB4" s="25"/>
      <c r="BC4" s="26"/>
      <c r="BD4" s="27"/>
    </row>
    <row r="5" spans="1:56">
      <c r="A5" s="28"/>
      <c r="B5" s="19" t="s">
        <v>546</v>
      </c>
      <c r="C5" s="20">
        <f>IFERROR(GETPIVOTDATA("[Measures].[mOldUGIS]",'Pivot Table SREB'!$A$78,"[Range 1].[Type]","[Range 1].[Type].&amp;[3]"), " ")</f>
        <v>9255</v>
      </c>
      <c r="D5" s="20">
        <f>IFERROR(GETPIVOTDATA("[Measures].[mNewUGIS]",'Pivot Table SREB'!$A$78,"[Range 1].[Type]","[Range 1].[Type].&amp;[3]"), " ")</f>
        <v>9500.5</v>
      </c>
      <c r="E5" s="21">
        <f t="shared" si="0"/>
        <v>2.6526202052944354</v>
      </c>
      <c r="F5" s="20">
        <f>IFERROR(GETPIVOTDATA("[Measures].[mOldUGOS]",'Pivot Table SREB'!$A$78,"[Range 1].[Type]","[Range 1].[Type].&amp;[3]"), " ")</f>
        <v>21396</v>
      </c>
      <c r="G5" s="20">
        <f>IFERROR(GETPIVOTDATA("[Measures].[mNewUGOS]",'Pivot Table SREB'!$A$78,"[Range 1].[Type]","[Range 1].[Type].&amp;[3]"), " ")</f>
        <v>21506</v>
      </c>
      <c r="H5" s="22">
        <f>IF(F5&gt;0,(((G5-F5)/F5)*100),0)</f>
        <v>0.51411478781080566</v>
      </c>
      <c r="I5" s="20">
        <f>IFERROR(GETPIVOTDATA("[Measures].[mOLDGIS]",'Pivot Table SREB'!$A$78,"[Range 1].[Type]","[Range 1].[Type].&amp;[3]"), " ")</f>
        <v>10212</v>
      </c>
      <c r="J5" s="20">
        <f>IFERROR(GETPIVOTDATA("[Measures].[mNewGIS]",'Pivot Table SREB'!$A$78,"[Range 1].[Type]","[Range 1].[Type].&amp;[3]"), " ")</f>
        <v>10233.333333333299</v>
      </c>
      <c r="K5" s="22">
        <f t="shared" si="2"/>
        <v>0.20890455673031119</v>
      </c>
      <c r="L5" s="20">
        <f>IFERROR(GETPIVOTDATA("[Measures].[mOldGOS]",'Pivot Table SREB'!$A$78,"[Range 1].[Type]","[Range 1].[Type].&amp;[3]"), " ")</f>
        <v>20468</v>
      </c>
      <c r="M5" s="20">
        <f>IFERROR(GETPIVOTDATA("[Measures].[mNewGOS]",'Pivot Table SREB'!$A$78,"[Range 1].[Type]","[Range 1].[Type].&amp;[3]"), " ")</f>
        <v>20773.333333333299</v>
      </c>
      <c r="N5" s="24">
        <f t="shared" si="3"/>
        <v>1.4917594944953065</v>
      </c>
      <c r="O5" s="25"/>
      <c r="P5" s="26"/>
      <c r="Q5" s="27"/>
      <c r="R5" s="25"/>
      <c r="S5" s="26"/>
      <c r="T5" s="27"/>
      <c r="U5" s="25"/>
      <c r="V5" s="26"/>
      <c r="W5" s="27"/>
      <c r="X5" s="25"/>
      <c r="Y5" s="26"/>
      <c r="Z5" s="27"/>
      <c r="AA5" s="25"/>
      <c r="AB5" s="26"/>
      <c r="AC5" s="27"/>
      <c r="AD5" s="25"/>
      <c r="AE5" s="26"/>
      <c r="AF5" s="27"/>
      <c r="AG5" s="25"/>
      <c r="AH5" s="26"/>
      <c r="AI5" s="27"/>
      <c r="AJ5" s="25"/>
      <c r="AK5" s="26"/>
      <c r="AL5" s="27"/>
      <c r="AM5" s="25"/>
      <c r="AN5" s="26"/>
      <c r="AO5" s="27"/>
      <c r="AP5" s="25"/>
      <c r="AQ5" s="26"/>
      <c r="AR5" s="27"/>
      <c r="AS5" s="25"/>
      <c r="AT5" s="26"/>
      <c r="AU5" s="27"/>
      <c r="AV5" s="25"/>
      <c r="AW5" s="26"/>
      <c r="AX5" s="27"/>
      <c r="AY5" s="25"/>
      <c r="AZ5" s="26"/>
      <c r="BA5" s="27"/>
      <c r="BB5" s="25"/>
      <c r="BC5" s="26"/>
      <c r="BD5" s="27"/>
    </row>
    <row r="6" spans="1:56">
      <c r="A6" s="28"/>
      <c r="B6" s="19" t="s">
        <v>547</v>
      </c>
      <c r="C6" s="20">
        <f>IFERROR(GETPIVOTDATA("[Measures].[mOldUGIS]",'Pivot Table SREB'!$A$78,"[Range 1].[Type]","[Range 1].[Type].&amp;[4]"), " ")</f>
        <v>8499.5</v>
      </c>
      <c r="D6" s="20">
        <f>IFERROR(GETPIVOTDATA("[Measures].[mNewUGIS]",'Pivot Table SREB'!$A$78,"[Range 1].[Type]","[Range 1].[Type].&amp;[4]"), " ")</f>
        <v>8563</v>
      </c>
      <c r="E6" s="21">
        <f t="shared" si="0"/>
        <v>0.74710277075122067</v>
      </c>
      <c r="F6" s="20">
        <f>IFERROR(GETPIVOTDATA("[Measures].[mOldUGOS]",'Pivot Table SREB'!$A$78,"[Range 1].[Type]","[Range 1].[Type].&amp;[4]"), " ")</f>
        <v>19443</v>
      </c>
      <c r="G6" s="20">
        <f>IFERROR(GETPIVOTDATA("[Measures].[mNewUGOS]",'Pivot Table SREB'!$A$78,"[Range 1].[Type]","[Range 1].[Type].&amp;[4]"), " ")</f>
        <v>19416.5</v>
      </c>
      <c r="H6" s="22">
        <f>IF(F6&gt;0,(((G6-F6)/F6)*100),0)</f>
        <v>-0.13629583911947746</v>
      </c>
      <c r="I6" s="20">
        <f>IFERROR(GETPIVOTDATA("[Measures].[mOLDGIS]",'Pivot Table SREB'!$A$78,"[Range 1].[Type]","[Range 1].[Type].&amp;[4]"), " ")</f>
        <v>8314.5</v>
      </c>
      <c r="J6" s="20">
        <f>IFERROR(GETPIVOTDATA("[Measures].[mNewGIS]",'Pivot Table SREB'!$A$78,"[Range 1].[Type]","[Range 1].[Type].&amp;[4]"), " ")</f>
        <v>8438</v>
      </c>
      <c r="K6" s="22">
        <f>IF(I6&gt;0,(((J6-I6)/I6)*100),0)</f>
        <v>1.4853569066089363</v>
      </c>
      <c r="L6" s="20">
        <f>IFERROR(GETPIVOTDATA("[Measures].[mOldGOS]",'Pivot Table SREB'!$A$78,"[Range 1].[Type]","[Range 1].[Type].&amp;[4]"), " ")</f>
        <v>19045</v>
      </c>
      <c r="M6" s="20">
        <f>IFERROR(GETPIVOTDATA("[Measures].[mNewGOS]",'Pivot Table SREB'!$A$78,"[Range 1].[Type]","[Range 1].[Type].&amp;[4]"), " ")</f>
        <v>18599</v>
      </c>
      <c r="N6" s="24">
        <f t="shared" si="3"/>
        <v>-2.3418220005250725</v>
      </c>
      <c r="O6" s="25"/>
      <c r="P6" s="26"/>
      <c r="Q6" s="27"/>
      <c r="R6" s="25"/>
      <c r="S6" s="26"/>
      <c r="T6" s="27"/>
      <c r="U6" s="25"/>
      <c r="V6" s="26"/>
      <c r="W6" s="27"/>
      <c r="X6" s="25"/>
      <c r="Y6" s="26"/>
      <c r="Z6" s="27"/>
      <c r="AA6" s="25"/>
      <c r="AB6" s="26"/>
      <c r="AC6" s="27"/>
      <c r="AD6" s="25"/>
      <c r="AE6" s="26"/>
      <c r="AF6" s="27"/>
      <c r="AG6" s="25"/>
      <c r="AH6" s="26"/>
      <c r="AI6" s="27"/>
      <c r="AJ6" s="25"/>
      <c r="AK6" s="26"/>
      <c r="AL6" s="27"/>
      <c r="AM6" s="25"/>
      <c r="AN6" s="26"/>
      <c r="AO6" s="27"/>
      <c r="AP6" s="25"/>
      <c r="AQ6" s="26"/>
      <c r="AR6" s="27"/>
      <c r="AS6" s="25"/>
      <c r="AT6" s="26"/>
      <c r="AU6" s="27"/>
      <c r="AV6" s="25"/>
      <c r="AW6" s="26"/>
      <c r="AX6" s="27"/>
      <c r="AY6" s="25"/>
      <c r="AZ6" s="26"/>
      <c r="BA6" s="27"/>
      <c r="BB6" s="25"/>
      <c r="BC6" s="26"/>
      <c r="BD6" s="27"/>
    </row>
    <row r="7" spans="1:56">
      <c r="A7" s="28"/>
      <c r="B7" s="19" t="s">
        <v>548</v>
      </c>
      <c r="C7" s="20">
        <f>IFERROR(GETPIVOTDATA("[Measures].[mOldUGIS]",'Pivot Table SREB'!$A$78,"[Range 1].[Type]","[Range 1].[Type].&amp;[5]"), " ")</f>
        <v>7917</v>
      </c>
      <c r="D7" s="20">
        <f>IFERROR(GETPIVOTDATA("[Measures].[mNewUGIS]",'Pivot Table SREB'!$A$78,"[Range 1].[Type]","[Range 1].[Type].&amp;[5]"), " ")</f>
        <v>8575</v>
      </c>
      <c r="E7" s="21">
        <f t="shared" si="0"/>
        <v>8.3112290008841736</v>
      </c>
      <c r="F7" s="20">
        <f>IFERROR(GETPIVOTDATA("[Measures].[mOldUGOS]",'Pivot Table SREB'!$A$78,"[Range 1].[Type]","[Range 1].[Type].&amp;[5]"), " ")</f>
        <v>20285</v>
      </c>
      <c r="G7" s="20">
        <f>IFERROR(GETPIVOTDATA("[Measures].[mNewUGOS]",'Pivot Table SREB'!$A$78,"[Range 1].[Type]","[Range 1].[Type].&amp;[5]"), " ")</f>
        <v>20285</v>
      </c>
      <c r="H7" s="22">
        <f>IF(F7&gt;0,(((G7-F7)/F7)*100),0)</f>
        <v>0</v>
      </c>
      <c r="I7" s="20">
        <f>IFERROR(GETPIVOTDATA("[Measures].[mOLDGIS]",'Pivot Table SREB'!$A$78,"[Range 1].[Type]","[Range 1].[Type].&amp;[5]"), " ")</f>
        <v>8922</v>
      </c>
      <c r="J7" s="20">
        <f>IFERROR(GETPIVOTDATA("[Measures].[mNewGIS]",'Pivot Table SREB'!$A$78,"[Range 1].[Type]","[Range 1].[Type].&amp;[5]"), " ")</f>
        <v>9214.34</v>
      </c>
      <c r="K7" s="22">
        <f t="shared" si="2"/>
        <v>3.2766195920197285</v>
      </c>
      <c r="L7" s="20">
        <f>IFERROR(GETPIVOTDATA("[Measures].[mOldGOS]",'Pivot Table SREB'!$A$78,"[Range 1].[Type]","[Range 1].[Type].&amp;[5]"), " ")</f>
        <v>18800</v>
      </c>
      <c r="M7" s="20">
        <f>IFERROR(GETPIVOTDATA("[Measures].[mNewGOS]",'Pivot Table SREB'!$A$78,"[Range 1].[Type]","[Range 1].[Type].&amp;[5]"), " ")</f>
        <v>19256</v>
      </c>
      <c r="N7" s="24">
        <f t="shared" si="3"/>
        <v>2.4255319148936172</v>
      </c>
      <c r="O7" s="25"/>
      <c r="P7" s="26"/>
      <c r="Q7" s="27"/>
      <c r="R7" s="25"/>
      <c r="S7" s="26"/>
      <c r="T7" s="27"/>
      <c r="U7" s="25"/>
      <c r="V7" s="26"/>
      <c r="W7" s="27"/>
      <c r="X7" s="25"/>
      <c r="Y7" s="26"/>
      <c r="Z7" s="27"/>
      <c r="AA7" s="25"/>
      <c r="AB7" s="26"/>
      <c r="AC7" s="27"/>
      <c r="AD7" s="25"/>
      <c r="AE7" s="26"/>
      <c r="AF7" s="27"/>
      <c r="AG7" s="25"/>
      <c r="AH7" s="26"/>
      <c r="AI7" s="27"/>
      <c r="AJ7" s="25"/>
      <c r="AK7" s="26"/>
      <c r="AL7" s="27"/>
      <c r="AM7" s="25"/>
      <c r="AN7" s="26"/>
      <c r="AO7" s="27"/>
      <c r="AP7" s="25"/>
      <c r="AQ7" s="26"/>
      <c r="AR7" s="27"/>
      <c r="AS7" s="25"/>
      <c r="AT7" s="26"/>
      <c r="AU7" s="27"/>
      <c r="AV7" s="25"/>
      <c r="AW7" s="26"/>
      <c r="AX7" s="27"/>
      <c r="AY7" s="25"/>
      <c r="AZ7" s="26"/>
      <c r="BA7" s="27"/>
      <c r="BB7" s="25"/>
      <c r="BC7" s="26"/>
      <c r="BD7" s="27"/>
    </row>
    <row r="8" spans="1:56">
      <c r="A8" s="28"/>
      <c r="B8" s="19" t="s">
        <v>549</v>
      </c>
      <c r="C8" s="20">
        <f>IFERROR(GETPIVOTDATA("[Measures].[mOldUGIS]",'Pivot Table SREB'!$A$78,"[Range 1].[Type]","[Range 1].[Type].&amp;[6]"), " ")</f>
        <v>7449.5</v>
      </c>
      <c r="D8" s="20">
        <f>IFERROR(GETPIVOTDATA("[Measures].[mNewUGIS]",'Pivot Table SREB'!$A$78,"[Range 1].[Type]","[Range 1].[Type].&amp;[6]"), " ")</f>
        <v>7533.5</v>
      </c>
      <c r="E8" s="21">
        <f t="shared" si="0"/>
        <v>1.1275924558695214</v>
      </c>
      <c r="F8" s="20">
        <f>IFERROR(GETPIVOTDATA("[Measures].[mOldUGOS]",'Pivot Table SREB'!$A$78,"[Range 1].[Type]","[Range 1].[Type].&amp;[6]"), " ")</f>
        <v>15501.5</v>
      </c>
      <c r="G8" s="20">
        <f>IFERROR(GETPIVOTDATA("[Measures].[mNewUGOS]",'Pivot Table SREB'!$A$78,"[Range 1].[Type]","[Range 1].[Type].&amp;[6]"), " ")</f>
        <v>15855.5</v>
      </c>
      <c r="H8" s="22">
        <f>IF(F8&gt;0,(((G8-F8)/F8)*100),0)</f>
        <v>2.2836499693578043</v>
      </c>
      <c r="I8" s="20">
        <f>IFERROR(GETPIVOTDATA("[Measures].[mOLDGIS]",'Pivot Table SREB'!$A$78,"[Range 1].[Type]","[Range 1].[Type].&amp;[6]"), " ")</f>
        <v>8946</v>
      </c>
      <c r="J8" s="20">
        <f>IFERROR(GETPIVOTDATA("[Measures].[mNewGIS]",'Pivot Table SREB'!$A$78,"[Range 1].[Type]","[Range 1].[Type].&amp;[6]"), " ")</f>
        <v>8923</v>
      </c>
      <c r="K8" s="22">
        <f t="shared" si="2"/>
        <v>-0.25709814442208812</v>
      </c>
      <c r="L8" s="20">
        <f>IFERROR(GETPIVOTDATA("[Measures].[mOldGOS]",'Pivot Table SREB'!$A$78,"[Range 1].[Type]","[Range 1].[Type].&amp;[6]"), " ")</f>
        <v>18290.5</v>
      </c>
      <c r="M8" s="20">
        <f>IFERROR(GETPIVOTDATA("[Measures].[mNewGOS]",'Pivot Table SREB'!$A$78,"[Range 1].[Type]","[Range 1].[Type].&amp;[6]"), " ")</f>
        <v>17302.5</v>
      </c>
      <c r="N8" s="24">
        <f t="shared" si="3"/>
        <v>-5.4017112708783248</v>
      </c>
      <c r="O8" s="25"/>
      <c r="P8" s="26"/>
      <c r="Q8" s="27"/>
      <c r="R8" s="25"/>
      <c r="S8" s="26"/>
      <c r="T8" s="27"/>
      <c r="U8" s="25"/>
      <c r="V8" s="26"/>
      <c r="W8" s="27"/>
      <c r="X8" s="25"/>
      <c r="Y8" s="26"/>
      <c r="Z8" s="27"/>
      <c r="AA8" s="25"/>
      <c r="AB8" s="26"/>
      <c r="AC8" s="27"/>
      <c r="AD8" s="25"/>
      <c r="AE8" s="26"/>
      <c r="AF8" s="27"/>
      <c r="AG8" s="25"/>
      <c r="AH8" s="26"/>
      <c r="AI8" s="27"/>
      <c r="AJ8" s="25"/>
      <c r="AK8" s="26"/>
      <c r="AL8" s="27"/>
      <c r="AM8" s="25"/>
      <c r="AN8" s="26"/>
      <c r="AO8" s="27"/>
      <c r="AP8" s="25"/>
      <c r="AQ8" s="26"/>
      <c r="AR8" s="27"/>
      <c r="AS8" s="25"/>
      <c r="AT8" s="26"/>
      <c r="AU8" s="27"/>
      <c r="AV8" s="25"/>
      <c r="AW8" s="26"/>
      <c r="AX8" s="27"/>
      <c r="AY8" s="25"/>
      <c r="AZ8" s="26"/>
      <c r="BA8" s="27"/>
      <c r="BB8" s="25"/>
      <c r="BC8" s="26"/>
      <c r="BD8" s="27"/>
    </row>
    <row r="9" spans="1:56" s="39" customFormat="1" ht="19.5" customHeight="1">
      <c r="A9" s="29"/>
      <c r="B9" s="30" t="s">
        <v>550</v>
      </c>
      <c r="C9" s="31">
        <f>IFERROR(GETPIVOTDATA("[Measures].[mOldUGIS]",'Pivot Table SREB'!$A$4), " ")</f>
        <v>9254.5</v>
      </c>
      <c r="D9" s="31">
        <f>IFERROR(GETPIVOTDATA("[Measures].[mNewUGIS]",'Pivot Table SREB'!$A$4), " ")</f>
        <v>9456</v>
      </c>
      <c r="E9" s="32">
        <f t="shared" si="0"/>
        <v>2.1773191420390079</v>
      </c>
      <c r="F9" s="31">
        <f>IFERROR(GETPIVOTDATA("[Measures].[mOldUGOS]",'Pivot Table SREB'!$A$4), " ")</f>
        <v>21444</v>
      </c>
      <c r="G9" s="31">
        <f>IFERROR(GETPIVOTDATA("[Measures].[mNewUGOS]",'Pivot Table SREB'!$A$4), " ")</f>
        <v>21525</v>
      </c>
      <c r="H9" s="33">
        <f t="shared" si="1"/>
        <v>0.37772803581421377</v>
      </c>
      <c r="I9" s="31">
        <f>IFERROR(GETPIVOTDATA("[Measures].[mOLDGIS]",'Pivot Table SREB'!$A$4), " ")</f>
        <v>10278</v>
      </c>
      <c r="J9" s="31">
        <f>IFERROR(GETPIVOTDATA("[Measures].[mNewGIS]",'Pivot Table SREB'!$A$4), " ")</f>
        <v>10474</v>
      </c>
      <c r="K9" s="33">
        <f t="shared" si="2"/>
        <v>1.9069857949017319</v>
      </c>
      <c r="L9" s="31">
        <f>IFERROR(GETPIVOTDATA("[Measures].[mOldGOS]",'Pivot Table SREB'!$A$4), " ")</f>
        <v>20902</v>
      </c>
      <c r="M9" s="31">
        <f>IFERROR(GETPIVOTDATA("[Measures].[mNewGOS]",'Pivot Table SREB'!$A$4), " ")</f>
        <v>20902.666666666701</v>
      </c>
      <c r="N9" s="35">
        <f t="shared" si="3"/>
        <v>3.189487449529333E-3</v>
      </c>
      <c r="O9" s="36"/>
      <c r="P9" s="37"/>
      <c r="Q9" s="38"/>
      <c r="R9" s="36"/>
      <c r="S9" s="37"/>
      <c r="T9" s="38"/>
      <c r="U9" s="36"/>
      <c r="V9" s="37"/>
      <c r="W9" s="38"/>
      <c r="X9" s="36"/>
      <c r="Y9" s="37"/>
      <c r="Z9" s="38"/>
      <c r="AA9" s="36"/>
      <c r="AB9" s="37"/>
      <c r="AC9" s="38"/>
      <c r="AD9" s="36"/>
      <c r="AE9" s="37"/>
      <c r="AF9" s="38"/>
      <c r="AG9" s="36"/>
      <c r="AH9" s="37"/>
      <c r="AI9" s="38"/>
      <c r="AJ9" s="36"/>
      <c r="AK9" s="37"/>
      <c r="AL9" s="38"/>
      <c r="AM9" s="36"/>
      <c r="AN9" s="37"/>
      <c r="AO9" s="38"/>
      <c r="AP9" s="36"/>
      <c r="AQ9" s="37"/>
      <c r="AR9" s="38"/>
      <c r="AS9" s="36"/>
      <c r="AT9" s="37"/>
      <c r="AU9" s="38"/>
      <c r="AV9" s="36"/>
      <c r="AW9" s="37"/>
      <c r="AX9" s="38"/>
      <c r="AY9" s="36"/>
      <c r="AZ9" s="37"/>
      <c r="BA9" s="38"/>
      <c r="BB9" s="36"/>
      <c r="BC9" s="37"/>
      <c r="BD9" s="38"/>
    </row>
    <row r="10" spans="1:56">
      <c r="A10" s="28"/>
      <c r="B10" s="19" t="s">
        <v>551</v>
      </c>
      <c r="C10" s="20">
        <f>IFERROR(GETPIVOTDATA("[Measures].[mOldUGIS]",'Pivot Table SREB'!$A$78,"[Range 1].[Type]","[Range 1].[Type].&amp;[7]"), " ")</f>
        <v>3150.9</v>
      </c>
      <c r="D10" s="20">
        <f>IFERROR(GETPIVOTDATA("[Measures].[mNewUGIS]",'Pivot Table SREB'!$A$78,"[Range 1].[Type]","[Range 1].[Type].&amp;[7]"), " ")</f>
        <v>3176</v>
      </c>
      <c r="E10" s="21">
        <f t="shared" si="0"/>
        <v>0.7965977974546925</v>
      </c>
      <c r="F10" s="20">
        <f>IFERROR(GETPIVOTDATA("[Measures].[mOldUGOS]",'Pivot Table SREB'!$A$78,"[Range 1].[Type]","[Range 1].[Type].&amp;[7]"), " ")</f>
        <v>11737.4</v>
      </c>
      <c r="G10" s="20">
        <f>IFERROR(GETPIVOTDATA("[Measures].[mNewUGOS]",'Pivot Table SREB'!$A$78,"[Range 1].[Type]","[Range 1].[Type].&amp;[7]"), " ")</f>
        <v>11765</v>
      </c>
      <c r="H10" s="22">
        <f t="shared" si="1"/>
        <v>0.23514577333992506</v>
      </c>
      <c r="I10" s="20">
        <f>IFERROR(GETPIVOTDATA("[Measures].[mOLDGIS]",'Pivot Table SREB'!$A$78,"[Range 1].[Type]","[Range 1].[Type].&amp;[7]"), " ")</f>
        <v>0</v>
      </c>
      <c r="J10" s="20">
        <f>IFERROR(GETPIVOTDATA("[Measures].[mNewGIS]",'Pivot Table SREB'!$A$78,"[Range 1].[Type]","[Range 1].[Type].&amp;[7]"), " ")</f>
        <v>0</v>
      </c>
      <c r="K10" s="22"/>
      <c r="L10" s="20">
        <f>IFERROR(GETPIVOTDATA("[Measures].[mOldGOS]",'Pivot Table SREB'!$A$78,"[Range 1].[Type]","[Range 1].[Type].&amp;[7]"), " ")</f>
        <v>0</v>
      </c>
      <c r="M10" s="20">
        <f>IFERROR(GETPIVOTDATA("[Measures].[mNewGOS]",'Pivot Table SREB'!$A$78,"[Range 1].[Type]","[Range 1].[Type].&amp;[7]"), " ")</f>
        <v>0</v>
      </c>
      <c r="N10" s="24"/>
      <c r="O10" s="25"/>
      <c r="P10" s="26"/>
      <c r="Q10" s="27"/>
      <c r="R10" s="25"/>
      <c r="S10" s="26"/>
      <c r="T10" s="27"/>
      <c r="U10" s="25"/>
      <c r="V10" s="26"/>
      <c r="W10" s="27"/>
      <c r="X10" s="25"/>
      <c r="Y10" s="26"/>
      <c r="Z10" s="27"/>
      <c r="AA10" s="25"/>
      <c r="AB10" s="26"/>
      <c r="AC10" s="27"/>
      <c r="AD10" s="25"/>
      <c r="AE10" s="26"/>
      <c r="AF10" s="27"/>
      <c r="AG10" s="25"/>
      <c r="AH10" s="26"/>
      <c r="AI10" s="27"/>
      <c r="AJ10" s="25"/>
      <c r="AK10" s="26"/>
      <c r="AL10" s="27"/>
      <c r="AM10" s="25"/>
      <c r="AN10" s="26"/>
      <c r="AO10" s="27"/>
      <c r="AP10" s="25"/>
      <c r="AQ10" s="26"/>
      <c r="AR10" s="27"/>
      <c r="AS10" s="25"/>
      <c r="AT10" s="26"/>
      <c r="AU10" s="27"/>
      <c r="AV10" s="25"/>
      <c r="AW10" s="26"/>
      <c r="AX10" s="27"/>
      <c r="AY10" s="25"/>
      <c r="AZ10" s="26"/>
      <c r="BA10" s="27"/>
      <c r="BB10" s="25"/>
      <c r="BC10" s="26"/>
      <c r="BD10" s="27"/>
    </row>
    <row r="11" spans="1:56">
      <c r="A11" s="28"/>
      <c r="B11" s="19" t="s">
        <v>552</v>
      </c>
      <c r="C11" s="20">
        <f>IFERROR(GETPIVOTDATA("[Measures].[mOldUGIS]",'Pivot Table SREB'!$A$78,"[Range 1].[Type]","[Range 1].[Type].&amp;[8]"), " ")</f>
        <v>3390</v>
      </c>
      <c r="D11" s="20">
        <f>IFERROR(GETPIVOTDATA("[Measures].[mNewUGIS]",'Pivot Table SREB'!$A$78,"[Range 1].[Type]","[Range 1].[Type].&amp;[8]"), " ")</f>
        <v>3700</v>
      </c>
      <c r="E11" s="21">
        <f t="shared" si="0"/>
        <v>9.1445427728613566</v>
      </c>
      <c r="F11" s="20">
        <f>IFERROR(GETPIVOTDATA("[Measures].[mOldUGOS]",'Pivot Table SREB'!$A$78,"[Range 1].[Type]","[Range 1].[Type].&amp;[8]"), " ")</f>
        <v>8576</v>
      </c>
      <c r="G11" s="20">
        <f>IFERROR(GETPIVOTDATA("[Measures].[mNewUGOS]",'Pivot Table SREB'!$A$78,"[Range 1].[Type]","[Range 1].[Type].&amp;[8]"), " ")</f>
        <v>8659</v>
      </c>
      <c r="H11" s="22">
        <f t="shared" si="1"/>
        <v>0.96781716417910446</v>
      </c>
      <c r="I11" s="20">
        <f>IFERROR(GETPIVOTDATA("[Measures].[mOLDGIS]",'Pivot Table SREB'!$A$78,"[Range 1].[Type]","[Range 1].[Type].&amp;[8]"), " ")</f>
        <v>0</v>
      </c>
      <c r="J11" s="20">
        <f>IFERROR(GETPIVOTDATA("[Measures].[mNewGIS]",'Pivot Table SREB'!$A$78,"[Range 1].[Type]","[Range 1].[Type].&amp;[8]"), " ")</f>
        <v>0</v>
      </c>
      <c r="K11" s="22"/>
      <c r="L11" s="20">
        <f>IFERROR(GETPIVOTDATA("[Measures].[mOldGOS]",'Pivot Table SREB'!$A$78,"[Range 1].[Type]","[Range 1].[Type].&amp;[8]"), " ")</f>
        <v>0</v>
      </c>
      <c r="M11" s="20">
        <f>IFERROR(GETPIVOTDATA("[Measures].[mNewGOS]",'Pivot Table SREB'!$A$78,"[Range 1].[Type]","[Range 1].[Type].&amp;[8]"), " ")</f>
        <v>0</v>
      </c>
      <c r="N11" s="24"/>
      <c r="O11" s="25"/>
      <c r="P11" s="26"/>
      <c r="Q11" s="27"/>
      <c r="R11" s="25"/>
      <c r="S11" s="26"/>
      <c r="T11" s="27"/>
      <c r="U11" s="25"/>
      <c r="V11" s="26"/>
      <c r="W11" s="27"/>
      <c r="X11" s="25"/>
      <c r="Y11" s="26"/>
      <c r="Z11" s="27"/>
      <c r="AA11" s="25"/>
      <c r="AB11" s="26"/>
      <c r="AC11" s="27"/>
      <c r="AD11" s="25"/>
      <c r="AE11" s="26"/>
      <c r="AF11" s="27"/>
      <c r="AG11" s="25"/>
      <c r="AH11" s="26"/>
      <c r="AI11" s="27"/>
      <c r="AJ11" s="25"/>
      <c r="AK11" s="26"/>
      <c r="AL11" s="27"/>
      <c r="AM11" s="25"/>
      <c r="AN11" s="26"/>
      <c r="AO11" s="27"/>
      <c r="AP11" s="25"/>
      <c r="AQ11" s="26"/>
      <c r="AR11" s="27"/>
      <c r="AS11" s="25"/>
      <c r="AT11" s="26"/>
      <c r="AU11" s="27"/>
      <c r="AV11" s="25"/>
      <c r="AW11" s="26"/>
      <c r="AX11" s="27"/>
      <c r="AY11" s="25"/>
      <c r="AZ11" s="26"/>
      <c r="BA11" s="27"/>
      <c r="BB11" s="25"/>
      <c r="BC11" s="26"/>
      <c r="BD11" s="27"/>
    </row>
    <row r="12" spans="1:56">
      <c r="A12" s="28"/>
      <c r="B12" s="19" t="s">
        <v>553</v>
      </c>
      <c r="C12" s="20">
        <f>IFERROR(GETPIVOTDATA("[Measures].[mOldUGIS]",'Pivot Table SREB'!$A$78,"[Range 1].[Type]","[Range 1].[Type].&amp;[9]"), " ")</f>
        <v>4128</v>
      </c>
      <c r="D12" s="20">
        <f>IFERROR(GETPIVOTDATA("[Measures].[mNewUGIS]",'Pivot Table SREB'!$A$78,"[Range 1].[Type]","[Range 1].[Type].&amp;[9]"), " ")</f>
        <v>3915</v>
      </c>
      <c r="E12" s="21">
        <f t="shared" si="0"/>
        <v>-5.1598837209302326</v>
      </c>
      <c r="F12" s="20">
        <f>IFERROR(GETPIVOTDATA("[Measures].[mOldUGOS]",'Pivot Table SREB'!$A$78,"[Range 1].[Type]","[Range 1].[Type].&amp;[9]"), " ")</f>
        <v>8680</v>
      </c>
      <c r="G12" s="20">
        <f>IFERROR(GETPIVOTDATA("[Measures].[mNewUGOS]",'Pivot Table SREB'!$A$78,"[Range 1].[Type]","[Range 1].[Type].&amp;[9]"), " ")</f>
        <v>8550</v>
      </c>
      <c r="H12" s="22">
        <f t="shared" si="1"/>
        <v>-1.4976958525345621</v>
      </c>
      <c r="I12" s="20">
        <f>IFERROR(GETPIVOTDATA("[Measures].[mOLDGIS]",'Pivot Table SREB'!$A$78,"[Range 1].[Type]","[Range 1].[Type].&amp;[9]"), " ")</f>
        <v>0</v>
      </c>
      <c r="J12" s="20">
        <f>IFERROR(GETPIVOTDATA("[Measures].[mNewGIS]",'Pivot Table SREB'!$A$78,"[Range 1].[Type]","[Range 1].[Type].&amp;[9]"), " ")</f>
        <v>0</v>
      </c>
      <c r="K12" s="22"/>
      <c r="L12" s="20">
        <f>IFERROR(GETPIVOTDATA("[Measures].[mOldGOS]",'Pivot Table SREB'!$A$78,"[Range 1].[Type]","[Range 1].[Type].&amp;[9]"), " ")</f>
        <v>0</v>
      </c>
      <c r="M12" s="20">
        <f>IFERROR(GETPIVOTDATA("[Measures].[mNewGOS]",'Pivot Table SREB'!$A$78,"[Range 1].[Type]","[Range 1].[Type].&amp;[9]"), " ")</f>
        <v>0</v>
      </c>
      <c r="N12" s="24"/>
      <c r="O12" s="25"/>
      <c r="P12" s="26"/>
      <c r="Q12" s="27"/>
      <c r="R12" s="25"/>
      <c r="S12" s="26"/>
      <c r="T12" s="27"/>
      <c r="U12" s="25"/>
      <c r="V12" s="26"/>
      <c r="W12" s="27"/>
      <c r="X12" s="25"/>
      <c r="Y12" s="26"/>
      <c r="Z12" s="27"/>
      <c r="AA12" s="25"/>
      <c r="AB12" s="26"/>
      <c r="AC12" s="27"/>
      <c r="AD12" s="25"/>
      <c r="AE12" s="26"/>
      <c r="AF12" s="27"/>
      <c r="AG12" s="25"/>
      <c r="AH12" s="26"/>
      <c r="AI12" s="27"/>
      <c r="AJ12" s="25"/>
      <c r="AK12" s="26"/>
      <c r="AL12" s="27"/>
      <c r="AM12" s="25"/>
      <c r="AN12" s="26"/>
      <c r="AO12" s="27"/>
      <c r="AP12" s="25"/>
      <c r="AQ12" s="26"/>
      <c r="AR12" s="27"/>
      <c r="AS12" s="25"/>
      <c r="AT12" s="26"/>
      <c r="AU12" s="27"/>
      <c r="AV12" s="25"/>
      <c r="AW12" s="26"/>
      <c r="AX12" s="27"/>
      <c r="AY12" s="25"/>
      <c r="AZ12" s="26"/>
      <c r="BA12" s="27"/>
      <c r="BB12" s="25"/>
      <c r="BC12" s="26"/>
      <c r="BD12" s="27"/>
    </row>
    <row r="13" spans="1:56">
      <c r="A13" s="28"/>
      <c r="B13" s="19" t="s">
        <v>554</v>
      </c>
      <c r="C13" s="20">
        <f>IFERROR(GETPIVOTDATA("[Measures].[mOldUGIS]",'Pivot Table SREB'!$A$78,"[Range 1].[Type]","[Range 1].[Type].&amp;[10]"), " ")</f>
        <v>4050</v>
      </c>
      <c r="D13" s="20">
        <f>IFERROR(GETPIVOTDATA("[Measures].[mNewUGIS]",'Pivot Table SREB'!$A$78,"[Range 1].[Type]","[Range 1].[Type].&amp;[10]"), " ")</f>
        <v>4070</v>
      </c>
      <c r="E13" s="21">
        <f t="shared" si="0"/>
        <v>0.49382716049382713</v>
      </c>
      <c r="F13" s="20">
        <f>IFERROR(GETPIVOTDATA("[Measures].[mOldUGOS]",'Pivot Table SREB'!$A$78,"[Range 1].[Type]","[Range 1].[Type].&amp;[10]"), " ")</f>
        <v>8721</v>
      </c>
      <c r="G13" s="20">
        <f>IFERROR(GETPIVOTDATA("[Measures].[mNewUGOS]",'Pivot Table SREB'!$A$78,"[Range 1].[Type]","[Range 1].[Type].&amp;[10]"), " ")</f>
        <v>8700</v>
      </c>
      <c r="H13" s="22">
        <f t="shared" si="1"/>
        <v>-0.24079807361541108</v>
      </c>
      <c r="I13" s="20">
        <f>IFERROR(GETPIVOTDATA("[Measures].[mOLDGIS]",'Pivot Table SREB'!$A$78,"[Range 1].[Type]","[Range 1].[Type].&amp;[10]"), " ")</f>
        <v>0</v>
      </c>
      <c r="J13" s="20">
        <f>IFERROR(GETPIVOTDATA("[Measures].[mNewGIS]",'Pivot Table SREB'!$A$78,"[Range 1].[Type]","[Range 1].[Type].&amp;[10]"), " ")</f>
        <v>0</v>
      </c>
      <c r="K13" s="22"/>
      <c r="L13" s="20">
        <f>IFERROR(GETPIVOTDATA("[Measures].[mOldGOS]",'Pivot Table SREB'!$A$78,"[Range 1].[Type]","[Range 1].[Type].&amp;[10]"), " ")</f>
        <v>0</v>
      </c>
      <c r="M13" s="20">
        <f>IFERROR(GETPIVOTDATA("[Measures].[mNewGOS]",'Pivot Table SREB'!$A$78,"[Range 1].[Type]","[Range 1].[Type].&amp;[10]"), " ")</f>
        <v>0</v>
      </c>
      <c r="N13" s="24"/>
      <c r="O13" s="25"/>
      <c r="P13" s="26"/>
      <c r="Q13" s="27"/>
      <c r="R13" s="25"/>
      <c r="S13" s="26"/>
      <c r="T13" s="27"/>
      <c r="U13" s="25"/>
      <c r="V13" s="26"/>
      <c r="W13" s="27"/>
      <c r="X13" s="25"/>
      <c r="Y13" s="26"/>
      <c r="Z13" s="27"/>
      <c r="AA13" s="25"/>
      <c r="AB13" s="26"/>
      <c r="AC13" s="27"/>
      <c r="AD13" s="25"/>
      <c r="AE13" s="26"/>
      <c r="AF13" s="27"/>
      <c r="AG13" s="25"/>
      <c r="AH13" s="26"/>
      <c r="AI13" s="27"/>
      <c r="AJ13" s="25"/>
      <c r="AK13" s="26"/>
      <c r="AL13" s="27"/>
      <c r="AM13" s="25"/>
      <c r="AN13" s="26"/>
      <c r="AO13" s="27"/>
      <c r="AP13" s="25"/>
      <c r="AQ13" s="26"/>
      <c r="AR13" s="27"/>
      <c r="AS13" s="25"/>
      <c r="AT13" s="26"/>
      <c r="AU13" s="27"/>
      <c r="AV13" s="25"/>
      <c r="AW13" s="26"/>
      <c r="AX13" s="27"/>
      <c r="AY13" s="25"/>
      <c r="AZ13" s="26"/>
      <c r="BA13" s="27"/>
      <c r="BB13" s="25"/>
      <c r="BC13" s="26"/>
      <c r="BD13" s="27"/>
    </row>
    <row r="14" spans="1:56" s="39" customFormat="1" ht="20.25" customHeight="1">
      <c r="A14" s="29"/>
      <c r="B14" s="30" t="s">
        <v>555</v>
      </c>
      <c r="C14" s="31">
        <f>GETPIVOTDATA("[Measures].[mOldUGIS]",'Pivot Table SREB'!$A$31)</f>
        <v>3790</v>
      </c>
      <c r="D14" s="31">
        <f>IFERROR(GETPIVOTDATA("[Measures].[mNewUGIS]",'Pivot Table SREB'!$A$31), " ")</f>
        <v>3790</v>
      </c>
      <c r="E14" s="32">
        <f t="shared" si="0"/>
        <v>0</v>
      </c>
      <c r="F14" s="31">
        <f>IFERROR(GETPIVOTDATA("[Measures].[mOldUGOS]",'Pivot Table SREB'!$A$31), " ")</f>
        <v>8784</v>
      </c>
      <c r="G14" s="31">
        <f>IFERROR(GETPIVOTDATA("[Measures].[mNewUGOS]",'Pivot Table SREB'!$A$31), " ")</f>
        <v>8701</v>
      </c>
      <c r="H14" s="33">
        <f t="shared" si="1"/>
        <v>-0.94489981785063748</v>
      </c>
      <c r="I14" s="31">
        <f>IFERROR(GETPIVOTDATA("[Measures].[mOLDGIS]",'Pivot Table SREB'!$A$31), " ")</f>
        <v>0</v>
      </c>
      <c r="J14" s="31">
        <f>IFERROR(GETPIVOTDATA("[Measures].[mNewGIS]",'Pivot Table SREB'!$A$31), " ")</f>
        <v>0</v>
      </c>
      <c r="K14" s="33"/>
      <c r="L14" s="31">
        <f>IFERROR(GETPIVOTDATA("[Measures].[mOldGOS]",'Pivot Table SREB'!$A$31), " ")</f>
        <v>0</v>
      </c>
      <c r="M14" s="31">
        <f>IFERROR(GETPIVOTDATA("[Measures].[mNewGOS]",'Pivot Table SREB'!$A$31), " ")</f>
        <v>0</v>
      </c>
      <c r="N14" s="35"/>
      <c r="O14" s="36"/>
      <c r="P14" s="37"/>
      <c r="Q14" s="38"/>
      <c r="R14" s="36"/>
      <c r="S14" s="37"/>
      <c r="T14" s="38"/>
      <c r="U14" s="36"/>
      <c r="V14" s="37"/>
      <c r="W14" s="38"/>
      <c r="X14" s="36"/>
      <c r="Y14" s="37"/>
      <c r="Z14" s="38"/>
      <c r="AA14" s="36"/>
      <c r="AB14" s="37"/>
      <c r="AC14" s="38"/>
      <c r="AD14" s="36"/>
      <c r="AE14" s="37"/>
      <c r="AF14" s="38"/>
      <c r="AG14" s="36"/>
      <c r="AH14" s="37"/>
      <c r="AI14" s="38"/>
      <c r="AJ14" s="36"/>
      <c r="AK14" s="37"/>
      <c r="AL14" s="38"/>
      <c r="AM14" s="36"/>
      <c r="AN14" s="37"/>
      <c r="AO14" s="38"/>
      <c r="AP14" s="36"/>
      <c r="AQ14" s="37"/>
      <c r="AR14" s="38"/>
      <c r="AS14" s="36"/>
      <c r="AT14" s="37"/>
      <c r="AU14" s="38"/>
      <c r="AV14" s="36"/>
      <c r="AW14" s="37"/>
      <c r="AX14" s="38"/>
      <c r="AY14" s="36"/>
      <c r="AZ14" s="37"/>
      <c r="BA14" s="38"/>
      <c r="BB14" s="36"/>
      <c r="BC14" s="37"/>
      <c r="BD14" s="38"/>
    </row>
    <row r="15" spans="1:56">
      <c r="A15" s="28"/>
      <c r="B15" s="19" t="s">
        <v>556</v>
      </c>
      <c r="C15" s="20">
        <f>IFERROR(GETPIVOTDATA("[Measures].[mOldUGIS]",'Pivot Table SREB'!$A$78,"[Range 1].[Type]","[Range 1].[Type].&amp;[12]"), " ")</f>
        <v>3678</v>
      </c>
      <c r="D15" s="20">
        <f>IFERROR(GETPIVOTDATA("[Measures].[mNewUGIS]",'Pivot Table SREB'!$A$78,"[Range 1].[Type]","[Range 1].[Type].&amp;[12]"), " ")</f>
        <v>3709</v>
      </c>
      <c r="E15" s="59">
        <f t="shared" si="0"/>
        <v>0.84284937466014132</v>
      </c>
      <c r="F15" s="20">
        <f>IFERROR(GETPIVOTDATA("[Measures].[mOldUGOS]",'Pivot Table SREB'!$A$78,"[Range 1].[Type]","[Range 1].[Type].&amp;[12]"), " ")</f>
        <v>6662</v>
      </c>
      <c r="G15" s="20">
        <f>IFERROR(GETPIVOTDATA("[Measures].[mNewUGOS]",'Pivot Table SREB'!$A$78,"[Range 1].[Type]","[Range 1].[Type].&amp;[12]"), " ")</f>
        <v>6664</v>
      </c>
      <c r="H15" s="58">
        <f t="shared" si="1"/>
        <v>3.0021014710297209E-2</v>
      </c>
      <c r="I15" s="20">
        <f>IFERROR(GETPIVOTDATA("[Measures].[mOLDGIS]",'Pivot Table SREB'!$A$78,"[Range 1].[Type]","[Range 1].[Type].&amp;[12]"), " ")</f>
        <v>0</v>
      </c>
      <c r="J15" s="20">
        <f>IFERROR(GETPIVOTDATA("[Measures].[mNewGIS]",'Pivot Table SREB'!$A$78,"[Range 1].[Type]","[Range 1].[Type].&amp;[12]"), " ")</f>
        <v>0</v>
      </c>
      <c r="K15" s="22"/>
      <c r="L15" s="20">
        <f>IFERROR(GETPIVOTDATA("[Measures].[mOldGOS]",'Pivot Table SREB'!$A$78,"[Range 1].[Type]","[Range 1].[Type].&amp;[12]"), " ")</f>
        <v>0</v>
      </c>
      <c r="M15" s="20">
        <f>IFERROR(GETPIVOTDATA("[Measures].[mNewGOS]",'Pivot Table SREB'!$A$78,"[Range 1].[Type]","[Range 1].[Type].&amp;[12]"), " ")</f>
        <v>0</v>
      </c>
      <c r="N15" s="24"/>
      <c r="O15" s="25"/>
      <c r="P15" s="26"/>
      <c r="Q15" s="27"/>
      <c r="R15" s="25"/>
      <c r="S15" s="26"/>
      <c r="T15" s="27"/>
      <c r="U15" s="25"/>
      <c r="V15" s="26"/>
      <c r="W15" s="27"/>
      <c r="X15" s="25"/>
      <c r="Y15" s="26"/>
      <c r="Z15" s="27"/>
      <c r="AA15" s="25"/>
      <c r="AB15" s="26"/>
      <c r="AC15" s="27"/>
      <c r="AD15" s="25"/>
      <c r="AE15" s="26"/>
      <c r="AF15" s="27"/>
      <c r="AG15" s="25"/>
      <c r="AH15" s="26"/>
      <c r="AI15" s="27"/>
      <c r="AJ15" s="25"/>
      <c r="AK15" s="26"/>
      <c r="AL15" s="27"/>
      <c r="AM15" s="25"/>
      <c r="AN15" s="26"/>
      <c r="AO15" s="27"/>
      <c r="AP15" s="25"/>
      <c r="AQ15" s="26"/>
      <c r="AR15" s="27"/>
      <c r="AS15" s="25"/>
      <c r="AT15" s="26"/>
      <c r="AU15" s="27"/>
      <c r="AV15" s="25"/>
      <c r="AW15" s="26"/>
      <c r="AX15" s="27"/>
      <c r="AY15" s="25"/>
      <c r="AZ15" s="26"/>
      <c r="BA15" s="27"/>
      <c r="BB15" s="25"/>
      <c r="BC15" s="26"/>
      <c r="BD15" s="27"/>
    </row>
    <row r="16" spans="1:56">
      <c r="A16" s="28"/>
      <c r="B16" s="19" t="s">
        <v>557</v>
      </c>
      <c r="C16" s="20">
        <f>IFERROR(GETPIVOTDATA("[Measures].[mOldUGIS]",'Pivot Table SREB'!$A$78,"[Range 1].[Type]","[Range 1].[Type].&amp;[13]"), " ")</f>
        <v>2340</v>
      </c>
      <c r="D16" s="20">
        <f>IFERROR(GETPIVOTDATA("[Measures].[mNewUGIS]",'Pivot Table SREB'!$A$78,"[Range 1].[Type]","[Range 1].[Type].&amp;[13]"), " ")</f>
        <v>2452.5</v>
      </c>
      <c r="E16" s="21">
        <f t="shared" si="0"/>
        <v>4.8076923076923084</v>
      </c>
      <c r="F16" s="20">
        <f>IFERROR(GETPIVOTDATA("[Measures].[mOldUGOS]",'Pivot Table SREB'!$A$78,"[Range 1].[Type]","[Range 1].[Type].&amp;[13]"), " ")</f>
        <v>3600</v>
      </c>
      <c r="G16" s="20">
        <f>IFERROR(GETPIVOTDATA("[Measures].[mNewUGOS]",'Pivot Table SREB'!$A$78,"[Range 1].[Type]","[Range 1].[Type].&amp;[13]"), " ")</f>
        <v>4050</v>
      </c>
      <c r="H16" s="22">
        <f t="shared" si="1"/>
        <v>12.5</v>
      </c>
      <c r="I16" s="20">
        <f>IFERROR(GETPIVOTDATA("[Measures].[mOLDGIS]",'Pivot Table SREB'!$A$78,"[Range 1].[Type]","[Range 1].[Type].&amp;[13]"), " ")</f>
        <v>0</v>
      </c>
      <c r="J16" s="20">
        <f>IFERROR(GETPIVOTDATA("[Measures].[mNewGIS]",'Pivot Table SREB'!$A$78,"[Range 1].[Type]","[Range 1].[Type].&amp;[13]"), " ")</f>
        <v>0</v>
      </c>
      <c r="K16" s="22"/>
      <c r="L16" s="20">
        <f>IFERROR(GETPIVOTDATA("[Measures].[mOldGOS]",'Pivot Table SREB'!$A$78,"[Range 1].[Type]","[Range 1].[Type].&amp;[13]"), " ")</f>
        <v>0</v>
      </c>
      <c r="M16" s="20">
        <f>IFERROR(GETPIVOTDATA("[Measures].[mNewGOS]",'Pivot Table SREB'!$A$78,"[Range 1].[Type]","[Range 1].[Type].&amp;[13]"), " ")</f>
        <v>0</v>
      </c>
      <c r="N16" s="24"/>
      <c r="O16" s="25"/>
      <c r="P16" s="26"/>
      <c r="Q16" s="27"/>
      <c r="R16" s="25"/>
      <c r="S16" s="26"/>
      <c r="T16" s="27"/>
      <c r="U16" s="25"/>
      <c r="V16" s="26"/>
      <c r="W16" s="27"/>
      <c r="X16" s="25"/>
      <c r="Y16" s="26"/>
      <c r="Z16" s="27"/>
      <c r="AA16" s="25"/>
      <c r="AB16" s="26"/>
      <c r="AC16" s="27"/>
      <c r="AD16" s="25"/>
      <c r="AE16" s="26"/>
      <c r="AF16" s="27"/>
      <c r="AG16" s="25"/>
      <c r="AH16" s="26"/>
      <c r="AI16" s="27"/>
      <c r="AJ16" s="25"/>
      <c r="AK16" s="26"/>
      <c r="AL16" s="27"/>
      <c r="AM16" s="25"/>
      <c r="AN16" s="26"/>
      <c r="AO16" s="27"/>
      <c r="AP16" s="25"/>
      <c r="AQ16" s="26"/>
      <c r="AR16" s="27"/>
      <c r="AS16" s="25"/>
      <c r="AT16" s="26"/>
      <c r="AU16" s="27"/>
      <c r="AV16" s="25"/>
      <c r="AW16" s="26"/>
      <c r="AX16" s="27"/>
      <c r="AY16" s="25"/>
      <c r="AZ16" s="26"/>
      <c r="BA16" s="27"/>
      <c r="BB16" s="25"/>
      <c r="BC16" s="26"/>
      <c r="BD16" s="27"/>
    </row>
    <row r="17" spans="1:56">
      <c r="A17" s="28"/>
      <c r="B17" s="19" t="s">
        <v>558</v>
      </c>
      <c r="C17" s="20">
        <f>IFERROR(GETPIVOTDATA("[Measures].[mOldUGIS]",'Pivot Table SREB'!$A$78,"[Range 1].[Type]","[Range 1].[Type].&amp;[14]"), " ")</f>
        <v>6058</v>
      </c>
      <c r="D17" s="20">
        <f>IFERROR(GETPIVOTDATA("[Measures].[mNewUGIS]",'Pivot Table SREB'!$A$78,"[Range 1].[Type]","[Range 1].[Type].&amp;[14]"), " ")</f>
        <v>6435</v>
      </c>
      <c r="E17" s="21">
        <f t="shared" si="0"/>
        <v>6.2231759656652361</v>
      </c>
      <c r="F17" s="20">
        <f>IFERROR(GETPIVOTDATA("[Measures].[mOldUGOS]",'Pivot Table SREB'!$A$78,"[Range 1].[Type]","[Range 1].[Type].&amp;[14]"), " ")</f>
        <v>0</v>
      </c>
      <c r="G17" s="20">
        <f>IFERROR(GETPIVOTDATA("[Measures].[mNewUGOS]",'Pivot Table SREB'!$A$78,"[Range 1].[Type]","[Range 1].[Type].&amp;[14]"), " ")</f>
        <v>0</v>
      </c>
      <c r="H17" s="22">
        <f t="shared" si="1"/>
        <v>0</v>
      </c>
      <c r="I17" s="20">
        <f>IFERROR(GETPIVOTDATA("[Measures].[mOLDGIS]",'Pivot Table SREB'!$A$78,"[Range 1].[Type]","[Range 1].[Type].&amp;[14]"), " ")</f>
        <v>0</v>
      </c>
      <c r="J17" s="20">
        <f>IFERROR(GETPIVOTDATA("[Measures].[mNewGIS]",'Pivot Table SREB'!$A$78,"[Range 1].[Type]","[Range 1].[Type].&amp;[14]"), " ")</f>
        <v>0</v>
      </c>
      <c r="K17" s="22"/>
      <c r="L17" s="20">
        <f>IFERROR(GETPIVOTDATA("[Measures].[mOldGOS]",'Pivot Table SREB'!$A$78,"[Range 1].[Type]","[Range 1].[Type].&amp;[14]"), " ")</f>
        <v>0</v>
      </c>
      <c r="M17" s="20">
        <f>IFERROR(GETPIVOTDATA("[Measures].[mNewGOS]",'Pivot Table SREB'!$A$78,"[Range 1].[Type]","[Range 1].[Type].&amp;[14]"), " ")</f>
        <v>0</v>
      </c>
      <c r="N17" s="24"/>
      <c r="O17" s="25"/>
      <c r="P17" s="26"/>
      <c r="Q17" s="27"/>
      <c r="R17" s="25"/>
      <c r="S17" s="26"/>
      <c r="T17" s="27"/>
      <c r="U17" s="25"/>
      <c r="V17" s="26"/>
      <c r="W17" s="27"/>
      <c r="X17" s="25"/>
      <c r="Y17" s="26"/>
      <c r="Z17" s="27"/>
      <c r="AA17" s="25"/>
      <c r="AB17" s="26"/>
      <c r="AC17" s="27"/>
      <c r="AD17" s="25"/>
      <c r="AE17" s="26"/>
      <c r="AF17" s="27"/>
      <c r="AG17" s="25"/>
      <c r="AH17" s="26"/>
      <c r="AI17" s="27"/>
      <c r="AJ17" s="25"/>
      <c r="AK17" s="26"/>
      <c r="AL17" s="27"/>
      <c r="AM17" s="25"/>
      <c r="AN17" s="26"/>
      <c r="AO17" s="27"/>
      <c r="AP17" s="25"/>
      <c r="AQ17" s="26"/>
      <c r="AR17" s="27"/>
      <c r="AS17" s="25"/>
      <c r="AT17" s="26"/>
      <c r="AU17" s="27"/>
      <c r="AV17" s="25"/>
      <c r="AW17" s="26"/>
      <c r="AX17" s="27"/>
      <c r="AY17" s="25"/>
      <c r="AZ17" s="26"/>
      <c r="BA17" s="27"/>
      <c r="BB17" s="25"/>
      <c r="BC17" s="26"/>
      <c r="BD17" s="27"/>
    </row>
    <row r="18" spans="1:56" s="39" customFormat="1" ht="21.75" customHeight="1">
      <c r="A18" s="29"/>
      <c r="B18" s="30" t="s">
        <v>559</v>
      </c>
      <c r="C18" s="31">
        <f>GETPIVOTDATA("[Measures].[mOldUGIS]",'Pivot Table SREB'!$A$59)</f>
        <v>3726</v>
      </c>
      <c r="D18" s="31">
        <f>IFERROR(GETPIVOTDATA("[Measures].[mNewUGIS]",'Pivot Table SREB'!$A$59), " ")</f>
        <v>3727</v>
      </c>
      <c r="E18" s="32">
        <f>IF(C18&gt;0,(((D18-C18)/C18)*100),0)</f>
        <v>2.6838432635534086E-2</v>
      </c>
      <c r="F18" s="31">
        <f>IFERROR(GETPIVOTDATA("[Measures].[mOldUGOS]",'Pivot Table SREB'!$A$59), " ")</f>
        <v>4500</v>
      </c>
      <c r="G18" s="31">
        <f>IFERROR(GETPIVOTDATA("[Measures].[mNewUGOS]",'Pivot Table SREB'!$A$59), " ")</f>
        <v>4500</v>
      </c>
      <c r="H18" s="61">
        <f t="shared" si="1"/>
        <v>0</v>
      </c>
      <c r="I18" s="31">
        <f>IFERROR(GETPIVOTDATA("[Measures].[mOLDGIS]",'Pivot Table SREB'!$A$59), " ")</f>
        <v>0</v>
      </c>
      <c r="J18" s="31">
        <f>IFERROR(GETPIVOTDATA("[Measures].[mNewGIS]",'Pivot Table SREB'!$A$59), " ")</f>
        <v>0</v>
      </c>
      <c r="K18" s="33"/>
      <c r="L18" s="31">
        <f>IFERROR(GETPIVOTDATA("[Measures].[mOldGOS]",'Pivot Table SREB'!$A$59), " ")</f>
        <v>0</v>
      </c>
      <c r="M18" s="31">
        <f>IFERROR(GETPIVOTDATA("[Measures].[mNewGOS]",'Pivot Table SREB'!$A$59), " ")</f>
        <v>0</v>
      </c>
      <c r="N18" s="35"/>
      <c r="O18" s="36"/>
      <c r="P18" s="37"/>
      <c r="Q18" s="38"/>
      <c r="R18" s="36"/>
      <c r="S18" s="37"/>
      <c r="T18" s="38"/>
      <c r="U18" s="36"/>
      <c r="V18" s="37"/>
      <c r="W18" s="38"/>
      <c r="X18" s="36"/>
      <c r="Y18" s="37"/>
      <c r="Z18" s="38"/>
      <c r="AA18" s="36"/>
      <c r="AB18" s="37"/>
      <c r="AC18" s="38"/>
      <c r="AD18" s="36"/>
      <c r="AE18" s="37"/>
      <c r="AF18" s="38"/>
      <c r="AG18" s="36"/>
      <c r="AH18" s="37"/>
      <c r="AI18" s="38"/>
      <c r="AJ18" s="36"/>
      <c r="AK18" s="37"/>
      <c r="AL18" s="38"/>
      <c r="AM18" s="36"/>
      <c r="AN18" s="37"/>
      <c r="AO18" s="38"/>
      <c r="AP18" s="36"/>
      <c r="AQ18" s="37"/>
      <c r="AR18" s="38"/>
      <c r="AS18" s="36"/>
      <c r="AT18" s="37"/>
      <c r="AU18" s="38"/>
      <c r="AV18" s="36"/>
      <c r="AW18" s="37"/>
      <c r="AX18" s="38"/>
      <c r="AY18" s="36"/>
      <c r="AZ18" s="37"/>
      <c r="BA18" s="38"/>
      <c r="BB18" s="36"/>
      <c r="BC18" s="37"/>
      <c r="BD18" s="38"/>
    </row>
    <row r="19" spans="1:56">
      <c r="A19" s="40"/>
      <c r="B19" s="41" t="s">
        <v>560</v>
      </c>
      <c r="C19" s="42"/>
      <c r="D19" s="42"/>
      <c r="E19" s="43"/>
      <c r="F19" s="42"/>
      <c r="G19" s="42"/>
      <c r="H19" s="44"/>
      <c r="I19" s="45"/>
      <c r="J19" s="42"/>
      <c r="K19" s="44"/>
      <c r="L19" s="45"/>
      <c r="M19" s="42"/>
      <c r="N19" s="44"/>
      <c r="O19" s="339">
        <f>IFERROR(GETPIVOTDATA("[Measures].[mOldLawIS]",'Pivot Table SREB'!$A$110), " ")</f>
        <v>22751</v>
      </c>
      <c r="P19" s="339">
        <f>IFERROR(GETPIVOTDATA("[Measures].[mNewLawIS]",'Pivot Table SREB'!$A$110), " ")</f>
        <v>22934.45</v>
      </c>
      <c r="Q19" s="46">
        <f>IF(O19&gt;0,(((P19-O19)/O19)*100),0)</f>
        <v>0.80633818293701698</v>
      </c>
      <c r="R19" s="339">
        <f>IFERROR(GETPIVOTDATA("[Measures].[mOldLawOS]",'Pivot Table SREB'!$A$110), " ")</f>
        <v>38929.5</v>
      </c>
      <c r="S19" s="339">
        <f>IFERROR(GETPIVOTDATA("[Measures].[mNewLawOS]",'Pivot Table SREB'!$A$110), " ")</f>
        <v>39350.449999999997</v>
      </c>
      <c r="T19" s="46">
        <f>IF(R19&gt;0,(((S19-R19)/R19)*100),0)</f>
        <v>1.0813136567384558</v>
      </c>
      <c r="U19" s="339">
        <f>IFERROR(GETPIVOTDATA("[Measures].[mOldMedIS]",'Pivot Table SREB'!$A$110), " ")</f>
        <v>31378</v>
      </c>
      <c r="V19" s="339">
        <f>IFERROR(GETPIVOTDATA("[Measures].[mNewMedIS]",'Pivot Table SREB'!$A$110), " ")</f>
        <v>32820</v>
      </c>
      <c r="W19" s="60">
        <f>IF(U19&gt;0,(((V19-U19)/U19)*100),0)</f>
        <v>4.5955765185798967</v>
      </c>
      <c r="X19" s="339">
        <f>IFERROR(GETPIVOTDATA("[Measures].[mOldMedOS]",'Pivot Table SREB'!$A$110), " ")</f>
        <v>60838</v>
      </c>
      <c r="Y19" s="339">
        <f>IFERROR(GETPIVOTDATA("[Measures].[mNewMedOS]",'Pivot Table SREB'!$A$110), " ")</f>
        <v>61114.29</v>
      </c>
      <c r="Z19" s="46">
        <f>IF(X19&gt;0,(((Y19-X19)/X19)*100),0)</f>
        <v>0.45414050429008329</v>
      </c>
      <c r="AA19" s="339">
        <f>IFERROR(GETPIVOTDATA("[Measures].[mOldDenIS]",'Pivot Table SREB'!$A$110), " ")</f>
        <v>35660</v>
      </c>
      <c r="AB19" s="339">
        <f>IFERROR(GETPIVOTDATA("[Measures].[mNewDenIS]",'Pivot Table SREB'!$A$110), " ")</f>
        <v>35170</v>
      </c>
      <c r="AC19" s="46">
        <f>IF(AA19&gt;0,(((AB19-AA19)/AA19)*100),0)</f>
        <v>-1.3740886146943354</v>
      </c>
      <c r="AD19" s="339">
        <f>IFERROR(GETPIVOTDATA("[Measures].[mOldDenOS]",'Pivot Table SREB'!$A$110), " ")</f>
        <v>67947</v>
      </c>
      <c r="AE19" s="339">
        <f>IFERROR(GETPIVOTDATA("[Measures].[mNewDenOS]",'Pivot Table SREB'!$A$110), " ")</f>
        <v>69229</v>
      </c>
      <c r="AF19" s="60">
        <f>IF(AD19&gt;0,(((AE19-AD19)/AD19)*100),0)</f>
        <v>1.8867646842391863</v>
      </c>
      <c r="AG19" s="45">
        <f>IFERROR(GETPIVOTDATA("[Measures].[mOldPhrIS]",'Pivot Table SREB'!$A$110), " ")</f>
        <v>24232.5</v>
      </c>
      <c r="AH19" s="45">
        <f>IFERROR(GETPIVOTDATA("[Measures].[mNewPhIS]",'Pivot Table SREB'!$A$110), " ")</f>
        <v>24683.16666666665</v>
      </c>
      <c r="AI19" s="46">
        <f>IFERROR(IF(AG19&gt;0,(((AH19-AG19)/AG19)*100),0), " ")</f>
        <v>1.8597613397984099</v>
      </c>
      <c r="AJ19" s="45">
        <f>IFERROR(GETPIVOTDATA("[Measures].[mOldPhrOS]",'Pivot Table SREB'!$A$110), " ")</f>
        <v>42843</v>
      </c>
      <c r="AK19" s="45">
        <f>IFERROR(GETPIVOTDATA("[Measures].[mNewPhrOS]",'Pivot Table SREB'!$A$110), " ")</f>
        <v>44211.5</v>
      </c>
      <c r="AL19" s="46">
        <f>IF(AJ19&gt;0,(((AK19-AJ19)/AJ19)*100),0)</f>
        <v>3.1942207595173069</v>
      </c>
      <c r="AM19" s="339">
        <f>IFERROR(GETPIVOTDATA("[Measures].[mOldOptIS]",'Pivot Table SREB'!$A$110), " ")</f>
        <v>17149.5</v>
      </c>
      <c r="AN19" s="339">
        <f>IFERROR(GETPIVOTDATA("[Measures].[mNewOptIS]",'Pivot Table SREB'!$A$110), " ")</f>
        <v>22019.7</v>
      </c>
      <c r="AO19" s="46">
        <f>IF(AM19&gt;0,(((AN19-AM19)/AM19)*100),0)</f>
        <v>28.398495582961608</v>
      </c>
      <c r="AP19" s="339">
        <f>IFERROR(GETPIVOTDATA("[Measures].[mOldOptOS]",'Pivot Table SREB'!$A$110), " ")</f>
        <v>36517.5</v>
      </c>
      <c r="AQ19" s="339">
        <f>IFERROR(GETPIVOTDATA("[Measures].[mNewOptOS]",'Pivot Table SREB'!$A$110), " ")</f>
        <v>41192.699999999997</v>
      </c>
      <c r="AR19" s="46">
        <f>IF(AP19&gt;0,(((AQ19-AP19)/AP19)*100),0)</f>
        <v>12.802628876566022</v>
      </c>
      <c r="AS19" s="339">
        <f>IFERROR(GETPIVOTDATA("[Measures].[mOldOstIS]",'Pivot Table SREB'!$A$110), " ")</f>
        <v>24744</v>
      </c>
      <c r="AT19" s="339">
        <f>IFERROR(GETPIVOTDATA("[Measures].[mNewOstIS]",'Pivot Table SREB'!$A$110), " ")</f>
        <v>24881.33333333335</v>
      </c>
      <c r="AU19" s="46">
        <f>IF(AS19&gt;0,(((AT19-AS19)/AS19)*100),0)</f>
        <v>0.55501670438631723</v>
      </c>
      <c r="AV19" s="339">
        <f>IFERROR(GETPIVOTDATA("[Measures].[mOldOstOS]",'Pivot Table SREB'!$A$110), " ")</f>
        <v>50821.66666666665</v>
      </c>
      <c r="AW19" s="339">
        <f>IFERROR(GETPIVOTDATA("[Measures].[mNewOstOS]",'Pivot Table SREB'!$A$110), " ")</f>
        <v>50959</v>
      </c>
      <c r="AX19" s="46">
        <f>IF(AV19&gt;0,(((AW19-AV19)/AV19)*100),0)</f>
        <v>0.27022595349755751</v>
      </c>
      <c r="AY19" s="339">
        <f>IFERROR(GETPIVOTDATA("[Measures].[m[OldVetIS]",'Pivot Table SREB'!$A$110), " ")</f>
        <v>25435</v>
      </c>
      <c r="AZ19" s="339">
        <f>IFERROR(GETPIVOTDATA("[Measures].[mNewVetIS]",'Pivot Table SREB'!$A$110), " ")</f>
        <v>26086</v>
      </c>
      <c r="BA19" s="46">
        <f>IF(AY19&gt;0,(((AZ19-AY19)/AY19)*100),0)</f>
        <v>2.5594653037153527</v>
      </c>
      <c r="BB19" s="339">
        <f>IFERROR(GETPIVOTDATA("[Measures].[mOldVetOS]",'Pivot Table SREB'!$A$110), " ")</f>
        <v>50456</v>
      </c>
      <c r="BC19" s="339">
        <f>IFERROR(GETPIVOTDATA("[Measures].[mNewVetOS]",'Pivot Table SREB'!$A$110), " ")</f>
        <v>55687</v>
      </c>
      <c r="BD19" s="46">
        <f>IF(BB19&gt;0,(((BC19-BB19)/BB19)*100),0)</f>
        <v>10.367448866338988</v>
      </c>
    </row>
    <row r="20" spans="1:56">
      <c r="A20" s="18" t="s">
        <v>56</v>
      </c>
      <c r="B20" s="47" t="s">
        <v>544</v>
      </c>
      <c r="C20" s="20">
        <f>IFERROR(GETPIVOTDATA("[Measures].[mOldUGIS]",'Pivot Table Cats'!$A$3,"[Range 1].[State]","[Range 1].[State].&amp;[AL]","[Range 1].[Type]","[Range 1].[Type].&amp;[1]")," ")</f>
        <v>11620</v>
      </c>
      <c r="D20" s="20">
        <f>IFERROR(GETPIVOTDATA("[Measures].[mNewUGIS]",'Pivot Table Cats'!$A$3,"[Range 1].[State]","[Range 1].[State].&amp;[AL]","[Range 1].[Type]","[Range 1].[Type].&amp;[1]")," ")</f>
        <v>11620</v>
      </c>
      <c r="E20" s="21">
        <f>IFERROR(IF(C20&gt;0,(((D20-C20)/C20)*100),0), " ")</f>
        <v>0</v>
      </c>
      <c r="F20" s="20">
        <f>IFERROR(GETPIVOTDATA("[Measures].[mOldUGOS]",'Pivot Table Cats'!$A$3,"[Range 1].[State]","[Range 1].[State].&amp;[AL]","[Range 1].[Type]","[Range 1].[Type].&amp;[1]")," ")</f>
        <v>31090</v>
      </c>
      <c r="G20" s="20">
        <f>IFERROR(GETPIVOTDATA("[Measures].[mNewUGOS]",'Pivot Table Cats'!$A$3,"[Range 1].[State]","[Range 1].[State].&amp;[AL]","[Range 1].[Type]","[Range 1].[Type].&amp;[1]")," ")</f>
        <v>31090</v>
      </c>
      <c r="H20" s="21">
        <f>IFERROR(IF(F20&gt;0,(((G20-F20)/F20)*100),0), " ")</f>
        <v>0</v>
      </c>
      <c r="I20" s="20">
        <f>IFERROR(GETPIVOTDATA("[Measures].[mOldGIS]",'Pivot Table Cats'!$A$3,"[Range 1].[State]","[Range 1].[State].&amp;[AL]","[Range 1].[Type]","[Range 1].[Type].&amp;[1]")," ")</f>
        <v>11470</v>
      </c>
      <c r="J20" s="20">
        <f>IFERROR(GETPIVOTDATA("[Measures].[mNewGIS]",'Pivot Table Cats'!$A$3,"[Range 1].[State]","[Range 1].[State].&amp;[AL]","[Range 1].[Type]","[Range 1].[Type].&amp;[1]")," ")</f>
        <v>11470</v>
      </c>
      <c r="K20" s="21">
        <f>IFERROR(IF(I20&gt;0,(((J20-I20)/I20)*100),0), " ")</f>
        <v>0</v>
      </c>
      <c r="L20" s="20">
        <f>IFERROR(GETPIVOTDATA("[Measures].[mOldGOS]",'Pivot Table Cats'!$A$3,"[Range 1].[State]","[Range 1].[State].&amp;[AL]","[Range 1].[Type]","[Range 1].[Type].&amp;[1]")," ")</f>
        <v>30940</v>
      </c>
      <c r="M20" s="20">
        <f>IFERROR(GETPIVOTDATA("[Measures].[mNewGOS]",'Pivot Table Cats'!$A$3,"[Range 1].[State]","[Range 1].[State].&amp;[AL]","[Range 1].[Type]","[Range 1].[Type].&amp;[1]")," ")</f>
        <v>30940</v>
      </c>
      <c r="N20" s="21">
        <f>IFERROR(IF(L20&gt;0,(((M20-L20)/L20)*100),0), " ")</f>
        <v>0</v>
      </c>
      <c r="O20" s="25"/>
      <c r="P20" s="26"/>
      <c r="Q20" s="27"/>
      <c r="R20" s="25"/>
      <c r="S20" s="26"/>
      <c r="T20" s="27"/>
      <c r="U20" s="25"/>
      <c r="V20" s="26"/>
      <c r="W20" s="27"/>
      <c r="X20" s="25"/>
      <c r="Y20" s="26"/>
      <c r="Z20" s="27"/>
      <c r="AA20" s="25"/>
      <c r="AB20" s="26"/>
      <c r="AC20" s="27"/>
      <c r="AD20" s="25"/>
      <c r="AE20" s="26"/>
      <c r="AF20" s="27"/>
      <c r="AG20" s="25"/>
      <c r="AH20" s="26"/>
      <c r="AI20" s="27"/>
      <c r="AJ20" s="25"/>
      <c r="AK20" s="26"/>
      <c r="AL20" s="27"/>
      <c r="AM20" s="25"/>
      <c r="AN20" s="26"/>
      <c r="AO20" s="27"/>
      <c r="AP20" s="25"/>
      <c r="AQ20" s="26"/>
      <c r="AR20" s="27"/>
      <c r="AS20" s="25"/>
      <c r="AT20" s="26"/>
      <c r="AU20" s="27"/>
      <c r="AV20" s="25"/>
      <c r="AW20" s="26"/>
      <c r="AX20" s="27"/>
      <c r="AY20" s="25"/>
      <c r="AZ20" s="26"/>
      <c r="BA20" s="27"/>
      <c r="BB20" s="25"/>
      <c r="BC20" s="26"/>
      <c r="BD20" s="27"/>
    </row>
    <row r="21" spans="1:56">
      <c r="A21" s="28"/>
      <c r="B21" s="19" t="s">
        <v>545</v>
      </c>
      <c r="C21" s="20">
        <f>IFERROR(GETPIVOTDATA("[Measures].[mOldUGIS]",'Pivot Table Cats'!$A$3,"[Range 1].[State]","[Range 1].[State].&amp;[AL]","[Range 1].[Type]","[Range 1].[Type].&amp;[2]")," ")</f>
        <v>10704</v>
      </c>
      <c r="D21" s="20">
        <f>IFERROR(GETPIVOTDATA("[Measures].[mNewUGIS]",'Pivot Table Cats'!$A$3,"[Range 1].[State]","[Range 1].[State].&amp;[AL]","[Range 1].[Type]","[Range 1].[Type].&amp;[2]")," ")</f>
        <v>10950</v>
      </c>
      <c r="E21" s="21">
        <f t="shared" ref="E21:E35" si="4">IFERROR(IF(C21&gt;0,(((D21-C21)/C21)*100),0), " ")</f>
        <v>2.2982062780269059</v>
      </c>
      <c r="F21" s="20">
        <f>IFERROR(GETPIVOTDATA("[Measures].[mOldUGOS]",'Pivot Table Cats'!$A$3,"[Range 1].[State]","[Range 1].[State].&amp;[AL]","[Range 1].[Type]","[Range 1].[Type].&amp;[2]")," ")</f>
        <v>21837</v>
      </c>
      <c r="G21" s="20">
        <f>IFERROR(GETPIVOTDATA("[Measures].[mNewUGOS]",'Pivot Table Cats'!$A$3,"[Range 1].[State]","[Range 1].[State].&amp;[AL]","[Range 1].[Type]","[Range 1].[Type].&amp;[2]")," ")</f>
        <v>22308</v>
      </c>
      <c r="H21" s="21">
        <f t="shared" ref="H21:H35" si="5">IFERROR(IF(F21&gt;0,(((G21-F21)/F21)*100),0), " ")</f>
        <v>2.1568896826487154</v>
      </c>
      <c r="I21" s="20">
        <f>IFERROR(GETPIVOTDATA("[Measures].[mOldGIS]",'Pivot Table Cats'!$A$3,"[Range 1].[State]","[Range 1].[State].&amp;[AL]","[Range 1].[Type]","[Range 1].[Type].&amp;[2]")," ")</f>
        <v>11363</v>
      </c>
      <c r="J21" s="20">
        <f>IFERROR(GETPIVOTDATA("[Measures].[mNewGIS]",'Pivot Table Cats'!$A$3,"[Range 1].[State]","[Range 1].[State].&amp;[AL]","[Range 1].[Type]","[Range 1].[Type].&amp;[2]")," ")</f>
        <v>11560</v>
      </c>
      <c r="K21" s="21">
        <f t="shared" ref="K21:K35" si="6">IFERROR(IF(I21&gt;0,(((J21-I21)/I21)*100),0), " ")</f>
        <v>1.733697087036874</v>
      </c>
      <c r="L21" s="20">
        <f>IFERROR(GETPIVOTDATA("[Measures].[mOldGOS]",'Pivot Table Cats'!$A$3,"[Range 1].[State]","[Range 1].[State].&amp;[AL]","[Range 1].[Type]","[Range 1].[Type].&amp;[2]")," ")</f>
        <v>23566</v>
      </c>
      <c r="M21" s="20">
        <f>IFERROR(GETPIVOTDATA("[Measures].[mNewGOS]",'Pivot Table Cats'!$A$3,"[Range 1].[State]","[Range 1].[State].&amp;[AL]","[Range 1].[Type]","[Range 1].[Type].&amp;[2]")," ")</f>
        <v>23943</v>
      </c>
      <c r="N21" s="21">
        <f t="shared" ref="N21:N35" si="7">IFERROR(IF(L21&gt;0,(((M21-L21)/L21)*100),0), " ")</f>
        <v>1.5997623695154033</v>
      </c>
      <c r="O21" s="25"/>
      <c r="P21" s="26"/>
      <c r="Q21" s="27"/>
      <c r="R21" s="25"/>
      <c r="S21" s="26"/>
      <c r="T21" s="27"/>
      <c r="U21" s="25"/>
      <c r="V21" s="26"/>
      <c r="W21" s="27"/>
      <c r="X21" s="25"/>
      <c r="Y21" s="26"/>
      <c r="Z21" s="27"/>
      <c r="AA21" s="25"/>
      <c r="AB21" s="26"/>
      <c r="AC21" s="27"/>
      <c r="AD21" s="25"/>
      <c r="AE21" s="26"/>
      <c r="AF21" s="27"/>
      <c r="AG21" s="25"/>
      <c r="AH21" s="26"/>
      <c r="AI21" s="27"/>
      <c r="AJ21" s="25"/>
      <c r="AK21" s="26"/>
      <c r="AL21" s="27"/>
      <c r="AM21" s="25"/>
      <c r="AN21" s="26"/>
      <c r="AO21" s="27"/>
      <c r="AP21" s="25"/>
      <c r="AQ21" s="26"/>
      <c r="AR21" s="27"/>
      <c r="AS21" s="25"/>
      <c r="AT21" s="26"/>
      <c r="AU21" s="27"/>
      <c r="AV21" s="25"/>
      <c r="AW21" s="26"/>
      <c r="AX21" s="27"/>
      <c r="AY21" s="25"/>
      <c r="AZ21" s="26"/>
      <c r="BA21" s="27"/>
      <c r="BB21" s="25"/>
      <c r="BC21" s="26"/>
      <c r="BD21" s="27"/>
    </row>
    <row r="22" spans="1:56">
      <c r="A22" s="28"/>
      <c r="B22" s="19" t="s">
        <v>546</v>
      </c>
      <c r="C22" s="20">
        <f>IFERROR(GETPIVOTDATA("[Measures].[mOldUGIS]",'Pivot Table Cats'!$A$3,"[Range 1].[State]","[Range 1].[State].&amp;[AL]","[Range 1].[Type]","[Range 1].[Type].&amp;[3]")," ")</f>
        <v>10918</v>
      </c>
      <c r="D22" s="20">
        <f>IFERROR(GETPIVOTDATA("[Measures].[mNewUGIS]",'Pivot Table Cats'!$A$3,"[Range 1].[State]","[Range 1].[State].&amp;[AL]","[Range 1].[Type]","[Range 1].[Type].&amp;[3]")," ")</f>
        <v>10918</v>
      </c>
      <c r="E22" s="21">
        <f t="shared" si="4"/>
        <v>0</v>
      </c>
      <c r="F22" s="20">
        <f>IFERROR(GETPIVOTDATA("[Measures].[mOldUGOS]",'Pivot Table Cats'!$A$3,"[Range 1].[State]","[Range 1].[State].&amp;[AL]","[Range 1].[Type]","[Range 1].[Type].&amp;[3]")," ")</f>
        <v>20840</v>
      </c>
      <c r="G22" s="20">
        <f>IFERROR(GETPIVOTDATA("[Measures].[mNewUGOS]",'Pivot Table Cats'!$A$3,"[Range 1].[State]","[Range 1].[State].&amp;[AL]","[Range 1].[Type]","[Range 1].[Type].&amp;[3]")," ")</f>
        <v>20840</v>
      </c>
      <c r="H22" s="21">
        <f t="shared" si="5"/>
        <v>0</v>
      </c>
      <c r="I22" s="20">
        <f>IFERROR(GETPIVOTDATA("[Measures].[mOldGIS]",'Pivot Table Cats'!$A$3,"[Range 1].[State]","[Range 1].[State].&amp;[AL]","[Range 1].[Type]","[Range 1].[Type].&amp;[3]")," ")</f>
        <v>10930</v>
      </c>
      <c r="J22" s="20">
        <f>IFERROR(GETPIVOTDATA("[Measures].[mNewGIS]",'Pivot Table Cats'!$A$3,"[Range 1].[State]","[Range 1].[State].&amp;[AL]","[Range 1].[Type]","[Range 1].[Type].&amp;[3]")," ")</f>
        <v>10930</v>
      </c>
      <c r="K22" s="21">
        <f t="shared" si="6"/>
        <v>0</v>
      </c>
      <c r="L22" s="20">
        <f>IFERROR(GETPIVOTDATA("[Measures].[mOldGOS]",'Pivot Table Cats'!$A$3,"[Range 1].[State]","[Range 1].[State].&amp;[AL]","[Range 1].[Type]","[Range 1].[Type].&amp;[3]")," ")</f>
        <v>21508</v>
      </c>
      <c r="M22" s="20">
        <f>IFERROR(GETPIVOTDATA("[Measures].[mNewGOS]",'Pivot Table Cats'!$A$3,"[Range 1].[State]","[Range 1].[State].&amp;[AL]","[Range 1].[Type]","[Range 1].[Type].&amp;[3]")," ")</f>
        <v>21574</v>
      </c>
      <c r="N22" s="21">
        <f t="shared" si="7"/>
        <v>0.30686256276734236</v>
      </c>
      <c r="O22" s="25"/>
      <c r="P22" s="26"/>
      <c r="Q22" s="27"/>
      <c r="R22" s="25"/>
      <c r="S22" s="26"/>
      <c r="T22" s="27"/>
      <c r="U22" s="25"/>
      <c r="V22" s="26"/>
      <c r="W22" s="27"/>
      <c r="X22" s="25"/>
      <c r="Y22" s="26"/>
      <c r="Z22" s="27"/>
      <c r="AA22" s="25"/>
      <c r="AB22" s="26"/>
      <c r="AC22" s="27"/>
      <c r="AD22" s="25"/>
      <c r="AE22" s="26"/>
      <c r="AF22" s="27"/>
      <c r="AG22" s="25"/>
      <c r="AH22" s="26"/>
      <c r="AI22" s="27"/>
      <c r="AJ22" s="25"/>
      <c r="AK22" s="26"/>
      <c r="AL22" s="27"/>
      <c r="AM22" s="25"/>
      <c r="AN22" s="26"/>
      <c r="AO22" s="27"/>
      <c r="AP22" s="25"/>
      <c r="AQ22" s="26"/>
      <c r="AR22" s="27"/>
      <c r="AS22" s="25"/>
      <c r="AT22" s="26"/>
      <c r="AU22" s="27"/>
      <c r="AV22" s="25"/>
      <c r="AW22" s="26"/>
      <c r="AX22" s="27"/>
      <c r="AY22" s="25"/>
      <c r="AZ22" s="26"/>
      <c r="BA22" s="27"/>
      <c r="BB22" s="25"/>
      <c r="BC22" s="26"/>
      <c r="BD22" s="27"/>
    </row>
    <row r="23" spans="1:56">
      <c r="A23" s="28"/>
      <c r="B23" s="19" t="s">
        <v>547</v>
      </c>
      <c r="C23" s="20">
        <f>IFERROR(GETPIVOTDATA("[Measures].[mOldUGIS]",'Pivot Table Cats'!$A$3,"[Range 1].[State]","[Range 1].[State].&amp;[AL]","[Range 1].[Type]","[Range 1].[Type].&amp;[4]")," ")</f>
        <v>11029</v>
      </c>
      <c r="D23" s="20">
        <f>IFERROR(GETPIVOTDATA("[Measures].[mNewUGIS]",'Pivot Table Cats'!$A$3,"[Range 1].[State]","[Range 1].[State].&amp;[AL]","[Range 1].[Type]","[Range 1].[Type].&amp;[4]")," ")</f>
        <v>11079</v>
      </c>
      <c r="E23" s="21">
        <f t="shared" si="4"/>
        <v>0.45335025840964727</v>
      </c>
      <c r="F23" s="20">
        <f>IFERROR(GETPIVOTDATA("[Measures].[mOldUGOS]",'Pivot Table Cats'!$A$3,"[Range 1].[State]","[Range 1].[State].&amp;[AL]","[Range 1].[Type]","[Range 1].[Type].&amp;[4]")," ")</f>
        <v>19743</v>
      </c>
      <c r="G23" s="20">
        <f>IFERROR(GETPIVOTDATA("[Measures].[mNewUGOS]",'Pivot Table Cats'!$A$3,"[Range 1].[State]","[Range 1].[State].&amp;[AL]","[Range 1].[Type]","[Range 1].[Type].&amp;[4]")," ")</f>
        <v>19793</v>
      </c>
      <c r="H23" s="21">
        <f t="shared" si="5"/>
        <v>0.25325431798612164</v>
      </c>
      <c r="I23" s="20">
        <f>IFERROR(GETPIVOTDATA("[Measures].[mOldGIS]",'Pivot Table Cats'!$A$3,"[Range 1].[State]","[Range 1].[State].&amp;[AL]","[Range 1].[Type]","[Range 1].[Type].&amp;[4]")," ")</f>
        <v>10946</v>
      </c>
      <c r="J23" s="20">
        <f>IFERROR(GETPIVOTDATA("[Measures].[mNewGIS]",'Pivot Table Cats'!$A$3,"[Range 1].[State]","[Range 1].[State].&amp;[AL]","[Range 1].[Type]","[Range 1].[Type].&amp;[4]")," ")</f>
        <v>10996</v>
      </c>
      <c r="K23" s="21">
        <f t="shared" si="6"/>
        <v>0.45678786771423352</v>
      </c>
      <c r="L23" s="20">
        <f>IFERROR(GETPIVOTDATA("[Measures].[mOldGOS]",'Pivot Table Cats'!$A$3,"[Range 1].[State]","[Range 1].[State].&amp;[AL]","[Range 1].[Type]","[Range 1].[Type].&amp;[4]")," ")</f>
        <v>20342</v>
      </c>
      <c r="M23" s="20">
        <f>IFERROR(GETPIVOTDATA("[Measures].[mNewGOS]",'Pivot Table Cats'!$A$3,"[Range 1].[State]","[Range 1].[State].&amp;[AL]","[Range 1].[Type]","[Range 1].[Type].&amp;[4]")," ")</f>
        <v>20392</v>
      </c>
      <c r="N23" s="21">
        <f t="shared" si="7"/>
        <v>0.24579687346376952</v>
      </c>
      <c r="O23" s="25"/>
      <c r="P23" s="26"/>
      <c r="Q23" s="27"/>
      <c r="R23" s="25"/>
      <c r="S23" s="26"/>
      <c r="T23" s="27"/>
      <c r="U23" s="25"/>
      <c r="V23" s="26"/>
      <c r="W23" s="27"/>
      <c r="X23" s="25"/>
      <c r="Y23" s="26"/>
      <c r="Z23" s="27"/>
      <c r="AA23" s="25"/>
      <c r="AB23" s="26"/>
      <c r="AC23" s="27"/>
      <c r="AD23" s="25"/>
      <c r="AE23" s="26"/>
      <c r="AF23" s="27"/>
      <c r="AG23" s="25"/>
      <c r="AH23" s="26"/>
      <c r="AI23" s="27"/>
      <c r="AJ23" s="25"/>
      <c r="AK23" s="26"/>
      <c r="AL23" s="27"/>
      <c r="AM23" s="25"/>
      <c r="AN23" s="26"/>
      <c r="AO23" s="27"/>
      <c r="AP23" s="25"/>
      <c r="AQ23" s="26"/>
      <c r="AR23" s="27"/>
      <c r="AS23" s="25"/>
      <c r="AT23" s="26"/>
      <c r="AU23" s="27"/>
      <c r="AV23" s="25"/>
      <c r="AW23" s="26"/>
      <c r="AX23" s="27"/>
      <c r="AY23" s="25"/>
      <c r="AZ23" s="26"/>
      <c r="BA23" s="27"/>
      <c r="BB23" s="25"/>
      <c r="BC23" s="26"/>
      <c r="BD23" s="27"/>
    </row>
    <row r="24" spans="1:56">
      <c r="A24" s="28"/>
      <c r="B24" s="19" t="s">
        <v>548</v>
      </c>
      <c r="C24" s="20">
        <f>IFERROR(GETPIVOTDATA("[Measures].[mOldUGIS]",'Pivot Table Cats'!$A$3,"[Range 1].[State]","[Range 1].[State].&amp;[AL]","[Range 1].[Type]","[Range 1].[Type].&amp;[5]")," ")</f>
        <v>10709</v>
      </c>
      <c r="D24" s="20">
        <f>IFERROR(GETPIVOTDATA("[Measures].[mNewUGIS]",'Pivot Table Cats'!$A$3,"[Range 1].[State]","[Range 1].[State].&amp;[AL]","[Range 1].[Type]","[Range 1].[Type].&amp;[5]")," ")</f>
        <v>11384</v>
      </c>
      <c r="E24" s="338">
        <f t="shared" si="4"/>
        <v>6.3031095340367909</v>
      </c>
      <c r="F24" s="20">
        <f>IFERROR(GETPIVOTDATA("[Measures].[mOldUGOS]",'Pivot Table Cats'!$A$3,"[Range 1].[State]","[Range 1].[State].&amp;[AL]","[Range 1].[Type]","[Range 1].[Type].&amp;[5]")," ")</f>
        <v>20309</v>
      </c>
      <c r="G24" s="20">
        <f>IFERROR(GETPIVOTDATA("[Measures].[mNewUGOS]",'Pivot Table Cats'!$A$3,"[Range 1].[State]","[Range 1].[State].&amp;[AL]","[Range 1].[Type]","[Range 1].[Type].&amp;[5]")," ")</f>
        <v>21269</v>
      </c>
      <c r="H24" s="21">
        <f t="shared" si="5"/>
        <v>4.7269683391599777</v>
      </c>
      <c r="I24" s="20">
        <f>IFERROR(GETPIVOTDATA("[Measures].[mOldGIS]",'Pivot Table Cats'!$A$3,"[Range 1].[State]","[Range 1].[State].&amp;[AL]","[Range 1].[Type]","[Range 1].[Type].&amp;[5]")," ")</f>
        <v>10038</v>
      </c>
      <c r="J24" s="20">
        <f>IFERROR(GETPIVOTDATA("[Measures].[mNewGIS]",'Pivot Table Cats'!$A$3,"[Range 1].[State]","[Range 1].[State].&amp;[AL]","[Range 1].[Type]","[Range 1].[Type].&amp;[5]")," ")</f>
        <v>10782</v>
      </c>
      <c r="K24" s="21">
        <f t="shared" si="6"/>
        <v>7.4118350268977879</v>
      </c>
      <c r="L24" s="20">
        <f>IFERROR(GETPIVOTDATA("[Measures].[mOldGOS]",'Pivot Table Cats'!$A$3,"[Range 1].[State]","[Range 1].[State].&amp;[AL]","[Range 1].[Type]","[Range 1].[Type].&amp;[5]")," ")</f>
        <v>19878</v>
      </c>
      <c r="M24" s="20">
        <f>IFERROR(GETPIVOTDATA("[Measures].[mNewGOS]",'Pivot Table Cats'!$A$3,"[Range 1].[State]","[Range 1].[State].&amp;[AL]","[Range 1].[Type]","[Range 1].[Type].&amp;[5]")," ")</f>
        <v>20190</v>
      </c>
      <c r="N24" s="21">
        <f t="shared" si="7"/>
        <v>1.5695744038635679</v>
      </c>
      <c r="O24" s="25"/>
      <c r="P24" s="26"/>
      <c r="Q24" s="27"/>
      <c r="R24" s="25"/>
      <c r="S24" s="26"/>
      <c r="T24" s="27"/>
      <c r="U24" s="25"/>
      <c r="V24" s="26"/>
      <c r="W24" s="27"/>
      <c r="X24" s="25"/>
      <c r="Y24" s="26"/>
      <c r="Z24" s="27"/>
      <c r="AA24" s="25"/>
      <c r="AB24" s="26"/>
      <c r="AC24" s="27"/>
      <c r="AD24" s="25"/>
      <c r="AE24" s="26"/>
      <c r="AF24" s="27"/>
      <c r="AG24" s="25"/>
      <c r="AH24" s="26"/>
      <c r="AI24" s="27"/>
      <c r="AJ24" s="25"/>
      <c r="AK24" s="26"/>
      <c r="AL24" s="27"/>
      <c r="AM24" s="25"/>
      <c r="AN24" s="26"/>
      <c r="AO24" s="27"/>
      <c r="AP24" s="25"/>
      <c r="AQ24" s="26"/>
      <c r="AR24" s="27"/>
      <c r="AS24" s="25"/>
      <c r="AT24" s="26"/>
      <c r="AU24" s="27"/>
      <c r="AV24" s="25"/>
      <c r="AW24" s="26"/>
      <c r="AX24" s="27"/>
      <c r="AY24" s="25"/>
      <c r="AZ24" s="26"/>
      <c r="BA24" s="27"/>
      <c r="BB24" s="25"/>
      <c r="BC24" s="26"/>
      <c r="BD24" s="27"/>
    </row>
    <row r="25" spans="1:56">
      <c r="A25" s="28"/>
      <c r="B25" s="19" t="s">
        <v>549</v>
      </c>
      <c r="C25" s="20" t="str">
        <f>IFERROR(GETPIVOTDATA("[Measures].[mOldUGIS]",'Pivot Table Cats'!$A$3,"[Range 1].[State]","[Range 1].[State].&amp;[AL]","[Range 1].[Type]","[Range 1].[Type].&amp;[6]")," ")</f>
        <v xml:space="preserve"> </v>
      </c>
      <c r="D25" s="20" t="str">
        <f>IFERROR(GETPIVOTDATA("[Measures].[mNewUGIS]",'Pivot Table Cats'!$A$3,"[Range 1].[State]","[Range 1].[State].&amp;[AL]","[Range 1].[Type]","[Range 1].[Type].&amp;[6]")," ")</f>
        <v xml:space="preserve"> </v>
      </c>
      <c r="E25" s="21" t="str">
        <f t="shared" si="4"/>
        <v xml:space="preserve"> </v>
      </c>
      <c r="F25" s="20" t="str">
        <f>IFERROR(GETPIVOTDATA("[Measures].[mOldUGOS]",'Pivot Table Cats'!$A$3,"[Range 1].[State]","[Range 1].[State].&amp;[AL]","[Range 1].[Type]","[Range 1].[Type].&amp;[6]")," ")</f>
        <v xml:space="preserve"> </v>
      </c>
      <c r="G25" s="20" t="str">
        <f>IFERROR(GETPIVOTDATA("[Measures].[mNewUGOS]",'Pivot Table Cats'!$A$3,"[Range 1].[State]","[Range 1].[State].&amp;[AL]","[Range 1].[Type]","[Range 1].[Type].&amp;[6]")," ")</f>
        <v xml:space="preserve"> </v>
      </c>
      <c r="H25" s="21" t="str">
        <f t="shared" si="5"/>
        <v xml:space="preserve"> </v>
      </c>
      <c r="I25" s="20" t="str">
        <f>IFERROR(GETPIVOTDATA("[Measures].[mOldGIS]",'Pivot Table Cats'!$A$3,"[Range 1].[State]","[Range 1].[State].&amp;[AL]","[Range 1].[Type]","[Range 1].[Type].&amp;[6]")," ")</f>
        <v xml:space="preserve"> </v>
      </c>
      <c r="J25" s="20" t="str">
        <f>IFERROR(GETPIVOTDATA("[Measures].[mNewGIS]",'Pivot Table Cats'!$A$3,"[Range 1].[State]","[Range 1].[State].&amp;[AL]","[Range 1].[Type]","[Range 1].[Type].&amp;[6]")," ")</f>
        <v xml:space="preserve"> </v>
      </c>
      <c r="K25" s="21" t="str">
        <f t="shared" si="6"/>
        <v xml:space="preserve"> </v>
      </c>
      <c r="L25" s="20" t="str">
        <f>IFERROR(GETPIVOTDATA("[Measures].[mOldGOS]",'Pivot Table Cats'!$A$3,"[Range 1].[State]","[Range 1].[State].&amp;[AL]","[Range 1].[Type]","[Range 1].[Type].&amp;[6]")," ")</f>
        <v xml:space="preserve"> </v>
      </c>
      <c r="M25" s="20" t="str">
        <f>IFERROR(GETPIVOTDATA("[Measures].[mNewGOS]",'Pivot Table Cats'!$A$3,"[Range 1].[State]","[Range 1].[State].&amp;[AL]","[Range 1].[Type]","[Range 1].[Type].&amp;[6]")," ")</f>
        <v xml:space="preserve"> </v>
      </c>
      <c r="N25" s="21" t="str">
        <f t="shared" si="7"/>
        <v xml:space="preserve"> </v>
      </c>
      <c r="O25" s="25"/>
      <c r="P25" s="26"/>
      <c r="Q25" s="27"/>
      <c r="R25" s="25"/>
      <c r="S25" s="26"/>
      <c r="T25" s="27"/>
      <c r="U25" s="25"/>
      <c r="V25" s="26"/>
      <c r="W25" s="27"/>
      <c r="X25" s="25"/>
      <c r="Y25" s="26"/>
      <c r="Z25" s="27"/>
      <c r="AA25" s="25"/>
      <c r="AB25" s="26"/>
      <c r="AC25" s="27"/>
      <c r="AD25" s="25"/>
      <c r="AE25" s="26"/>
      <c r="AF25" s="27"/>
      <c r="AG25" s="25"/>
      <c r="AH25" s="26"/>
      <c r="AI25" s="27"/>
      <c r="AJ25" s="25"/>
      <c r="AK25" s="26"/>
      <c r="AL25" s="27"/>
      <c r="AM25" s="25"/>
      <c r="AN25" s="26"/>
      <c r="AO25" s="27"/>
      <c r="AP25" s="25"/>
      <c r="AQ25" s="26"/>
      <c r="AR25" s="27"/>
      <c r="AS25" s="25"/>
      <c r="AT25" s="26"/>
      <c r="AU25" s="27"/>
      <c r="AV25" s="25"/>
      <c r="AW25" s="26"/>
      <c r="AX25" s="27"/>
      <c r="AY25" s="25"/>
      <c r="AZ25" s="26"/>
      <c r="BA25" s="27"/>
      <c r="BB25" s="25"/>
      <c r="BC25" s="26"/>
      <c r="BD25" s="27"/>
    </row>
    <row r="26" spans="1:56" s="39" customFormat="1" ht="19.5" customHeight="1">
      <c r="A26" s="29"/>
      <c r="B26" s="30" t="s">
        <v>550</v>
      </c>
      <c r="C26" s="31">
        <f>IFERROR(GETPIVOTDATA("[Measures].[mOldUGIS]",'Pivot Table Totals'!$A$4,"[Range 1].[State]","[Range 1].[State].&amp;[AL]"), " ")</f>
        <v>11029</v>
      </c>
      <c r="D26" s="31">
        <f>IFERROR(GETPIVOTDATA("[Measures].[mNewUGIS]",'Pivot Table Totals'!$A$4,"[Range 1].[State]","[Range 1].[State].&amp;[AL]"), " ")</f>
        <v>11055</v>
      </c>
      <c r="E26" s="21">
        <f t="shared" si="4"/>
        <v>0.23574213437301661</v>
      </c>
      <c r="F26" s="31">
        <f>IFERROR(GETPIVOTDATA("[Measures].[mOldUGOS]",'Pivot Table Totals'!$A$4,"[Range 1].[State]","[Range 1].[State].&amp;[AL]"), " ")</f>
        <v>20850</v>
      </c>
      <c r="G26" s="31">
        <f>IFERROR(GETPIVOTDATA("[Measures].[mNewUGOS]",'Pivot Table Totals'!$A$4,"[Range 1].[State]","[Range 1].[State].&amp;[AL]"), " ")</f>
        <v>22060</v>
      </c>
      <c r="H26" s="21">
        <f t="shared" si="5"/>
        <v>5.8033573141486814</v>
      </c>
      <c r="I26" s="31">
        <f>IFERROR(GETPIVOTDATA("[Measures].[mOldGIS]",'Pivot Table Totals'!$A$4,"[Range 1].[State]","[Range 1].[State].&amp;[AL]"), " ")</f>
        <v>11119</v>
      </c>
      <c r="J26" s="31">
        <f>IFERROR(GETPIVOTDATA("[Measures].[mNewGIS]",'Pivot Table Totals'!$A$4,"[Range 1].[State]","[Range 1].[State].&amp;[AL]"), " ")</f>
        <v>11284</v>
      </c>
      <c r="K26" s="21">
        <f t="shared" si="6"/>
        <v>1.4839463980573793</v>
      </c>
      <c r="L26" s="31">
        <f>IFERROR(GETPIVOTDATA("[Measures].[mOldGOS]",'Pivot Table Totals'!$A$4,"[Range 1].[State]","[Range 1].[State].&amp;[AL]"), " ")</f>
        <v>22045</v>
      </c>
      <c r="M26" s="31">
        <f>IFERROR(GETPIVOTDATA("[Measures].[mNewGOS]",'Pivot Table Totals'!$A$4,"[Range 1].[State]","[Range 1].[State].&amp;[AL]"), " ")</f>
        <v>22708</v>
      </c>
      <c r="N26" s="21">
        <f>IFERROR(IF(L26&gt;0,(((M26-L26)/L26)*100),0), "  ")</f>
        <v>3.0074846904059878</v>
      </c>
      <c r="O26" s="36"/>
      <c r="P26" s="37"/>
      <c r="Q26" s="38"/>
      <c r="R26" s="36"/>
      <c r="S26" s="37"/>
      <c r="T26" s="38"/>
      <c r="U26" s="36"/>
      <c r="V26" s="37"/>
      <c r="W26" s="38"/>
      <c r="X26" s="36"/>
      <c r="Y26" s="37"/>
      <c r="Z26" s="38"/>
      <c r="AA26" s="36"/>
      <c r="AB26" s="37"/>
      <c r="AC26" s="38"/>
      <c r="AD26" s="36"/>
      <c r="AE26" s="37"/>
      <c r="AF26" s="38"/>
      <c r="AG26" s="36"/>
      <c r="AH26" s="37"/>
      <c r="AI26" s="38"/>
      <c r="AJ26" s="36"/>
      <c r="AK26" s="37"/>
      <c r="AL26" s="38"/>
      <c r="AM26" s="36"/>
      <c r="AN26" s="37"/>
      <c r="AO26" s="38"/>
      <c r="AP26" s="36"/>
      <c r="AQ26" s="37"/>
      <c r="AR26" s="38"/>
      <c r="AS26" s="36"/>
      <c r="AT26" s="37"/>
      <c r="AU26" s="38"/>
      <c r="AV26" s="36"/>
      <c r="AW26" s="37"/>
      <c r="AX26" s="38"/>
      <c r="AY26" s="36"/>
      <c r="AZ26" s="37"/>
      <c r="BA26" s="38"/>
      <c r="BB26" s="36"/>
      <c r="BC26" s="37"/>
      <c r="BD26" s="38"/>
    </row>
    <row r="27" spans="1:56">
      <c r="A27" s="28"/>
      <c r="B27" s="19" t="s">
        <v>551</v>
      </c>
      <c r="C27" s="20" t="str">
        <f>IFERROR(GETPIVOTDATA("[Measures].[mOldUGIS]",'Pivot Table Cats'!$A$3,"[Range 1].[State]","[Range 1].[State].&amp;[AL]","[Range 1].[Type]","[Range 1].[Type].&amp;[7]")," ")</f>
        <v xml:space="preserve"> </v>
      </c>
      <c r="D27" s="20" t="str">
        <f>IFERROR(GETPIVOTDATA("[Measures].[mNewUGIS]",'Pivot Table Cats'!$A$3,"[Range 1].[State]","[Range 1].[State].&amp;[AL]","[Range 1].[Type]","[Range 1].[Type].&amp;[7]")," ")</f>
        <v xml:space="preserve"> </v>
      </c>
      <c r="E27" s="21" t="str">
        <f t="shared" si="4"/>
        <v xml:space="preserve"> </v>
      </c>
      <c r="F27" s="20" t="str">
        <f>IFERROR(GETPIVOTDATA("[Measures].[mOldUGOS]",'Pivot Table Cats'!$A$3,"[Range 1].[State]","[Range 1].[State].&amp;[AL]","[Range 1].[Type]","[Range 1].[Type].&amp;[7]")," ")</f>
        <v xml:space="preserve"> </v>
      </c>
      <c r="G27" s="20" t="str">
        <f>IFERROR(GETPIVOTDATA("[Measures].[mNewUGOS]",'Pivot Table Cats'!$A$3,"[Range 1].[State]","[Range 1].[State].&amp;[AL]","[Range 1].[Type]","[Range 1].[Type].&amp;[7]")," ")</f>
        <v xml:space="preserve"> </v>
      </c>
      <c r="H27" s="21" t="str">
        <f t="shared" si="5"/>
        <v xml:space="preserve"> </v>
      </c>
      <c r="I27" s="20" t="str">
        <f>IFERROR(GETPIVOTDATA("[Measures].[mOldGIS]",'Pivot Table Cats'!$A$3,"[Range 1].[State]","[Range 1].[State].&amp;[AL]","[Range 1].[Type]","[Range 1].[Type].&amp;[7]")," ")</f>
        <v xml:space="preserve"> </v>
      </c>
      <c r="J27" s="20" t="str">
        <f>IFERROR(GETPIVOTDATA("[Measures].[mNewGIS]",'Pivot Table Cats'!$A$3,"[Range 1].[State]","[Range 1].[State].&amp;[AL]","[Range 1].[Type]","[Range 1].[Type].&amp;[7]")," ")</f>
        <v xml:space="preserve"> </v>
      </c>
      <c r="K27" s="21" t="str">
        <f t="shared" si="6"/>
        <v xml:space="preserve"> </v>
      </c>
      <c r="L27" s="20" t="str">
        <f>IFERROR(GETPIVOTDATA("[Measures].[mOldGIS]",'Pivot Table Cats'!$A$3,"[Range 1].[State]","[Range 1].[State].&amp;[AL]","[Range 1].[Type]","[Range 1].[Type].&amp;[7]")," ")</f>
        <v xml:space="preserve"> </v>
      </c>
      <c r="M27" s="20" t="str">
        <f>IFERROR(GETPIVOTDATA("[Measures].[mNewGIS]",'Pivot Table Cats'!$A$3,"[Range 1].[State]","[Range 1].[State].&amp;[AL]","[Range 1].[Type]","[Range 1].[Type].&amp;[7]")," ")</f>
        <v xml:space="preserve"> </v>
      </c>
      <c r="N27" s="21" t="str">
        <f t="shared" si="7"/>
        <v xml:space="preserve"> </v>
      </c>
      <c r="O27" s="25"/>
      <c r="P27" s="26"/>
      <c r="Q27" s="27"/>
      <c r="R27" s="25"/>
      <c r="S27" s="26"/>
      <c r="T27" s="27"/>
      <c r="U27" s="25"/>
      <c r="V27" s="26"/>
      <c r="W27" s="27"/>
      <c r="X27" s="25"/>
      <c r="Y27" s="26"/>
      <c r="Z27" s="27"/>
      <c r="AA27" s="25"/>
      <c r="AB27" s="26"/>
      <c r="AC27" s="27"/>
      <c r="AD27" s="25"/>
      <c r="AE27" s="26"/>
      <c r="AF27" s="27"/>
      <c r="AG27" s="25"/>
      <c r="AH27" s="26"/>
      <c r="AI27" s="27"/>
      <c r="AJ27" s="25"/>
      <c r="AK27" s="26"/>
      <c r="AL27" s="27"/>
      <c r="AM27" s="25"/>
      <c r="AN27" s="26"/>
      <c r="AO27" s="27"/>
      <c r="AP27" s="25"/>
      <c r="AQ27" s="26"/>
      <c r="AR27" s="27"/>
      <c r="AS27" s="25"/>
      <c r="AT27" s="26"/>
      <c r="AU27" s="27"/>
      <c r="AV27" s="25"/>
      <c r="AW27" s="26"/>
      <c r="AX27" s="27"/>
      <c r="AY27" s="25"/>
      <c r="AZ27" s="26"/>
      <c r="BA27" s="27"/>
      <c r="BB27" s="25"/>
      <c r="BC27" s="26"/>
      <c r="BD27" s="27"/>
    </row>
    <row r="28" spans="1:56">
      <c r="A28" s="28"/>
      <c r="B28" s="19" t="s">
        <v>552</v>
      </c>
      <c r="C28" s="20">
        <f>IFERROR(GETPIVOTDATA("[Measures].[mOldUGIS]",'Pivot Table Cats'!$A$3,"[Range 1].[State]","[Range 1].[State].&amp;[AL]","[Range 1].[Type]","[Range 1].[Type].&amp;[8]")," ")</f>
        <v>4920</v>
      </c>
      <c r="D28" s="20">
        <f>IFERROR(GETPIVOTDATA("[Measures].[mNewUGIS]",'Pivot Table Cats'!$A$3,"[Range 1].[State]","[Range 1].[State].&amp;[AL]","[Range 1].[Type]","[Range 1].[Type].&amp;[8]")," ")</f>
        <v>4920</v>
      </c>
      <c r="E28" s="21">
        <f t="shared" si="4"/>
        <v>0</v>
      </c>
      <c r="F28" s="20">
        <f>IFERROR(GETPIVOTDATA("[Measures].[mOldUGOS]",'Pivot Table Cats'!$A$3,"[Range 1].[State]","[Range 1].[State].&amp;[AL]","[Range 1].[Type]","[Range 1].[Type].&amp;[8]")," ")</f>
        <v>8910</v>
      </c>
      <c r="G28" s="20">
        <f>IFERROR(GETPIVOTDATA("[Measures].[mNewUGOS]",'Pivot Table Cats'!$A$3,"[Range 1].[State]","[Range 1].[State].&amp;[AL]","[Range 1].[Type]","[Range 1].[Type].&amp;[8]")," ")</f>
        <v>8610</v>
      </c>
      <c r="H28" s="21">
        <f t="shared" si="5"/>
        <v>-3.3670033670033668</v>
      </c>
      <c r="I28" s="337">
        <f>IFERROR(GETPIVOTDATA("[Measures].[mOldGIS]",'Pivot Table Cats'!$A$3,"[Range 1].[State]","[Range 1].[State].&amp;[AL]","[Range 1].[Type]","[Range 1].[Type].&amp;[8]")," ")</f>
        <v>0</v>
      </c>
      <c r="J28" s="20">
        <f>IFERROR(GETPIVOTDATA("[Measures].[mNewGIS]",'Pivot Table Cats'!$A$3,"[Range 1].[State]","[Range 1].[State].&amp;[AL]","[Range 1].[Type]","[Range 1].[Type].&amp;[8]")," ")</f>
        <v>0</v>
      </c>
      <c r="K28" s="21">
        <f t="shared" si="6"/>
        <v>0</v>
      </c>
      <c r="L28" s="20">
        <f>IFERROR(GETPIVOTDATA("[Measures].[mOldGOS]",'Pivot Table Cats'!$A$3,"[Range 1].[State]","[Range 1].[State].&amp;[AL]","[Range 1].[Type]","[Range 1].[Type].&amp;[8]")," ")</f>
        <v>0</v>
      </c>
      <c r="M28" s="20">
        <f>IFERROR(GETPIVOTDATA("[Measures].[mNewGOS]",'Pivot Table Cats'!$A$3,"[Range 1].[State]","[Range 1].[State].&amp;[AL]","[Range 1].[Type]","[Range 1].[Type].&amp;[8]")," ")</f>
        <v>0</v>
      </c>
      <c r="N28" s="21">
        <f t="shared" si="7"/>
        <v>0</v>
      </c>
      <c r="O28" s="25"/>
      <c r="P28" s="26"/>
      <c r="Q28" s="27"/>
      <c r="R28" s="25"/>
      <c r="S28" s="26"/>
      <c r="T28" s="27"/>
      <c r="U28" s="25"/>
      <c r="V28" s="26"/>
      <c r="W28" s="27"/>
      <c r="X28" s="25"/>
      <c r="Y28" s="26"/>
      <c r="Z28" s="27"/>
      <c r="AA28" s="25"/>
      <c r="AB28" s="26"/>
      <c r="AC28" s="27"/>
      <c r="AD28" s="25"/>
      <c r="AE28" s="26"/>
      <c r="AF28" s="27"/>
      <c r="AG28" s="25"/>
      <c r="AH28" s="26"/>
      <c r="AI28" s="27"/>
      <c r="AJ28" s="25"/>
      <c r="AK28" s="26"/>
      <c r="AL28" s="27"/>
      <c r="AM28" s="25"/>
      <c r="AN28" s="26"/>
      <c r="AO28" s="27"/>
      <c r="AP28" s="25"/>
      <c r="AQ28" s="26"/>
      <c r="AR28" s="27"/>
      <c r="AS28" s="25"/>
      <c r="AT28" s="26"/>
      <c r="AU28" s="27"/>
      <c r="AV28" s="25"/>
      <c r="AW28" s="26"/>
      <c r="AX28" s="27"/>
      <c r="AY28" s="25"/>
      <c r="AZ28" s="26"/>
      <c r="BA28" s="27"/>
      <c r="BB28" s="25"/>
      <c r="BC28" s="26"/>
      <c r="BD28" s="27"/>
    </row>
    <row r="29" spans="1:56">
      <c r="A29" s="28"/>
      <c r="B29" s="19" t="s">
        <v>553</v>
      </c>
      <c r="C29" s="20">
        <f>IFERROR(GETPIVOTDATA("[Measures].[mOldUGIS]",'Pivot Table Cats'!$A$3,"[Range 1].[State]","[Range 1].[State].&amp;[AL]","[Range 1].[Type]","[Range 1].[Type].&amp;[9]")," ")</f>
        <v>4860</v>
      </c>
      <c r="D29" s="20">
        <f>IFERROR(GETPIVOTDATA("[Measures].[mNewUGIS]",'Pivot Table Cats'!$A$3,"[Range 1].[State]","[Range 1].[State].&amp;[AL]","[Range 1].[Type]","[Range 1].[Type].&amp;[9]")," ")</f>
        <v>4860</v>
      </c>
      <c r="E29" s="21">
        <f t="shared" si="4"/>
        <v>0</v>
      </c>
      <c r="F29" s="20">
        <f>IFERROR(GETPIVOTDATA("[Measures].[mOldUGOS]",'Pivot Table Cats'!$A$3,"[Range 1].[State]","[Range 1].[State].&amp;[AL]","[Range 1].[Type]","[Range 1].[Type].&amp;[9]")," ")</f>
        <v>8850</v>
      </c>
      <c r="G29" s="20">
        <f>IFERROR(GETPIVOTDATA("[Measures].[mNewUGOS]",'Pivot Table Cats'!$A$3,"[Range 1].[State]","[Range 1].[State].&amp;[AL]","[Range 1].[Type]","[Range 1].[Type].&amp;[9]")," ")</f>
        <v>8550</v>
      </c>
      <c r="H29" s="21">
        <f t="shared" si="5"/>
        <v>-3.3898305084745761</v>
      </c>
      <c r="I29" s="20">
        <f>IFERROR(GETPIVOTDATA("[Measures].[mOldGIS]",'Pivot Table Cats'!$A$3,"[Range 1].[State]","[Range 1].[State].&amp;[AL]","[Range 1].[Type]","[Range 1].[Type].&amp;[9]")," ")</f>
        <v>0</v>
      </c>
      <c r="J29" s="20">
        <f>IFERROR(GETPIVOTDATA("[Measures].[mNewGIS]",'Pivot Table Cats'!$A$3,"[Range 1].[State]","[Range 1].[State].&amp;[AL]","[Range 1].[Type]","[Range 1].[Type].&amp;[9]")," ")</f>
        <v>0</v>
      </c>
      <c r="K29" s="21">
        <f t="shared" si="6"/>
        <v>0</v>
      </c>
      <c r="L29" s="20">
        <f>IFERROR(GETPIVOTDATA("[Measures].[mOldGOS]",'Pivot Table Cats'!$A$3,"[Range 1].[State]","[Range 1].[State].&amp;[AL]","[Range 1].[Type]","[Range 1].[Type].&amp;[9]")," ")</f>
        <v>0</v>
      </c>
      <c r="M29" s="20">
        <f>IFERROR(GETPIVOTDATA("[Measures].[mNewGOS]",'Pivot Table Cats'!$A$3,"[Range 1].[State]","[Range 1].[State].&amp;[AL]","[Range 1].[Type]","[Range 1].[Type].&amp;[9]")," ")</f>
        <v>0</v>
      </c>
      <c r="N29" s="21">
        <f t="shared" si="7"/>
        <v>0</v>
      </c>
      <c r="O29" s="25"/>
      <c r="P29" s="26"/>
      <c r="Q29" s="27"/>
      <c r="R29" s="25"/>
      <c r="S29" s="26"/>
      <c r="T29" s="27"/>
      <c r="U29" s="25"/>
      <c r="V29" s="26"/>
      <c r="W29" s="27"/>
      <c r="X29" s="25"/>
      <c r="Y29" s="26"/>
      <c r="Z29" s="27"/>
      <c r="AA29" s="25"/>
      <c r="AB29" s="26"/>
      <c r="AC29" s="27"/>
      <c r="AD29" s="25"/>
      <c r="AE29" s="26"/>
      <c r="AF29" s="27"/>
      <c r="AG29" s="25"/>
      <c r="AH29" s="26"/>
      <c r="AI29" s="27"/>
      <c r="AJ29" s="25"/>
      <c r="AK29" s="26"/>
      <c r="AL29" s="27"/>
      <c r="AM29" s="25"/>
      <c r="AN29" s="26"/>
      <c r="AO29" s="27"/>
      <c r="AP29" s="25"/>
      <c r="AQ29" s="26"/>
      <c r="AR29" s="27"/>
      <c r="AS29" s="25"/>
      <c r="AT29" s="26"/>
      <c r="AU29" s="27"/>
      <c r="AV29" s="25"/>
      <c r="AW29" s="26"/>
      <c r="AX29" s="27"/>
      <c r="AY29" s="25"/>
      <c r="AZ29" s="26"/>
      <c r="BA29" s="27"/>
      <c r="BB29" s="25"/>
      <c r="BC29" s="26"/>
      <c r="BD29" s="27"/>
    </row>
    <row r="30" spans="1:56">
      <c r="A30" s="28"/>
      <c r="B30" s="19" t="s">
        <v>554</v>
      </c>
      <c r="C30" s="20">
        <f>IFERROR(GETPIVOTDATA("[Measures].[mOldUGIS]",'Pivot Table Cats'!$A$3,"[Range 1].[State]","[Range 1].[State].&amp;[AL]","[Range 1].[Type]","[Range 1].[Type].&amp;[10]")," ")</f>
        <v>4860</v>
      </c>
      <c r="D30" s="20">
        <f>IFERROR(GETPIVOTDATA("[Measures].[mNewUGIS]",'Pivot Table Cats'!$A$3,"[Range 1].[State]","[Range 1].[State].&amp;[AL]","[Range 1].[Type]","[Range 1].[Type].&amp;[10]")," ")</f>
        <v>4860</v>
      </c>
      <c r="E30" s="21">
        <f t="shared" si="4"/>
        <v>0</v>
      </c>
      <c r="F30" s="20">
        <f>IFERROR(GETPIVOTDATA("[Measures].[mOldUGOS]",'Pivot Table Cats'!$A$3,"[Range 1].[State]","[Range 1].[State].&amp;[AL]","[Range 1].[Type]","[Range 1].[Type].&amp;[10]")," ")</f>
        <v>8850</v>
      </c>
      <c r="G30" s="20">
        <f>IFERROR(GETPIVOTDATA("[Measures].[mNewUGOS]",'Pivot Table Cats'!$A$3,"[Range 1].[State]","[Range 1].[State].&amp;[AL]","[Range 1].[Type]","[Range 1].[Type].&amp;[10]")," ")</f>
        <v>8550</v>
      </c>
      <c r="H30" s="21">
        <f t="shared" si="5"/>
        <v>-3.3898305084745761</v>
      </c>
      <c r="I30" s="20">
        <f>IFERROR(GETPIVOTDATA("[Measures].[mOldGIS]",'Pivot Table Cats'!$A$3,"[Range 1].[State]","[Range 1].[State].&amp;[AL]","[Range 1].[Type]","[Range 1].[Type].&amp;[10]")," ")</f>
        <v>0</v>
      </c>
      <c r="J30" s="20">
        <f>IFERROR(GETPIVOTDATA("[Measures].[mNewGIS]",'Pivot Table Cats'!$A$3,"[Range 1].[State]","[Range 1].[State].&amp;[AL]","[Range 1].[Type]","[Range 1].[Type].&amp;[10]")," ")</f>
        <v>0</v>
      </c>
      <c r="K30" s="21">
        <f t="shared" si="6"/>
        <v>0</v>
      </c>
      <c r="L30" s="20">
        <f>IFERROR(GETPIVOTDATA("[Measures].[mOldGOS]",'Pivot Table Cats'!$A$3,"[Range 1].[State]","[Range 1].[State].&amp;[AL]","[Range 1].[Type]","[Range 1].[Type].&amp;[10]")," ")</f>
        <v>0</v>
      </c>
      <c r="M30" s="20">
        <f>IFERROR(GETPIVOTDATA("[Measures].[mNewGOS]",'Pivot Table Cats'!$A$3,"[Range 1].[State]","[Range 1].[State].&amp;[AL]","[Range 1].[Type]","[Range 1].[Type].&amp;[10]")," ")</f>
        <v>0</v>
      </c>
      <c r="N30" s="21">
        <f t="shared" si="7"/>
        <v>0</v>
      </c>
      <c r="O30" s="25"/>
      <c r="P30" s="26"/>
      <c r="Q30" s="27"/>
      <c r="R30" s="25"/>
      <c r="S30" s="26"/>
      <c r="T30" s="27"/>
      <c r="U30" s="25"/>
      <c r="V30" s="26"/>
      <c r="W30" s="27"/>
      <c r="X30" s="25"/>
      <c r="Y30" s="26"/>
      <c r="Z30" s="27"/>
      <c r="AA30" s="25"/>
      <c r="AB30" s="26"/>
      <c r="AC30" s="27"/>
      <c r="AD30" s="25"/>
      <c r="AE30" s="26"/>
      <c r="AF30" s="27"/>
      <c r="AG30" s="25"/>
      <c r="AH30" s="26"/>
      <c r="AI30" s="27"/>
      <c r="AJ30" s="25"/>
      <c r="AK30" s="26"/>
      <c r="AL30" s="27"/>
      <c r="AM30" s="25"/>
      <c r="AN30" s="26"/>
      <c r="AO30" s="27"/>
      <c r="AP30" s="25"/>
      <c r="AQ30" s="26"/>
      <c r="AR30" s="27"/>
      <c r="AS30" s="25"/>
      <c r="AT30" s="26"/>
      <c r="AU30" s="27"/>
      <c r="AV30" s="25"/>
      <c r="AW30" s="26"/>
      <c r="AX30" s="27"/>
      <c r="AY30" s="25"/>
      <c r="AZ30" s="26"/>
      <c r="BA30" s="27"/>
      <c r="BB30" s="25"/>
      <c r="BC30" s="26"/>
      <c r="BD30" s="27"/>
    </row>
    <row r="31" spans="1:56" s="49" customFormat="1" ht="20.25" customHeight="1">
      <c r="A31" s="48"/>
      <c r="B31" s="30" t="s">
        <v>555</v>
      </c>
      <c r="C31" s="31">
        <f>GETPIVOTDATA("[Measures].[mOldUGIS]",'Pivot Table Totals'!$A$31,"[Range 1].[State]","[Range 1].[State].&amp;[AL]")</f>
        <v>4860</v>
      </c>
      <c r="D31" s="31">
        <f>GETPIVOTDATA("[Measures].[mNewUGIS]",'Pivot Table Totals'!$A$31,"[Range 1].[State]","[Range 1].[State].&amp;[AL]")</f>
        <v>4860</v>
      </c>
      <c r="E31" s="21">
        <f t="shared" si="4"/>
        <v>0</v>
      </c>
      <c r="F31" s="31">
        <f>GETPIVOTDATA("[Measures].[mOldUGOS]",'Pivot Table Totals'!$A$31,"[Range 1].[State]","[Range 1].[State].&amp;[AL]")</f>
        <v>8850</v>
      </c>
      <c r="G31" s="31">
        <f>GETPIVOTDATA("[Measures].[mNewUGOS]",'Pivot Table Totals'!$A$31,"[Range 1].[State]","[Range 1].[State].&amp;[AL]")</f>
        <v>8550</v>
      </c>
      <c r="H31" s="21">
        <f t="shared" si="5"/>
        <v>-3.3898305084745761</v>
      </c>
      <c r="I31" s="31">
        <f>GETPIVOTDATA("[Measures].[mOldGIS]",'Pivot Table Totals'!$A$31,"[Range 1].[State]","[Range 1].[State].&amp;[AL]")</f>
        <v>0</v>
      </c>
      <c r="J31" s="31">
        <f>GETPIVOTDATA("[Measures].[mNewGIS]",'Pivot Table Totals'!$A$31,"[Range 1].[State]","[Range 1].[State].&amp;[AL]")</f>
        <v>0</v>
      </c>
      <c r="K31" s="21">
        <f t="shared" si="6"/>
        <v>0</v>
      </c>
      <c r="L31" s="31">
        <f>GETPIVOTDATA("[Measures].[mOldGOS]",'Pivot Table Totals'!$A$31,"[Range 1].[State]","[Range 1].[State].&amp;[AL]")</f>
        <v>0</v>
      </c>
      <c r="M31" s="31">
        <f>GETPIVOTDATA("[Measures].[mNewGOS]",'Pivot Table Totals'!$A$31,"[Range 1].[State]","[Range 1].[State].&amp;[AL]")</f>
        <v>0</v>
      </c>
      <c r="N31" s="21">
        <f t="shared" si="7"/>
        <v>0</v>
      </c>
      <c r="O31" s="36"/>
      <c r="P31" s="37"/>
      <c r="Q31" s="38"/>
      <c r="R31" s="36"/>
      <c r="S31" s="37"/>
      <c r="T31" s="38"/>
      <c r="U31" s="36"/>
      <c r="V31" s="37"/>
      <c r="W31" s="38"/>
      <c r="X31" s="36"/>
      <c r="Y31" s="37"/>
      <c r="Z31" s="38"/>
      <c r="AA31" s="36"/>
      <c r="AB31" s="37"/>
      <c r="AC31" s="38"/>
      <c r="AD31" s="36"/>
      <c r="AE31" s="37"/>
      <c r="AF31" s="38"/>
      <c r="AG31" s="36"/>
      <c r="AH31" s="37"/>
      <c r="AI31" s="38"/>
      <c r="AJ31" s="36"/>
      <c r="AK31" s="37"/>
      <c r="AL31" s="38"/>
      <c r="AM31" s="36"/>
      <c r="AN31" s="37"/>
      <c r="AO31" s="38"/>
      <c r="AP31" s="36"/>
      <c r="AQ31" s="37"/>
      <c r="AR31" s="38"/>
      <c r="AS31" s="36"/>
      <c r="AT31" s="37"/>
      <c r="AU31" s="38"/>
      <c r="AV31" s="36"/>
      <c r="AW31" s="37"/>
      <c r="AX31" s="38"/>
      <c r="AY31" s="36"/>
      <c r="AZ31" s="37"/>
      <c r="BA31" s="38"/>
      <c r="BB31" s="36"/>
      <c r="BC31" s="37"/>
      <c r="BD31" s="38"/>
    </row>
    <row r="32" spans="1:56">
      <c r="A32" s="28"/>
      <c r="B32" s="19" t="s">
        <v>556</v>
      </c>
      <c r="C32" s="20">
        <f>IFERROR(GETPIVOTDATA("[Measures].[mOldUGIS]",'Pivot Table Cats'!$A$3,"[Range 1].[State]","[Range 1].[State].&amp;[AL]","[Range 1].[Type]","[Range 1].[Type].&amp;[12]")," ")</f>
        <v>4770</v>
      </c>
      <c r="D32" s="20">
        <f>IFERROR(GETPIVOTDATA("[Measures].[mNewUGIS]",'Pivot Table Cats'!$A$3,"[Range 1].[State]","[Range 1].[State].&amp;[AL]","[Range 1].[Type]","[Range 1].[Type].&amp;[12]")," ")</f>
        <v>4770</v>
      </c>
      <c r="E32" s="21">
        <f t="shared" si="4"/>
        <v>0</v>
      </c>
      <c r="F32" s="20">
        <f>IFERROR(GETPIVOTDATA("[Measures].[mOldUGOS]",'Pivot Table Cats'!$A$3,"[Range 1].[State]","[Range 1].[State].&amp;[AL]","[Range 1].[Type]","[Range 1].[Type].&amp;[12]")," ")</f>
        <v>8760</v>
      </c>
      <c r="G32" s="20">
        <f>IFERROR(GETPIVOTDATA("[Measures].[mNewUGOS]",'Pivot Table Cats'!$A$3,"[Range 1].[State]","[Range 1].[State].&amp;[AL]","[Range 1].[Type]","[Range 1].[Type].&amp;[12]")," ")</f>
        <v>8460</v>
      </c>
      <c r="H32" s="21">
        <f t="shared" si="5"/>
        <v>-3.4246575342465753</v>
      </c>
      <c r="I32" s="20">
        <f>IFERROR(GETPIVOTDATA("[Measures].[mOldGIS]",'Pivot Table Cats'!$A$3,"[Range 1].[State]","[Range 1].[State].&amp;[AL]","[Range 1].[Type]","[Range 1].[Type].&amp;[12]")," ")</f>
        <v>0</v>
      </c>
      <c r="J32" s="20">
        <f>IFERROR(GETPIVOTDATA("[Measures].[mNewGIS]",'Pivot Table Cats'!$A$3,"[Range 1].[State]","[Range 1].[State].&amp;[AL]","[Range 1].[Type]","[Range 1].[Type].&amp;[12]")," ")</f>
        <v>0</v>
      </c>
      <c r="K32" s="21">
        <f t="shared" si="6"/>
        <v>0</v>
      </c>
      <c r="L32" s="20">
        <f>IFERROR(GETPIVOTDATA("[Measures].[mOldGOS]",'Pivot Table Cats'!$A$3,"[Range 1].[State]","[Range 1].[State].&amp;[AL]","[Range 1].[Type]","[Range 1].[Type].&amp;[12]")," ")</f>
        <v>0</v>
      </c>
      <c r="M32" s="20">
        <f>IFERROR(GETPIVOTDATA("[Measures].[mNewGOS]",'Pivot Table Cats'!$A$3,"[Range 1].[State]","[Range 1].[State].&amp;[AL]","[Range 1].[Type]","[Range 1].[Type].&amp;[12]")," ")</f>
        <v>0</v>
      </c>
      <c r="N32" s="21">
        <f t="shared" si="7"/>
        <v>0</v>
      </c>
      <c r="O32" s="25"/>
      <c r="P32" s="26"/>
      <c r="Q32" s="27"/>
      <c r="R32" s="25"/>
      <c r="S32" s="26"/>
      <c r="T32" s="27"/>
      <c r="U32" s="25"/>
      <c r="V32" s="26"/>
      <c r="W32" s="27"/>
      <c r="X32" s="25"/>
      <c r="Y32" s="26"/>
      <c r="Z32" s="27"/>
      <c r="AA32" s="25"/>
      <c r="AB32" s="26"/>
      <c r="AC32" s="27"/>
      <c r="AD32" s="25"/>
      <c r="AE32" s="26"/>
      <c r="AF32" s="27"/>
      <c r="AG32" s="25"/>
      <c r="AH32" s="26"/>
      <c r="AI32" s="27"/>
      <c r="AJ32" s="25"/>
      <c r="AK32" s="26"/>
      <c r="AL32" s="27"/>
      <c r="AM32" s="25"/>
      <c r="AN32" s="26"/>
      <c r="AO32" s="27"/>
      <c r="AP32" s="25"/>
      <c r="AQ32" s="26"/>
      <c r="AR32" s="27"/>
      <c r="AS32" s="25"/>
      <c r="AT32" s="26"/>
      <c r="AU32" s="27"/>
      <c r="AV32" s="25"/>
      <c r="AW32" s="26"/>
      <c r="AX32" s="27"/>
      <c r="AY32" s="25"/>
      <c r="AZ32" s="26"/>
      <c r="BA32" s="27"/>
      <c r="BB32" s="25"/>
      <c r="BC32" s="26"/>
      <c r="BD32" s="27"/>
    </row>
    <row r="33" spans="1:56">
      <c r="A33" s="28"/>
      <c r="B33" s="19" t="s">
        <v>557</v>
      </c>
      <c r="C33" s="20">
        <f>IFERROR(GETPIVOTDATA("[Measures].[mOldUGIS]",'Pivot Table Cats'!$A$3,"[Range 1].[State]","[Range 1].[State].&amp;[AL]","[Range 1].[Type]","[Range 1].[Type].&amp;[13]")," ")</f>
        <v>4900</v>
      </c>
      <c r="D33" s="20">
        <f>IFERROR(GETPIVOTDATA("[Measures].[mNewUGIS]",'Pivot Table Cats'!$A$3,"[Range 1].[State]","[Range 1].[State].&amp;[AL]","[Range 1].[Type]","[Range 1].[Type].&amp;[13]")," ")</f>
        <v>4900</v>
      </c>
      <c r="E33" s="21">
        <f t="shared" si="4"/>
        <v>0</v>
      </c>
      <c r="F33" s="20">
        <f>IFERROR(GETPIVOTDATA("[Measures].[mOldUGOS]",'Pivot Table Cats'!$A$3,"[Range 1].[State]","[Range 1].[State].&amp;[AL]","[Range 1].[Type]","[Range 1].[Type].&amp;[13]")," ")</f>
        <v>8820</v>
      </c>
      <c r="G33" s="20">
        <f>IFERROR(GETPIVOTDATA("[Measures].[mNewUGOS]",'Pivot Table Cats'!$A$3,"[Range 1].[State]","[Range 1].[State].&amp;[AL]","[Range 1].[Type]","[Range 1].[Type].&amp;[13]")," ")</f>
        <v>8520</v>
      </c>
      <c r="H33" s="21">
        <f t="shared" si="5"/>
        <v>-3.4013605442176873</v>
      </c>
      <c r="I33" s="20">
        <f>IFERROR(GETPIVOTDATA("[Measures].[mOldGIS]",'Pivot Table Cats'!$A$3,"[Range 1].[State]","[Range 1].[State].&amp;[AL]","[Range 1].[Type]","[Range 1].[Type].&amp;[13]")," ")</f>
        <v>0</v>
      </c>
      <c r="J33" s="20">
        <f>IFERROR(GETPIVOTDATA("[Measures].[mNewGIS]",'Pivot Table Cats'!$A$3,"[Range 1].[State]","[Range 1].[State].&amp;[AL]","[Range 1].[Type]","[Range 1].[Type].&amp;[13]")," ")</f>
        <v>0</v>
      </c>
      <c r="K33" s="21">
        <f t="shared" si="6"/>
        <v>0</v>
      </c>
      <c r="L33" s="20">
        <f>IFERROR(GETPIVOTDATA("[Measures].[mOldGOS]",'Pivot Table Cats'!$A$3,"[Range 1].[State]","[Range 1].[State].&amp;[AL]","[Range 1].[Type]","[Range 1].[Type].&amp;[13]")," ")</f>
        <v>0</v>
      </c>
      <c r="M33" s="20">
        <f>IFERROR(GETPIVOTDATA("[Measures].[mNewGOS]",'Pivot Table Cats'!$A$3,"[Range 1].[State]","[Range 1].[State].&amp;[AL]","[Range 1].[Type]","[Range 1].[Type].&amp;[13]")," ")</f>
        <v>0</v>
      </c>
      <c r="N33" s="21">
        <f t="shared" si="7"/>
        <v>0</v>
      </c>
      <c r="O33" s="25"/>
      <c r="P33" s="26"/>
      <c r="Q33" s="27"/>
      <c r="R33" s="25"/>
      <c r="S33" s="26"/>
      <c r="T33" s="27"/>
      <c r="U33" s="25"/>
      <c r="V33" s="26"/>
      <c r="W33" s="27"/>
      <c r="X33" s="25"/>
      <c r="Y33" s="26"/>
      <c r="Z33" s="27"/>
      <c r="AA33" s="25"/>
      <c r="AB33" s="26"/>
      <c r="AC33" s="27"/>
      <c r="AD33" s="25"/>
      <c r="AE33" s="26"/>
      <c r="AF33" s="27"/>
      <c r="AG33" s="25"/>
      <c r="AH33" s="26"/>
      <c r="AI33" s="27"/>
      <c r="AJ33" s="25"/>
      <c r="AK33" s="26"/>
      <c r="AL33" s="27"/>
      <c r="AM33" s="25"/>
      <c r="AN33" s="26"/>
      <c r="AO33" s="27"/>
      <c r="AP33" s="25"/>
      <c r="AQ33" s="26"/>
      <c r="AR33" s="27"/>
      <c r="AS33" s="25"/>
      <c r="AT33" s="26"/>
      <c r="AU33" s="27"/>
      <c r="AV33" s="25"/>
      <c r="AW33" s="26"/>
      <c r="AX33" s="27"/>
      <c r="AY33" s="25"/>
      <c r="AZ33" s="26"/>
      <c r="BA33" s="27"/>
      <c r="BB33" s="25"/>
      <c r="BC33" s="26"/>
      <c r="BD33" s="27"/>
    </row>
    <row r="34" spans="1:56">
      <c r="A34" s="28"/>
      <c r="B34" s="19" t="s">
        <v>558</v>
      </c>
      <c r="C34" s="20" t="str">
        <f>IFERROR(GETPIVOTDATA("[Measures].[mOldUGIS]",'Pivot Table Cats'!$A$3,"[Range 1].[State]","[Range 1].[State].&amp;[AL]","[Range 1].[Type]","[Range 1].[Type].&amp;[14]")," ")</f>
        <v xml:space="preserve"> </v>
      </c>
      <c r="D34" s="20" t="str">
        <f>IFERROR(GETPIVOTDATA("[Measures].[mNewUGIS]",'Pivot Table Cats'!$A$3,"[Range 1].[State]","[Range 1].[State].&amp;[AL]","[Range 1].[Type]","[Range 1].[Type].&amp;[14]")," ")</f>
        <v xml:space="preserve"> </v>
      </c>
      <c r="E34" s="21" t="str">
        <f t="shared" si="4"/>
        <v xml:space="preserve"> </v>
      </c>
      <c r="F34" s="20" t="str">
        <f>IFERROR(GETPIVOTDATA("[Measures].[mOldUGOS]",'Pivot Table Cats'!$A$3,"[Range 1].[State]","[Range 1].[State].&amp;[AL]","[Range 1].[Type]","[Range 1].[Type].&amp;[14]")," ")</f>
        <v xml:space="preserve"> </v>
      </c>
      <c r="G34" s="20" t="str">
        <f>IFERROR(GETPIVOTDATA("[Measures].[mNewUGOS]",'Pivot Table Cats'!$A$3,"[Range 1].[State]","[Range 1].[State].&amp;[AL]","[Range 1].[Type]","[Range 1].[Type].&amp;[14]")," ")</f>
        <v xml:space="preserve"> </v>
      </c>
      <c r="H34" s="21" t="str">
        <f t="shared" si="5"/>
        <v xml:space="preserve"> </v>
      </c>
      <c r="I34" s="20" t="str">
        <f>IFERROR(GETPIVOTDATA("[Measures].[mOldGIS]",'Pivot Table Cats'!$A$3,"[Range 1].[State]","[Range 1].[State].&amp;[AL]","[Range 1].[Type]","[Range 1].[Type].&amp;[14]")," ")</f>
        <v xml:space="preserve"> </v>
      </c>
      <c r="J34" s="20" t="str">
        <f>IFERROR(GETPIVOTDATA("[Measures].[mNewGIS]",'Pivot Table Cats'!$A$3,"[Range 1].[State]","[Range 1].[State].&amp;[AL]","[Range 1].[Type]","[Range 1].[Type].&amp;[14]")," ")</f>
        <v xml:space="preserve"> </v>
      </c>
      <c r="K34" s="21" t="str">
        <f t="shared" si="6"/>
        <v xml:space="preserve"> </v>
      </c>
      <c r="L34" s="20" t="str">
        <f>IFERROR(GETPIVOTDATA("[Measures].[mOldGOS]",'Pivot Table Cats'!$A$3,"[Range 1].[State]","[Range 1].[State].&amp;[AL]","[Range 1].[Type]","[Range 1].[Type].&amp;[14]")," ")</f>
        <v xml:space="preserve"> </v>
      </c>
      <c r="M34" s="20" t="str">
        <f>IFERROR(GETPIVOTDATA("[Measures].[mNewGOS]",'Pivot Table Cats'!$A$3,"[Range 1].[State]","[Range 1].[State].&amp;[AL]","[Range 1].[Type]","[Range 1].[Type].&amp;[14]")," ")</f>
        <v xml:space="preserve"> </v>
      </c>
      <c r="N34" s="21" t="str">
        <f t="shared" si="7"/>
        <v xml:space="preserve"> </v>
      </c>
      <c r="O34" s="25"/>
      <c r="P34" s="26"/>
      <c r="Q34" s="27"/>
      <c r="R34" s="25"/>
      <c r="S34" s="26"/>
      <c r="T34" s="27"/>
      <c r="U34" s="25"/>
      <c r="V34" s="26"/>
      <c r="W34" s="27"/>
      <c r="X34" s="25"/>
      <c r="Y34" s="26"/>
      <c r="Z34" s="27"/>
      <c r="AA34" s="25"/>
      <c r="AB34" s="26"/>
      <c r="AC34" s="27"/>
      <c r="AD34" s="25"/>
      <c r="AE34" s="26"/>
      <c r="AF34" s="27"/>
      <c r="AG34" s="25"/>
      <c r="AH34" s="26"/>
      <c r="AI34" s="27"/>
      <c r="AJ34" s="25"/>
      <c r="AK34" s="26"/>
      <c r="AL34" s="27"/>
      <c r="AM34" s="25"/>
      <c r="AN34" s="26"/>
      <c r="AO34" s="27"/>
      <c r="AP34" s="25"/>
      <c r="AQ34" s="26"/>
      <c r="AR34" s="27"/>
      <c r="AS34" s="25"/>
      <c r="AT34" s="26"/>
      <c r="AU34" s="27"/>
      <c r="AV34" s="25"/>
      <c r="AW34" s="26"/>
      <c r="AX34" s="27"/>
      <c r="AY34" s="25"/>
      <c r="AZ34" s="26"/>
      <c r="BA34" s="27"/>
      <c r="BB34" s="25"/>
      <c r="BC34" s="26"/>
      <c r="BD34" s="27"/>
    </row>
    <row r="35" spans="1:56" s="49" customFormat="1" ht="20.25" customHeight="1">
      <c r="A35" s="48"/>
      <c r="B35" s="30" t="s">
        <v>559</v>
      </c>
      <c r="C35" s="31">
        <f>GETPIVOTDATA("[Measures].[mOldUGIS]",'Pivot Table Totals'!$A$59,"[Range 1].[State]","[Range 1].[State].&amp;[AL]")</f>
        <v>4865</v>
      </c>
      <c r="D35" s="31">
        <f>GETPIVOTDATA("[Measures].[mNewUGIS]",'Pivot Table Totals'!$A$59,"[Range 1].[State]","[Range 1].[State].&amp;[AL]")</f>
        <v>4865</v>
      </c>
      <c r="E35" s="21">
        <f t="shared" si="4"/>
        <v>0</v>
      </c>
      <c r="F35" s="31">
        <f>GETPIVOTDATA("[Measures].[mOldUGOS]",'Pivot Table Totals'!$A$59,"[Range 1].[State]","[Range 1].[State].&amp;[AL]")</f>
        <v>8790</v>
      </c>
      <c r="G35" s="31">
        <f>GETPIVOTDATA("[Measures].[mNewUGOS]",'Pivot Table Totals'!$A$59,"[Range 1].[State]","[Range 1].[State].&amp;[AL]")</f>
        <v>8490</v>
      </c>
      <c r="H35" s="21">
        <f t="shared" si="5"/>
        <v>-3.4129692832764507</v>
      </c>
      <c r="I35" s="31">
        <f>GETPIVOTDATA("[Measures].[mOldGIS]",'Pivot Table Totals'!$A$59,"[Range 1].[State]","[Range 1].[State].&amp;[AL]")</f>
        <v>0</v>
      </c>
      <c r="J35" s="31">
        <f>GETPIVOTDATA("[Measures].[mNewGIS]",'Pivot Table Totals'!$A$59,"[Range 1].[State]","[Range 1].[State].&amp;[AL]")</f>
        <v>0</v>
      </c>
      <c r="K35" s="21">
        <f t="shared" si="6"/>
        <v>0</v>
      </c>
      <c r="L35" s="31">
        <f>GETPIVOTDATA("[Measures].[mOldGOS]",'Pivot Table Totals'!$A$59,"[Range 1].[State]","[Range 1].[State].&amp;[AL]")</f>
        <v>0</v>
      </c>
      <c r="M35" s="31">
        <f>GETPIVOTDATA("[Measures].[mNewGOS]",'Pivot Table Totals'!$A$59,"[Range 1].[State]","[Range 1].[State].&amp;[AL]")</f>
        <v>0</v>
      </c>
      <c r="N35" s="21">
        <f t="shared" si="7"/>
        <v>0</v>
      </c>
      <c r="O35" s="36"/>
      <c r="P35" s="37"/>
      <c r="Q35" s="38"/>
      <c r="R35" s="36"/>
      <c r="S35" s="37"/>
      <c r="T35" s="38"/>
      <c r="U35" s="36"/>
      <c r="V35" s="37"/>
      <c r="W35" s="38"/>
      <c r="X35" s="36"/>
      <c r="Y35" s="37"/>
      <c r="Z35" s="38"/>
      <c r="AA35" s="36"/>
      <c r="AB35" s="37"/>
      <c r="AC35" s="38"/>
      <c r="AD35" s="36"/>
      <c r="AE35" s="37"/>
      <c r="AF35" s="38"/>
      <c r="AG35" s="36"/>
      <c r="AH35" s="37"/>
      <c r="AI35" s="38"/>
      <c r="AJ35" s="36"/>
      <c r="AK35" s="37"/>
      <c r="AL35" s="38"/>
      <c r="AM35" s="36"/>
      <c r="AN35" s="37"/>
      <c r="AO35" s="38"/>
      <c r="AP35" s="36"/>
      <c r="AQ35" s="37"/>
      <c r="AR35" s="38"/>
      <c r="AS35" s="36"/>
      <c r="AT35" s="37"/>
      <c r="AU35" s="38"/>
      <c r="AV35" s="36"/>
      <c r="AW35" s="37"/>
      <c r="AX35" s="38"/>
      <c r="AY35" s="36"/>
      <c r="AZ35" s="37"/>
      <c r="BA35" s="38"/>
      <c r="BB35" s="36"/>
      <c r="BC35" s="37"/>
      <c r="BD35" s="38"/>
    </row>
    <row r="36" spans="1:56">
      <c r="A36" s="40"/>
      <c r="B36" s="41" t="s">
        <v>560</v>
      </c>
      <c r="C36" s="42"/>
      <c r="D36" s="42"/>
      <c r="E36" s="335"/>
      <c r="F36" s="42"/>
      <c r="G36" s="42"/>
      <c r="H36" s="44"/>
      <c r="I36" s="45"/>
      <c r="J36" s="42"/>
      <c r="K36" s="44"/>
      <c r="L36" s="45"/>
      <c r="M36" s="42"/>
      <c r="N36" s="44"/>
      <c r="O36" s="336">
        <f>IFERROR(GETPIVOTDATA("[Measures].[mOldLawIS]",'Pivot Table Totals'!$A$79,"[Range 1].[State]","[Range 1].[State].&amp;[AL]"), " ")</f>
        <v>23910</v>
      </c>
      <c r="P36" s="42">
        <f>IFERROR(GETPIVOTDATA("[Measures].[mNewLawIS]",'Pivot Table Totals'!$A$79,"[Range 1].[State]","[Range 1].[State].&amp;[AL]"), " ")</f>
        <v>23910</v>
      </c>
      <c r="Q36" s="46">
        <f>IFERROR(IF(O36&gt;0,(((P36-O36)/O36)*100),0), " ")</f>
        <v>0</v>
      </c>
      <c r="R36" s="336">
        <f>IFERROR(GETPIVOTDATA("[Measures].[mOldLawOS]",'Pivot Table Totals'!$A$79,"[Range 1].[State]","[Range 1].[State].&amp;[AL]"), " ")</f>
        <v>43360</v>
      </c>
      <c r="S36" s="336">
        <f>IFERROR(GETPIVOTDATA("[Measures].[mNewLawOS]",'Pivot Table Totals'!$A$79,"[Range 1].[State]","[Range 1].[State].&amp;[AL]"), " ")</f>
        <v>43360</v>
      </c>
      <c r="T36" s="46">
        <f>IFERROR(IF(R36&gt;0,(((S36-R36)/R36)*100),0), " ")</f>
        <v>0</v>
      </c>
      <c r="U36" s="336">
        <f>IFERROR(GETPIVOTDATA("[Measures].[mOldMedIS]",'Pivot Table Totals'!$A$79,"[Range 1].[State]","[Range 1].[State].&amp;[AL]"), " ")</f>
        <v>29702</v>
      </c>
      <c r="V36" s="336">
        <f>IFERROR(GETPIVOTDATA("[Measures].[mNewMedIS]",'Pivot Table Totals'!$A$79,"[Range 1].[State]","[Range 1].[State].&amp;[AL]"), " ")</f>
        <v>29998</v>
      </c>
      <c r="W36" s="46">
        <f>IFERROR(IF(U36&gt;0,(((V36-U36)/U36)*100),0), " ")</f>
        <v>0.99656588781900213</v>
      </c>
      <c r="X36" s="336">
        <f>IFERROR(GETPIVOTDATA("[Measures].[mOldMedOS]",'Pivot Table Totals'!$A$79,"[Range 1].[State]","[Range 1].[State].&amp;[AL]"), " ")</f>
        <v>62714</v>
      </c>
      <c r="Y36" s="336">
        <f>IFERROR(GETPIVOTDATA("[Measures].[mNewMedOS]",'Pivot Table Totals'!$A$79,"[Range 1].[State]","[Range 1].[State].&amp;[AL]"), " ")</f>
        <v>62714</v>
      </c>
      <c r="Z36" s="46">
        <f>IFERROR(IF(X36&gt;0,(((Y36-X36)/X36)*100),0), " ")</f>
        <v>0</v>
      </c>
      <c r="AA36" s="336">
        <f>IFERROR(GETPIVOTDATA("[Measures].[mOldDenIS]",'Pivot Table Totals'!$A$79,"[Range 1].[State]","[Range 1].[State].&amp;[AL]"), " ")</f>
        <v>29484</v>
      </c>
      <c r="AB36" s="336">
        <f>IFERROR(GETPIVOTDATA("[Measures].[mNewDenIS]",'Pivot Table Totals'!$A$79,"[Range 1].[State]","[Range 1].[State].&amp;[AL]"), " ")</f>
        <v>29782</v>
      </c>
      <c r="AC36" s="46">
        <f>IFERROR(IF(AA36&gt;0,(((AB36-AA36)/AA36)*100),0), " ")</f>
        <v>1.010717677384344</v>
      </c>
      <c r="AD36" s="336">
        <f>IFERROR(GETPIVOTDATA("[Measures].[mOldDenOS]",'Pivot Table Totals'!$A$79,"[Range 1].[State]","[Range 1].[State].&amp;[AL]"), " ")</f>
        <v>68726</v>
      </c>
      <c r="AE36" s="336">
        <f>IFERROR(GETPIVOTDATA("[Measures].[mNewDenOS]",'Pivot Table Totals'!$A$79,"[Range 1].[State]","[Range 1].[State].&amp;[AL]"), " ")</f>
        <v>69420</v>
      </c>
      <c r="AF36" s="46">
        <f>IFERROR(IF(AD36&gt;0,(((AE36-AD36)/AD36)*100),0), " ")</f>
        <v>1.0098070599190991</v>
      </c>
      <c r="AG36" s="336">
        <f>IFERROR(GETPIVOTDATA("[Measures].[mOldPhrIS]",'Pivot Table Totals'!$A$79,"[Range 1].[State]","[Range 1].[State].&amp;[AL]"), " ")</f>
        <v>22362</v>
      </c>
      <c r="AH36" s="336">
        <f>IFERROR(GETPIVOTDATA("[Measures].[mNewPhIS]",'Pivot Table Totals'!$A$79,"[Range 1].[State]","[Range 1].[State].&amp;[AL]"), " ")</f>
        <v>22392</v>
      </c>
      <c r="AI36" s="46">
        <f>IFERROR(IF(AG36&gt;0,(((AH36-AG36)/AG36)*100),0), " ")</f>
        <v>0.13415615776764153</v>
      </c>
      <c r="AJ36" s="336">
        <f>IFERROR(GETPIVOTDATA("[Measures].[mOldPhrOS]",'Pivot Table Totals'!$A$79,"[Range 1].[State]","[Range 1].[State].&amp;[AL]"), " ")</f>
        <v>42522</v>
      </c>
      <c r="AK36" s="336">
        <f>IFERROR(GETPIVOTDATA("[Measures].[mNewPhrOS]",'Pivot Table Totals'!$A$79,"[Range 1].[State]","[Range 1].[State].&amp;[AL]"), " ")</f>
        <v>42552</v>
      </c>
      <c r="AL36" s="46">
        <f>IFERROR(IF(AJ36&gt;0,(((AK36-AJ36)/AJ36)*100),0), " ")</f>
        <v>7.0551714406660082E-2</v>
      </c>
      <c r="AM36" s="336">
        <f>IFERROR(GETPIVOTDATA("[Measures].[mOldOptIS]",'Pivot Table Totals'!$A$79,"[Range 1].[State]","[Range 1].[State].&amp;[AL]"), " ")</f>
        <v>27492</v>
      </c>
      <c r="AN36" s="336">
        <f>IFERROR(GETPIVOTDATA("[Measures].[mNewOptIS]",'Pivot Table Totals'!$A$79,"[Range 1].[State]","[Range 1].[State].&amp;[AL]"), " ")</f>
        <v>27858</v>
      </c>
      <c r="AO36" s="46">
        <f>IFERROR(IF(AM36&gt;0,(((AN36-AM36)/AM36)*100),0), " ")</f>
        <v>1.3312963771278918</v>
      </c>
      <c r="AP36" s="336">
        <f>IFERROR(GETPIVOTDATA("[Measures].[mOldOptoS]",'Pivot Table Totals'!$A$79,"[Range 1].[State]","[Range 1].[State].&amp;[AL]"), " ")</f>
        <v>54012</v>
      </c>
      <c r="AQ36" s="336">
        <f>IFERROR(GETPIVOTDATA("[Measures].[mNewOptoS]",'Pivot Table Totals'!$A$79,"[Range 1].[State]","[Range 1].[State].&amp;[AL]"), " ")</f>
        <v>54012</v>
      </c>
      <c r="AR36" s="46">
        <f>IFERROR(IF(AP36&gt;0,(((AQ36-AP36)/AP36)*100),0), " ")</f>
        <v>0</v>
      </c>
      <c r="AS36" s="336">
        <f>IFERROR(GETPIVOTDATA("[Measures].[mOldOstIS]",'Pivot Table Totals'!$A$79,"[Range 1].[State]","[Range 1].[State].&amp;[AL]"), " ")</f>
        <v>0</v>
      </c>
      <c r="AT36" s="336">
        <f>IFERROR(GETPIVOTDATA("[Measures].[mNewOstIS]",'Pivot Table Totals'!$A$79,"[Range 1].[State]","[Range 1].[State].&amp;[AL]"), " ")</f>
        <v>0</v>
      </c>
      <c r="AU36" s="46">
        <f>IFERROR(IF(AS36&gt;0,(((AT36-AS36)/AS36)*100),0), " ")</f>
        <v>0</v>
      </c>
      <c r="AV36" s="336">
        <f>IFERROR(GETPIVOTDATA("[Measures].[mOldOstOS]",'Pivot Table Totals'!$A$79,"[Range 1].[State]","[Range 1].[State].&amp;[AL]"), " ")</f>
        <v>0</v>
      </c>
      <c r="AW36" s="336">
        <f>IFERROR(GETPIVOTDATA("[Measures].[mNewOstOS]",'Pivot Table Totals'!$A$79,"[Range 1].[State]","[Range 1].[State].&amp;[AL]"), " ")</f>
        <v>0</v>
      </c>
      <c r="AX36" s="46">
        <f>IFERROR(IF(AV36&gt;0,(((AW36-AV36)/AV36)*100),0), " ")</f>
        <v>0</v>
      </c>
      <c r="AY36" s="336">
        <f>IFERROR(GETPIVOTDATA("[Measures].[m[OldVetIS]",'Pivot Table Totals'!$A$79,"[Range 1].[State]","[Range 1].[State].&amp;[AL]"), " ")</f>
        <v>24296</v>
      </c>
      <c r="AZ36" s="336">
        <f>IFERROR(GETPIVOTDATA("[Measures].[mNewVetIS]",'Pivot Table Totals'!$A$79,"[Range 1].[State]","[Range 1].[State].&amp;[AL]"), " ")</f>
        <v>24326</v>
      </c>
      <c r="BA36" s="46">
        <f>IFERROR(IF(AY36&gt;0,(((AZ36-AY36)/AY36)*100),0), " ")</f>
        <v>0.12347711557458019</v>
      </c>
      <c r="BB36" s="336">
        <f>IFERROR(GETPIVOTDATA("[Measures].[mOldVetOS]",'Pivot Table Totals'!$A$79,"[Range 1].[State]","[Range 1].[State].&amp;[AL]"), " ")</f>
        <v>50456</v>
      </c>
      <c r="BC36" s="336">
        <f>IFERROR(GETPIVOTDATA("[Measures].[mNewVetOS]",'Pivot Table Totals'!$A$79,"[Range 1].[State]","[Range 1].[State].&amp;[AL]"), " ")</f>
        <v>50486</v>
      </c>
      <c r="BD36" s="46">
        <f>IFERROR(IF(BB36&gt;0,(((BC36-BB36)/BB36)*100),0), " ")</f>
        <v>5.9457745362295866E-2</v>
      </c>
    </row>
    <row r="37" spans="1:56">
      <c r="A37" s="18" t="s">
        <v>87</v>
      </c>
      <c r="B37" s="47" t="s">
        <v>544</v>
      </c>
      <c r="C37" s="20">
        <f>IFERROR(GETPIVOTDATA("[Measures].[mOldUGIS]",'Pivot Table Cats'!$A$3,"[Range 1].[State]","[Range 1].[State].&amp;[AR]","[Range 1].[Type]","[Range 1].[Type].&amp;[1]")," ")</f>
        <v>9385</v>
      </c>
      <c r="D37" s="20">
        <f>IFERROR(GETPIVOTDATA("[Measures].[mNewUGIS]",'Pivot Table Cats'!$A$3,"[Range 1].[State]","[Range 1].[State].&amp;[AR]","[Range 1].[Type]","[Range 1].[Type].&amp;[1]")," ")</f>
        <v>9572</v>
      </c>
      <c r="E37" s="21">
        <f>IFERROR(IF(C37&gt;0,(((D37-C37)/C37)*100),0), " ")</f>
        <v>1.9925412892914225</v>
      </c>
      <c r="F37" s="20">
        <f>IFERROR(GETPIVOTDATA("[Measures].[mOldUGOS]",'Pivot Table Cats'!$A$3,"[Range 1].[State]","[Range 1].[State].&amp;[AR]","[Range 1].[Type]","[Range 1].[Type].&amp;[1]")," ")</f>
        <v>25873</v>
      </c>
      <c r="G37" s="20">
        <f>IFERROR(GETPIVOTDATA("[Measures].[mNewUGOS]",'Pivot Table Cats'!$A$3,"[Range 1].[State]","[Range 1].[State].&amp;[AR]","[Range 1].[Type]","[Range 1].[Type].&amp;[1]")," ")</f>
        <v>26389</v>
      </c>
      <c r="H37" s="21">
        <f>IFERROR(IF(F37&gt;0,(((G37-F37)/F37)*100),0), " ")</f>
        <v>1.9943570517527924</v>
      </c>
      <c r="I37" s="20">
        <f>IFERROR(GETPIVOTDATA("[Measures].[mOldGIS]",'Pivot Table Cats'!$A$3,"[Range 1].[State]","[Range 1].[State].&amp;[AR]","[Range 1].[Type]","[Range 1].[Type].&amp;[1]")," ")</f>
        <v>11789</v>
      </c>
      <c r="J37" s="20">
        <f>IFERROR(GETPIVOTDATA("[Measures].[mNewGIS]",'Pivot Table Cats'!$A$3,"[Range 1].[State]","[Range 1].[State].&amp;[AR]","[Range 1].[Type]","[Range 1].[Type].&amp;[1]")," ")</f>
        <v>12024</v>
      </c>
      <c r="K37" s="21">
        <f>IFERROR(IF(I37&gt;0,(((J37-I37)/I37)*100),0), " ")</f>
        <v>1.9933836627364494</v>
      </c>
      <c r="L37" s="20">
        <f>IFERROR(GETPIVOTDATA("[Measures].[mOldGOS]",'Pivot Table Cats'!$A$3,"[Range 1].[State]","[Range 1].[State].&amp;[AR]","[Range 1].[Type]","[Range 1].[Type].&amp;[1]")," ")</f>
        <v>29494</v>
      </c>
      <c r="M37" s="20">
        <f>IFERROR(GETPIVOTDATA("[Measures].[mNewGOS]",'Pivot Table Cats'!$A$3,"[Range 1].[State]","[Range 1].[State].&amp;[AR]","[Range 1].[Type]","[Range 1].[Type].&amp;[1]")," ")</f>
        <v>30084</v>
      </c>
      <c r="N37" s="21">
        <f>IFERROR(IF(L37&gt;0,(((M37-L37)/L37)*100),0), " ")</f>
        <v>2.0004068624126941</v>
      </c>
      <c r="O37" s="25"/>
      <c r="P37" s="26"/>
      <c r="Q37" s="27"/>
      <c r="R37" s="25"/>
      <c r="S37" s="26"/>
      <c r="T37" s="27"/>
      <c r="U37" s="25"/>
      <c r="V37" s="26"/>
      <c r="W37" s="27"/>
      <c r="X37" s="25"/>
      <c r="Y37" s="26"/>
      <c r="Z37" s="27"/>
      <c r="AA37" s="25"/>
      <c r="AB37" s="26"/>
      <c r="AC37" s="27"/>
      <c r="AD37" s="25"/>
      <c r="AE37" s="26"/>
      <c r="AF37" s="27"/>
      <c r="AG37" s="25"/>
      <c r="AH37" s="26"/>
      <c r="AI37" s="27"/>
      <c r="AJ37" s="25"/>
      <c r="AK37" s="26"/>
      <c r="AL37" s="27"/>
      <c r="AM37" s="25"/>
      <c r="AN37" s="26"/>
      <c r="AO37" s="27"/>
      <c r="AP37" s="25"/>
      <c r="AQ37" s="26"/>
      <c r="AR37" s="27"/>
      <c r="AS37" s="25"/>
      <c r="AT37" s="26"/>
      <c r="AU37" s="27"/>
      <c r="AV37" s="25"/>
      <c r="AW37" s="26"/>
      <c r="AX37" s="27"/>
      <c r="AY37" s="25"/>
      <c r="AZ37" s="26"/>
      <c r="BA37" s="27"/>
      <c r="BB37" s="25"/>
      <c r="BC37" s="26"/>
      <c r="BD37" s="27"/>
    </row>
    <row r="38" spans="1:56">
      <c r="A38" s="28"/>
      <c r="B38" s="19" t="s">
        <v>545</v>
      </c>
      <c r="C38" s="20">
        <f>IFERROR(GETPIVOTDATA("[Measures].[mOldUGIS]",'Pivot Table Cats'!$A$3,"[Range 1].[State]","[Range 1].[State].&amp;[AR]","[Range 1].[Type]","[Range 1].[Type].&amp;[2]")," ")</f>
        <v>9529</v>
      </c>
      <c r="D38" s="20">
        <f>IFERROR(GETPIVOTDATA("[Measures].[mNewUGIS]",'Pivot Table Cats'!$A$3,"[Range 1].[State]","[Range 1].[State].&amp;[AR]","[Range 1].[Type]","[Range 1].[Type].&amp;[2]")," ")</f>
        <v>9529</v>
      </c>
      <c r="E38" s="21">
        <f t="shared" ref="E38:E52" si="8">IFERROR(IF(C38&gt;0,(((D38-C38)/C38)*100),0), " ")</f>
        <v>0</v>
      </c>
      <c r="F38" s="20">
        <f>IFERROR(GETPIVOTDATA("[Measures].[mOldUGOS]",'Pivot Table Cats'!$A$3,"[Range 1].[State]","[Range 1].[State].&amp;[AR]","[Range 1].[Type]","[Range 1].[Type].&amp;[2]")," ")</f>
        <v>21784</v>
      </c>
      <c r="G38" s="20">
        <f>IFERROR(GETPIVOTDATA("[Measures].[mNewUGOS]",'Pivot Table Cats'!$A$3,"[Range 1].[State]","[Range 1].[State].&amp;[AR]","[Range 1].[Type]","[Range 1].[Type].&amp;[2]")," ")</f>
        <v>21784</v>
      </c>
      <c r="H38" s="21">
        <f t="shared" ref="H38:H52" si="9">IFERROR(IF(F38&gt;0,(((G38-F38)/F38)*100),0), " ")</f>
        <v>0</v>
      </c>
      <c r="I38" s="20">
        <f>IFERROR(GETPIVOTDATA("[Measures].[mOldGIS]",'Pivot Table Cats'!$A$3,"[Range 1].[State]","[Range 1].[State].&amp;[AR]","[Range 1].[Type]","[Range 1].[Type].&amp;[2]")," ")</f>
        <v>10119</v>
      </c>
      <c r="J38" s="20">
        <f>IFERROR(GETPIVOTDATA("[Measures].[mNewGIS]",'Pivot Table Cats'!$A$3,"[Range 1].[State]","[Range 1].[State].&amp;[AR]","[Range 1].[Type]","[Range 1].[Type].&amp;[2]")," ")</f>
        <v>10119</v>
      </c>
      <c r="K38" s="21">
        <f t="shared" ref="K38:K52" si="10">IFERROR(IF(I38&gt;0,(((J38-I38)/I38)*100),0), " ")</f>
        <v>0</v>
      </c>
      <c r="L38" s="20">
        <f>IFERROR(GETPIVOTDATA("[Measures].[mOldGOS]",'Pivot Table Cats'!$A$3,"[Range 1].[State]","[Range 1].[State].&amp;[AR]","[Range 1].[Type]","[Range 1].[Type].&amp;[2]")," ")</f>
        <v>19839</v>
      </c>
      <c r="M38" s="20">
        <f>IFERROR(GETPIVOTDATA("[Measures].[mNewGOS]",'Pivot Table Cats'!$A$3,"[Range 1].[State]","[Range 1].[State].&amp;[AR]","[Range 1].[Type]","[Range 1].[Type].&amp;[2]")," ")</f>
        <v>19839</v>
      </c>
      <c r="N38" s="21">
        <f t="shared" ref="N38:N52" si="11">IFERROR(IF(L38&gt;0,(((M38-L38)/L38)*100),0), " ")</f>
        <v>0</v>
      </c>
      <c r="O38" s="25"/>
      <c r="P38" s="26"/>
      <c r="Q38" s="27"/>
      <c r="R38" s="25"/>
      <c r="S38" s="26"/>
      <c r="T38" s="27"/>
      <c r="U38" s="25"/>
      <c r="V38" s="26"/>
      <c r="W38" s="27"/>
      <c r="X38" s="25"/>
      <c r="Y38" s="26"/>
      <c r="Z38" s="27"/>
      <c r="AA38" s="25"/>
      <c r="AB38" s="26"/>
      <c r="AC38" s="27"/>
      <c r="AD38" s="25"/>
      <c r="AE38" s="26"/>
      <c r="AF38" s="27"/>
      <c r="AG38" s="25"/>
      <c r="AH38" s="26"/>
      <c r="AI38" s="27"/>
      <c r="AJ38" s="25"/>
      <c r="AK38" s="26"/>
      <c r="AL38" s="27"/>
      <c r="AM38" s="25"/>
      <c r="AN38" s="26"/>
      <c r="AO38" s="27"/>
      <c r="AP38" s="25"/>
      <c r="AQ38" s="26"/>
      <c r="AR38" s="27"/>
      <c r="AS38" s="25"/>
      <c r="AT38" s="26"/>
      <c r="AU38" s="27"/>
      <c r="AV38" s="25"/>
      <c r="AW38" s="26"/>
      <c r="AX38" s="27"/>
      <c r="AY38" s="25"/>
      <c r="AZ38" s="26"/>
      <c r="BA38" s="27"/>
      <c r="BB38" s="25"/>
      <c r="BC38" s="26"/>
      <c r="BD38" s="27"/>
    </row>
    <row r="39" spans="1:56">
      <c r="A39" s="28"/>
      <c r="B39" s="19" t="s">
        <v>546</v>
      </c>
      <c r="C39" s="20">
        <f>IFERROR(GETPIVOTDATA("[Measures].[mOldUGIS]",'Pivot Table Cats'!$A$3,"[Range 1].[State]","[Range 1].[State].&amp;[AR]","[Range 1].[Type]","[Range 1].[Type].&amp;[3]")," ")</f>
        <v>9188</v>
      </c>
      <c r="D39" s="20">
        <f>IFERROR(GETPIVOTDATA("[Measures].[mNewUGIS]",'Pivot Table Cats'!$A$3,"[Range 1].[State]","[Range 1].[State].&amp;[AR]","[Range 1].[Type]","[Range 1].[Type].&amp;[3]")," ")</f>
        <v>9539</v>
      </c>
      <c r="E39" s="21">
        <f t="shared" si="8"/>
        <v>3.8202002612102741</v>
      </c>
      <c r="F39" s="20">
        <f>IFERROR(GETPIVOTDATA("[Measures].[mOldUGOS]",'Pivot Table Cats'!$A$3,"[Range 1].[State]","[Range 1].[State].&amp;[AR]","[Range 1].[Type]","[Range 1].[Type].&amp;[3]")," ")</f>
        <v>15998</v>
      </c>
      <c r="G39" s="20">
        <f>IFERROR(GETPIVOTDATA("[Measures].[mNewUGOS]",'Pivot Table Cats'!$A$3,"[Range 1].[State]","[Range 1].[State].&amp;[AR]","[Range 1].[Type]","[Range 1].[Type].&amp;[3]")," ")</f>
        <v>16433</v>
      </c>
      <c r="H39" s="21">
        <f t="shared" si="9"/>
        <v>2.7190898862357793</v>
      </c>
      <c r="I39" s="20">
        <f>IFERROR(GETPIVOTDATA("[Measures].[mOldGIS]",'Pivot Table Cats'!$A$3,"[Range 1].[State]","[Range 1].[State].&amp;[AR]","[Range 1].[Type]","[Range 1].[Type].&amp;[3]")," ")</f>
        <v>8633</v>
      </c>
      <c r="J39" s="20">
        <f>IFERROR(GETPIVOTDATA("[Measures].[mNewGIS]",'Pivot Table Cats'!$A$3,"[Range 1].[State]","[Range 1].[State].&amp;[AR]","[Range 1].[Type]","[Range 1].[Type].&amp;[3]")," ")</f>
        <v>8944</v>
      </c>
      <c r="K39" s="21">
        <f t="shared" si="10"/>
        <v>3.6024556932700103</v>
      </c>
      <c r="L39" s="20">
        <f>IFERROR(GETPIVOTDATA("[Measures].[mOldGOS]",'Pivot Table Cats'!$A$3,"[Range 1].[State]","[Range 1].[State].&amp;[AR]","[Range 1].[Type]","[Range 1].[Type].&amp;[3]")," ")</f>
        <v>15324</v>
      </c>
      <c r="M39" s="20">
        <f>IFERROR(GETPIVOTDATA("[Measures].[mNewGOS]",'Pivot Table Cats'!$A$3,"[Range 1].[State]","[Range 1].[State].&amp;[AR]","[Range 1].[Type]","[Range 1].[Type].&amp;[3]")," ")</f>
        <v>15694</v>
      </c>
      <c r="N39" s="21">
        <f t="shared" si="11"/>
        <v>2.4145131819368308</v>
      </c>
      <c r="O39" s="25"/>
      <c r="P39" s="26"/>
      <c r="Q39" s="27"/>
      <c r="R39" s="25"/>
      <c r="S39" s="26"/>
      <c r="T39" s="27"/>
      <c r="U39" s="25"/>
      <c r="V39" s="26"/>
      <c r="W39" s="27"/>
      <c r="X39" s="25"/>
      <c r="Y39" s="26"/>
      <c r="Z39" s="27"/>
      <c r="AA39" s="25"/>
      <c r="AB39" s="26"/>
      <c r="AC39" s="27"/>
      <c r="AD39" s="25"/>
      <c r="AE39" s="26"/>
      <c r="AF39" s="27"/>
      <c r="AG39" s="25"/>
      <c r="AH39" s="26"/>
      <c r="AI39" s="27"/>
      <c r="AJ39" s="25"/>
      <c r="AK39" s="26"/>
      <c r="AL39" s="27"/>
      <c r="AM39" s="25"/>
      <c r="AN39" s="26"/>
      <c r="AO39" s="27"/>
      <c r="AP39" s="25"/>
      <c r="AQ39" s="26"/>
      <c r="AR39" s="27"/>
      <c r="AS39" s="25"/>
      <c r="AT39" s="26"/>
      <c r="AU39" s="27"/>
      <c r="AV39" s="25"/>
      <c r="AW39" s="26"/>
      <c r="AX39" s="27"/>
      <c r="AY39" s="25"/>
      <c r="AZ39" s="26"/>
      <c r="BA39" s="27"/>
      <c r="BB39" s="25"/>
      <c r="BC39" s="26"/>
      <c r="BD39" s="27"/>
    </row>
    <row r="40" spans="1:56">
      <c r="A40" s="28"/>
      <c r="B40" s="19" t="s">
        <v>547</v>
      </c>
      <c r="C40" s="20">
        <f>IFERROR(GETPIVOTDATA("[Measures].[mOldUGIS]",'Pivot Table Cats'!$A$3,"[Range 1].[State]","[Range 1].[State].&amp;[AR]","[Range 1].[Type]","[Range 1].[Type].&amp;[4]")," ")</f>
        <v>8811</v>
      </c>
      <c r="D40" s="20">
        <f>IFERROR(GETPIVOTDATA("[Measures].[mNewUGIS]",'Pivot Table Cats'!$A$3,"[Range 1].[State]","[Range 1].[State].&amp;[AR]","[Range 1].[Type]","[Range 1].[Type].&amp;[4]")," ")</f>
        <v>9310</v>
      </c>
      <c r="E40" s="21">
        <f t="shared" si="8"/>
        <v>5.6633753262966744</v>
      </c>
      <c r="F40" s="20">
        <f>IFERROR(GETPIVOTDATA("[Measures].[mOldUGOS]",'Pivot Table Cats'!$A$3,"[Range 1].[State]","[Range 1].[State].&amp;[AR]","[Range 1].[Type]","[Range 1].[Type].&amp;[4]")," ")</f>
        <v>13480</v>
      </c>
      <c r="G40" s="20">
        <f>IFERROR(GETPIVOTDATA("[Measures].[mNewUGOS]",'Pivot Table Cats'!$A$3,"[Range 1].[State]","[Range 1].[State].&amp;[AR]","[Range 1].[Type]","[Range 1].[Type].&amp;[4]")," ")</f>
        <v>13879</v>
      </c>
      <c r="H40" s="21">
        <f t="shared" si="9"/>
        <v>2.9599406528189909</v>
      </c>
      <c r="I40" s="20">
        <f>IFERROR(GETPIVOTDATA("[Measures].[mOldGIS]",'Pivot Table Cats'!$A$3,"[Range 1].[State]","[Range 1].[State].&amp;[AR]","[Range 1].[Type]","[Range 1].[Type].&amp;[4]")," ")</f>
        <v>8766</v>
      </c>
      <c r="J40" s="20">
        <f>IFERROR(GETPIVOTDATA("[Measures].[mNewGIS]",'Pivot Table Cats'!$A$3,"[Range 1].[State]","[Range 1].[State].&amp;[AR]","[Range 1].[Type]","[Range 1].[Type].&amp;[4]")," ")</f>
        <v>9223</v>
      </c>
      <c r="K40" s="21">
        <f t="shared" si="10"/>
        <v>5.2133242071640424</v>
      </c>
      <c r="L40" s="20">
        <f>IFERROR(GETPIVOTDATA("[Measures].[mOldGOS]",'Pivot Table Cats'!$A$3,"[Range 1].[State]","[Range 1].[State].&amp;[AR]","[Range 1].[Type]","[Range 1].[Type].&amp;[4]")," ")</f>
        <v>12606</v>
      </c>
      <c r="M40" s="20">
        <f>IFERROR(GETPIVOTDATA("[Measures].[mNewGOS]",'Pivot Table Cats'!$A$3,"[Range 1].[State]","[Range 1].[State].&amp;[AR]","[Range 1].[Type]","[Range 1].[Type].&amp;[4]")," ")</f>
        <v>13176</v>
      </c>
      <c r="N40" s="21">
        <f t="shared" si="11"/>
        <v>4.5216563541170878</v>
      </c>
      <c r="O40" s="25"/>
      <c r="P40" s="26"/>
      <c r="Q40" s="27"/>
      <c r="R40" s="25"/>
      <c r="S40" s="26"/>
      <c r="T40" s="27"/>
      <c r="U40" s="25"/>
      <c r="V40" s="26"/>
      <c r="W40" s="27"/>
      <c r="X40" s="25"/>
      <c r="Y40" s="26"/>
      <c r="Z40" s="27"/>
      <c r="AA40" s="25"/>
      <c r="AB40" s="26"/>
      <c r="AC40" s="27"/>
      <c r="AD40" s="25"/>
      <c r="AE40" s="26"/>
      <c r="AF40" s="27"/>
      <c r="AG40" s="25"/>
      <c r="AH40" s="26"/>
      <c r="AI40" s="27"/>
      <c r="AJ40" s="25"/>
      <c r="AK40" s="26"/>
      <c r="AL40" s="27"/>
      <c r="AM40" s="25"/>
      <c r="AN40" s="26"/>
      <c r="AO40" s="27"/>
      <c r="AP40" s="25"/>
      <c r="AQ40" s="26"/>
      <c r="AR40" s="27"/>
      <c r="AS40" s="25"/>
      <c r="AT40" s="26"/>
      <c r="AU40" s="27"/>
      <c r="AV40" s="25"/>
      <c r="AW40" s="26"/>
      <c r="AX40" s="27"/>
      <c r="AY40" s="25"/>
      <c r="AZ40" s="26"/>
      <c r="BA40" s="27"/>
      <c r="BB40" s="25"/>
      <c r="BC40" s="26"/>
      <c r="BD40" s="27"/>
    </row>
    <row r="41" spans="1:56">
      <c r="A41" s="28"/>
      <c r="B41" s="19" t="s">
        <v>548</v>
      </c>
      <c r="C41" s="20" t="str">
        <f>IFERROR(GETPIVOTDATA("[Measures].[mOldUGIS]",'Pivot Table Cats'!$A$3,"[Range 1].[State]","[Range 1].[State].&amp;[AR]","[Range 1].[Type]","[Range 1].[Type].&amp;[5]")," ")</f>
        <v xml:space="preserve"> </v>
      </c>
      <c r="D41" s="20" t="str">
        <f>IFERROR(GETPIVOTDATA("[Measures].[mNewUGIS]",'Pivot Table Cats'!$A$3,"[Range 1].[State]","[Range 1].[State].&amp;[AR]","[Range 1].[Type]","[Range 1].[Type].&amp;[5]")," ")</f>
        <v xml:space="preserve"> </v>
      </c>
      <c r="E41" s="21" t="str">
        <f t="shared" si="8"/>
        <v xml:space="preserve"> </v>
      </c>
      <c r="F41" s="20" t="str">
        <f>IFERROR(GETPIVOTDATA("[Measures].[mOldUGOS]",'Pivot Table Cats'!$A$3,"[Range 1].[State]","[Range 1].[State].&amp;[AR]","[Range 1].[Type]","[Range 1].[Type].&amp;[5]")," ")</f>
        <v xml:space="preserve"> </v>
      </c>
      <c r="G41" s="20" t="str">
        <f>IFERROR(GETPIVOTDATA("[Measures].[mNewUGOS]",'Pivot Table Cats'!$A$3,"[Range 1].[State]","[Range 1].[State].&amp;[AR]","[Range 1].[Type]","[Range 1].[Type].&amp;[5]")," ")</f>
        <v xml:space="preserve"> </v>
      </c>
      <c r="H41" s="21" t="str">
        <f t="shared" si="9"/>
        <v xml:space="preserve"> </v>
      </c>
      <c r="I41" s="20" t="str">
        <f>IFERROR(GETPIVOTDATA("[Measures].[mOldGIS]",'Pivot Table Cats'!$A$3,"[Range 1].[State]","[Range 1].[State].&amp;[AR]","[Range 1].[Type]","[Range 1].[Type].&amp;[5]")," ")</f>
        <v xml:space="preserve"> </v>
      </c>
      <c r="J41" s="20" t="str">
        <f>IFERROR(GETPIVOTDATA("[Measures].[mNewGIS]",'Pivot Table Cats'!$A$3,"[Range 1].[State]","[Range 1].[State].&amp;[AR]","[Range 1].[Type]","[Range 1].[Type].&amp;[5]")," ")</f>
        <v xml:space="preserve"> </v>
      </c>
      <c r="K41" s="21" t="str">
        <f t="shared" si="10"/>
        <v xml:space="preserve"> </v>
      </c>
      <c r="L41" s="20" t="str">
        <f>IFERROR(GETPIVOTDATA("[Measures].[mOldGOS]",'Pivot Table Cats'!$A$3,"[Range 1].[State]","[Range 1].[State].&amp;[AR]","[Range 1].[Type]","[Range 1].[Type].&amp;[5]")," ")</f>
        <v xml:space="preserve"> </v>
      </c>
      <c r="M41" s="20" t="str">
        <f>IFERROR(GETPIVOTDATA("[Measures].[mNewGOS]",'Pivot Table Cats'!$A$3,"[Range 1].[State]","[Range 1].[State].&amp;[AR]","[Range 1].[Type]","[Range 1].[Type].&amp;[5]")," ")</f>
        <v xml:space="preserve"> </v>
      </c>
      <c r="N41" s="21" t="str">
        <f t="shared" si="11"/>
        <v xml:space="preserve"> </v>
      </c>
      <c r="O41" s="25"/>
      <c r="P41" s="26"/>
      <c r="Q41" s="27"/>
      <c r="R41" s="25"/>
      <c r="S41" s="26"/>
      <c r="T41" s="27"/>
      <c r="U41" s="25"/>
      <c r="V41" s="26"/>
      <c r="W41" s="27"/>
      <c r="X41" s="25"/>
      <c r="Y41" s="26"/>
      <c r="Z41" s="27"/>
      <c r="AA41" s="25"/>
      <c r="AB41" s="26"/>
      <c r="AC41" s="27"/>
      <c r="AD41" s="25"/>
      <c r="AE41" s="26"/>
      <c r="AF41" s="27"/>
      <c r="AG41" s="25"/>
      <c r="AH41" s="26"/>
      <c r="AI41" s="27"/>
      <c r="AJ41" s="25"/>
      <c r="AK41" s="26"/>
      <c r="AL41" s="27"/>
      <c r="AM41" s="25"/>
      <c r="AN41" s="26"/>
      <c r="AO41" s="27"/>
      <c r="AP41" s="25"/>
      <c r="AQ41" s="26"/>
      <c r="AR41" s="27"/>
      <c r="AS41" s="25"/>
      <c r="AT41" s="26"/>
      <c r="AU41" s="27"/>
      <c r="AV41" s="25"/>
      <c r="AW41" s="26"/>
      <c r="AX41" s="27"/>
      <c r="AY41" s="25"/>
      <c r="AZ41" s="26"/>
      <c r="BA41" s="27"/>
      <c r="BB41" s="25"/>
      <c r="BC41" s="26"/>
      <c r="BD41" s="27"/>
    </row>
    <row r="42" spans="1:56">
      <c r="A42" s="28"/>
      <c r="B42" s="19" t="s">
        <v>549</v>
      </c>
      <c r="C42" s="20">
        <f>IFERROR(GETPIVOTDATA("[Measures].[mOldUGIS]",'Pivot Table Cats'!$A$3,"[Range 1].[State]","[Range 1].[State].&amp;[AR]","[Range 1].[Type]","[Range 1].[Type].&amp;[6]")," ")</f>
        <v>7701.5</v>
      </c>
      <c r="D42" s="20">
        <f>IFERROR(GETPIVOTDATA("[Measures].[mNewUGIS]",'Pivot Table Cats'!$A$3,"[Range 1].[State]","[Range 1].[State].&amp;[AR]","[Range 1].[Type]","[Range 1].[Type].&amp;[6]")," ")</f>
        <v>7701.5</v>
      </c>
      <c r="E42" s="21">
        <f t="shared" si="8"/>
        <v>0</v>
      </c>
      <c r="F42" s="20">
        <f>IFERROR(GETPIVOTDATA("[Measures].[mOldUGOS]",'Pivot Table Cats'!$A$3,"[Range 1].[State]","[Range 1].[State].&amp;[AR]","[Range 1].[Type]","[Range 1].[Type].&amp;[6]")," ")</f>
        <v>15501.5</v>
      </c>
      <c r="G42" s="20">
        <f>IFERROR(GETPIVOTDATA("[Measures].[mNewUGOS]",'Pivot Table Cats'!$A$3,"[Range 1].[State]","[Range 1].[State].&amp;[AR]","[Range 1].[Type]","[Range 1].[Type].&amp;[6]")," ")</f>
        <v>15501.5</v>
      </c>
      <c r="H42" s="21">
        <f t="shared" si="9"/>
        <v>0</v>
      </c>
      <c r="I42" s="20">
        <f>IFERROR(GETPIVOTDATA("[Measures].[mOldGIS]",'Pivot Table Cats'!$A$3,"[Range 1].[State]","[Range 1].[State].&amp;[AR]","[Range 1].[Type]","[Range 1].[Type].&amp;[6]")," ")</f>
        <v>8838</v>
      </c>
      <c r="J42" s="20">
        <f>IFERROR(GETPIVOTDATA("[Measures].[mNewGIS]",'Pivot Table Cats'!$A$3,"[Range 1].[State]","[Range 1].[State].&amp;[AR]","[Range 1].[Type]","[Range 1].[Type].&amp;[6]")," ")</f>
        <v>8838</v>
      </c>
      <c r="K42" s="21">
        <f t="shared" si="10"/>
        <v>0</v>
      </c>
      <c r="L42" s="20">
        <f>IFERROR(GETPIVOTDATA("[Measures].[mOldGOS]",'Pivot Table Cats'!$A$3,"[Range 1].[State]","[Range 1].[State].&amp;[AR]","[Range 1].[Type]","[Range 1].[Type].&amp;[6]")," ")</f>
        <v>14994</v>
      </c>
      <c r="M42" s="20">
        <f>IFERROR(GETPIVOTDATA("[Measures].[mNewGOS]",'Pivot Table Cats'!$A$3,"[Range 1].[State]","[Range 1].[State].&amp;[AR]","[Range 1].[Type]","[Range 1].[Type].&amp;[6]")," ")</f>
        <v>14994</v>
      </c>
      <c r="N42" s="21">
        <f t="shared" si="11"/>
        <v>0</v>
      </c>
      <c r="O42" s="25"/>
      <c r="P42" s="26"/>
      <c r="Q42" s="27"/>
      <c r="R42" s="25"/>
      <c r="S42" s="26"/>
      <c r="T42" s="27"/>
      <c r="U42" s="25"/>
      <c r="V42" s="26"/>
      <c r="W42" s="27"/>
      <c r="X42" s="25"/>
      <c r="Y42" s="26"/>
      <c r="Z42" s="27"/>
      <c r="AA42" s="25"/>
      <c r="AB42" s="26"/>
      <c r="AC42" s="27"/>
      <c r="AD42" s="25"/>
      <c r="AE42" s="26"/>
      <c r="AF42" s="27"/>
      <c r="AG42" s="25"/>
      <c r="AH42" s="26"/>
      <c r="AI42" s="27"/>
      <c r="AJ42" s="25"/>
      <c r="AK42" s="26"/>
      <c r="AL42" s="27"/>
      <c r="AM42" s="25"/>
      <c r="AN42" s="26"/>
      <c r="AO42" s="27"/>
      <c r="AP42" s="25"/>
      <c r="AQ42" s="26"/>
      <c r="AR42" s="27"/>
      <c r="AS42" s="25"/>
      <c r="AT42" s="26"/>
      <c r="AU42" s="27"/>
      <c r="AV42" s="25"/>
      <c r="AW42" s="26"/>
      <c r="AX42" s="27"/>
      <c r="AY42" s="25"/>
      <c r="AZ42" s="26"/>
      <c r="BA42" s="27"/>
      <c r="BB42" s="25"/>
      <c r="BC42" s="26"/>
      <c r="BD42" s="27"/>
    </row>
    <row r="43" spans="1:56" s="39" customFormat="1" ht="19.5" customHeight="1">
      <c r="A43" s="29"/>
      <c r="B43" s="30" t="s">
        <v>550</v>
      </c>
      <c r="C43" s="31">
        <f>IFERROR(GETPIVOTDATA("[Measures].[mOldUGIS]",'Pivot Table Totals'!$A$4,"[Range 1].[State]","[Range 1].[State].&amp;[AR]"), " ")</f>
        <v>8940</v>
      </c>
      <c r="D43" s="31">
        <f>IFERROR(GETPIVOTDATA("[Measures].[mNewUGIS]",'Pivot Table Totals'!$A$4,"[Range 1].[State]","[Range 1].[State].&amp;[AR]"), " ")</f>
        <v>9380</v>
      </c>
      <c r="E43" s="21">
        <f t="shared" si="8"/>
        <v>4.9217002237136462</v>
      </c>
      <c r="F43" s="31">
        <f>IFERROR(GETPIVOTDATA("[Measures].[mOldUGOS]",'Pivot Table Totals'!$A$4,"[Range 1].[State]","[Range 1].[State].&amp;[AR]"), " ")</f>
        <v>15929</v>
      </c>
      <c r="G43" s="31">
        <f>IFERROR(GETPIVOTDATA("[Measures].[mNewUGOS]",'Pivot Table Totals'!$A$4,"[Range 1].[State]","[Range 1].[State].&amp;[AR]"), " ")</f>
        <v>16144.5</v>
      </c>
      <c r="H43" s="21">
        <f t="shared" si="9"/>
        <v>1.3528783978906398</v>
      </c>
      <c r="I43" s="31">
        <f>IFERROR(GETPIVOTDATA("[Measures].[mOldGIS]",'Pivot Table Totals'!$A$4,"[Range 1].[State]","[Range 1].[State].&amp;[AR]"), " ")</f>
        <v>8805</v>
      </c>
      <c r="J43" s="31">
        <f>IFERROR(GETPIVOTDATA("[Measures].[mNewGIS]",'Pivot Table Totals'!$A$4,"[Range 1].[State]","[Range 1].[State].&amp;[AR]"), " ")</f>
        <v>9207.5</v>
      </c>
      <c r="K43" s="21">
        <f t="shared" si="10"/>
        <v>4.5712663259511643</v>
      </c>
      <c r="L43" s="31">
        <f>IFERROR(GETPIVOTDATA("[Measures].[mOldGOS]",'Pivot Table Totals'!$A$4,"[Range 1].[State]","[Range 1].[State].&amp;[AR]"), " ")</f>
        <v>15259</v>
      </c>
      <c r="M43" s="31">
        <f>IFERROR(GETPIVOTDATA("[Measures].[mNewGOS]",'Pivot Table Totals'!$A$4,"[Range 1].[State]","[Range 1].[State].&amp;[AR]"), " ")</f>
        <v>15444</v>
      </c>
      <c r="N43" s="21">
        <f>IFERROR(IF(L43&gt;0,(((M43-L43)/L43)*100),0), "  ")</f>
        <v>1.2123992397929091</v>
      </c>
      <c r="O43" s="36"/>
      <c r="P43" s="37"/>
      <c r="Q43" s="38"/>
      <c r="R43" s="36"/>
      <c r="S43" s="37"/>
      <c r="T43" s="38"/>
      <c r="U43" s="36"/>
      <c r="V43" s="37"/>
      <c r="W43" s="38"/>
      <c r="X43" s="36"/>
      <c r="Y43" s="37"/>
      <c r="Z43" s="38"/>
      <c r="AA43" s="36"/>
      <c r="AB43" s="37"/>
      <c r="AC43" s="38"/>
      <c r="AD43" s="36"/>
      <c r="AE43" s="37"/>
      <c r="AF43" s="38"/>
      <c r="AG43" s="36"/>
      <c r="AH43" s="37"/>
      <c r="AI43" s="38"/>
      <c r="AJ43" s="36"/>
      <c r="AK43" s="37"/>
      <c r="AL43" s="38"/>
      <c r="AM43" s="36"/>
      <c r="AN43" s="37"/>
      <c r="AO43" s="38"/>
      <c r="AP43" s="36"/>
      <c r="AQ43" s="37"/>
      <c r="AR43" s="38"/>
      <c r="AS43" s="36"/>
      <c r="AT43" s="37"/>
      <c r="AU43" s="38"/>
      <c r="AV43" s="36"/>
      <c r="AW43" s="37"/>
      <c r="AX43" s="38"/>
      <c r="AY43" s="36"/>
      <c r="AZ43" s="37"/>
      <c r="BA43" s="38"/>
      <c r="BB43" s="36"/>
      <c r="BC43" s="37"/>
      <c r="BD43" s="38"/>
    </row>
    <row r="44" spans="1:56">
      <c r="A44" s="28"/>
      <c r="B44" s="19" t="s">
        <v>551</v>
      </c>
      <c r="C44" s="20" t="str">
        <f>IFERROR(GETPIVOTDATA("[Measures].[mOldUGIS]",'Pivot Table Cats'!$A$3,"[Range 1].[State]","[Range 1].[State].&amp;[AR]","[Range 1].[Type]","[Range 1].[Type].&amp;[7]")," ")</f>
        <v xml:space="preserve"> </v>
      </c>
      <c r="D44" s="20" t="str">
        <f>IFERROR(GETPIVOTDATA("[Measures].[mNewUGIS]",'Pivot Table Cats'!$A$3,"[Range 1].[State]","[Range 1].[State].&amp;[AR]","[Range 1].[Type]","[Range 1].[Type].&amp;[7]")," ")</f>
        <v xml:space="preserve"> </v>
      </c>
      <c r="E44" s="21" t="str">
        <f t="shared" si="8"/>
        <v xml:space="preserve"> </v>
      </c>
      <c r="F44" s="20" t="str">
        <f>IFERROR(GETPIVOTDATA("[Measures].[mOldUGIS]",'Pivot Table Cats'!$A$3,"[Range 1].[State]","[Range 1].[State].&amp;[AR]","[Range 1].[Type]","[Range 1].[Type].&amp;[7]")," ")</f>
        <v xml:space="preserve"> </v>
      </c>
      <c r="G44" s="20" t="str">
        <f>IFERROR(GETPIVOTDATA("[Measures].[mNewUGIS]",'Pivot Table Cats'!$A$3,"[Range 1].[State]","[Range 1].[State].&amp;[AR]","[Range 1].[Type]","[Range 1].[Type].&amp;[7]")," ")</f>
        <v xml:space="preserve"> </v>
      </c>
      <c r="H44" s="21" t="str">
        <f t="shared" si="9"/>
        <v xml:space="preserve"> </v>
      </c>
      <c r="I44" s="20" t="str">
        <f>IFERROR(GETPIVOTDATA("[Measures].[mOldGIS]",'Pivot Table Cats'!$A$3,"[Range 1].[State]","[Range 1].[State].&amp;[AR]","[Range 1].[Type]","[Range 1].[Type].&amp;[7]")," ")</f>
        <v xml:space="preserve"> </v>
      </c>
      <c r="J44" s="20" t="str">
        <f>IFERROR(GETPIVOTDATA("[Measures].[mNewGIS]",'Pivot Table Cats'!$A$3,"[Range 1].[State]","[Range 1].[State].&amp;[AR]","[Range 1].[Type]","[Range 1].[Type].&amp;[7]")," ")</f>
        <v xml:space="preserve"> </v>
      </c>
      <c r="K44" s="21" t="str">
        <f t="shared" si="10"/>
        <v xml:space="preserve"> </v>
      </c>
      <c r="L44" s="20" t="str">
        <f>IFERROR(GETPIVOTDATA("[Measures].[mOldGIS]",'Pivot Table Cats'!$A$3,"[Range 1].[State]","[Range 1].[State].&amp;[AR]","[Range 1].[Type]","[Range 1].[Type].&amp;[7]")," ")</f>
        <v xml:space="preserve"> </v>
      </c>
      <c r="M44" s="20" t="str">
        <f>IFERROR(GETPIVOTDATA("[Measures].[mNewGIS]",'Pivot Table Cats'!$A$3,"[Range 1].[State]","[Range 1].[State].&amp;[AR]","[Range 1].[Type]","[Range 1].[Type].&amp;[7]")," ")</f>
        <v xml:space="preserve"> </v>
      </c>
      <c r="N44" s="21" t="str">
        <f t="shared" si="11"/>
        <v xml:space="preserve"> </v>
      </c>
      <c r="O44" s="25"/>
      <c r="P44" s="26"/>
      <c r="Q44" s="27"/>
      <c r="R44" s="25"/>
      <c r="S44" s="26"/>
      <c r="T44" s="27"/>
      <c r="U44" s="25"/>
      <c r="V44" s="26"/>
      <c r="W44" s="27"/>
      <c r="X44" s="25"/>
      <c r="Y44" s="26"/>
      <c r="Z44" s="27"/>
      <c r="AA44" s="25"/>
      <c r="AB44" s="26"/>
      <c r="AC44" s="27"/>
      <c r="AD44" s="25"/>
      <c r="AE44" s="26"/>
      <c r="AF44" s="27"/>
      <c r="AG44" s="25"/>
      <c r="AH44" s="26"/>
      <c r="AI44" s="27"/>
      <c r="AJ44" s="25"/>
      <c r="AK44" s="26"/>
      <c r="AL44" s="27"/>
      <c r="AM44" s="25"/>
      <c r="AN44" s="26"/>
      <c r="AO44" s="27"/>
      <c r="AP44" s="25"/>
      <c r="AQ44" s="26"/>
      <c r="AR44" s="27"/>
      <c r="AS44" s="25"/>
      <c r="AT44" s="26"/>
      <c r="AU44" s="27"/>
      <c r="AV44" s="25"/>
      <c r="AW44" s="26"/>
      <c r="AX44" s="27"/>
      <c r="AY44" s="25"/>
      <c r="AZ44" s="26"/>
      <c r="BA44" s="27"/>
      <c r="BB44" s="25"/>
      <c r="BC44" s="26"/>
      <c r="BD44" s="27"/>
    </row>
    <row r="45" spans="1:56">
      <c r="A45" s="28"/>
      <c r="B45" s="19" t="s">
        <v>552</v>
      </c>
      <c r="C45" s="20">
        <f>IFERROR(GETPIVOTDATA("[Measures].[mOldUGIS]",'Pivot Table Cats'!$A$3,"[Range 1].[State]","[Range 1].[State].&amp;[AR]","[Range 1].[Type]","[Range 1].[Type].&amp;[8]")," ")</f>
        <v>3258</v>
      </c>
      <c r="D45" s="20">
        <f>IFERROR(GETPIVOTDATA("[Measures].[mNewUGIS]",'Pivot Table Cats'!$A$3,"[Range 1].[State]","[Range 1].[State].&amp;[AR]","[Range 1].[Type]","[Range 1].[Type].&amp;[8]")," ")</f>
        <v>3288</v>
      </c>
      <c r="E45" s="21">
        <f t="shared" si="8"/>
        <v>0.92081031307550654</v>
      </c>
      <c r="F45" s="20">
        <f>IFERROR(GETPIVOTDATA("[Measures].[mOldUGOS]",'Pivot Table Cats'!$A$3,"[Range 1].[State]","[Range 1].[State].&amp;[AR]","[Range 1].[Type]","[Range 1].[Type].&amp;[8]")," ")</f>
        <v>5508</v>
      </c>
      <c r="G45" s="20">
        <f>IFERROR(GETPIVOTDATA("[Measures].[mNewUGOS]",'Pivot Table Cats'!$A$3,"[Range 1].[State]","[Range 1].[State].&amp;[AR]","[Range 1].[Type]","[Range 1].[Type].&amp;[8]")," ")</f>
        <v>5538</v>
      </c>
      <c r="H45" s="21">
        <f t="shared" si="9"/>
        <v>0.54466230936819171</v>
      </c>
      <c r="I45" s="337">
        <f>IFERROR(GETPIVOTDATA("[Measures].[mOldGIS]",'Pivot Table Cats'!$A$3,"[Range 1].[State]","[Range 1].[State].&amp;[AR]","[Range 1].[Type]","[Range 1].[Type].&amp;[8]")," ")</f>
        <v>0</v>
      </c>
      <c r="J45" s="20">
        <f>IFERROR(GETPIVOTDATA("[Measures].[mNewGIS]",'Pivot Table Cats'!$A$3,"[Range 1].[State]","[Range 1].[State].&amp;[AR]","[Range 1].[Type]","[Range 1].[Type].&amp;[8]")," ")</f>
        <v>0</v>
      </c>
      <c r="K45" s="21">
        <f t="shared" si="10"/>
        <v>0</v>
      </c>
      <c r="L45" s="20">
        <f>IFERROR(GETPIVOTDATA("[Measures].[mOldGOS]",'Pivot Table Cats'!$A$3,"[Range 1].[State]","[Range 1].[State].&amp;[AR]","[Range 1].[Type]","[Range 1].[Type].&amp;[8]")," ")</f>
        <v>0</v>
      </c>
      <c r="M45" s="20">
        <f>IFERROR(GETPIVOTDATA("[Measures].[mNewGOS]",'Pivot Table Cats'!$A$3,"[Range 1].[State]","[Range 1].[State].&amp;[AR]","[Range 1].[Type]","[Range 1].[Type].&amp;[8]")," ")</f>
        <v>0</v>
      </c>
      <c r="N45" s="21">
        <f t="shared" si="11"/>
        <v>0</v>
      </c>
      <c r="O45" s="25"/>
      <c r="P45" s="26"/>
      <c r="Q45" s="27"/>
      <c r="R45" s="25"/>
      <c r="S45" s="26"/>
      <c r="T45" s="27"/>
      <c r="U45" s="25"/>
      <c r="V45" s="26"/>
      <c r="W45" s="27"/>
      <c r="X45" s="25"/>
      <c r="Y45" s="26"/>
      <c r="Z45" s="27"/>
      <c r="AA45" s="25"/>
      <c r="AB45" s="26"/>
      <c r="AC45" s="27"/>
      <c r="AD45" s="25"/>
      <c r="AE45" s="26"/>
      <c r="AF45" s="27"/>
      <c r="AG45" s="25"/>
      <c r="AH45" s="26"/>
      <c r="AI45" s="27"/>
      <c r="AJ45" s="25"/>
      <c r="AK45" s="26"/>
      <c r="AL45" s="27"/>
      <c r="AM45" s="25"/>
      <c r="AN45" s="26"/>
      <c r="AO45" s="27"/>
      <c r="AP45" s="25"/>
      <c r="AQ45" s="26"/>
      <c r="AR45" s="27"/>
      <c r="AS45" s="25"/>
      <c r="AT45" s="26"/>
      <c r="AU45" s="27"/>
      <c r="AV45" s="25"/>
      <c r="AW45" s="26"/>
      <c r="AX45" s="27"/>
      <c r="AY45" s="25"/>
      <c r="AZ45" s="26"/>
      <c r="BA45" s="27"/>
      <c r="BB45" s="25"/>
      <c r="BC45" s="26"/>
      <c r="BD45" s="27"/>
    </row>
    <row r="46" spans="1:56">
      <c r="A46" s="28"/>
      <c r="B46" s="19" t="s">
        <v>553</v>
      </c>
      <c r="C46" s="20">
        <f>IFERROR(GETPIVOTDATA("[Measures].[mOldUGIS]",'Pivot Table Cats'!$A$3,"[Range 1].[State]","[Range 1].[State].&amp;[AR]","[Range 1].[Type]","[Range 1].[Type].&amp;[9]")," ")</f>
        <v>4665</v>
      </c>
      <c r="D46" s="20">
        <f>IFERROR(GETPIVOTDATA("[Measures].[mNewUGIS]",'Pivot Table Cats'!$A$3,"[Range 1].[State]","[Range 1].[State].&amp;[AR]","[Range 1].[Type]","[Range 1].[Type].&amp;[9]")," ")</f>
        <v>4665</v>
      </c>
      <c r="E46" s="21">
        <f t="shared" si="8"/>
        <v>0</v>
      </c>
      <c r="F46" s="20">
        <f>IFERROR(GETPIVOTDATA("[Measures].[mOldUGOS]",'Pivot Table Cats'!$A$3,"[Range 1].[State]","[Range 1].[State].&amp;[AR]","[Range 1].[Type]","[Range 1].[Type].&amp;[9]")," ")</f>
        <v>6360</v>
      </c>
      <c r="G46" s="20">
        <f>IFERROR(GETPIVOTDATA("[Measures].[mNewUGOS]",'Pivot Table Cats'!$A$3,"[Range 1].[State]","[Range 1].[State].&amp;[AR]","[Range 1].[Type]","[Range 1].[Type].&amp;[9]")," ")</f>
        <v>6360</v>
      </c>
      <c r="H46" s="21">
        <f t="shared" si="9"/>
        <v>0</v>
      </c>
      <c r="I46" s="20">
        <f>IFERROR(GETPIVOTDATA("[Measures].[mOldGIS]",'Pivot Table Cats'!$A$3,"[Range 1].[State]","[Range 1].[State].&amp;[AR]","[Range 1].[Type]","[Range 1].[Type].&amp;[9]")," ")</f>
        <v>0</v>
      </c>
      <c r="J46" s="20">
        <f>IFERROR(GETPIVOTDATA("[Measures].[mNewGIS]",'Pivot Table Cats'!$A$3,"[Range 1].[State]","[Range 1].[State].&amp;[AR]","[Range 1].[Type]","[Range 1].[Type].&amp;[9]")," ")</f>
        <v>0</v>
      </c>
      <c r="K46" s="21">
        <f t="shared" si="10"/>
        <v>0</v>
      </c>
      <c r="L46" s="20">
        <f>IFERROR(GETPIVOTDATA("[Measures].[mOldGOS]",'Pivot Table Cats'!$A$3,"[Range 1].[State]","[Range 1].[State].&amp;[AR]","[Range 1].[Type]","[Range 1].[Type].&amp;[9]")," ")</f>
        <v>0</v>
      </c>
      <c r="M46" s="20">
        <f>IFERROR(GETPIVOTDATA("[Measures].[mNewGOS]",'Pivot Table Cats'!$A$3,"[Range 1].[State]","[Range 1].[State].&amp;[AR]","[Range 1].[Type]","[Range 1].[Type].&amp;[9]")," ")</f>
        <v>0</v>
      </c>
      <c r="N46" s="21">
        <f t="shared" si="11"/>
        <v>0</v>
      </c>
      <c r="O46" s="25"/>
      <c r="P46" s="26"/>
      <c r="Q46" s="27"/>
      <c r="R46" s="25"/>
      <c r="S46" s="26"/>
      <c r="T46" s="27"/>
      <c r="U46" s="25"/>
      <c r="V46" s="26"/>
      <c r="W46" s="27"/>
      <c r="X46" s="25"/>
      <c r="Y46" s="26"/>
      <c r="Z46" s="27"/>
      <c r="AA46" s="25"/>
      <c r="AB46" s="26"/>
      <c r="AC46" s="27"/>
      <c r="AD46" s="25"/>
      <c r="AE46" s="26"/>
      <c r="AF46" s="27"/>
      <c r="AG46" s="25"/>
      <c r="AH46" s="26"/>
      <c r="AI46" s="27"/>
      <c r="AJ46" s="25"/>
      <c r="AK46" s="26"/>
      <c r="AL46" s="27"/>
      <c r="AM46" s="25"/>
      <c r="AN46" s="26"/>
      <c r="AO46" s="27"/>
      <c r="AP46" s="25"/>
      <c r="AQ46" s="26"/>
      <c r="AR46" s="27"/>
      <c r="AS46" s="25"/>
      <c r="AT46" s="26"/>
      <c r="AU46" s="27"/>
      <c r="AV46" s="25"/>
      <c r="AW46" s="26"/>
      <c r="AX46" s="27"/>
      <c r="AY46" s="25"/>
      <c r="AZ46" s="26"/>
      <c r="BA46" s="27"/>
      <c r="BB46" s="25"/>
      <c r="BC46" s="26"/>
      <c r="BD46" s="27"/>
    </row>
    <row r="47" spans="1:56">
      <c r="A47" s="28"/>
      <c r="B47" s="19" t="s">
        <v>554</v>
      </c>
      <c r="C47" s="20">
        <f>IFERROR(GETPIVOTDATA("[Measures].[mOldUGIS]",'Pivot Table Cats'!$A$3,"[Range 1].[State]","[Range 1].[State].&amp;[AR]","[Range 1].[Type]","[Range 1].[Type].&amp;[10]")," ")</f>
        <v>3570</v>
      </c>
      <c r="D47" s="20">
        <f>IFERROR(GETPIVOTDATA("[Measures].[mNewUGIS]",'Pivot Table Cats'!$A$3,"[Range 1].[State]","[Range 1].[State].&amp;[AR]","[Range 1].[Type]","[Range 1].[Type].&amp;[10]")," ")</f>
        <v>3570</v>
      </c>
      <c r="E47" s="21">
        <f t="shared" si="8"/>
        <v>0</v>
      </c>
      <c r="F47" s="20">
        <f>IFERROR(GETPIVOTDATA("[Measures].[mOldUGOS]",'Pivot Table Cats'!$A$3,"[Range 1].[State]","[Range 1].[State].&amp;[AR]","[Range 1].[Type]","[Range 1].[Type].&amp;[10]")," ")</f>
        <v>5400</v>
      </c>
      <c r="G47" s="20">
        <f>IFERROR(GETPIVOTDATA("[Measures].[mNewUGOS]",'Pivot Table Cats'!$A$3,"[Range 1].[State]","[Range 1].[State].&amp;[AR]","[Range 1].[Type]","[Range 1].[Type].&amp;[10]")," ")</f>
        <v>5400</v>
      </c>
      <c r="H47" s="21">
        <f t="shared" si="9"/>
        <v>0</v>
      </c>
      <c r="I47" s="20">
        <f>IFERROR(GETPIVOTDATA("[Measures].[mOldGIS]",'Pivot Table Cats'!$A$3,"[Range 1].[State]","[Range 1].[State].&amp;[AR]","[Range 1].[Type]","[Range 1].[Type].&amp;[10]")," ")</f>
        <v>0</v>
      </c>
      <c r="J47" s="20">
        <f>IFERROR(GETPIVOTDATA("[Measures].[mNewGIS]",'Pivot Table Cats'!$A$3,"[Range 1].[State]","[Range 1].[State].&amp;[AR]","[Range 1].[Type]","[Range 1].[Type].&amp;[10]")," ")</f>
        <v>0</v>
      </c>
      <c r="K47" s="21">
        <f t="shared" si="10"/>
        <v>0</v>
      </c>
      <c r="L47" s="20">
        <f>IFERROR(GETPIVOTDATA("[Measures].[mOldGOS]",'Pivot Table Cats'!$A$3,"[Range 1].[State]","[Range 1].[State].&amp;[AR]","[Range 1].[Type]","[Range 1].[Type].&amp;[10]")," ")</f>
        <v>0</v>
      </c>
      <c r="M47" s="20">
        <f>IFERROR(GETPIVOTDATA("[Measures].[mNewGOS]",'Pivot Table Cats'!$A$3,"[Range 1].[State]","[Range 1].[State].&amp;[AR]","[Range 1].[Type]","[Range 1].[Type].&amp;[10]")," ")</f>
        <v>0</v>
      </c>
      <c r="N47" s="21">
        <f t="shared" si="11"/>
        <v>0</v>
      </c>
      <c r="O47" s="25"/>
      <c r="P47" s="26"/>
      <c r="Q47" s="27"/>
      <c r="R47" s="25"/>
      <c r="S47" s="26"/>
      <c r="T47" s="27"/>
      <c r="U47" s="25"/>
      <c r="V47" s="26"/>
      <c r="W47" s="27"/>
      <c r="X47" s="25"/>
      <c r="Y47" s="26"/>
      <c r="Z47" s="27"/>
      <c r="AA47" s="25"/>
      <c r="AB47" s="26"/>
      <c r="AC47" s="27"/>
      <c r="AD47" s="25"/>
      <c r="AE47" s="26"/>
      <c r="AF47" s="27"/>
      <c r="AG47" s="25"/>
      <c r="AH47" s="26"/>
      <c r="AI47" s="27"/>
      <c r="AJ47" s="25"/>
      <c r="AK47" s="26"/>
      <c r="AL47" s="27"/>
      <c r="AM47" s="25"/>
      <c r="AN47" s="26"/>
      <c r="AO47" s="27"/>
      <c r="AP47" s="25"/>
      <c r="AQ47" s="26"/>
      <c r="AR47" s="27"/>
      <c r="AS47" s="25"/>
      <c r="AT47" s="26"/>
      <c r="AU47" s="27"/>
      <c r="AV47" s="25"/>
      <c r="AW47" s="26"/>
      <c r="AX47" s="27"/>
      <c r="AY47" s="25"/>
      <c r="AZ47" s="26"/>
      <c r="BA47" s="27"/>
      <c r="BB47" s="25"/>
      <c r="BC47" s="26"/>
      <c r="BD47" s="27"/>
    </row>
    <row r="48" spans="1:56" s="49" customFormat="1" ht="20.25" customHeight="1">
      <c r="A48" s="48"/>
      <c r="B48" s="30" t="s">
        <v>555</v>
      </c>
      <c r="C48" s="31">
        <f>GETPIVOTDATA("[Measures].[mOldUGIS]",'Pivot Table Totals'!$A$31,"[Range 1].[State]","[Range 1].[State].&amp;[AR]")</f>
        <v>3600</v>
      </c>
      <c r="D48" s="31">
        <f>GETPIVOTDATA("[Measures].[mNewUGIS]",'Pivot Table Totals'!$A$31,"[Range 1].[State]","[Range 1].[State].&amp;[AR]")</f>
        <v>3600</v>
      </c>
      <c r="E48" s="21">
        <f t="shared" si="8"/>
        <v>0</v>
      </c>
      <c r="F48" s="31">
        <f>GETPIVOTDATA("[Measures].[mOldUGOS]",'Pivot Table Totals'!$A$31,"[Range 1].[State]","[Range 1].[State].&amp;[AR]")</f>
        <v>5574</v>
      </c>
      <c r="G48" s="31">
        <f>GETPIVOTDATA("[Measures].[mNewUGOS]",'Pivot Table Totals'!$A$31,"[Range 1].[State]","[Range 1].[State].&amp;[AR]")</f>
        <v>5589</v>
      </c>
      <c r="H48" s="21">
        <f t="shared" si="9"/>
        <v>0.26910656620021528</v>
      </c>
      <c r="I48" s="31">
        <f>GETPIVOTDATA("[Measures].[mOldGIS]",'Pivot Table Totals'!$A$31,"[Range 1].[State]","[Range 1].[State].&amp;[AR]")</f>
        <v>0</v>
      </c>
      <c r="J48" s="31">
        <f>GETPIVOTDATA("[Measures].[mNewGIS]",'Pivot Table Totals'!$A$31,"[Range 1].[State]","[Range 1].[State].&amp;[AR]")</f>
        <v>0</v>
      </c>
      <c r="K48" s="21">
        <f t="shared" si="10"/>
        <v>0</v>
      </c>
      <c r="L48" s="31">
        <f>GETPIVOTDATA("[Measures].[mOldGOS]",'Pivot Table Totals'!$A$31,"[Range 1].[State]","[Range 1].[State].&amp;[AR]")</f>
        <v>0</v>
      </c>
      <c r="M48" s="31">
        <f>GETPIVOTDATA("[Measures].[mNewGOS]",'Pivot Table Totals'!$A$31,"[Range 1].[State]","[Range 1].[State].&amp;[AR]")</f>
        <v>0</v>
      </c>
      <c r="N48" s="21">
        <f t="shared" si="11"/>
        <v>0</v>
      </c>
      <c r="O48" s="36"/>
      <c r="P48" s="37"/>
      <c r="Q48" s="38"/>
      <c r="R48" s="36"/>
      <c r="S48" s="37"/>
      <c r="T48" s="38"/>
      <c r="U48" s="36"/>
      <c r="V48" s="37"/>
      <c r="W48" s="38"/>
      <c r="X48" s="36"/>
      <c r="Y48" s="37"/>
      <c r="Z48" s="38"/>
      <c r="AA48" s="36"/>
      <c r="AB48" s="37"/>
      <c r="AC48" s="38"/>
      <c r="AD48" s="36"/>
      <c r="AE48" s="37"/>
      <c r="AF48" s="38"/>
      <c r="AG48" s="36"/>
      <c r="AH48" s="37"/>
      <c r="AI48" s="38"/>
      <c r="AJ48" s="36"/>
      <c r="AK48" s="37"/>
      <c r="AL48" s="38"/>
      <c r="AM48" s="36"/>
      <c r="AN48" s="37"/>
      <c r="AO48" s="38"/>
      <c r="AP48" s="36"/>
      <c r="AQ48" s="37"/>
      <c r="AR48" s="38"/>
      <c r="AS48" s="36"/>
      <c r="AT48" s="37"/>
      <c r="AU48" s="38"/>
      <c r="AV48" s="36"/>
      <c r="AW48" s="37"/>
      <c r="AX48" s="38"/>
      <c r="AY48" s="36"/>
      <c r="AZ48" s="37"/>
      <c r="BA48" s="38"/>
      <c r="BB48" s="36"/>
      <c r="BC48" s="37"/>
      <c r="BD48" s="38"/>
    </row>
    <row r="49" spans="1:56">
      <c r="A49" s="28"/>
      <c r="B49" s="19" t="s">
        <v>556</v>
      </c>
      <c r="C49" s="20" t="str">
        <f>IFERROR(GETPIVOTDATA("[Measures].[mOldUGIS]",'Pivot Table Cats'!$A$3,"[Range 1].[State]","[Range 1].[State].&amp;[AR]","[Range 1].[Type]","[Range 1].[Type].&amp;[12]")," ")</f>
        <v xml:space="preserve"> </v>
      </c>
      <c r="D49" s="20" t="str">
        <f>IFERROR(GETPIVOTDATA("[Measures].[mNewUGIS]",'Pivot Table Cats'!$A$3,"[Range 1].[State]","[Range 1].[State].&amp;[AR]","[Range 1].[Type]","[Range 1].[Type].&amp;[12]")," ")</f>
        <v xml:space="preserve"> </v>
      </c>
      <c r="E49" s="21" t="str">
        <f t="shared" si="8"/>
        <v xml:space="preserve"> </v>
      </c>
      <c r="F49" s="20" t="str">
        <f>IFERROR(GETPIVOTDATA("[Measures].[mOldUGOS]",'Pivot Table Cats'!$A$3,"[Range 1].[State]","[Range 1].[State].&amp;[AR]","[Range 1].[Type]","[Range 1].[Type].&amp;[12]")," ")</f>
        <v xml:space="preserve"> </v>
      </c>
      <c r="G49" s="20" t="str">
        <f>IFERROR(GETPIVOTDATA("[Measures].[mNewUGOS]",'Pivot Table Cats'!$A$3,"[Range 1].[State]","[Range 1].[State].&amp;[AR]","[Range 1].[Type]","[Range 1].[Type].&amp;[12]")," ")</f>
        <v xml:space="preserve"> </v>
      </c>
      <c r="H49" s="21" t="str">
        <f t="shared" si="9"/>
        <v xml:space="preserve"> </v>
      </c>
      <c r="I49" s="20" t="str">
        <f>IFERROR(GETPIVOTDATA("[Measures].[mOldGIS]",'Pivot Table Cats'!$A$3,"[Range 1].[State]","[Range 1].[State].&amp;[AR]","[Range 1].[Type]","[Range 1].[Type].&amp;[12]")," ")</f>
        <v xml:space="preserve"> </v>
      </c>
      <c r="J49" s="20" t="str">
        <f>IFERROR(GETPIVOTDATA("[Measures].[mNewGIS]",'Pivot Table Cats'!$A$3,"[Range 1].[State]","[Range 1].[State].&amp;[AR]","[Range 1].[Type]","[Range 1].[Type].&amp;[12]")," ")</f>
        <v xml:space="preserve"> </v>
      </c>
      <c r="K49" s="21" t="str">
        <f t="shared" si="10"/>
        <v xml:space="preserve"> </v>
      </c>
      <c r="L49" s="20" t="str">
        <f>IFERROR(GETPIVOTDATA("[Measures].[mOldGOS]",'Pivot Table Cats'!$A$3,"[Range 1].[State]","[Range 1].[State].&amp;[AR]","[Range 1].[Type]","[Range 1].[Type].&amp;[12]")," ")</f>
        <v xml:space="preserve"> </v>
      </c>
      <c r="M49" s="20" t="str">
        <f>IFERROR(GETPIVOTDATA("[Measures].[mNewGOS]",'Pivot Table Cats'!$A$3,"[Range 1].[State]","[Range 1].[State].&amp;[AR]","[Range 1].[Type]","[Range 1].[Type].&amp;[12]")," ")</f>
        <v xml:space="preserve"> </v>
      </c>
      <c r="N49" s="21" t="str">
        <f t="shared" si="11"/>
        <v xml:space="preserve"> </v>
      </c>
      <c r="O49" s="25"/>
      <c r="P49" s="26"/>
      <c r="Q49" s="27"/>
      <c r="R49" s="25"/>
      <c r="S49" s="26"/>
      <c r="T49" s="27"/>
      <c r="U49" s="25"/>
      <c r="V49" s="26"/>
      <c r="W49" s="27"/>
      <c r="X49" s="25"/>
      <c r="Y49" s="26"/>
      <c r="Z49" s="27"/>
      <c r="AA49" s="25"/>
      <c r="AB49" s="26"/>
      <c r="AC49" s="27"/>
      <c r="AD49" s="25"/>
      <c r="AE49" s="26"/>
      <c r="AF49" s="27"/>
      <c r="AG49" s="25"/>
      <c r="AH49" s="26"/>
      <c r="AI49" s="27"/>
      <c r="AJ49" s="25"/>
      <c r="AK49" s="26"/>
      <c r="AL49" s="27"/>
      <c r="AM49" s="25"/>
      <c r="AN49" s="26"/>
      <c r="AO49" s="27"/>
      <c r="AP49" s="25"/>
      <c r="AQ49" s="26"/>
      <c r="AR49" s="27"/>
      <c r="AS49" s="25"/>
      <c r="AT49" s="26"/>
      <c r="AU49" s="27"/>
      <c r="AV49" s="25"/>
      <c r="AW49" s="26"/>
      <c r="AX49" s="27"/>
      <c r="AY49" s="25"/>
      <c r="AZ49" s="26"/>
      <c r="BA49" s="27"/>
      <c r="BB49" s="25"/>
      <c r="BC49" s="26"/>
      <c r="BD49" s="27"/>
    </row>
    <row r="50" spans="1:56">
      <c r="A50" s="28"/>
      <c r="B50" s="19" t="s">
        <v>557</v>
      </c>
      <c r="C50" s="20" t="str">
        <f>IFERROR(GETPIVOTDATA("[Measures].[mOldUGIS]",'Pivot Table Cats'!$A$3,"[Range 1].[State]","[Range 1].[State].&amp;[AR]","[Range 1].[Type]","[Range 1].[Type].&amp;[13]")," ")</f>
        <v xml:space="preserve"> </v>
      </c>
      <c r="D50" s="20" t="str">
        <f>IFERROR(GETPIVOTDATA("[Measures].[mNewUGIS]",'Pivot Table Cats'!$A$3,"[Range 1].[State]","[Range 1].[State].&amp;[AR]","[Range 1].[Type]","[Range 1].[Type].&amp;[13]")," ")</f>
        <v xml:space="preserve"> </v>
      </c>
      <c r="E50" s="21" t="str">
        <f t="shared" si="8"/>
        <v xml:space="preserve"> </v>
      </c>
      <c r="F50" s="20" t="str">
        <f>IFERROR(GETPIVOTDATA("[Measures].[mOldUGOS]",'Pivot Table Cats'!$A$3,"[Range 1].[State]","[Range 1].[State].&amp;[AR]","[Range 1].[Type]","[Range 1].[Type].&amp;[13]")," ")</f>
        <v xml:space="preserve"> </v>
      </c>
      <c r="G50" s="20" t="str">
        <f>IFERROR(GETPIVOTDATA("[Measures].[mNewUGOS]",'Pivot Table Cats'!$A$3,"[Range 1].[State]","[Range 1].[State].&amp;[AR]","[Range 1].[Type]","[Range 1].[Type].&amp;[13]")," ")</f>
        <v xml:space="preserve"> </v>
      </c>
      <c r="H50" s="21" t="str">
        <f t="shared" si="9"/>
        <v xml:space="preserve"> </v>
      </c>
      <c r="I50" s="20" t="str">
        <f>IFERROR(GETPIVOTDATA("[Measures].[mOldGIS]",'Pivot Table Cats'!$A$3,"[Range 1].[State]","[Range 1].[State].&amp;[AR]","[Range 1].[Type]","[Range 1].[Type].&amp;[13]")," ")</f>
        <v xml:space="preserve"> </v>
      </c>
      <c r="J50" s="20" t="str">
        <f>IFERROR(GETPIVOTDATA("[Measures].[mNewGIS]",'Pivot Table Cats'!$A$3,"[Range 1].[State]","[Range 1].[State].&amp;[AR]","[Range 1].[Type]","[Range 1].[Type].&amp;[13]")," ")</f>
        <v xml:space="preserve"> </v>
      </c>
      <c r="K50" s="21" t="str">
        <f t="shared" si="10"/>
        <v xml:space="preserve"> </v>
      </c>
      <c r="L50" s="20" t="str">
        <f>IFERROR(GETPIVOTDATA("[Measures].[mOldGOS]",'Pivot Table Cats'!$A$3,"[Range 1].[State]","[Range 1].[State].&amp;[AR]","[Range 1].[Type]","[Range 1].[Type].&amp;[13]")," ")</f>
        <v xml:space="preserve"> </v>
      </c>
      <c r="M50" s="20" t="str">
        <f>IFERROR(GETPIVOTDATA("[Measures].[mNewGOS]",'Pivot Table Cats'!$A$3,"[Range 1].[State]","[Range 1].[State].&amp;[AR]","[Range 1].[Type]","[Range 1].[Type].&amp;[13]")," ")</f>
        <v xml:space="preserve"> </v>
      </c>
      <c r="N50" s="21" t="str">
        <f t="shared" si="11"/>
        <v xml:space="preserve"> </v>
      </c>
      <c r="O50" s="25"/>
      <c r="P50" s="26"/>
      <c r="Q50" s="27"/>
      <c r="R50" s="25"/>
      <c r="S50" s="26"/>
      <c r="T50" s="27"/>
      <c r="U50" s="25"/>
      <c r="V50" s="26"/>
      <c r="W50" s="27"/>
      <c r="X50" s="25"/>
      <c r="Y50" s="26"/>
      <c r="Z50" s="27"/>
      <c r="AA50" s="25"/>
      <c r="AB50" s="26"/>
      <c r="AC50" s="27"/>
      <c r="AD50" s="25"/>
      <c r="AE50" s="26"/>
      <c r="AF50" s="27"/>
      <c r="AG50" s="25"/>
      <c r="AH50" s="26"/>
      <c r="AI50" s="27"/>
      <c r="AJ50" s="25"/>
      <c r="AK50" s="26"/>
      <c r="AL50" s="27"/>
      <c r="AM50" s="25"/>
      <c r="AN50" s="26"/>
      <c r="AO50" s="27"/>
      <c r="AP50" s="25"/>
      <c r="AQ50" s="26"/>
      <c r="AR50" s="27"/>
      <c r="AS50" s="25"/>
      <c r="AT50" s="26"/>
      <c r="AU50" s="27"/>
      <c r="AV50" s="25"/>
      <c r="AW50" s="26"/>
      <c r="AX50" s="27"/>
      <c r="AY50" s="25"/>
      <c r="AZ50" s="26"/>
      <c r="BA50" s="27"/>
      <c r="BB50" s="25"/>
      <c r="BC50" s="26"/>
      <c r="BD50" s="27"/>
    </row>
    <row r="51" spans="1:56">
      <c r="A51" s="28"/>
      <c r="B51" s="19" t="s">
        <v>558</v>
      </c>
      <c r="C51" s="20" t="str">
        <f>IFERROR(GETPIVOTDATA("[Measures].[mOldUGIS]",'Pivot Table Cats'!$A$3,"[Range 1].[State]","[Range 1].[State].&amp;[AR]","[Range 1].[Type]","[Range 1].[Type].&amp;[14]")," ")</f>
        <v xml:space="preserve"> </v>
      </c>
      <c r="D51" s="20" t="str">
        <f>IFERROR(GETPIVOTDATA("[Measures].[mNewUGIS]",'Pivot Table Cats'!$A$3,"[Range 1].[State]","[Range 1].[State].&amp;[AR]","[Range 1].[Type]","[Range 1].[Type].&amp;[14]")," ")</f>
        <v xml:space="preserve"> </v>
      </c>
      <c r="E51" s="21" t="str">
        <f t="shared" si="8"/>
        <v xml:space="preserve"> </v>
      </c>
      <c r="F51" s="20" t="str">
        <f>IFERROR(GETPIVOTDATA("[Measures].[mOldUGOS]",'Pivot Table Cats'!$A$3,"[Range 1].[State]","[Range 1].[State].&amp;[AR]","[Range 1].[Type]","[Range 1].[Type].&amp;[14]")," ")</f>
        <v xml:space="preserve"> </v>
      </c>
      <c r="G51" s="20" t="str">
        <f>IFERROR(GETPIVOTDATA("[Measures].[mNewUGOS]",'Pivot Table Cats'!$A$3,"[Range 1].[State]","[Range 1].[State].&amp;[AR]","[Range 1].[Type]","[Range 1].[Type].&amp;[14]")," ")</f>
        <v xml:space="preserve"> </v>
      </c>
      <c r="H51" s="21" t="str">
        <f t="shared" si="9"/>
        <v xml:space="preserve"> </v>
      </c>
      <c r="I51" s="20" t="str">
        <f>IFERROR(GETPIVOTDATA("[Measures].[mOldGIS]",'Pivot Table Cats'!$A$3,"[Range 1].[State]","[Range 1].[State].&amp;[AR]","[Range 1].[Type]","[Range 1].[Type].&amp;[14]")," ")</f>
        <v xml:space="preserve"> </v>
      </c>
      <c r="J51" s="20" t="str">
        <f>IFERROR(GETPIVOTDATA("[Measures].[mNewGIS]",'Pivot Table Cats'!$A$3,"[Range 1].[State]","[Range 1].[State].&amp;[AR]","[Range 1].[Type]","[Range 1].[Type].&amp;[14]")," ")</f>
        <v xml:space="preserve"> </v>
      </c>
      <c r="K51" s="21" t="str">
        <f t="shared" si="10"/>
        <v xml:space="preserve"> </v>
      </c>
      <c r="L51" s="20" t="str">
        <f>IFERROR(GETPIVOTDATA("[Measures].[mOldGOS]",'Pivot Table Cats'!$A$3,"[Range 1].[State]","[Range 1].[State].&amp;[AR]","[Range 1].[Type]","[Range 1].[Type].&amp;[14]")," ")</f>
        <v xml:space="preserve"> </v>
      </c>
      <c r="M51" s="20" t="str">
        <f>IFERROR(GETPIVOTDATA("[Measures].[mNewGOS]",'Pivot Table Cats'!$A$3,"[Range 1].[State]","[Range 1].[State].&amp;[AR]","[Range 1].[Type]","[Range 1].[Type].&amp;[14]")," ")</f>
        <v xml:space="preserve"> </v>
      </c>
      <c r="N51" s="21" t="str">
        <f t="shared" si="11"/>
        <v xml:space="preserve"> </v>
      </c>
      <c r="O51" s="25"/>
      <c r="P51" s="26"/>
      <c r="Q51" s="27"/>
      <c r="R51" s="25"/>
      <c r="S51" s="26"/>
      <c r="T51" s="27"/>
      <c r="U51" s="25"/>
      <c r="V51" s="26"/>
      <c r="W51" s="27"/>
      <c r="X51" s="25"/>
      <c r="Y51" s="26"/>
      <c r="Z51" s="27"/>
      <c r="AA51" s="25"/>
      <c r="AB51" s="26"/>
      <c r="AC51" s="27"/>
      <c r="AD51" s="25"/>
      <c r="AE51" s="26"/>
      <c r="AF51" s="27"/>
      <c r="AG51" s="25"/>
      <c r="AH51" s="26"/>
      <c r="AI51" s="27"/>
      <c r="AJ51" s="25"/>
      <c r="AK51" s="26"/>
      <c r="AL51" s="27"/>
      <c r="AM51" s="25"/>
      <c r="AN51" s="26"/>
      <c r="AO51" s="27"/>
      <c r="AP51" s="25"/>
      <c r="AQ51" s="26"/>
      <c r="AR51" s="27"/>
      <c r="AS51" s="25"/>
      <c r="AT51" s="26"/>
      <c r="AU51" s="27"/>
      <c r="AV51" s="25"/>
      <c r="AW51" s="26"/>
      <c r="AX51" s="27"/>
      <c r="AY51" s="25"/>
      <c r="AZ51" s="26"/>
      <c r="BA51" s="27"/>
      <c r="BB51" s="25"/>
      <c r="BC51" s="26"/>
      <c r="BD51" s="27"/>
    </row>
    <row r="52" spans="1:56" s="49" customFormat="1" ht="21.75" customHeight="1">
      <c r="A52" s="48"/>
      <c r="B52" s="30" t="s">
        <v>559</v>
      </c>
      <c r="C52" s="31" t="str">
        <f>IFERROR(GETPIVOTDATA("[Measures].[mOldUGIS]",'Pivot Table Totals'!$A$59,"[Range 1].[State]","[Range 1].[State].&amp;[AR]"), " ")</f>
        <v xml:space="preserve"> </v>
      </c>
      <c r="D52" s="31" t="str">
        <f>IFERROR(GETPIVOTDATA("[Measures].[mNewUGIS]",'Pivot Table Totals'!$A$59,"[Range 1].[State]","[Range 1].[State].&amp;[AR]"), " ")</f>
        <v xml:space="preserve"> </v>
      </c>
      <c r="E52" s="21" t="str">
        <f t="shared" si="8"/>
        <v xml:space="preserve"> </v>
      </c>
      <c r="F52" s="31" t="str">
        <f>IFERROR(GETPIVOTDATA("[Measures].[mOldUGOS]",'Pivot Table Totals'!$A$59,"[Range 1].[State]","[Range 1].[State].&amp;[AR]"), " ")</f>
        <v xml:space="preserve"> </v>
      </c>
      <c r="G52" s="31" t="str">
        <f>IFERROR(GETPIVOTDATA("[Measures].[mNewUGOS]",'Pivot Table Totals'!$A$59,"[Range 1].[State]","[Range 1].[State].&amp;[AR]"), " ")</f>
        <v xml:space="preserve"> </v>
      </c>
      <c r="H52" s="21" t="str">
        <f t="shared" si="9"/>
        <v xml:space="preserve"> </v>
      </c>
      <c r="I52" s="31" t="str">
        <f>IFERROR(GETPIVOTDATA("[Measures].[mOldGIS]",'Pivot Table Totals'!$A$59,"[Range 1].[State]","[Range 1].[State].&amp;[AR]"), " ")</f>
        <v xml:space="preserve"> </v>
      </c>
      <c r="J52" s="31" t="str">
        <f>IFERROR(GETPIVOTDATA("[Measures].[mNewGIS]",'Pivot Table Totals'!$A$59,"[Range 1].[State]","[Range 1].[State].&amp;[AR]"), " ")</f>
        <v xml:space="preserve"> </v>
      </c>
      <c r="K52" s="21" t="str">
        <f t="shared" si="10"/>
        <v xml:space="preserve"> </v>
      </c>
      <c r="L52" s="31" t="str">
        <f>IFERROR(GETPIVOTDATA("[Measures].[mOldGOS]",'Pivot Table Totals'!$A$59,"[Range 1].[State]","[Range 1].[State].&amp;[AR]"), " ")</f>
        <v xml:space="preserve"> </v>
      </c>
      <c r="M52" s="31" t="str">
        <f>IFERROR(GETPIVOTDATA("[Measures].[mNewGOS]",'Pivot Table Totals'!$A$59,"[Range 1].[State]","[Range 1].[State].&amp;[AR]"), " ")</f>
        <v xml:space="preserve"> </v>
      </c>
      <c r="N52" s="21" t="str">
        <f t="shared" si="11"/>
        <v xml:space="preserve"> </v>
      </c>
      <c r="O52" s="36"/>
      <c r="P52" s="37"/>
      <c r="Q52" s="38"/>
      <c r="R52" s="36"/>
      <c r="S52" s="37"/>
      <c r="T52" s="38"/>
      <c r="U52" s="36"/>
      <c r="V52" s="37"/>
      <c r="W52" s="38"/>
      <c r="X52" s="36"/>
      <c r="Y52" s="37"/>
      <c r="Z52" s="38"/>
      <c r="AA52" s="36"/>
      <c r="AB52" s="37"/>
      <c r="AC52" s="38"/>
      <c r="AD52" s="36"/>
      <c r="AE52" s="37"/>
      <c r="AF52" s="38"/>
      <c r="AG52" s="36"/>
      <c r="AH52" s="37"/>
      <c r="AI52" s="38"/>
      <c r="AJ52" s="36"/>
      <c r="AK52" s="37"/>
      <c r="AL52" s="38"/>
      <c r="AM52" s="36"/>
      <c r="AN52" s="37"/>
      <c r="AO52" s="38"/>
      <c r="AP52" s="36"/>
      <c r="AQ52" s="37"/>
      <c r="AR52" s="38"/>
      <c r="AS52" s="36"/>
      <c r="AT52" s="37"/>
      <c r="AU52" s="38"/>
      <c r="AV52" s="36"/>
      <c r="AW52" s="37"/>
      <c r="AX52" s="38"/>
      <c r="AY52" s="36"/>
      <c r="AZ52" s="37"/>
      <c r="BA52" s="38"/>
      <c r="BB52" s="36"/>
      <c r="BC52" s="37"/>
      <c r="BD52" s="38"/>
    </row>
    <row r="53" spans="1:56">
      <c r="A53" s="40"/>
      <c r="B53" s="41" t="s">
        <v>560</v>
      </c>
      <c r="C53" s="42"/>
      <c r="D53" s="42"/>
      <c r="E53" s="335"/>
      <c r="F53" s="42"/>
      <c r="G53" s="42"/>
      <c r="H53" s="44"/>
      <c r="I53" s="45"/>
      <c r="J53" s="42"/>
      <c r="K53" s="44"/>
      <c r="L53" s="45"/>
      <c r="M53" s="42"/>
      <c r="N53" s="44"/>
      <c r="O53" s="336">
        <f>IFERROR(GETPIVOTDATA("[Measures].[mOldLawIS]",'Pivot Table Totals'!$A$79,"[Range 1].[State]","[Range 1].[State].&amp;[AR]"), " ")</f>
        <v>13488</v>
      </c>
      <c r="P53" s="42">
        <f>IFERROR(GETPIVOTDATA("[Measures].[mNewLawIS]",'Pivot Table Totals'!$A$79,"[Range 1].[State]","[Range 1].[State].&amp;[AR]"), " ")</f>
        <v>13700</v>
      </c>
      <c r="Q53" s="46">
        <f>IFERROR(IF(O53&gt;0,(((P53-O53)/O53)*100),0), " ")</f>
        <v>1.5717674970344011</v>
      </c>
      <c r="R53" s="336">
        <f>IFERROR(GETPIVOTDATA("[Measures].[mOldLawOS]",'Pivot Table Totals'!$A$79,"[Range 1].[State]","[Range 1].[State].&amp;[AR]"), " ")</f>
        <v>28119.5</v>
      </c>
      <c r="S53" s="336">
        <f>IFERROR(GETPIVOTDATA("[Measures].[mNewLawOS]",'Pivot Table Totals'!$A$79,"[Range 1].[State]","[Range 1].[State].&amp;[AR]"), " ")</f>
        <v>28488</v>
      </c>
      <c r="T53" s="46">
        <f>IFERROR(IF(R53&gt;0,(((S53-R53)/R53)*100),0), " ")</f>
        <v>1.3104784935720764</v>
      </c>
      <c r="U53" s="336">
        <f>IFERROR(GETPIVOTDATA("[Measures].[mOldMedIS]",'Pivot Table Totals'!$A$79,"[Range 1].[State]","[Range 1].[State].&amp;[AR]"), " ")</f>
        <v>34668</v>
      </c>
      <c r="V53" s="336">
        <f>IFERROR(GETPIVOTDATA("[Measures].[mNewMedIS]",'Pivot Table Totals'!$A$79,"[Range 1].[State]","[Range 1].[State].&amp;[AR]"), " ")</f>
        <v>34538</v>
      </c>
      <c r="W53" s="46">
        <f>IFERROR(IF(U53&gt;0,(((V53-U53)/U53)*100),0), " ")</f>
        <v>-0.37498557747778932</v>
      </c>
      <c r="X53" s="336">
        <f>IFERROR(GETPIVOTDATA("[Measures].[mOldMedOS]",'Pivot Table Totals'!$A$79,"[Range 1].[State]","[Range 1].[State].&amp;[AR]"), " ")</f>
        <v>66838</v>
      </c>
      <c r="Y53" s="336">
        <f>IFERROR(GETPIVOTDATA("[Measures].[mNewMedOS]",'Pivot Table Totals'!$A$79,"[Range 1].[State]","[Range 1].[State].&amp;[AR]"), " ")</f>
        <v>66708</v>
      </c>
      <c r="Z53" s="46">
        <f>IFERROR(IF(X53&gt;0,(((Y53-X53)/X53)*100),0), " ")</f>
        <v>-0.19450013465393937</v>
      </c>
      <c r="AA53" s="336">
        <f>IFERROR(GETPIVOTDATA("[Measures].[mOldDenIS]",'Pivot Table Totals'!$A$79,"[Range 1].[State]","[Range 1].[State].&amp;[AR]"), " ")</f>
        <v>0</v>
      </c>
      <c r="AB53" s="336">
        <f>IFERROR(GETPIVOTDATA("[Measures].[mNewDenIS]",'Pivot Table Totals'!$A$79,"[Range 1].[State]","[Range 1].[State].&amp;[AR]"), " ")</f>
        <v>0</v>
      </c>
      <c r="AC53" s="46">
        <f>IFERROR(IF(AA53&gt;0,(((AB53-AA53)/AA53)*100),0), " ")</f>
        <v>0</v>
      </c>
      <c r="AD53" s="336">
        <f>IFERROR(GETPIVOTDATA("[Measures].[mOldDenOS]",'Pivot Table Totals'!$A$79,"[Range 1].[State]","[Range 1].[State].&amp;[AR]"), " ")</f>
        <v>0</v>
      </c>
      <c r="AE53" s="336">
        <f>IFERROR(GETPIVOTDATA("[Measures].[mNewDenOS]",'Pivot Table Totals'!$A$79,"[Range 1].[State]","[Range 1].[State].&amp;[AR]"), " ")</f>
        <v>0</v>
      </c>
      <c r="AF53" s="46">
        <f>IFERROR(IF(AD53&gt;0,(((AE53-AD53)/AD53)*100),0), " ")</f>
        <v>0</v>
      </c>
      <c r="AG53" s="336">
        <f>IFERROR(GETPIVOTDATA("[Measures].[mOldPhrIS]",'Pivot Table Totals'!$A$79,"[Range 1].[State]","[Range 1].[State].&amp;[AR]"), " ")</f>
        <v>20938</v>
      </c>
      <c r="AH53" s="336">
        <f>IFERROR(GETPIVOTDATA("[Measures].[mNewPhIS]",'Pivot Table Totals'!$A$79,"[Range 1].[State]","[Range 1].[State].&amp;[AR]"), " ")</f>
        <v>20808</v>
      </c>
      <c r="AI53" s="46">
        <f>IFERROR(IF(AG53&gt;0,(((AH53-AG53)/AG53)*100),0), " ")</f>
        <v>-0.6208806953863788</v>
      </c>
      <c r="AJ53" s="336">
        <f>IFERROR(GETPIVOTDATA("[Measures].[mOldPhrOS]",'Pivot Table Totals'!$A$79,"[Range 1].[State]","[Range 1].[State].&amp;[AR]"), " ")</f>
        <v>40218</v>
      </c>
      <c r="AK53" s="336">
        <f>IFERROR(GETPIVOTDATA("[Measures].[mNewPhrOS]",'Pivot Table Totals'!$A$79,"[Range 1].[State]","[Range 1].[State].&amp;[AR]"), " ")</f>
        <v>40088</v>
      </c>
      <c r="AL53" s="46">
        <f>IFERROR(IF(AJ53&gt;0,(((AQ53-AJ53)/AJ53)*100),0), " ")</f>
        <v>-100</v>
      </c>
      <c r="AM53" s="336">
        <f>IFERROR(GETPIVOTDATA("[Measures].[mOldOptIS]",'Pivot Table Totals'!$A$79,"[Range 1].[State]","[Range 1].[State].&amp;[AR]"), " ")</f>
        <v>0</v>
      </c>
      <c r="AN53" s="336">
        <f>IFERROR(GETPIVOTDATA("[Measures].[mNewOptIS]",'Pivot Table Totals'!$A$79,"[Range 1].[State]","[Range 1].[State].&amp;[AR]"), " ")</f>
        <v>0</v>
      </c>
      <c r="AO53" s="46">
        <f>IFERROR(IF(AM53&gt;0,(((AN53-AM53)/AM53)*100),0), " ")</f>
        <v>0</v>
      </c>
      <c r="AP53" s="336">
        <f>IFERROR(GETPIVOTDATA("[Measures].[mOldOptoS]",'Pivot Table Totals'!$A$79,"[Range 1].[State]","[Range 1].[State].&amp;[AR]"), " ")</f>
        <v>0</v>
      </c>
      <c r="AQ53" s="336">
        <f>IFERROR(GETPIVOTDATA("[Measures].[mNewOptoS]",'Pivot Table Totals'!$A$79,"[Range 1].[State]","[Range 1].[State].&amp;[AR]"), " ")</f>
        <v>0</v>
      </c>
      <c r="AR53" s="46">
        <f>IFERROR(IF(AP53&gt;0,(((AQ53-AP53)/AP53)*100),0), " ")</f>
        <v>0</v>
      </c>
      <c r="AS53" s="336">
        <f>IFERROR(GETPIVOTDATA("[Measures].[mOldOstIS]",'Pivot Table Totals'!$A$79,"[Range 1].[State]","[Range 1].[State].&amp;[AR]"), " ")</f>
        <v>0</v>
      </c>
      <c r="AT53" s="336">
        <f>IFERROR(GETPIVOTDATA("[Measures].[mNewOstIS]",'Pivot Table Totals'!$A$79,"[Range 1].[State]","[Range 1].[State].&amp;[AR]"), " ")</f>
        <v>0</v>
      </c>
      <c r="AU53" s="46">
        <f>IFERROR(IF(AS53&gt;0,(((AT53-AS53)/AS53)*100),0), " ")</f>
        <v>0</v>
      </c>
      <c r="AV53" s="336">
        <f>IFERROR(GETPIVOTDATA("[Measures].[mOldOstOS]",'Pivot Table Totals'!$A$79,"[Range 1].[State]","[Range 1].[State].&amp;[AR]"), " ")</f>
        <v>0</v>
      </c>
      <c r="AW53" s="336">
        <f>IFERROR(GETPIVOTDATA("[Measures].[mNewOstOS]",'Pivot Table Totals'!$A$79,"[Range 1].[State]","[Range 1].[State].&amp;[AR]"), " ")</f>
        <v>0</v>
      </c>
      <c r="AX53" s="46">
        <f>IFERROR(IF(AV53&gt;0,(((AW53-AV53)/AV53)*100),0), " ")</f>
        <v>0</v>
      </c>
      <c r="AY53" s="336">
        <f>IFERROR(GETPIVOTDATA("[Measures].[m[OldVetIS]",'Pivot Table Totals'!$A$79,"[Range 1].[State]","[Range 1].[State].&amp;[AR]"), " ")</f>
        <v>0</v>
      </c>
      <c r="AZ53" s="336">
        <f>IFERROR(GETPIVOTDATA("[Measures].[mNewVetIS]",'Pivot Table Totals'!$A$79,"[Range 1].[State]","[Range 1].[State].&amp;[AR]"), " ")</f>
        <v>0</v>
      </c>
      <c r="BA53" s="46">
        <f>IFERROR(IF(AY53&gt;0,(((AZ53-AY53)/AY53)*100),0), " ")</f>
        <v>0</v>
      </c>
      <c r="BB53" s="336">
        <f>IFERROR(GETPIVOTDATA("[Measures].[mOldVetOS]",'Pivot Table Totals'!$A$79,"[Range 1].[State]","[Range 1].[State].&amp;[AR]"), " ")</f>
        <v>0</v>
      </c>
      <c r="BC53" s="336">
        <f>IFERROR(GETPIVOTDATA("[Measures].[mNewVetOS]",'Pivot Table Totals'!$A$79,"[Range 1].[State]","[Range 1].[State].&amp;[AR]"), " ")</f>
        <v>0</v>
      </c>
      <c r="BD53" s="46">
        <f>IFERROR(IF(BB53&gt;0,(((BC53-BB53)/BB53)*100),0), " ")</f>
        <v>0</v>
      </c>
    </row>
    <row r="54" spans="1:56">
      <c r="A54" s="18" t="s">
        <v>117</v>
      </c>
      <c r="B54" s="47" t="s">
        <v>544</v>
      </c>
      <c r="C54" s="20">
        <f>IFERROR(GETPIVOTDATA("[Measures].[mOldUGIS]",'Pivot Table Cats'!$A$3,"[Range 1].[State]","[Range 1].[State].&amp;[DE]","[Range 1].[Type]","[Range 1].[Type].&amp;[1]")," ")</f>
        <v>14660</v>
      </c>
      <c r="D54" s="20">
        <f>IFERROR(GETPIVOTDATA("[Measures].[mNewUGIS]",'Pivot Table Cats'!$A$3,"[Range 1].[State]","[Range 1].[State].&amp;[DE]","[Range 1].[Type]","[Range 1].[Type].&amp;[1]")," ")</f>
        <v>15020</v>
      </c>
      <c r="E54" s="21">
        <f>IFERROR(IF(C54&gt;0,(((D54-C54)/C54)*100),0), " ")</f>
        <v>2.4556616643929061</v>
      </c>
      <c r="F54" s="20">
        <f>IFERROR(GETPIVOTDATA("[Measures].[mOldUGOS]",'Pivot Table Cats'!$A$3,"[Range 1].[State]","[Range 1].[State].&amp;[DE]","[Range 1].[Type]","[Range 1].[Type].&amp;[1]")," ")</f>
        <v>36090</v>
      </c>
      <c r="G54" s="20">
        <f>IFERROR(GETPIVOTDATA("[Measures].[mNewUGOS]",'Pivot Table Cats'!$A$3,"[Range 1].[State]","[Range 1].[State].&amp;[DE]","[Range 1].[Type]","[Range 1].[Type].&amp;[1]")," ")</f>
        <v>36880</v>
      </c>
      <c r="H54" s="21">
        <f>IFERROR(IF(F54&gt;0,(((G54-F54)/F54)*100),0), " ")</f>
        <v>2.1889720144084235</v>
      </c>
      <c r="I54" s="20">
        <f>IFERROR(GETPIVOTDATA("[Measures].[mOldGIS]",'Pivot Table Cats'!$A$3,"[Range 1].[State]","[Range 1].[State].&amp;[DE]","[Range 1].[Type]","[Range 1].[Type].&amp;[1]")," ")</f>
        <v>35192</v>
      </c>
      <c r="J54" s="20">
        <f>IFERROR(GETPIVOTDATA("[Measures].[mNewGIS]",'Pivot Table Cats'!$A$3,"[Range 1].[State]","[Range 1].[State].&amp;[DE]","[Range 1].[Type]","[Range 1].[Type].&amp;[1]")," ")</f>
        <v>18128</v>
      </c>
      <c r="K54" s="21">
        <f>IFERROR(IF(I54&gt;0,(((J54-I54)/I54)*100),0), " ")</f>
        <v>-48.488292793816775</v>
      </c>
      <c r="L54" s="20">
        <f>IFERROR(GETPIVOTDATA("[Measures].[mOldGOS]",'Pivot Table Cats'!$A$3,"[Range 1].[State]","[Range 1].[State].&amp;[DE]","[Range 1].[Type]","[Range 1].[Type].&amp;[1]")," ")</f>
        <v>35192</v>
      </c>
      <c r="M54" s="20">
        <f>IFERROR(GETPIVOTDATA("[Measures].[mNewGOS]",'Pivot Table Cats'!$A$3,"[Range 1].[State]","[Range 1].[State].&amp;[DE]","[Range 1].[Type]","[Range 1].[Type].&amp;[1]")," ")</f>
        <v>18128</v>
      </c>
      <c r="N54" s="21">
        <f>IFERROR(IF(L54&gt;0,(((M54-L54)/L54)*100),0), " ")</f>
        <v>-48.488292793816775</v>
      </c>
      <c r="O54" s="25"/>
      <c r="P54" s="26"/>
      <c r="Q54" s="27"/>
      <c r="R54" s="25"/>
      <c r="S54" s="26"/>
      <c r="T54" s="27"/>
      <c r="U54" s="25"/>
      <c r="V54" s="26"/>
      <c r="W54" s="27"/>
      <c r="X54" s="25"/>
      <c r="Y54" s="26"/>
      <c r="Z54" s="27"/>
      <c r="AA54" s="25"/>
      <c r="AB54" s="26"/>
      <c r="AC54" s="27"/>
      <c r="AD54" s="25"/>
      <c r="AE54" s="26"/>
      <c r="AF54" s="27"/>
      <c r="AG54" s="25"/>
      <c r="AH54" s="26"/>
      <c r="AI54" s="27"/>
      <c r="AJ54" s="25"/>
      <c r="AK54" s="26"/>
      <c r="AL54" s="27"/>
      <c r="AM54" s="25"/>
      <c r="AN54" s="26"/>
      <c r="AO54" s="27"/>
      <c r="AP54" s="25"/>
      <c r="AQ54" s="26"/>
      <c r="AR54" s="27"/>
      <c r="AS54" s="25"/>
      <c r="AT54" s="26"/>
      <c r="AU54" s="27"/>
      <c r="AV54" s="25"/>
      <c r="AW54" s="26"/>
      <c r="AX54" s="27"/>
      <c r="AY54" s="25"/>
      <c r="AZ54" s="26"/>
      <c r="BA54" s="27"/>
      <c r="BB54" s="25"/>
      <c r="BC54" s="26"/>
      <c r="BD54" s="27"/>
    </row>
    <row r="55" spans="1:56">
      <c r="A55" s="28"/>
      <c r="B55" s="19" t="s">
        <v>545</v>
      </c>
      <c r="C55" s="20" t="str">
        <f>IFERROR(GETPIVOTDATA("[Measures].[mOldUGIS]",'Pivot Table Cats'!$A$3,"[Range 1].[State]","[Range 1].[State].&amp;[DE]","[Range 1].[Type]","[Range 1].[Type].&amp;[2]")," ")</f>
        <v xml:space="preserve"> </v>
      </c>
      <c r="D55" s="20" t="str">
        <f>IFERROR(GETPIVOTDATA("[Measures].[mNewUGIS]",'Pivot Table Cats'!$A$3,"[Range 1].[State]","[Range 1].[State].&amp;[DE]","[Range 1].[Type]","[Range 1].[Type].&amp;[2]")," ")</f>
        <v xml:space="preserve"> </v>
      </c>
      <c r="E55" s="21" t="str">
        <f t="shared" ref="E55:E69" si="12">IFERROR(IF(C55&gt;0,(((D55-C55)/C55)*100),0), " ")</f>
        <v xml:space="preserve"> </v>
      </c>
      <c r="F55" s="20" t="str">
        <f>IFERROR(GETPIVOTDATA("[Measures].[mOldUGOS]",'Pivot Table Cats'!$A$3,"[Range 1].[State]","[Range 1].[State].&amp;[DE]","[Range 1].[Type]","[Range 1].[Type].&amp;[2]")," ")</f>
        <v xml:space="preserve"> </v>
      </c>
      <c r="G55" s="20" t="str">
        <f>IFERROR(GETPIVOTDATA("[Measures].[mNewUGOS]",'Pivot Table Cats'!$A$3,"[Range 1].[State]","[Range 1].[State].&amp;[DE]","[Range 1].[Type]","[Range 1].[Type].&amp;[2]")," ")</f>
        <v xml:space="preserve"> </v>
      </c>
      <c r="H55" s="21" t="str">
        <f t="shared" ref="H55:H69" si="13">IFERROR(IF(F55&gt;0,(((G55-F55)/F55)*100),0), " ")</f>
        <v xml:space="preserve"> </v>
      </c>
      <c r="I55" s="20" t="str">
        <f>IFERROR(GETPIVOTDATA("[Measures].[mOldGIS]",'Pivot Table Cats'!$A$3,"[Range 1].[State]","[Range 1].[State].&amp;[DE]","[Range 1].[Type]","[Range 1].[Type].&amp;[2]")," ")</f>
        <v xml:space="preserve"> </v>
      </c>
      <c r="J55" s="20" t="str">
        <f>IFERROR(GETPIVOTDATA("[Measures].[mNewGIS]",'Pivot Table Cats'!$A$3,"[Range 1].[State]","[Range 1].[State].&amp;[DE]","[Range 1].[Type]","[Range 1].[Type].&amp;[2]")," ")</f>
        <v xml:space="preserve"> </v>
      </c>
      <c r="K55" s="21" t="str">
        <f t="shared" ref="K55:K69" si="14">IFERROR(IF(I55&gt;0,(((J55-I55)/I55)*100),0), " ")</f>
        <v xml:space="preserve"> </v>
      </c>
      <c r="L55" s="20" t="str">
        <f>IFERROR(GETPIVOTDATA("[Measures].[mOldGOS]",'Pivot Table Cats'!$A$3,"[Range 1].[State]","[Range 1].[State].&amp;[DE]","[Range 1].[Type]","[Range 1].[Type].&amp;[2]")," ")</f>
        <v xml:space="preserve"> </v>
      </c>
      <c r="M55" s="20" t="str">
        <f>IFERROR(GETPIVOTDATA("[Measures].[mNewGOS]",'Pivot Table Cats'!$A$3,"[Range 1].[State]","[Range 1].[State].&amp;[DE]","[Range 1].[Type]","[Range 1].[Type].&amp;[2]")," ")</f>
        <v xml:space="preserve"> </v>
      </c>
      <c r="N55" s="21" t="str">
        <f t="shared" ref="N55:N69" si="15">IFERROR(IF(L55&gt;0,(((M55-L55)/L55)*100),0), " ")</f>
        <v xml:space="preserve"> </v>
      </c>
      <c r="O55" s="25"/>
      <c r="P55" s="26"/>
      <c r="Q55" s="27"/>
      <c r="R55" s="25"/>
      <c r="S55" s="26"/>
      <c r="T55" s="27"/>
      <c r="U55" s="25"/>
      <c r="V55" s="26"/>
      <c r="W55" s="27"/>
      <c r="X55" s="25"/>
      <c r="Y55" s="26"/>
      <c r="Z55" s="27"/>
      <c r="AA55" s="25"/>
      <c r="AB55" s="26"/>
      <c r="AC55" s="27"/>
      <c r="AD55" s="25"/>
      <c r="AE55" s="26"/>
      <c r="AF55" s="27"/>
      <c r="AG55" s="25"/>
      <c r="AH55" s="26"/>
      <c r="AI55" s="27"/>
      <c r="AJ55" s="25"/>
      <c r="AK55" s="26"/>
      <c r="AL55" s="27"/>
      <c r="AM55" s="25"/>
      <c r="AN55" s="26"/>
      <c r="AO55" s="27"/>
      <c r="AP55" s="25"/>
      <c r="AQ55" s="26"/>
      <c r="AR55" s="27"/>
      <c r="AS55" s="25"/>
      <c r="AT55" s="26"/>
      <c r="AU55" s="27"/>
      <c r="AV55" s="25"/>
      <c r="AW55" s="26"/>
      <c r="AX55" s="27"/>
      <c r="AY55" s="25"/>
      <c r="AZ55" s="26"/>
      <c r="BA55" s="27"/>
      <c r="BB55" s="25"/>
      <c r="BC55" s="26"/>
      <c r="BD55" s="27"/>
    </row>
    <row r="56" spans="1:56">
      <c r="A56" s="28"/>
      <c r="B56" s="19" t="s">
        <v>546</v>
      </c>
      <c r="C56" s="20">
        <f>IFERROR(GETPIVOTDATA("[Measures].[mOldUGIS]",'Pivot Table Cats'!$A$3,"[Range 1].[State]","[Range 1].[State].&amp;[DE]","[Range 1].[Type]","[Range 1].[Type].&amp;[3]")," ")</f>
        <v>8358</v>
      </c>
      <c r="D56" s="20">
        <f>IFERROR(GETPIVOTDATA("[Measures].[mNewUGIS]",'Pivot Table Cats'!$A$3,"[Range 1].[State]","[Range 1].[State].&amp;[DE]","[Range 1].[Type]","[Range 1].[Type].&amp;[3]")," ")</f>
        <v>8358</v>
      </c>
      <c r="E56" s="21">
        <f t="shared" si="12"/>
        <v>0</v>
      </c>
      <c r="F56" s="20">
        <f>IFERROR(GETPIVOTDATA("[Measures].[mOldUGOS]",'Pivot Table Cats'!$A$3,"[Range 1].[State]","[Range 1].[State].&amp;[DE]","[Range 1].[Type]","[Range 1].[Type].&amp;[3]")," ")</f>
        <v>18280</v>
      </c>
      <c r="G56" s="20">
        <f>IFERROR(GETPIVOTDATA("[Measures].[mNewUGOS]",'Pivot Table Cats'!$A$3,"[Range 1].[State]","[Range 1].[State].&amp;[DE]","[Range 1].[Type]","[Range 1].[Type].&amp;[3]")," ")</f>
        <v>18280</v>
      </c>
      <c r="H56" s="21">
        <f t="shared" si="13"/>
        <v>0</v>
      </c>
      <c r="I56" s="20">
        <f>IFERROR(GETPIVOTDATA("[Measures].[mOldGIS]",'Pivot Table Cats'!$A$3,"[Range 1].[State]","[Range 1].[State].&amp;[DE]","[Range 1].[Type]","[Range 1].[Type].&amp;[3]")," ")</f>
        <v>5510</v>
      </c>
      <c r="J56" s="20">
        <f>IFERROR(GETPIVOTDATA("[Measures].[mNewGIS]",'Pivot Table Cats'!$A$3,"[Range 1].[State]","[Range 1].[State].&amp;[DE]","[Range 1].[Type]","[Range 1].[Type].&amp;[3]")," ")</f>
        <v>5510</v>
      </c>
      <c r="K56" s="21">
        <f t="shared" si="14"/>
        <v>0</v>
      </c>
      <c r="L56" s="20">
        <f>IFERROR(GETPIVOTDATA("[Measures].[mOldGOS]",'Pivot Table Cats'!$A$3,"[Range 1].[State]","[Range 1].[State].&amp;[DE]","[Range 1].[Type]","[Range 1].[Type].&amp;[3]")," ")</f>
        <v>11726</v>
      </c>
      <c r="M56" s="20">
        <f>IFERROR(GETPIVOTDATA("[Measures].[mNewGOS]",'Pivot Table Cats'!$A$3,"[Range 1].[State]","[Range 1].[State].&amp;[DE]","[Range 1].[Type]","[Range 1].[Type].&amp;[3]")," ")</f>
        <v>11726</v>
      </c>
      <c r="N56" s="21">
        <f t="shared" si="15"/>
        <v>0</v>
      </c>
      <c r="O56" s="25"/>
      <c r="P56" s="26"/>
      <c r="Q56" s="27"/>
      <c r="R56" s="25"/>
      <c r="S56" s="26"/>
      <c r="T56" s="27"/>
      <c r="U56" s="25"/>
      <c r="V56" s="26"/>
      <c r="W56" s="27"/>
      <c r="X56" s="25"/>
      <c r="Y56" s="26"/>
      <c r="Z56" s="27"/>
      <c r="AA56" s="25"/>
      <c r="AB56" s="26"/>
      <c r="AC56" s="27"/>
      <c r="AD56" s="25"/>
      <c r="AE56" s="26"/>
      <c r="AF56" s="27"/>
      <c r="AG56" s="25"/>
      <c r="AH56" s="26"/>
      <c r="AI56" s="27"/>
      <c r="AJ56" s="25"/>
      <c r="AK56" s="26"/>
      <c r="AL56" s="27"/>
      <c r="AM56" s="25"/>
      <c r="AN56" s="26"/>
      <c r="AO56" s="27"/>
      <c r="AP56" s="25"/>
      <c r="AQ56" s="26"/>
      <c r="AR56" s="27"/>
      <c r="AS56" s="25"/>
      <c r="AT56" s="26"/>
      <c r="AU56" s="27"/>
      <c r="AV56" s="25"/>
      <c r="AW56" s="26"/>
      <c r="AX56" s="27"/>
      <c r="AY56" s="25"/>
      <c r="AZ56" s="26"/>
      <c r="BA56" s="27"/>
      <c r="BB56" s="25"/>
      <c r="BC56" s="26"/>
      <c r="BD56" s="27"/>
    </row>
    <row r="57" spans="1:56">
      <c r="A57" s="28"/>
      <c r="B57" s="19" t="s">
        <v>547</v>
      </c>
      <c r="C57" s="20" t="str">
        <f>IFERROR(GETPIVOTDATA("[Measures].[mOldUGIS]",'Pivot Table Cats'!$A$3,"[Range 1].[State]","[Range 1].[State].&amp;[DE]","[Range 1].[Type]","[Range 1].[Type].&amp;[4]")," ")</f>
        <v xml:space="preserve"> </v>
      </c>
      <c r="D57" s="20" t="str">
        <f>IFERROR(GETPIVOTDATA("[Measures].[mNewUGIS]",'Pivot Table Cats'!$A$3,"[Range 1].[State]","[Range 1].[State].&amp;[DE]","[Range 1].[Type]","[Range 1].[Type].&amp;[4]")," ")</f>
        <v xml:space="preserve"> </v>
      </c>
      <c r="E57" s="21" t="str">
        <f t="shared" si="12"/>
        <v xml:space="preserve"> </v>
      </c>
      <c r="F57" s="20" t="str">
        <f>IFERROR(GETPIVOTDATA("[Measures].[mOldUGOS]",'Pivot Table Cats'!$A$3,"[Range 1].[State]","[Range 1].[State].&amp;[DE]","[Range 1].[Type]","[Range 1].[Type].&amp;[4]")," ")</f>
        <v xml:space="preserve"> </v>
      </c>
      <c r="G57" s="20" t="str">
        <f>IFERROR(GETPIVOTDATA("[Measures].[mNewUGOS]",'Pivot Table Cats'!$A$3,"[Range 1].[State]","[Range 1].[State].&amp;[DE]","[Range 1].[Type]","[Range 1].[Type].&amp;[4]")," ")</f>
        <v xml:space="preserve"> </v>
      </c>
      <c r="H57" s="21" t="str">
        <f t="shared" si="13"/>
        <v xml:space="preserve"> </v>
      </c>
      <c r="I57" s="20" t="str">
        <f>IFERROR(GETPIVOTDATA("[Measures].[mOldGIS]",'Pivot Table Cats'!$A$3,"[Range 1].[State]","[Range 1].[State].&amp;[DE]","[Range 1].[Type]","[Range 1].[Type].&amp;[4]")," ")</f>
        <v xml:space="preserve"> </v>
      </c>
      <c r="J57" s="20" t="str">
        <f>IFERROR(GETPIVOTDATA("[Measures].[mNewGIS]",'Pivot Table Cats'!$A$3,"[Range 1].[State]","[Range 1].[State].&amp;[DE]","[Range 1].[Type]","[Range 1].[Type].&amp;[4]")," ")</f>
        <v xml:space="preserve"> </v>
      </c>
      <c r="K57" s="21" t="str">
        <f t="shared" si="14"/>
        <v xml:space="preserve"> </v>
      </c>
      <c r="L57" s="20" t="str">
        <f>IFERROR(GETPIVOTDATA("[Measures].[mOldGOS]",'Pivot Table Cats'!$A$3,"[Range 1].[State]","[Range 1].[State].&amp;[DE]","[Range 1].[Type]","[Range 1].[Type].&amp;[4]")," ")</f>
        <v xml:space="preserve"> </v>
      </c>
      <c r="M57" s="20" t="str">
        <f>IFERROR(GETPIVOTDATA("[Measures].[mNewGOS]",'Pivot Table Cats'!$A$3,"[Range 1].[State]","[Range 1].[State].&amp;[DE]","[Range 1].[Type]","[Range 1].[Type].&amp;[4]")," ")</f>
        <v xml:space="preserve"> </v>
      </c>
      <c r="N57" s="21" t="str">
        <f t="shared" si="15"/>
        <v xml:space="preserve"> </v>
      </c>
      <c r="O57" s="25"/>
      <c r="P57" s="26"/>
      <c r="Q57" s="27"/>
      <c r="R57" s="25"/>
      <c r="S57" s="26"/>
      <c r="T57" s="27"/>
      <c r="U57" s="25"/>
      <c r="V57" s="26"/>
      <c r="W57" s="27"/>
      <c r="X57" s="25"/>
      <c r="Y57" s="26"/>
      <c r="Z57" s="27"/>
      <c r="AA57" s="25"/>
      <c r="AB57" s="26"/>
      <c r="AC57" s="27"/>
      <c r="AD57" s="25"/>
      <c r="AE57" s="26"/>
      <c r="AF57" s="27"/>
      <c r="AG57" s="25"/>
      <c r="AH57" s="26"/>
      <c r="AI57" s="27"/>
      <c r="AJ57" s="25"/>
      <c r="AK57" s="26"/>
      <c r="AL57" s="27"/>
      <c r="AM57" s="25"/>
      <c r="AN57" s="26"/>
      <c r="AO57" s="27"/>
      <c r="AP57" s="25"/>
      <c r="AQ57" s="26"/>
      <c r="AR57" s="27"/>
      <c r="AS57" s="25"/>
      <c r="AT57" s="26"/>
      <c r="AU57" s="27"/>
      <c r="AV57" s="25"/>
      <c r="AW57" s="26"/>
      <c r="AX57" s="27"/>
      <c r="AY57" s="25"/>
      <c r="AZ57" s="26"/>
      <c r="BA57" s="27"/>
      <c r="BB57" s="25"/>
      <c r="BC57" s="26"/>
      <c r="BD57" s="27"/>
    </row>
    <row r="58" spans="1:56">
      <c r="A58" s="28"/>
      <c r="B58" s="19" t="s">
        <v>548</v>
      </c>
      <c r="C58" s="20" t="str">
        <f>IFERROR(GETPIVOTDATA("[Measures].[mOldUGIS]",'Pivot Table Cats'!$A$3,"[Range 1].[State]","[Range 1].[State].&amp;[DE]","[Range 1].[Type]","[Range 1].[Type].&amp;[5]")," ")</f>
        <v xml:space="preserve"> </v>
      </c>
      <c r="D58" s="20" t="str">
        <f>IFERROR(GETPIVOTDATA("[Measures].[mNewUGIS]",'Pivot Table Cats'!$A$3,"[Range 1].[State]","[Range 1].[State].&amp;[DE]","[Range 1].[Type]","[Range 1].[Type].&amp;[5]")," ")</f>
        <v xml:space="preserve"> </v>
      </c>
      <c r="E58" s="21" t="str">
        <f t="shared" si="12"/>
        <v xml:space="preserve"> </v>
      </c>
      <c r="F58" s="20" t="str">
        <f>IFERROR(GETPIVOTDATA("[Measures].[mOldUGOS]",'Pivot Table Cats'!$A$3,"[Range 1].[State]","[Range 1].[State].&amp;[DE]","[Range 1].[Type]","[Range 1].[Type].&amp;[5]")," ")</f>
        <v xml:space="preserve"> </v>
      </c>
      <c r="G58" s="20" t="str">
        <f>IFERROR(GETPIVOTDATA("[Measures].[mNewUGOS]",'Pivot Table Cats'!$A$3,"[Range 1].[State]","[Range 1].[State].&amp;[DE]","[Range 1].[Type]","[Range 1].[Type].&amp;[5]")," ")</f>
        <v xml:space="preserve"> </v>
      </c>
      <c r="H58" s="21" t="str">
        <f t="shared" si="13"/>
        <v xml:space="preserve"> </v>
      </c>
      <c r="I58" s="20" t="str">
        <f>IFERROR(GETPIVOTDATA("[Measures].[mOldGIS]",'Pivot Table Cats'!$A$3,"[Range 1].[State]","[Range 1].[State].&amp;[DE]","[Range 1].[Type]","[Range 1].[Type].&amp;[5]")," ")</f>
        <v xml:space="preserve"> </v>
      </c>
      <c r="J58" s="20" t="str">
        <f>IFERROR(GETPIVOTDATA("[Measures].[mNewGIS]",'Pivot Table Cats'!$A$3,"[Range 1].[State]","[Range 1].[State].&amp;[DE]","[Range 1].[Type]","[Range 1].[Type].&amp;[5]")," ")</f>
        <v xml:space="preserve"> </v>
      </c>
      <c r="K58" s="21" t="str">
        <f t="shared" si="14"/>
        <v xml:space="preserve"> </v>
      </c>
      <c r="L58" s="20" t="str">
        <f>IFERROR(GETPIVOTDATA("[Measures].[mOldGOS]",'Pivot Table Cats'!$A$3,"[Range 1].[State]","[Range 1].[State].&amp;[DE]","[Range 1].[Type]","[Range 1].[Type].&amp;[5]")," ")</f>
        <v xml:space="preserve"> </v>
      </c>
      <c r="M58" s="20" t="str">
        <f>IFERROR(GETPIVOTDATA("[Measures].[mNewGOS]",'Pivot Table Cats'!$A$3,"[Range 1].[State]","[Range 1].[State].&amp;[DE]","[Range 1].[Type]","[Range 1].[Type].&amp;[5]")," ")</f>
        <v xml:space="preserve"> </v>
      </c>
      <c r="N58" s="21" t="str">
        <f t="shared" si="15"/>
        <v xml:space="preserve"> </v>
      </c>
      <c r="O58" s="25"/>
      <c r="P58" s="26"/>
      <c r="Q58" s="27"/>
      <c r="R58" s="25"/>
      <c r="S58" s="26"/>
      <c r="T58" s="27"/>
      <c r="U58" s="25"/>
      <c r="V58" s="26"/>
      <c r="W58" s="27"/>
      <c r="X58" s="25"/>
      <c r="Y58" s="26"/>
      <c r="Z58" s="27"/>
      <c r="AA58" s="25"/>
      <c r="AB58" s="26"/>
      <c r="AC58" s="27"/>
      <c r="AD58" s="25"/>
      <c r="AE58" s="26"/>
      <c r="AF58" s="27"/>
      <c r="AG58" s="25"/>
      <c r="AH58" s="26"/>
      <c r="AI58" s="27"/>
      <c r="AJ58" s="25"/>
      <c r="AK58" s="26"/>
      <c r="AL58" s="27"/>
      <c r="AM58" s="25"/>
      <c r="AN58" s="26"/>
      <c r="AO58" s="27"/>
      <c r="AP58" s="25"/>
      <c r="AQ58" s="26"/>
      <c r="AR58" s="27"/>
      <c r="AS58" s="25"/>
      <c r="AT58" s="26"/>
      <c r="AU58" s="27"/>
      <c r="AV58" s="25"/>
      <c r="AW58" s="26"/>
      <c r="AX58" s="27"/>
      <c r="AY58" s="25"/>
      <c r="AZ58" s="26"/>
      <c r="BA58" s="27"/>
      <c r="BB58" s="25"/>
      <c r="BC58" s="26"/>
      <c r="BD58" s="27"/>
    </row>
    <row r="59" spans="1:56">
      <c r="A59" s="28"/>
      <c r="B59" s="19" t="s">
        <v>549</v>
      </c>
      <c r="C59" s="20" t="str">
        <f>IFERROR(GETPIVOTDATA("[Measures].[mOldUGIS]",'Pivot Table Cats'!$A$3,"[Range 1].[State]","[Range 1].[State].&amp;[DE]","[Range 1].[Type]","[Range 1].[Type].&amp;[6]")," ")</f>
        <v xml:space="preserve"> </v>
      </c>
      <c r="D59" s="20" t="str">
        <f>IFERROR(GETPIVOTDATA("[Measures].[mNewUGIS]",'Pivot Table Cats'!$A$3,"[Range 1].[State]","[Range 1].[State].&amp;[DE]","[Range 1].[Type]","[Range 1].[Type].&amp;[6]")," ")</f>
        <v xml:space="preserve"> </v>
      </c>
      <c r="E59" s="21" t="str">
        <f t="shared" si="12"/>
        <v xml:space="preserve"> </v>
      </c>
      <c r="F59" s="20" t="str">
        <f>IFERROR(GETPIVOTDATA("[Measures].[mOldUGOS]",'Pivot Table Cats'!$A$3,"[Range 1].[State]","[Range 1].[State].&amp;[DE]","[Range 1].[Type]","[Range 1].[Type].&amp;[6]")," ")</f>
        <v xml:space="preserve"> </v>
      </c>
      <c r="G59" s="20" t="str">
        <f>IFERROR(GETPIVOTDATA("[Measures].[mNewUGOS]",'Pivot Table Cats'!$A$3,"[Range 1].[State]","[Range 1].[State].&amp;[DE]","[Range 1].[Type]","[Range 1].[Type].&amp;[6]")," ")</f>
        <v xml:space="preserve"> </v>
      </c>
      <c r="H59" s="21" t="str">
        <f t="shared" si="13"/>
        <v xml:space="preserve"> </v>
      </c>
      <c r="I59" s="20" t="str">
        <f>IFERROR(GETPIVOTDATA("[Measures].[mOldGIS]",'Pivot Table Cats'!$A$3,"[Range 1].[State]","[Range 1].[State].&amp;[DE]","[Range 1].[Type]","[Range 1].[Type].&amp;[6]")," ")</f>
        <v xml:space="preserve"> </v>
      </c>
      <c r="J59" s="20" t="str">
        <f>IFERROR(GETPIVOTDATA("[Measures].[mNewGIS]",'Pivot Table Cats'!$A$3,"[Range 1].[State]","[Range 1].[State].&amp;[DE]","[Range 1].[Type]","[Range 1].[Type].&amp;[6]")," ")</f>
        <v xml:space="preserve"> </v>
      </c>
      <c r="K59" s="21" t="str">
        <f t="shared" si="14"/>
        <v xml:space="preserve"> </v>
      </c>
      <c r="L59" s="20" t="str">
        <f>IFERROR(GETPIVOTDATA("[Measures].[mOldGOS]",'Pivot Table Cats'!$A$3,"[Range 1].[State]","[Range 1].[State].&amp;[DE]","[Range 1].[Type]","[Range 1].[Type].&amp;[6]")," ")</f>
        <v xml:space="preserve"> </v>
      </c>
      <c r="M59" s="20" t="str">
        <f>IFERROR(GETPIVOTDATA("[Measures].[mNewGOS]",'Pivot Table Cats'!$A$3,"[Range 1].[State]","[Range 1].[State].&amp;[DE]","[Range 1].[Type]","[Range 1].[Type].&amp;[6]")," ")</f>
        <v xml:space="preserve"> </v>
      </c>
      <c r="N59" s="21" t="str">
        <f t="shared" si="15"/>
        <v xml:space="preserve"> </v>
      </c>
      <c r="O59" s="25"/>
      <c r="P59" s="26"/>
      <c r="Q59" s="27"/>
      <c r="R59" s="25"/>
      <c r="S59" s="26"/>
      <c r="T59" s="27"/>
      <c r="U59" s="25"/>
      <c r="V59" s="26"/>
      <c r="W59" s="27"/>
      <c r="X59" s="25"/>
      <c r="Y59" s="26"/>
      <c r="Z59" s="27"/>
      <c r="AA59" s="25"/>
      <c r="AB59" s="26"/>
      <c r="AC59" s="27"/>
      <c r="AD59" s="25"/>
      <c r="AE59" s="26"/>
      <c r="AF59" s="27"/>
      <c r="AG59" s="25"/>
      <c r="AH59" s="26"/>
      <c r="AI59" s="27"/>
      <c r="AJ59" s="25"/>
      <c r="AK59" s="26"/>
      <c r="AL59" s="27"/>
      <c r="AM59" s="25"/>
      <c r="AN59" s="26"/>
      <c r="AO59" s="27"/>
      <c r="AP59" s="25"/>
      <c r="AQ59" s="26"/>
      <c r="AR59" s="27"/>
      <c r="AS59" s="25"/>
      <c r="AT59" s="26"/>
      <c r="AU59" s="27"/>
      <c r="AV59" s="25"/>
      <c r="AW59" s="26"/>
      <c r="AX59" s="27"/>
      <c r="AY59" s="25"/>
      <c r="AZ59" s="26"/>
      <c r="BA59" s="27"/>
      <c r="BB59" s="25"/>
      <c r="BC59" s="26"/>
      <c r="BD59" s="27"/>
    </row>
    <row r="60" spans="1:56" s="39" customFormat="1" ht="19.5" customHeight="1">
      <c r="A60" s="29"/>
      <c r="B60" s="30" t="s">
        <v>550</v>
      </c>
      <c r="C60" s="31">
        <f>IFERROR(GETPIVOTDATA("[Measures].[mOldUGIS]",'Pivot Table Totals'!$A$4,"[Range 1].[State]","[Range 1].[State].&amp;[DE]"), " ")</f>
        <v>11509</v>
      </c>
      <c r="D60" s="31">
        <f>IFERROR(GETPIVOTDATA("[Measures].[mNewUGIS]",'Pivot Table Totals'!$A$4,"[Range 1].[State]","[Range 1].[State].&amp;[DE]"), " ")</f>
        <v>11689</v>
      </c>
      <c r="E60" s="21">
        <f t="shared" si="12"/>
        <v>1.563993396472326</v>
      </c>
      <c r="F60" s="31">
        <f>IFERROR(GETPIVOTDATA("[Measures].[mOldUGOS]",'Pivot Table Totals'!$A$4,"[Range 1].[State]","[Range 1].[State].&amp;[DE]"), " ")</f>
        <v>27185</v>
      </c>
      <c r="G60" s="31">
        <f>IFERROR(GETPIVOTDATA("[Measures].[mNewUGOS]",'Pivot Table Totals'!$A$4,"[Range 1].[State]","[Range 1].[State].&amp;[DE]"), " ")</f>
        <v>27580</v>
      </c>
      <c r="H60" s="21">
        <f t="shared" si="13"/>
        <v>1.453007173073386</v>
      </c>
      <c r="I60" s="31">
        <f>IFERROR(GETPIVOTDATA("[Measures].[mOldGIS]",'Pivot Table Totals'!$A$4,"[Range 1].[State]","[Range 1].[State].&amp;[DE]"), " ")</f>
        <v>20351</v>
      </c>
      <c r="J60" s="31">
        <f>IFERROR(GETPIVOTDATA("[Measures].[mNewGIS]",'Pivot Table Totals'!$A$4,"[Range 1].[State]","[Range 1].[State].&amp;[DE]"), " ")</f>
        <v>11819</v>
      </c>
      <c r="K60" s="21">
        <f t="shared" si="14"/>
        <v>-41.924229767578993</v>
      </c>
      <c r="L60" s="31">
        <f>IFERROR(GETPIVOTDATA("[Measures].[mOldGOS]",'Pivot Table Totals'!$A$4,"[Range 1].[State]","[Range 1].[State].&amp;[DE]"), " ")</f>
        <v>23459</v>
      </c>
      <c r="M60" s="31">
        <f>IFERROR(GETPIVOTDATA("[Measures].[mNewGOS]",'Pivot Table Totals'!$A$4,"[Range 1].[State]","[Range 1].[State].&amp;[DE]"), " ")</f>
        <v>14927</v>
      </c>
      <c r="N60" s="21">
        <f>IFERROR(IF(L60&gt;0,(((M60-L60)/L60)*100),0), "  ")</f>
        <v>-36.369836736433783</v>
      </c>
      <c r="O60" s="36"/>
      <c r="P60" s="37"/>
      <c r="Q60" s="38"/>
      <c r="R60" s="36"/>
      <c r="S60" s="37"/>
      <c r="T60" s="38"/>
      <c r="U60" s="36"/>
      <c r="V60" s="37"/>
      <c r="W60" s="38"/>
      <c r="X60" s="36"/>
      <c r="Y60" s="37"/>
      <c r="Z60" s="38"/>
      <c r="AA60" s="36"/>
      <c r="AB60" s="37"/>
      <c r="AC60" s="38"/>
      <c r="AD60" s="36"/>
      <c r="AE60" s="37"/>
      <c r="AF60" s="38"/>
      <c r="AG60" s="36"/>
      <c r="AH60" s="37"/>
      <c r="AI60" s="38"/>
      <c r="AJ60" s="36"/>
      <c r="AK60" s="37"/>
      <c r="AL60" s="38"/>
      <c r="AM60" s="36"/>
      <c r="AN60" s="37"/>
      <c r="AO60" s="38"/>
      <c r="AP60" s="36"/>
      <c r="AQ60" s="37"/>
      <c r="AR60" s="38"/>
      <c r="AS60" s="36"/>
      <c r="AT60" s="37"/>
      <c r="AU60" s="38"/>
      <c r="AV60" s="36"/>
      <c r="AW60" s="37"/>
      <c r="AX60" s="38"/>
      <c r="AY60" s="36"/>
      <c r="AZ60" s="37"/>
      <c r="BA60" s="38"/>
      <c r="BB60" s="36"/>
      <c r="BC60" s="37"/>
      <c r="BD60" s="38"/>
    </row>
    <row r="61" spans="1:56">
      <c r="A61" s="28"/>
      <c r="B61" s="19" t="s">
        <v>551</v>
      </c>
      <c r="C61" s="20">
        <f>IFERROR(GETPIVOTDATA("[Measures].[mOldUGIS]",'Pivot Table Cats'!$A$3,"[Range 1].[State]","[Range 1].[State].&amp;[DE]","[Range 1].[Type]","[Range 1].[Type].&amp;[7]")," ")</f>
        <v>4945</v>
      </c>
      <c r="D61" s="20">
        <f>IFERROR(GETPIVOTDATA("[Measures].[mNewUGIS]",'Pivot Table Cats'!$A$3,"[Range 1].[State]","[Range 1].[State].&amp;[DE]","[Range 1].[Type]","[Range 1].[Type].&amp;[7]")," ")</f>
        <v>4945</v>
      </c>
      <c r="E61" s="21">
        <f t="shared" si="12"/>
        <v>0</v>
      </c>
      <c r="F61" s="20">
        <f>IFERROR(GETPIVOTDATA("[Measures].[mOldUGOS]",'Pivot Table Cats'!$A$3,"[Range 1].[State]","[Range 1].[State].&amp;[DE]","[Range 1].[Type]","[Range 1].[Type].&amp;[7]")," ")</f>
        <v>11808</v>
      </c>
      <c r="G61" s="20">
        <f>IFERROR(GETPIVOTDATA("[Measures].[mNewUGOS]",'Pivot Table Cats'!$A$3,"[Range 1].[State]","[Range 1].[State].&amp;[DE]","[Range 1].[Type]","[Range 1].[Type].&amp;[7]")," ")</f>
        <v>11808</v>
      </c>
      <c r="H61" s="21">
        <f t="shared" si="13"/>
        <v>0</v>
      </c>
      <c r="I61" s="20">
        <f>IFERROR(GETPIVOTDATA("[Measures].[mOldGIS]",'Pivot Table Cats'!$A$3,"[Range 1].[State]","[Range 1].[State].&amp;[DE]","[Range 1].[Type]","[Range 1].[Type].&amp;[7]")," ")</f>
        <v>0</v>
      </c>
      <c r="J61" s="20">
        <f>IFERROR(GETPIVOTDATA("[Measures].[mNewGIS]",'Pivot Table Cats'!$A$3,"[Range 1].[State]","[Range 1].[State].&amp;[DE]","[Range 1].[Type]","[Range 1].[Type].&amp;[7]")," ")</f>
        <v>0</v>
      </c>
      <c r="K61" s="21">
        <f t="shared" si="14"/>
        <v>0</v>
      </c>
      <c r="L61" s="20">
        <f>IFERROR(GETPIVOTDATA("[Measures].[mOldGIS]",'Pivot Table Cats'!$A$3,"[Range 1].[State]","[Range 1].[State].&amp;[DE]","[Range 1].[Type]","[Range 1].[Type].&amp;[7]")," ")</f>
        <v>0</v>
      </c>
      <c r="M61" s="20">
        <f>IFERROR(GETPIVOTDATA("[Measures].[mNewGIS]",'Pivot Table Cats'!$A$3,"[Range 1].[State]","[Range 1].[State].&amp;[DE]","[Range 1].[Type]","[Range 1].[Type].&amp;[7]")," ")</f>
        <v>0</v>
      </c>
      <c r="N61" s="21">
        <f t="shared" si="15"/>
        <v>0</v>
      </c>
      <c r="O61" s="25"/>
      <c r="P61" s="26"/>
      <c r="Q61" s="27"/>
      <c r="R61" s="25"/>
      <c r="S61" s="26"/>
      <c r="T61" s="27"/>
      <c r="U61" s="25"/>
      <c r="V61" s="26"/>
      <c r="W61" s="27"/>
      <c r="X61" s="25"/>
      <c r="Y61" s="26"/>
      <c r="Z61" s="27"/>
      <c r="AA61" s="25"/>
      <c r="AB61" s="26"/>
      <c r="AC61" s="27"/>
      <c r="AD61" s="25"/>
      <c r="AE61" s="26"/>
      <c r="AF61" s="27"/>
      <c r="AG61" s="25"/>
      <c r="AH61" s="26"/>
      <c r="AI61" s="27"/>
      <c r="AJ61" s="25"/>
      <c r="AK61" s="26"/>
      <c r="AL61" s="27"/>
      <c r="AM61" s="25"/>
      <c r="AN61" s="26"/>
      <c r="AO61" s="27"/>
      <c r="AP61" s="25"/>
      <c r="AQ61" s="26"/>
      <c r="AR61" s="27"/>
      <c r="AS61" s="25"/>
      <c r="AT61" s="26"/>
      <c r="AU61" s="27"/>
      <c r="AV61" s="25"/>
      <c r="AW61" s="26"/>
      <c r="AX61" s="27"/>
      <c r="AY61" s="25"/>
      <c r="AZ61" s="26"/>
      <c r="BA61" s="27"/>
      <c r="BB61" s="25"/>
      <c r="BC61" s="26"/>
      <c r="BD61" s="27"/>
    </row>
    <row r="62" spans="1:56">
      <c r="A62" s="28"/>
      <c r="B62" s="19" t="s">
        <v>552</v>
      </c>
      <c r="C62" s="20" t="str">
        <f>IFERROR(GETPIVOTDATA("[Measures].[mOldUGIS]",'Pivot Table Cats'!$A$3,"[Range 1].[State]","[Range 1].[State].&amp;[DE]","[Range 1].[Type]","[Range 1].[Type].&amp;[8]")," ")</f>
        <v xml:space="preserve"> </v>
      </c>
      <c r="D62" s="20" t="str">
        <f>IFERROR(GETPIVOTDATA("[Measures].[mNewUGIS]",'Pivot Table Cats'!$A$3,"[Range 1].[State]","[Range 1].[State].&amp;[DE]","[Range 1].[Type]","[Range 1].[Type].&amp;[8]")," ")</f>
        <v xml:space="preserve"> </v>
      </c>
      <c r="E62" s="21" t="str">
        <f t="shared" si="12"/>
        <v xml:space="preserve"> </v>
      </c>
      <c r="F62" s="20" t="str">
        <f>IFERROR(GETPIVOTDATA("[Measures].[mOldUGOS]",'Pivot Table Cats'!$A$3,"[Range 1].[State]","[Range 1].[State].&amp;[DE]","[Range 1].[Type]","[Range 1].[Type].&amp;[8]")," ")</f>
        <v xml:space="preserve"> </v>
      </c>
      <c r="G62" s="20" t="str">
        <f>IFERROR(GETPIVOTDATA("[Measures].[mNewUGOS]",'Pivot Table Cats'!$A$3,"[Range 1].[State]","[Range 1].[State].&amp;[DE]","[Range 1].[Type]","[Range 1].[Type].&amp;[8]")," ")</f>
        <v xml:space="preserve"> </v>
      </c>
      <c r="H62" s="21" t="str">
        <f t="shared" si="13"/>
        <v xml:space="preserve"> </v>
      </c>
      <c r="I62" s="337" t="str">
        <f>IFERROR(GETPIVOTDATA("[Measures].[mOldGIS]",'Pivot Table Cats'!$A$3,"[Range 1].[State]","[Range 1].[State].&amp;[DE]","[Range 1].[Type]","[Range 1].[Type].&amp;[8]")," ")</f>
        <v xml:space="preserve"> </v>
      </c>
      <c r="J62" s="20" t="str">
        <f>IFERROR(GETPIVOTDATA("[Measures].[mNewGIS]",'Pivot Table Cats'!$A$3,"[Range 1].[State]","[Range 1].[State].&amp;[DE]","[Range 1].[Type]","[Range 1].[Type].&amp;[8]")," ")</f>
        <v xml:space="preserve"> </v>
      </c>
      <c r="K62" s="21" t="str">
        <f t="shared" si="14"/>
        <v xml:space="preserve"> </v>
      </c>
      <c r="L62" s="20" t="str">
        <f>IFERROR(GETPIVOTDATA("[Measures].[mOldGOS]",'Pivot Table Cats'!$A$3,"[Range 1].[State]","[Range 1].[State].&amp;[DE]","[Range 1].[Type]","[Range 1].[Type].&amp;[8]")," ")</f>
        <v xml:space="preserve"> </v>
      </c>
      <c r="M62" s="20" t="str">
        <f>IFERROR(GETPIVOTDATA("[Measures].[mNewGOS]",'Pivot Table Cats'!$A$3,"[Range 1].[State]","[Range 1].[State].&amp;[DE]","[Range 1].[Type]","[Range 1].[Type].&amp;[8]")," ")</f>
        <v xml:space="preserve"> </v>
      </c>
      <c r="N62" s="21" t="str">
        <f t="shared" si="15"/>
        <v xml:space="preserve"> </v>
      </c>
      <c r="O62" s="25"/>
      <c r="P62" s="26"/>
      <c r="Q62" s="27"/>
      <c r="R62" s="25"/>
      <c r="S62" s="26"/>
      <c r="T62" s="27"/>
      <c r="U62" s="25"/>
      <c r="V62" s="26"/>
      <c r="W62" s="27"/>
      <c r="X62" s="25"/>
      <c r="Y62" s="26"/>
      <c r="Z62" s="27"/>
      <c r="AA62" s="25"/>
      <c r="AB62" s="26"/>
      <c r="AC62" s="27"/>
      <c r="AD62" s="25"/>
      <c r="AE62" s="26"/>
      <c r="AF62" s="27"/>
      <c r="AG62" s="25"/>
      <c r="AH62" s="26"/>
      <c r="AI62" s="27"/>
      <c r="AJ62" s="25"/>
      <c r="AK62" s="26"/>
      <c r="AL62" s="27"/>
      <c r="AM62" s="25"/>
      <c r="AN62" s="26"/>
      <c r="AO62" s="27"/>
      <c r="AP62" s="25"/>
      <c r="AQ62" s="26"/>
      <c r="AR62" s="27"/>
      <c r="AS62" s="25"/>
      <c r="AT62" s="26"/>
      <c r="AU62" s="27"/>
      <c r="AV62" s="25"/>
      <c r="AW62" s="26"/>
      <c r="AX62" s="27"/>
      <c r="AY62" s="25"/>
      <c r="AZ62" s="26"/>
      <c r="BA62" s="27"/>
      <c r="BB62" s="25"/>
      <c r="BC62" s="26"/>
      <c r="BD62" s="27"/>
    </row>
    <row r="63" spans="1:56">
      <c r="A63" s="28"/>
      <c r="B63" s="19" t="s">
        <v>553</v>
      </c>
      <c r="C63" s="20" t="str">
        <f>IFERROR(GETPIVOTDATA("[Measures].[mOldUGIS]",'Pivot Table Cats'!$A$3,"[Range 1].[State]","[Range 1].[State].&amp;[DE]","[Range 1].[Type]","[Range 1].[Type].&amp;[9]")," ")</f>
        <v xml:space="preserve"> </v>
      </c>
      <c r="D63" s="20" t="str">
        <f>IFERROR(GETPIVOTDATA("[Measures].[mNewUGIS]",'Pivot Table Cats'!$A$3,"[Range 1].[State]","[Range 1].[State].&amp;[DE]","[Range 1].[Type]","[Range 1].[Type].&amp;[9]")," ")</f>
        <v xml:space="preserve"> </v>
      </c>
      <c r="E63" s="21" t="str">
        <f t="shared" si="12"/>
        <v xml:space="preserve"> </v>
      </c>
      <c r="F63" s="20" t="str">
        <f>IFERROR(GETPIVOTDATA("[Measures].[mOldUGOS]",'Pivot Table Cats'!$A$3,"[Range 1].[State]","[Range 1].[State].&amp;[DE]","[Range 1].[Type]","[Range 1].[Type].&amp;[9]")," ")</f>
        <v xml:space="preserve"> </v>
      </c>
      <c r="G63" s="20" t="str">
        <f>IFERROR(GETPIVOTDATA("[Measures].[mNewUGOS]",'Pivot Table Cats'!$A$3,"[Range 1].[State]","[Range 1].[State].&amp;[DE]","[Range 1].[Type]","[Range 1].[Type].&amp;[9]")," ")</f>
        <v xml:space="preserve"> </v>
      </c>
      <c r="H63" s="21" t="str">
        <f t="shared" si="13"/>
        <v xml:space="preserve"> </v>
      </c>
      <c r="I63" s="20" t="str">
        <f>IFERROR(GETPIVOTDATA("[Measures].[mOldGIS]",'Pivot Table Cats'!$A$3,"[Range 1].[State]","[Range 1].[State].&amp;[DE]","[Range 1].[Type]","[Range 1].[Type].&amp;[9]")," ")</f>
        <v xml:space="preserve"> </v>
      </c>
      <c r="J63" s="20" t="str">
        <f>IFERROR(GETPIVOTDATA("[Measures].[mNewGIS]",'Pivot Table Cats'!$A$3,"[Range 1].[State]","[Range 1].[State].&amp;[DE]","[Range 1].[Type]","[Range 1].[Type].&amp;[9]")," ")</f>
        <v xml:space="preserve"> </v>
      </c>
      <c r="K63" s="21" t="str">
        <f t="shared" si="14"/>
        <v xml:space="preserve"> </v>
      </c>
      <c r="L63" s="20" t="str">
        <f>IFERROR(GETPIVOTDATA("[Measures].[mOldGOS]",'Pivot Table Cats'!$A$3,"[Range 1].[State]","[Range 1].[State].&amp;[DE]","[Range 1].[Type]","[Range 1].[Type].&amp;[9]")," ")</f>
        <v xml:space="preserve"> </v>
      </c>
      <c r="M63" s="20" t="str">
        <f>IFERROR(GETPIVOTDATA("[Measures].[mNewGOS]",'Pivot Table Cats'!$A$3,"[Range 1].[State]","[Range 1].[State].&amp;[DE]","[Range 1].[Type]","[Range 1].[Type].&amp;[9]")," ")</f>
        <v xml:space="preserve"> </v>
      </c>
      <c r="N63" s="21" t="str">
        <f t="shared" si="15"/>
        <v xml:space="preserve"> </v>
      </c>
      <c r="O63" s="25"/>
      <c r="P63" s="26"/>
      <c r="Q63" s="27"/>
      <c r="R63" s="25"/>
      <c r="S63" s="26"/>
      <c r="T63" s="27"/>
      <c r="U63" s="25"/>
      <c r="V63" s="26"/>
      <c r="W63" s="27"/>
      <c r="X63" s="25"/>
      <c r="Y63" s="26"/>
      <c r="Z63" s="27"/>
      <c r="AA63" s="25"/>
      <c r="AB63" s="26"/>
      <c r="AC63" s="27"/>
      <c r="AD63" s="25"/>
      <c r="AE63" s="26"/>
      <c r="AF63" s="27"/>
      <c r="AG63" s="25"/>
      <c r="AH63" s="26"/>
      <c r="AI63" s="27"/>
      <c r="AJ63" s="25"/>
      <c r="AK63" s="26"/>
      <c r="AL63" s="27"/>
      <c r="AM63" s="25"/>
      <c r="AN63" s="26"/>
      <c r="AO63" s="27"/>
      <c r="AP63" s="25"/>
      <c r="AQ63" s="26"/>
      <c r="AR63" s="27"/>
      <c r="AS63" s="25"/>
      <c r="AT63" s="26"/>
      <c r="AU63" s="27"/>
      <c r="AV63" s="25"/>
      <c r="AW63" s="26"/>
      <c r="AX63" s="27"/>
      <c r="AY63" s="25"/>
      <c r="AZ63" s="26"/>
      <c r="BA63" s="27"/>
      <c r="BB63" s="25"/>
      <c r="BC63" s="26"/>
      <c r="BD63" s="27"/>
    </row>
    <row r="64" spans="1:56">
      <c r="A64" s="28"/>
      <c r="B64" s="19" t="s">
        <v>554</v>
      </c>
      <c r="C64" s="20" t="str">
        <f>IFERROR(GETPIVOTDATA("[Measures].[mOldUGIS]",'Pivot Table Cats'!$A$3,"[Range 1].[State]","[Range 1].[State].&amp;[DE]","[Range 1].[Type]","[Range 1].[Type].&amp;[10]")," ")</f>
        <v xml:space="preserve"> </v>
      </c>
      <c r="D64" s="20" t="str">
        <f>IFERROR(GETPIVOTDATA("[Measures].[mNewUGIS]",'Pivot Table Cats'!$A$3,"[Range 1].[State]","[Range 1].[State].&amp;[DE]","[Range 1].[Type]","[Range 1].[Type].&amp;[10]")," ")</f>
        <v xml:space="preserve"> </v>
      </c>
      <c r="E64" s="21" t="str">
        <f t="shared" si="12"/>
        <v xml:space="preserve"> </v>
      </c>
      <c r="F64" s="20" t="str">
        <f>IFERROR(GETPIVOTDATA("[Measures].[mOldUGOS]",'Pivot Table Cats'!$A$3,"[Range 1].[State]","[Range 1].[State].&amp;[DE]","[Range 1].[Type]","[Range 1].[Type].&amp;[10]")," ")</f>
        <v xml:space="preserve"> </v>
      </c>
      <c r="G64" s="20" t="str">
        <f>IFERROR(GETPIVOTDATA("[Measures].[mNewUGOS]",'Pivot Table Cats'!$A$3,"[Range 1].[State]","[Range 1].[State].&amp;[DE]","[Range 1].[Type]","[Range 1].[Type].&amp;[10]")," ")</f>
        <v xml:space="preserve"> </v>
      </c>
      <c r="H64" s="21" t="str">
        <f t="shared" si="13"/>
        <v xml:space="preserve"> </v>
      </c>
      <c r="I64" s="20" t="str">
        <f>IFERROR(GETPIVOTDATA("[Measures].[mOldGIS]",'Pivot Table Cats'!$A$3,"[Range 1].[State]","[Range 1].[State].&amp;[DE]","[Range 1].[Type]","[Range 1].[Type].&amp;[10]")," ")</f>
        <v xml:space="preserve"> </v>
      </c>
      <c r="J64" s="20" t="str">
        <f>IFERROR(GETPIVOTDATA("[Measures].[mNewGIS]",'Pivot Table Cats'!$A$3,"[Range 1].[State]","[Range 1].[State].&amp;[DE]","[Range 1].[Type]","[Range 1].[Type].&amp;[10]")," ")</f>
        <v xml:space="preserve"> </v>
      </c>
      <c r="K64" s="21" t="str">
        <f t="shared" si="14"/>
        <v xml:space="preserve"> </v>
      </c>
      <c r="L64" s="20" t="str">
        <f>IFERROR(GETPIVOTDATA("[Measures].[mOldGOS]",'Pivot Table Cats'!$A$3,"[Range 1].[State]","[Range 1].[State].&amp;[DE]","[Range 1].[Type]","[Range 1].[Type].&amp;[10]")," ")</f>
        <v xml:space="preserve"> </v>
      </c>
      <c r="M64" s="20" t="str">
        <f>IFERROR(GETPIVOTDATA("[Measures].[mNewGOS]",'Pivot Table Cats'!$A$3,"[Range 1].[State]","[Range 1].[State].&amp;[DE]","[Range 1].[Type]","[Range 1].[Type].&amp;[10]")," ")</f>
        <v xml:space="preserve"> </v>
      </c>
      <c r="N64" s="21" t="str">
        <f t="shared" si="15"/>
        <v xml:space="preserve"> </v>
      </c>
      <c r="O64" s="25"/>
      <c r="P64" s="26"/>
      <c r="Q64" s="27"/>
      <c r="R64" s="25"/>
      <c r="S64" s="26"/>
      <c r="T64" s="27"/>
      <c r="U64" s="25"/>
      <c r="V64" s="26"/>
      <c r="W64" s="27"/>
      <c r="X64" s="25"/>
      <c r="Y64" s="26"/>
      <c r="Z64" s="27"/>
      <c r="AA64" s="25"/>
      <c r="AB64" s="26"/>
      <c r="AC64" s="27"/>
      <c r="AD64" s="25"/>
      <c r="AE64" s="26"/>
      <c r="AF64" s="27"/>
      <c r="AG64" s="25"/>
      <c r="AH64" s="26"/>
      <c r="AI64" s="27"/>
      <c r="AJ64" s="25"/>
      <c r="AK64" s="26"/>
      <c r="AL64" s="27"/>
      <c r="AM64" s="25"/>
      <c r="AN64" s="26"/>
      <c r="AO64" s="27"/>
      <c r="AP64" s="25"/>
      <c r="AQ64" s="26"/>
      <c r="AR64" s="27"/>
      <c r="AS64" s="25"/>
      <c r="AT64" s="26"/>
      <c r="AU64" s="27"/>
      <c r="AV64" s="25"/>
      <c r="AW64" s="26"/>
      <c r="AX64" s="27"/>
      <c r="AY64" s="25"/>
      <c r="AZ64" s="26"/>
      <c r="BA64" s="27"/>
      <c r="BB64" s="25"/>
      <c r="BC64" s="26"/>
      <c r="BD64" s="27"/>
    </row>
    <row r="65" spans="1:56" s="49" customFormat="1" ht="20.25" customHeight="1">
      <c r="A65" s="48"/>
      <c r="B65" s="30" t="s">
        <v>555</v>
      </c>
      <c r="C65" s="31">
        <f>GETPIVOTDATA("[Measures].[mOldUGIS]",'Pivot Table Totals'!$A$31,"[Range 1].[State]","[Range 1].[State].&amp;[DE]")</f>
        <v>4945</v>
      </c>
      <c r="D65" s="31">
        <f>GETPIVOTDATA("[Measures].[mNewUGIS]",'Pivot Table Totals'!$A$31,"[Range 1].[State]","[Range 1].[State].&amp;[DE]")</f>
        <v>4945</v>
      </c>
      <c r="E65" s="21">
        <f t="shared" si="12"/>
        <v>0</v>
      </c>
      <c r="F65" s="31">
        <f>GETPIVOTDATA("[Measures].[mOldUGOS]",'Pivot Table Totals'!$A$31,"[Range 1].[State]","[Range 1].[State].&amp;[DE]")</f>
        <v>11808</v>
      </c>
      <c r="G65" s="31">
        <f>GETPIVOTDATA("[Measures].[mNewUGOS]",'Pivot Table Totals'!$A$31,"[Range 1].[State]","[Range 1].[State].&amp;[DE]")</f>
        <v>11808</v>
      </c>
      <c r="H65" s="21">
        <f t="shared" si="13"/>
        <v>0</v>
      </c>
      <c r="I65" s="31">
        <f>GETPIVOTDATA("[Measures].[mOldGIS]",'Pivot Table Totals'!$A$31,"[Range 1].[State]","[Range 1].[State].&amp;[DE]")</f>
        <v>0</v>
      </c>
      <c r="J65" s="31">
        <f>GETPIVOTDATA("[Measures].[mNewGIS]",'Pivot Table Totals'!$A$31,"[Range 1].[State]","[Range 1].[State].&amp;[DE]")</f>
        <v>0</v>
      </c>
      <c r="K65" s="21">
        <f t="shared" si="14"/>
        <v>0</v>
      </c>
      <c r="L65" s="31">
        <f>GETPIVOTDATA("[Measures].[mOldGOS]",'Pivot Table Totals'!$A$31,"[Range 1].[State]","[Range 1].[State].&amp;[DE]")</f>
        <v>0</v>
      </c>
      <c r="M65" s="31">
        <f>GETPIVOTDATA("[Measures].[mNewGOS]",'Pivot Table Totals'!$A$31,"[Range 1].[State]","[Range 1].[State].&amp;[DE]")</f>
        <v>0</v>
      </c>
      <c r="N65" s="21">
        <f t="shared" si="15"/>
        <v>0</v>
      </c>
      <c r="O65" s="36"/>
      <c r="P65" s="37"/>
      <c r="Q65" s="38"/>
      <c r="R65" s="36"/>
      <c r="S65" s="37"/>
      <c r="T65" s="38"/>
      <c r="U65" s="36"/>
      <c r="V65" s="37"/>
      <c r="W65" s="38"/>
      <c r="X65" s="36"/>
      <c r="Y65" s="37"/>
      <c r="Z65" s="38"/>
      <c r="AA65" s="36"/>
      <c r="AB65" s="37"/>
      <c r="AC65" s="38"/>
      <c r="AD65" s="36"/>
      <c r="AE65" s="37"/>
      <c r="AF65" s="38"/>
      <c r="AG65" s="36"/>
      <c r="AH65" s="37"/>
      <c r="AI65" s="38"/>
      <c r="AJ65" s="36"/>
      <c r="AK65" s="37"/>
      <c r="AL65" s="38"/>
      <c r="AM65" s="36"/>
      <c r="AN65" s="37"/>
      <c r="AO65" s="38"/>
      <c r="AP65" s="36"/>
      <c r="AQ65" s="37"/>
      <c r="AR65" s="38"/>
      <c r="AS65" s="36"/>
      <c r="AT65" s="37"/>
      <c r="AU65" s="38"/>
      <c r="AV65" s="36"/>
      <c r="AW65" s="37"/>
      <c r="AX65" s="38"/>
      <c r="AY65" s="36"/>
      <c r="AZ65" s="37"/>
      <c r="BA65" s="38"/>
      <c r="BB65" s="36"/>
      <c r="BC65" s="37"/>
      <c r="BD65" s="38"/>
    </row>
    <row r="66" spans="1:56">
      <c r="A66" s="28"/>
      <c r="B66" s="19" t="s">
        <v>556</v>
      </c>
      <c r="C66" s="20" t="str">
        <f>IFERROR(GETPIVOTDATA("[Measures].[mOldUGIS]",'Pivot Table Cats'!$A$3,"[Range 1].[State]","[Range 1].[State].&amp;[DE]","[Range 1].[Type]","[Range 1].[Type].&amp;[12]")," ")</f>
        <v xml:space="preserve"> </v>
      </c>
      <c r="D66" s="20" t="str">
        <f>IFERROR(GETPIVOTDATA("[Measures].[mNewUGIS]",'Pivot Table Cats'!$A$3,"[Range 1].[State]","[Range 1].[State].&amp;[DE]","[Range 1].[Type]","[Range 1].[Type].&amp;[12]")," ")</f>
        <v xml:space="preserve"> </v>
      </c>
      <c r="E66" s="21" t="str">
        <f t="shared" si="12"/>
        <v xml:space="preserve"> </v>
      </c>
      <c r="F66" s="20" t="str">
        <f>IFERROR(GETPIVOTDATA("[Measures].[mOldUGOS]",'Pivot Table Cats'!$A$3,"[Range 1].[State]","[Range 1].[State].&amp;[DE]","[Range 1].[Type]","[Range 1].[Type].&amp;[12]")," ")</f>
        <v xml:space="preserve"> </v>
      </c>
      <c r="G66" s="20" t="str">
        <f>IFERROR(GETPIVOTDATA("[Measures].[mNewUGOS]",'Pivot Table Cats'!$A$3,"[Range 1].[State]","[Range 1].[State].&amp;[DE]","[Range 1].[Type]","[Range 1].[Type].&amp;[12]")," ")</f>
        <v xml:space="preserve"> </v>
      </c>
      <c r="H66" s="21" t="str">
        <f t="shared" si="13"/>
        <v xml:space="preserve"> </v>
      </c>
      <c r="I66" s="20" t="str">
        <f>IFERROR(GETPIVOTDATA("[Measures].[mOldGIS]",'Pivot Table Cats'!$A$3,"[Range 1].[State]","[Range 1].[State].&amp;[DE]","[Range 1].[Type]","[Range 1].[Type].&amp;[12]")," ")</f>
        <v xml:space="preserve"> </v>
      </c>
      <c r="J66" s="20" t="str">
        <f>IFERROR(GETPIVOTDATA("[Measures].[mNewGIS]",'Pivot Table Cats'!$A$3,"[Range 1].[State]","[Range 1].[State].&amp;[DE]","[Range 1].[Type]","[Range 1].[Type].&amp;[12]")," ")</f>
        <v xml:space="preserve"> </v>
      </c>
      <c r="K66" s="21" t="str">
        <f t="shared" si="14"/>
        <v xml:space="preserve"> </v>
      </c>
      <c r="L66" s="20" t="str">
        <f>IFERROR(GETPIVOTDATA("[Measures].[mOldGOS]",'Pivot Table Cats'!$A$3,"[Range 1].[State]","[Range 1].[State].&amp;[DE]","[Range 1].[Type]","[Range 1].[Type].&amp;[12]")," ")</f>
        <v xml:space="preserve"> </v>
      </c>
      <c r="M66" s="20" t="str">
        <f>IFERROR(GETPIVOTDATA("[Measures].[mNewGOS]",'Pivot Table Cats'!$A$3,"[Range 1].[State]","[Range 1].[State].&amp;[DE]","[Range 1].[Type]","[Range 1].[Type].&amp;[12]")," ")</f>
        <v xml:space="preserve"> </v>
      </c>
      <c r="N66" s="21" t="str">
        <f t="shared" si="15"/>
        <v xml:space="preserve"> </v>
      </c>
      <c r="O66" s="25"/>
      <c r="P66" s="26"/>
      <c r="Q66" s="27"/>
      <c r="R66" s="25"/>
      <c r="S66" s="26"/>
      <c r="T66" s="27"/>
      <c r="U66" s="25"/>
      <c r="V66" s="26"/>
      <c r="W66" s="27"/>
      <c r="X66" s="25"/>
      <c r="Y66" s="26"/>
      <c r="Z66" s="27"/>
      <c r="AA66" s="25"/>
      <c r="AB66" s="26"/>
      <c r="AC66" s="27"/>
      <c r="AD66" s="25"/>
      <c r="AE66" s="26"/>
      <c r="AF66" s="27"/>
      <c r="AG66" s="25"/>
      <c r="AH66" s="26"/>
      <c r="AI66" s="27"/>
      <c r="AJ66" s="25"/>
      <c r="AK66" s="26"/>
      <c r="AL66" s="27"/>
      <c r="AM66" s="25"/>
      <c r="AN66" s="26"/>
      <c r="AO66" s="27"/>
      <c r="AP66" s="25"/>
      <c r="AQ66" s="26"/>
      <c r="AR66" s="27"/>
      <c r="AS66" s="25"/>
      <c r="AT66" s="26"/>
      <c r="AU66" s="27"/>
      <c r="AV66" s="25"/>
      <c r="AW66" s="26"/>
      <c r="AX66" s="27"/>
      <c r="AY66" s="25"/>
      <c r="AZ66" s="26"/>
      <c r="BA66" s="27"/>
      <c r="BB66" s="25"/>
      <c r="BC66" s="26"/>
      <c r="BD66" s="27"/>
    </row>
    <row r="67" spans="1:56">
      <c r="A67" s="28"/>
      <c r="B67" s="19" t="s">
        <v>557</v>
      </c>
      <c r="C67" s="20" t="str">
        <f>IFERROR(GETPIVOTDATA("[Measures].[mOldUGIS]",'Pivot Table Cats'!$A$3,"[Range 1].[State]","[Range 1].[State].&amp;[DE]","[Range 1].[Type]","[Range 1].[Type].&amp;[13]")," ")</f>
        <v xml:space="preserve"> </v>
      </c>
      <c r="D67" s="20" t="str">
        <f>IFERROR(GETPIVOTDATA("[Measures].[mNewUGIS]",'Pivot Table Cats'!$A$3,"[Range 1].[State]","[Range 1].[State].&amp;[DE]","[Range 1].[Type]","[Range 1].[Type].&amp;[13]")," ")</f>
        <v xml:space="preserve"> </v>
      </c>
      <c r="E67" s="21" t="str">
        <f t="shared" si="12"/>
        <v xml:space="preserve"> </v>
      </c>
      <c r="F67" s="20" t="str">
        <f>IFERROR(GETPIVOTDATA("[Measures].[mOldUGOS]",'Pivot Table Cats'!$A$3,"[Range 1].[State]","[Range 1].[State].&amp;[DE]","[Range 1].[Type]","[Range 1].[Type].&amp;[13]")," ")</f>
        <v xml:space="preserve"> </v>
      </c>
      <c r="G67" s="20" t="str">
        <f>IFERROR(GETPIVOTDATA("[Measures].[mNewUGOS]",'Pivot Table Cats'!$A$3,"[Range 1].[State]","[Range 1].[State].&amp;[DE]","[Range 1].[Type]","[Range 1].[Type].&amp;[13]")," ")</f>
        <v xml:space="preserve"> </v>
      </c>
      <c r="H67" s="21" t="str">
        <f t="shared" si="13"/>
        <v xml:space="preserve"> </v>
      </c>
      <c r="I67" s="20" t="str">
        <f>IFERROR(GETPIVOTDATA("[Measures].[mOldGIS]",'Pivot Table Cats'!$A$3,"[Range 1].[State]","[Range 1].[State].&amp;[DE]","[Range 1].[Type]","[Range 1].[Type].&amp;[13]")," ")</f>
        <v xml:space="preserve"> </v>
      </c>
      <c r="J67" s="20" t="str">
        <f>IFERROR(GETPIVOTDATA("[Measures].[mNewGIS]",'Pivot Table Cats'!$A$3,"[Range 1].[State]","[Range 1].[State].&amp;[DE]","[Range 1].[Type]","[Range 1].[Type].&amp;[13]")," ")</f>
        <v xml:space="preserve"> </v>
      </c>
      <c r="K67" s="21" t="str">
        <f t="shared" si="14"/>
        <v xml:space="preserve"> </v>
      </c>
      <c r="L67" s="20" t="str">
        <f>IFERROR(GETPIVOTDATA("[Measures].[mOldGOS]",'Pivot Table Cats'!$A$3,"[Range 1].[State]","[Range 1].[State].&amp;[DE]","[Range 1].[Type]","[Range 1].[Type].&amp;[13]")," ")</f>
        <v xml:space="preserve"> </v>
      </c>
      <c r="M67" s="20" t="str">
        <f>IFERROR(GETPIVOTDATA("[Measures].[mNewGOS]",'Pivot Table Cats'!$A$3,"[Range 1].[State]","[Range 1].[State].&amp;[DE]","[Range 1].[Type]","[Range 1].[Type].&amp;[13]")," ")</f>
        <v xml:space="preserve"> </v>
      </c>
      <c r="N67" s="21" t="str">
        <f t="shared" si="15"/>
        <v xml:space="preserve"> </v>
      </c>
      <c r="O67" s="25"/>
      <c r="P67" s="26"/>
      <c r="Q67" s="27"/>
      <c r="R67" s="25"/>
      <c r="S67" s="26"/>
      <c r="T67" s="27"/>
      <c r="U67" s="25"/>
      <c r="V67" s="26"/>
      <c r="W67" s="27"/>
      <c r="X67" s="25"/>
      <c r="Y67" s="26"/>
      <c r="Z67" s="27"/>
      <c r="AA67" s="25"/>
      <c r="AB67" s="26"/>
      <c r="AC67" s="27"/>
      <c r="AD67" s="25"/>
      <c r="AE67" s="26"/>
      <c r="AF67" s="27"/>
      <c r="AG67" s="25"/>
      <c r="AH67" s="26"/>
      <c r="AI67" s="27"/>
      <c r="AJ67" s="25"/>
      <c r="AK67" s="26"/>
      <c r="AL67" s="27"/>
      <c r="AM67" s="25"/>
      <c r="AN67" s="26"/>
      <c r="AO67" s="27"/>
      <c r="AP67" s="25"/>
      <c r="AQ67" s="26"/>
      <c r="AR67" s="27"/>
      <c r="AS67" s="25"/>
      <c r="AT67" s="26"/>
      <c r="AU67" s="27"/>
      <c r="AV67" s="25"/>
      <c r="AW67" s="26"/>
      <c r="AX67" s="27"/>
      <c r="AY67" s="25"/>
      <c r="AZ67" s="26"/>
      <c r="BA67" s="27"/>
      <c r="BB67" s="25"/>
      <c r="BC67" s="26"/>
      <c r="BD67" s="27"/>
    </row>
    <row r="68" spans="1:56">
      <c r="A68" s="28"/>
      <c r="B68" s="19" t="s">
        <v>558</v>
      </c>
      <c r="C68" s="20" t="str">
        <f>IFERROR(GETPIVOTDATA("[Measures].[mOldUGIS]",'Pivot Table Cats'!$A$3,"[Range 1].[State]","[Range 1].[State].&amp;[DE]","[Range 1].[Type]","[Range 1].[Type].&amp;[14]")," ")</f>
        <v xml:space="preserve"> </v>
      </c>
      <c r="D68" s="20" t="str">
        <f>IFERROR(GETPIVOTDATA("[Measures].[mNewUGIS]",'Pivot Table Cats'!$A$3,"[Range 1].[State]","[Range 1].[State].&amp;[DE]","[Range 1].[Type]","[Range 1].[Type].&amp;[14]")," ")</f>
        <v xml:space="preserve"> </v>
      </c>
      <c r="E68" s="21" t="str">
        <f t="shared" si="12"/>
        <v xml:space="preserve"> </v>
      </c>
      <c r="F68" s="20" t="str">
        <f>IFERROR(GETPIVOTDATA("[Measures].[mOldUGOS]",'Pivot Table Cats'!$A$3,"[Range 1].[State]","[Range 1].[State].&amp;[DE]","[Range 1].[Type]","[Range 1].[Type].&amp;[14]")," ")</f>
        <v xml:space="preserve"> </v>
      </c>
      <c r="G68" s="20" t="str">
        <f>IFERROR(GETPIVOTDATA("[Measures].[mNewUGOS]",'Pivot Table Cats'!$A$3,"[Range 1].[State]","[Range 1].[State].&amp;[DE]","[Range 1].[Type]","[Range 1].[Type].&amp;[14]")," ")</f>
        <v xml:space="preserve"> </v>
      </c>
      <c r="H68" s="21" t="str">
        <f t="shared" si="13"/>
        <v xml:space="preserve"> </v>
      </c>
      <c r="I68" s="20" t="str">
        <f>IFERROR(GETPIVOTDATA("[Measures].[mOldGIS]",'Pivot Table Cats'!$A$3,"[Range 1].[State]","[Range 1].[State].&amp;[DE]","[Range 1].[Type]","[Range 1].[Type].&amp;[14]")," ")</f>
        <v xml:space="preserve"> </v>
      </c>
      <c r="J68" s="20" t="str">
        <f>IFERROR(GETPIVOTDATA("[Measures].[mNewGIS]",'Pivot Table Cats'!$A$3,"[Range 1].[State]","[Range 1].[State].&amp;[DE]","[Range 1].[Type]","[Range 1].[Type].&amp;[14]")," ")</f>
        <v xml:space="preserve"> </v>
      </c>
      <c r="K68" s="21" t="str">
        <f t="shared" si="14"/>
        <v xml:space="preserve"> </v>
      </c>
      <c r="L68" s="20" t="str">
        <f>IFERROR(GETPIVOTDATA("[Measures].[mOldGOS]",'Pivot Table Cats'!$A$3,"[Range 1].[State]","[Range 1].[State].&amp;[DE]","[Range 1].[Type]","[Range 1].[Type].&amp;[14]")," ")</f>
        <v xml:space="preserve"> </v>
      </c>
      <c r="M68" s="20" t="str">
        <f>IFERROR(GETPIVOTDATA("[Measures].[mNewGOS]",'Pivot Table Cats'!$A$3,"[Range 1].[State]","[Range 1].[State].&amp;[DE]","[Range 1].[Type]","[Range 1].[Type].&amp;[14]")," ")</f>
        <v xml:space="preserve"> </v>
      </c>
      <c r="N68" s="21" t="str">
        <f t="shared" si="15"/>
        <v xml:space="preserve"> </v>
      </c>
      <c r="O68" s="25"/>
      <c r="P68" s="26"/>
      <c r="Q68" s="27"/>
      <c r="R68" s="25"/>
      <c r="S68" s="26"/>
      <c r="T68" s="27"/>
      <c r="U68" s="25"/>
      <c r="V68" s="26"/>
      <c r="W68" s="27"/>
      <c r="X68" s="25"/>
      <c r="Y68" s="26"/>
      <c r="Z68" s="27"/>
      <c r="AA68" s="25"/>
      <c r="AB68" s="26"/>
      <c r="AC68" s="27"/>
      <c r="AD68" s="25"/>
      <c r="AE68" s="26"/>
      <c r="AF68" s="27"/>
      <c r="AG68" s="25"/>
      <c r="AH68" s="26"/>
      <c r="AI68" s="27"/>
      <c r="AJ68" s="25"/>
      <c r="AK68" s="26"/>
      <c r="AL68" s="27"/>
      <c r="AM68" s="25"/>
      <c r="AN68" s="26"/>
      <c r="AO68" s="27"/>
      <c r="AP68" s="25"/>
      <c r="AQ68" s="26"/>
      <c r="AR68" s="27"/>
      <c r="AS68" s="25"/>
      <c r="AT68" s="26"/>
      <c r="AU68" s="27"/>
      <c r="AV68" s="25"/>
      <c r="AW68" s="26"/>
      <c r="AX68" s="27"/>
      <c r="AY68" s="25"/>
      <c r="AZ68" s="26"/>
      <c r="BA68" s="27"/>
      <c r="BB68" s="25"/>
      <c r="BC68" s="26"/>
      <c r="BD68" s="27"/>
    </row>
    <row r="69" spans="1:56" s="49" customFormat="1" ht="21.75" customHeight="1">
      <c r="A69" s="48"/>
      <c r="B69" s="30" t="s">
        <v>559</v>
      </c>
      <c r="C69" s="31" t="str">
        <f>IFERROR(GETPIVOTDATA("[Measures].[mOldUGIS]",'Pivot Table Totals'!$A$59,"[Range 1].[State]","[Range 1].[State].&amp;[DE]"), " ")</f>
        <v xml:space="preserve"> </v>
      </c>
      <c r="D69" s="31" t="str">
        <f>IFERROR(GETPIVOTDATA("[Measures].[mNewUGIS]",'Pivot Table Totals'!$A$59,"[Range 1].[State]","[Range 1].[State].&amp;[DE]"), " ")</f>
        <v xml:space="preserve"> </v>
      </c>
      <c r="E69" s="21" t="str">
        <f t="shared" si="12"/>
        <v xml:space="preserve"> </v>
      </c>
      <c r="F69" s="31" t="str">
        <f>IFERROR(GETPIVOTDATA("[Measures].[mOldUGOS]",'Pivot Table Totals'!$A$59,"[Range 1].[State]","[Range 1].[State].&amp;[DE]"), " ")</f>
        <v xml:space="preserve"> </v>
      </c>
      <c r="G69" s="31" t="str">
        <f>IFERROR(GETPIVOTDATA("[Measures].[mNewUGOS]",'Pivot Table Totals'!$A$59,"[Range 1].[State]","[Range 1].[State].&amp;[DE]"), " ")</f>
        <v xml:space="preserve"> </v>
      </c>
      <c r="H69" s="21" t="str">
        <f t="shared" si="13"/>
        <v xml:space="preserve"> </v>
      </c>
      <c r="I69" s="31" t="str">
        <f>IFERROR(GETPIVOTDATA("[Measures].[mOldGIS]",'Pivot Table Totals'!$A$59,"[Range 1].[State]","[Range 1].[State].&amp;[DE]"), " ")</f>
        <v xml:space="preserve"> </v>
      </c>
      <c r="J69" s="31" t="str">
        <f>IFERROR(GETPIVOTDATA("[Measures].[mNewGIS]",'Pivot Table Totals'!$A$59,"[Range 1].[State]","[Range 1].[State].&amp;[DE]"), " ")</f>
        <v xml:space="preserve"> </v>
      </c>
      <c r="K69" s="21" t="str">
        <f t="shared" si="14"/>
        <v xml:space="preserve"> </v>
      </c>
      <c r="L69" s="31" t="str">
        <f>IFERROR(GETPIVOTDATA("[Measures].[mOldGOS]",'Pivot Table Totals'!$A$59,"[Range 1].[State]","[Range 1].[State].&amp;[DE]"), " ")</f>
        <v xml:space="preserve"> </v>
      </c>
      <c r="M69" s="31" t="str">
        <f>IFERROR(GETPIVOTDATA("[Measures].[mNewGOS]",'Pivot Table Totals'!$A$59,"[Range 1].[State]","[Range 1].[State].&amp;[DE]"), " ")</f>
        <v xml:space="preserve"> </v>
      </c>
      <c r="N69" s="21" t="str">
        <f t="shared" si="15"/>
        <v xml:space="preserve"> </v>
      </c>
      <c r="O69" s="36"/>
      <c r="P69" s="37"/>
      <c r="Q69" s="38"/>
      <c r="R69" s="36"/>
      <c r="S69" s="37"/>
      <c r="T69" s="38"/>
      <c r="U69" s="36"/>
      <c r="V69" s="37"/>
      <c r="W69" s="38"/>
      <c r="X69" s="36"/>
      <c r="Y69" s="37"/>
      <c r="Z69" s="38"/>
      <c r="AA69" s="36"/>
      <c r="AB69" s="37"/>
      <c r="AC69" s="38"/>
      <c r="AD69" s="36"/>
      <c r="AE69" s="37"/>
      <c r="AF69" s="38"/>
      <c r="AG69" s="36"/>
      <c r="AH69" s="37"/>
      <c r="AI69" s="38"/>
      <c r="AJ69" s="36"/>
      <c r="AK69" s="37"/>
      <c r="AL69" s="38"/>
      <c r="AM69" s="36"/>
      <c r="AN69" s="37"/>
      <c r="AO69" s="38"/>
      <c r="AP69" s="36"/>
      <c r="AQ69" s="37"/>
      <c r="AR69" s="38"/>
      <c r="AS69" s="36"/>
      <c r="AT69" s="37"/>
      <c r="AU69" s="38"/>
      <c r="AV69" s="36"/>
      <c r="AW69" s="37"/>
      <c r="AX69" s="38"/>
      <c r="AY69" s="36"/>
      <c r="AZ69" s="37"/>
      <c r="BA69" s="38"/>
      <c r="BB69" s="36"/>
      <c r="BC69" s="37"/>
      <c r="BD69" s="38"/>
    </row>
    <row r="70" spans="1:56">
      <c r="A70" s="40"/>
      <c r="B70" s="41" t="s">
        <v>560</v>
      </c>
      <c r="C70" s="42"/>
      <c r="D70" s="42"/>
      <c r="E70" s="335"/>
      <c r="F70" s="42"/>
      <c r="G70" s="42"/>
      <c r="H70" s="44"/>
      <c r="I70" s="45"/>
      <c r="J70" s="42"/>
      <c r="K70" s="44"/>
      <c r="L70" s="45"/>
      <c r="M70" s="42"/>
      <c r="N70" s="44"/>
      <c r="O70" s="336">
        <f>IFERROR(GETPIVOTDATA("[Measures].[mOldLawIS]",'Pivot Table Totals'!$A$79,"[Range 1].[State]","[Range 1].[State].&amp;[DE]"), " ")</f>
        <v>0</v>
      </c>
      <c r="P70" s="42">
        <f>IFERROR(GETPIVOTDATA("[Measures].[mNewLawIS]",'Pivot Table Totals'!$A$79,"[Range 1].[State]","[Range 1].[State].&amp;[DE]"), " ")</f>
        <v>0</v>
      </c>
      <c r="Q70" s="46">
        <f>IFERROR(IF(O70&gt;0,(((P70-O70)/O70)*100),0), " ")</f>
        <v>0</v>
      </c>
      <c r="R70" s="336">
        <f>IFERROR(GETPIVOTDATA("[Measures].[mOldLawOS]",'Pivot Table Totals'!$A$79,"[Range 1].[State]","[Range 1].[State].&amp;[DE]"), " ")</f>
        <v>0</v>
      </c>
      <c r="S70" s="336">
        <f>IFERROR(GETPIVOTDATA("[Measures].[mNewLawOS]",'Pivot Table Totals'!$A$79,"[Range 1].[State]","[Range 1].[State].&amp;[DE]"), " ")</f>
        <v>0</v>
      </c>
      <c r="T70" s="46">
        <f>IFERROR(IF(R70&gt;0,(((S70-R70)/R70)*100),0), " ")</f>
        <v>0</v>
      </c>
      <c r="U70" s="336">
        <f>IFERROR(GETPIVOTDATA("[Measures].[mOldMedIS]",'Pivot Table Totals'!$A$79,"[Range 1].[State]","[Range 1].[State].&amp;[DE]"), " ")</f>
        <v>0</v>
      </c>
      <c r="V70" s="336">
        <f>IFERROR(GETPIVOTDATA("[Measures].[mNewMedIS]",'Pivot Table Totals'!$A$79,"[Range 1].[State]","[Range 1].[State].&amp;[DE]"), " ")</f>
        <v>0</v>
      </c>
      <c r="W70" s="46">
        <f>IFERROR(IF(U70&gt;0,(((V70-U70)/U70)*100),0), " ")</f>
        <v>0</v>
      </c>
      <c r="X70" s="336">
        <f>IFERROR(GETPIVOTDATA("[Measures].[mOldMedOS]",'Pivot Table Totals'!$A$79,"[Range 1].[State]","[Range 1].[State].&amp;[DE]"), " ")</f>
        <v>0</v>
      </c>
      <c r="Y70" s="336">
        <f>IFERROR(GETPIVOTDATA("[Measures].[mNewMedOS]",'Pivot Table Totals'!$A$79,"[Range 1].[State]","[Range 1].[State].&amp;[DE]"), " ")</f>
        <v>0</v>
      </c>
      <c r="Z70" s="46">
        <f>IFERROR(IF(X70&gt;0,(((Y70-X70)/X70)*100),0), " ")</f>
        <v>0</v>
      </c>
      <c r="AA70" s="336">
        <f>IFERROR(GETPIVOTDATA("[Measures].[mOldDenIS]",'Pivot Table Totals'!$A$79,"[Range 1].[State]","[Range 1].[State].&amp;[DE]"), " ")</f>
        <v>0</v>
      </c>
      <c r="AB70" s="336">
        <f>IFERROR(GETPIVOTDATA("[Measures].[mNewDenIS]",'Pivot Table Totals'!$A$79,"[Range 1].[State]","[Range 1].[State].&amp;[DE]"), " ")</f>
        <v>0</v>
      </c>
      <c r="AC70" s="46">
        <f>IFERROR(IF(AA70&gt;0,(((AB70-AA70)/AA70)*100),0), " ")</f>
        <v>0</v>
      </c>
      <c r="AD70" s="336">
        <f>IFERROR(GETPIVOTDATA("[Measures].[mOldDenOS]",'Pivot Table Totals'!$A$79,"[Range 1].[State]","[Range 1].[State].&amp;[DE]"), " ")</f>
        <v>0</v>
      </c>
      <c r="AE70" s="336">
        <f>IFERROR(GETPIVOTDATA("[Measures].[mNewDenOS]",'Pivot Table Totals'!$A$79,"[Range 1].[State]","[Range 1].[State].&amp;[DE]"), " ")</f>
        <v>0</v>
      </c>
      <c r="AF70" s="46">
        <f>IFERROR(IF(AD70&gt;0,(((AE70-AD70)/AD70)*100),0), " ")</f>
        <v>0</v>
      </c>
      <c r="AG70" s="336">
        <f>IFERROR(GETPIVOTDATA("[Measures].[mOldPhrIS]",'Pivot Table Totals'!$A$79,"[Range 1].[State]","[Range 1].[State].&amp;[DE]"), " ")</f>
        <v>0</v>
      </c>
      <c r="AH70" s="336">
        <f>IFERROR(GETPIVOTDATA("[Measures].[mNewPhIS]",'Pivot Table Totals'!$A$79,"[Range 1].[State]","[Range 1].[State].&amp;[DE]"), " ")</f>
        <v>0</v>
      </c>
      <c r="AI70" s="46">
        <f>IFERROR(IF(AG70&gt;0,(((AH70-AG70)/AG70)*100),0), " ")</f>
        <v>0</v>
      </c>
      <c r="AJ70" s="336">
        <f>IFERROR(GETPIVOTDATA("[Measures].[mOldPhrOS]",'Pivot Table Totals'!$A$79,"[Range 1].[State]","[Range 1].[State].&amp;[DE]"), " ")</f>
        <v>0</v>
      </c>
      <c r="AK70" s="336">
        <f>IFERROR(GETPIVOTDATA("[Measures].[mNewPhrOS]",'Pivot Table Totals'!$A$79,"[Range 1].[State]","[Range 1].[State].&amp;[DE]"), " ")</f>
        <v>0</v>
      </c>
      <c r="AL70" s="46">
        <f>IFERROR(IF(AJ70&gt;0,(((AK70-AJ70)/AJ70)*100),0), " ")</f>
        <v>0</v>
      </c>
      <c r="AM70" s="336">
        <f>IFERROR(GETPIVOTDATA("[Measures].[mOldOptIS]",'Pivot Table Totals'!$A$79,"[Range 1].[State]","[Range 1].[State].&amp;[DE]"), " ")</f>
        <v>0</v>
      </c>
      <c r="AN70" s="336">
        <f>IFERROR(GETPIVOTDATA("[Measures].[mNewOptIS]",'Pivot Table Totals'!$A$79,"[Range 1].[State]","[Range 1].[State].&amp;[DE]"), " ")</f>
        <v>0</v>
      </c>
      <c r="AO70" s="46">
        <f>IFERROR(IF(AM70&gt;0,(((AN70-AM70)/AM70)*100),0), " ")</f>
        <v>0</v>
      </c>
      <c r="AP70" s="336">
        <f>IFERROR(GETPIVOTDATA("[Measures].[mOldOptoS]",'Pivot Table Totals'!$A$79,"[Range 1].[State]","[Range 1].[State].&amp;[DE]"), " ")</f>
        <v>0</v>
      </c>
      <c r="AQ70" s="336">
        <f>IFERROR(GETPIVOTDATA("[Measures].[mNewOptoS]",'Pivot Table Totals'!$A$79,"[Range 1].[State]","[Range 1].[State].&amp;[DE]"), " ")</f>
        <v>0</v>
      </c>
      <c r="AR70" s="46">
        <f>IFERROR(IF(AP70&gt;0,(((AQ70-AP70)/AP70)*100),0), " ")</f>
        <v>0</v>
      </c>
      <c r="AS70" s="336">
        <f>IFERROR(GETPIVOTDATA("[Measures].[mOldOstIS]",'Pivot Table Totals'!$A$79,"[Range 1].[State]","[Range 1].[State].&amp;[DE]"), " ")</f>
        <v>0</v>
      </c>
      <c r="AT70" s="336">
        <f>IFERROR(GETPIVOTDATA("[Measures].[mNewOstIS]",'Pivot Table Totals'!$A$79,"[Range 1].[State]","[Range 1].[State].&amp;[DE]"), " ")</f>
        <v>0</v>
      </c>
      <c r="AU70" s="46">
        <f>IFERROR(IF(AS70&gt;0,(((AT70-AS70)/AS70)*100),0), " ")</f>
        <v>0</v>
      </c>
      <c r="AV70" s="336">
        <f>IFERROR(GETPIVOTDATA("[Measures].[mOldOstOS]",'Pivot Table Totals'!$A$79,"[Range 1].[State]","[Range 1].[State].&amp;[DE]"), " ")</f>
        <v>0</v>
      </c>
      <c r="AW70" s="336">
        <f>IFERROR(GETPIVOTDATA("[Measures].[mNewOstOS]",'Pivot Table Totals'!$A$79,"[Range 1].[State]","[Range 1].[State].&amp;[DE]"), " ")</f>
        <v>0</v>
      </c>
      <c r="AX70" s="46">
        <f>IFERROR(IF(AV70&gt;0,(((AW70-AV70)/AV70)*100),0), " ")</f>
        <v>0</v>
      </c>
      <c r="AY70" s="336">
        <f>IFERROR(GETPIVOTDATA("[Measures].[m[OldVetIS]",'Pivot Table Totals'!$A$79,"[Range 1].[State]","[Range 1].[State].&amp;[DE]"), " ")</f>
        <v>0</v>
      </c>
      <c r="AZ70" s="336">
        <f>IFERROR(GETPIVOTDATA("[Measures].[mNewVetIS]",'Pivot Table Totals'!$A$79,"[Range 1].[State]","[Range 1].[State].&amp;[DE]"), " ")</f>
        <v>0</v>
      </c>
      <c r="BA70" s="46">
        <f>IFERROR(IF(AY70&gt;0,(((AZ70-AY70)/AY70)*100),0), " ")</f>
        <v>0</v>
      </c>
      <c r="BB70" s="336">
        <f>IFERROR(GETPIVOTDATA("[Measures].[mOldVetOS]",'Pivot Table Totals'!$A$79,"[Range 1].[State]","[Range 1].[State].&amp;[DE]"), " ")</f>
        <v>0</v>
      </c>
      <c r="BC70" s="336">
        <f>IFERROR(GETPIVOTDATA("[Measures].[mNewVetOS]",'Pivot Table Totals'!$A$79,"[Range 1].[State]","[Range 1].[State].&amp;[DE]"), " ")</f>
        <v>0</v>
      </c>
      <c r="BD70" s="46">
        <f>IFERROR(IF(BB70&gt;0,(((BC70-BB70)/BB70)*100),0), " ")</f>
        <v>0</v>
      </c>
    </row>
    <row r="71" spans="1:56">
      <c r="A71" s="18" t="s">
        <v>121</v>
      </c>
      <c r="B71" s="47" t="s">
        <v>544</v>
      </c>
      <c r="C71" s="20" t="str">
        <f>IFERROR(GETPIVOTDATA("[Measures].[mOldUGIS]",'Pivot Table Cats'!$A$3,"[Range 1].[State]","[Range 1].[State].&amp;[FL]","[Range 1].[Type]","[Range 1].[Type].&amp;[1]")," ")</f>
        <v xml:space="preserve"> </v>
      </c>
      <c r="D71" s="20" t="str">
        <f>IFERROR(GETPIVOTDATA("[Measures].[mNewUGIS]",'Pivot Table Cats'!$A$3,"[Range 1].[State]","[Range 1].[State].&amp;[FL]","[Range 1].[Type]","[Range 1].[Type].&amp;[1]")," ")</f>
        <v xml:space="preserve"> </v>
      </c>
      <c r="E71" s="21" t="str">
        <f>IFERROR(IF(C71&gt;0,(((D71-C71)/C71)*100),0), " ")</f>
        <v xml:space="preserve"> </v>
      </c>
      <c r="F71" s="20" t="str">
        <f>IFERROR(GETPIVOTDATA("[Measures].[mOldUGOS]",'Pivot Table Cats'!$A$3,"[Range 1].[State]","[Range 1].[State].&amp;[FL]","[Range 1].[Type]","[Range 1].[Type].&amp;[1]")," ")</f>
        <v xml:space="preserve"> </v>
      </c>
      <c r="G71" s="20" t="str">
        <f>IFERROR(GETPIVOTDATA("[Measures].[mNewUGOS]",'Pivot Table Cats'!$A$3,"[Range 1].[State]","[Range 1].[State].&amp;[FL]","[Range 1].[Type]","[Range 1].[Type].&amp;[1]")," ")</f>
        <v xml:space="preserve"> </v>
      </c>
      <c r="H71" s="21" t="str">
        <f>IFERROR(IF(F71&gt;0,(((G71-F71)/F71)*100),0), " ")</f>
        <v xml:space="preserve"> </v>
      </c>
      <c r="I71" s="20" t="str">
        <f>IFERROR(GETPIVOTDATA("[Measures].[mOldGIS]",'Pivot Table Cats'!$A$3,"[Range 1].[State]","[Range 1].[State].&amp;[FL]","[Range 1].[Type]","[Range 1].[Type].&amp;[1]")," ")</f>
        <v xml:space="preserve"> </v>
      </c>
      <c r="J71" s="20" t="str">
        <f>IFERROR(GETPIVOTDATA("[Measures].[mNewGIS]",'Pivot Table Cats'!$A$3,"[Range 1].[State]","[Range 1].[State].&amp;[FL]","[Range 1].[Type]","[Range 1].[Type].&amp;[1]")," ")</f>
        <v xml:space="preserve"> </v>
      </c>
      <c r="K71" s="21" t="str">
        <f>IFERROR(IF(I71&gt;0,(((J71-I71)/I71)*100),0), " ")</f>
        <v xml:space="preserve"> </v>
      </c>
      <c r="L71" s="20" t="str">
        <f>IFERROR(GETPIVOTDATA("[Measures].[mOldGOS]",'Pivot Table Cats'!$A$3,"[Range 1].[State]","[Range 1].[State].&amp;[FL]","[Range 1].[Type]","[Range 1].[Type].&amp;[1]")," ")</f>
        <v xml:space="preserve"> </v>
      </c>
      <c r="M71" s="20" t="str">
        <f>IFERROR(GETPIVOTDATA("[Measures].[mNewGOS]",'Pivot Table Cats'!$A$3,"[Range 1].[State]","[Range 1].[State].&amp;[FL]","[Range 1].[Type]","[Range 1].[Type].&amp;[1]")," ")</f>
        <v xml:space="preserve"> </v>
      </c>
      <c r="N71" s="21" t="str">
        <f>IFERROR(IF(L71&gt;0,(((M71-L71)/L71)*100),0), " ")</f>
        <v xml:space="preserve"> </v>
      </c>
      <c r="O71" s="25"/>
      <c r="P71" s="26"/>
      <c r="Q71" s="27"/>
      <c r="R71" s="25"/>
      <c r="S71" s="26"/>
      <c r="T71" s="27"/>
      <c r="U71" s="25"/>
      <c r="V71" s="26"/>
      <c r="W71" s="27"/>
      <c r="X71" s="25"/>
      <c r="Y71" s="26"/>
      <c r="Z71" s="27"/>
      <c r="AA71" s="25"/>
      <c r="AB71" s="26"/>
      <c r="AC71" s="27"/>
      <c r="AD71" s="25"/>
      <c r="AE71" s="26"/>
      <c r="AF71" s="27"/>
      <c r="AG71" s="25"/>
      <c r="AH71" s="26"/>
      <c r="AI71" s="27"/>
      <c r="AJ71" s="25"/>
      <c r="AK71" s="26"/>
      <c r="AL71" s="27"/>
      <c r="AM71" s="25"/>
      <c r="AN71" s="26"/>
      <c r="AO71" s="27"/>
      <c r="AP71" s="25"/>
      <c r="AQ71" s="26"/>
      <c r="AR71" s="27"/>
      <c r="AS71" s="25"/>
      <c r="AT71" s="26"/>
      <c r="AU71" s="27"/>
      <c r="AV71" s="25"/>
      <c r="AW71" s="26"/>
      <c r="AX71" s="27"/>
      <c r="AY71" s="25"/>
      <c r="AZ71" s="26"/>
      <c r="BA71" s="27"/>
      <c r="BB71" s="25"/>
      <c r="BC71" s="26"/>
      <c r="BD71" s="27"/>
    </row>
    <row r="72" spans="1:56">
      <c r="A72" s="28"/>
      <c r="B72" s="19" t="s">
        <v>545</v>
      </c>
      <c r="C72" s="20" t="str">
        <f>IFERROR(GETPIVOTDATA("[Measures].[mOldUGIS]",'Pivot Table Cats'!$A$3,"[Range 1].[State]","[Range 1].[State].&amp;[FL]","[Range 1].[Type]","[Range 1].[Type].&amp;[2]")," ")</f>
        <v xml:space="preserve"> </v>
      </c>
      <c r="D72" s="20" t="str">
        <f>IFERROR(GETPIVOTDATA("[Measures].[mNewUGIS]",'Pivot Table Cats'!$A$3,"[Range 1].[State]","[Range 1].[State].&amp;[FL]","[Range 1].[Type]","[Range 1].[Type].&amp;[2]")," ")</f>
        <v xml:space="preserve"> </v>
      </c>
      <c r="E72" s="21" t="str">
        <f t="shared" ref="E72:E86" si="16">IFERROR(IF(C72&gt;0,(((D72-C72)/C72)*100),0), " ")</f>
        <v xml:space="preserve"> </v>
      </c>
      <c r="F72" s="20" t="str">
        <f>IFERROR(GETPIVOTDATA("[Measures].[mOldUGOS]",'Pivot Table Cats'!$A$3,"[Range 1].[State]","[Range 1].[State].&amp;[FL]","[Range 1].[Type]","[Range 1].[Type].&amp;[2]")," ")</f>
        <v xml:space="preserve"> </v>
      </c>
      <c r="G72" s="20" t="str">
        <f>IFERROR(GETPIVOTDATA("[Measures].[mNewUGOS]",'Pivot Table Cats'!$A$3,"[Range 1].[State]","[Range 1].[State].&amp;[FL]","[Range 1].[Type]","[Range 1].[Type].&amp;[2]")," ")</f>
        <v xml:space="preserve"> </v>
      </c>
      <c r="H72" s="21" t="str">
        <f t="shared" ref="H72:H86" si="17">IFERROR(IF(F72&gt;0,(((G72-F72)/F72)*100),0), " ")</f>
        <v xml:space="preserve"> </v>
      </c>
      <c r="I72" s="20" t="str">
        <f>IFERROR(GETPIVOTDATA("[Measures].[mOldGIS]",'Pivot Table Cats'!$A$3,"[Range 1].[State]","[Range 1].[State].&amp;[FL]","[Range 1].[Type]","[Range 1].[Type].&amp;[2]")," ")</f>
        <v xml:space="preserve"> </v>
      </c>
      <c r="J72" s="20" t="str">
        <f>IFERROR(GETPIVOTDATA("[Measures].[mNewGIS]",'Pivot Table Cats'!$A$3,"[Range 1].[State]","[Range 1].[State].&amp;[FL]","[Range 1].[Type]","[Range 1].[Type].&amp;[2]")," ")</f>
        <v xml:space="preserve"> </v>
      </c>
      <c r="K72" s="21" t="str">
        <f t="shared" ref="K72:K86" si="18">IFERROR(IF(I72&gt;0,(((J72-I72)/I72)*100),0), " ")</f>
        <v xml:space="preserve"> </v>
      </c>
      <c r="L72" s="20" t="str">
        <f>IFERROR(GETPIVOTDATA("[Measures].[mOldGOS]",'Pivot Table Cats'!$A$3,"[Range 1].[State]","[Range 1].[State].&amp;[FL]","[Range 1].[Type]","[Range 1].[Type].&amp;[2]")," ")</f>
        <v xml:space="preserve"> </v>
      </c>
      <c r="M72" s="20" t="str">
        <f>IFERROR(GETPIVOTDATA("[Measures].[mNewGOS]",'Pivot Table Cats'!$A$3,"[Range 1].[State]","[Range 1].[State].&amp;[FL]","[Range 1].[Type]","[Range 1].[Type].&amp;[2]")," ")</f>
        <v xml:space="preserve"> </v>
      </c>
      <c r="N72" s="21" t="str">
        <f t="shared" ref="N72:N86" si="19">IFERROR(IF(L72&gt;0,(((M72-L72)/L72)*100),0), " ")</f>
        <v xml:space="preserve"> </v>
      </c>
      <c r="O72" s="25"/>
      <c r="P72" s="26"/>
      <c r="Q72" s="27"/>
      <c r="R72" s="25"/>
      <c r="S72" s="26"/>
      <c r="T72" s="27"/>
      <c r="U72" s="25"/>
      <c r="V72" s="26"/>
      <c r="W72" s="27"/>
      <c r="X72" s="25"/>
      <c r="Y72" s="26"/>
      <c r="Z72" s="27"/>
      <c r="AA72" s="25"/>
      <c r="AB72" s="26"/>
      <c r="AC72" s="27"/>
      <c r="AD72" s="25"/>
      <c r="AE72" s="26"/>
      <c r="AF72" s="27"/>
      <c r="AG72" s="25"/>
      <c r="AH72" s="26"/>
      <c r="AI72" s="27"/>
      <c r="AJ72" s="25"/>
      <c r="AK72" s="26"/>
      <c r="AL72" s="27"/>
      <c r="AM72" s="25"/>
      <c r="AN72" s="26"/>
      <c r="AO72" s="27"/>
      <c r="AP72" s="25"/>
      <c r="AQ72" s="26"/>
      <c r="AR72" s="27"/>
      <c r="AS72" s="25"/>
      <c r="AT72" s="26"/>
      <c r="AU72" s="27"/>
      <c r="AV72" s="25"/>
      <c r="AW72" s="26"/>
      <c r="AX72" s="27"/>
      <c r="AY72" s="25"/>
      <c r="AZ72" s="26"/>
      <c r="BA72" s="27"/>
      <c r="BB72" s="25"/>
      <c r="BC72" s="26"/>
      <c r="BD72" s="27"/>
    </row>
    <row r="73" spans="1:56">
      <c r="A73" s="28"/>
      <c r="B73" s="19" t="s">
        <v>546</v>
      </c>
      <c r="C73" s="20" t="str">
        <f>IFERROR(GETPIVOTDATA("[Measures].[mOldUGIS]",'Pivot Table Cats'!$A$3,"[Range 1].[State]","[Range 1].[State].&amp;[FL]","[Range 1].[Type]","[Range 1].[Type].&amp;[3]")," ")</f>
        <v xml:space="preserve"> </v>
      </c>
      <c r="D73" s="20" t="str">
        <f>IFERROR(GETPIVOTDATA("[Measures].[mNewUGIS]",'Pivot Table Cats'!$A$3,"[Range 1].[State]","[Range 1].[State].&amp;[FL]","[Range 1].[Type]","[Range 1].[Type].&amp;[3]")," ")</f>
        <v xml:space="preserve"> </v>
      </c>
      <c r="E73" s="21" t="str">
        <f t="shared" si="16"/>
        <v xml:space="preserve"> </v>
      </c>
      <c r="F73" s="20" t="str">
        <f>IFERROR(GETPIVOTDATA("[Measures].[mOldUGOS]",'Pivot Table Cats'!$A$3,"[Range 1].[State]","[Range 1].[State].&amp;[FL]","[Range 1].[Type]","[Range 1].[Type].&amp;[3]")," ")</f>
        <v xml:space="preserve"> </v>
      </c>
      <c r="G73" s="20" t="str">
        <f>IFERROR(GETPIVOTDATA("[Measures].[mNewUGOS]",'Pivot Table Cats'!$A$3,"[Range 1].[State]","[Range 1].[State].&amp;[FL]","[Range 1].[Type]","[Range 1].[Type].&amp;[3]")," ")</f>
        <v xml:space="preserve"> </v>
      </c>
      <c r="H73" s="21" t="str">
        <f t="shared" si="17"/>
        <v xml:space="preserve"> </v>
      </c>
      <c r="I73" s="20" t="str">
        <f>IFERROR(GETPIVOTDATA("[Measures].[mOldGIS]",'Pivot Table Cats'!$A$3,"[Range 1].[State]","[Range 1].[State].&amp;[FL]","[Range 1].[Type]","[Range 1].[Type].&amp;[3]")," ")</f>
        <v xml:space="preserve"> </v>
      </c>
      <c r="J73" s="20" t="str">
        <f>IFERROR(GETPIVOTDATA("[Measures].[mNewGIS]",'Pivot Table Cats'!$A$3,"[Range 1].[State]","[Range 1].[State].&amp;[FL]","[Range 1].[Type]","[Range 1].[Type].&amp;[3]")," ")</f>
        <v xml:space="preserve"> </v>
      </c>
      <c r="K73" s="21" t="str">
        <f t="shared" si="18"/>
        <v xml:space="preserve"> </v>
      </c>
      <c r="L73" s="20" t="str">
        <f>IFERROR(GETPIVOTDATA("[Measures].[mOldGOS]",'Pivot Table Cats'!$A$3,"[Range 1].[State]","[Range 1].[State].&amp;[FL]","[Range 1].[Type]","[Range 1].[Type].&amp;[3]")," ")</f>
        <v xml:space="preserve"> </v>
      </c>
      <c r="M73" s="20" t="str">
        <f>IFERROR(GETPIVOTDATA("[Measures].[mNewGOS]",'Pivot Table Cats'!$A$3,"[Range 1].[State]","[Range 1].[State].&amp;[FL]","[Range 1].[Type]","[Range 1].[Type].&amp;[3]")," ")</f>
        <v xml:space="preserve"> </v>
      </c>
      <c r="N73" s="21" t="str">
        <f t="shared" si="19"/>
        <v xml:space="preserve"> </v>
      </c>
      <c r="O73" s="25"/>
      <c r="P73" s="26"/>
      <c r="Q73" s="27"/>
      <c r="R73" s="25"/>
      <c r="S73" s="26"/>
      <c r="T73" s="27"/>
      <c r="U73" s="25"/>
      <c r="V73" s="26"/>
      <c r="W73" s="27"/>
      <c r="X73" s="25"/>
      <c r="Y73" s="26"/>
      <c r="Z73" s="27"/>
      <c r="AA73" s="25"/>
      <c r="AB73" s="26"/>
      <c r="AC73" s="27"/>
      <c r="AD73" s="25"/>
      <c r="AE73" s="26"/>
      <c r="AF73" s="27"/>
      <c r="AG73" s="25"/>
      <c r="AH73" s="26"/>
      <c r="AI73" s="27"/>
      <c r="AJ73" s="25"/>
      <c r="AK73" s="26"/>
      <c r="AL73" s="27"/>
      <c r="AM73" s="25"/>
      <c r="AN73" s="26"/>
      <c r="AO73" s="27"/>
      <c r="AP73" s="25"/>
      <c r="AQ73" s="26"/>
      <c r="AR73" s="27"/>
      <c r="AS73" s="25"/>
      <c r="AT73" s="26"/>
      <c r="AU73" s="27"/>
      <c r="AV73" s="25"/>
      <c r="AW73" s="26"/>
      <c r="AX73" s="27"/>
      <c r="AY73" s="25"/>
      <c r="AZ73" s="26"/>
      <c r="BA73" s="27"/>
      <c r="BB73" s="25"/>
      <c r="BC73" s="26"/>
      <c r="BD73" s="27"/>
    </row>
    <row r="74" spans="1:56">
      <c r="A74" s="28"/>
      <c r="B74" s="19" t="s">
        <v>547</v>
      </c>
      <c r="C74" s="20" t="str">
        <f>IFERROR(GETPIVOTDATA("[Measures].[mOldUGIS]",'Pivot Table Cats'!$A$3,"[Range 1].[State]","[Range 1].[State].&amp;[FL]","[Range 1].[Type]","[Range 1].[Type].&amp;[4]")," ")</f>
        <v xml:space="preserve"> </v>
      </c>
      <c r="D74" s="20" t="str">
        <f>IFERROR(GETPIVOTDATA("[Measures].[mNewUGIS]",'Pivot Table Cats'!$A$3,"[Range 1].[State]","[Range 1].[State].&amp;[FL]","[Range 1].[Type]","[Range 1].[Type].&amp;[4]")," ")</f>
        <v xml:space="preserve"> </v>
      </c>
      <c r="E74" s="21" t="str">
        <f t="shared" si="16"/>
        <v xml:space="preserve"> </v>
      </c>
      <c r="F74" s="20" t="str">
        <f>IFERROR(GETPIVOTDATA("[Measures].[mOldUGOS]",'Pivot Table Cats'!$A$3,"[Range 1].[State]","[Range 1].[State].&amp;[FL]","[Range 1].[Type]","[Range 1].[Type].&amp;[4]")," ")</f>
        <v xml:space="preserve"> </v>
      </c>
      <c r="G74" s="20" t="str">
        <f>IFERROR(GETPIVOTDATA("[Measures].[mNewUGOS]",'Pivot Table Cats'!$A$3,"[Range 1].[State]","[Range 1].[State].&amp;[FL]","[Range 1].[Type]","[Range 1].[Type].&amp;[4]")," ")</f>
        <v xml:space="preserve"> </v>
      </c>
      <c r="H74" s="21" t="str">
        <f t="shared" si="17"/>
        <v xml:space="preserve"> </v>
      </c>
      <c r="I74" s="20" t="str">
        <f>IFERROR(GETPIVOTDATA("[Measures].[mOldGIS]",'Pivot Table Cats'!$A$3,"[Range 1].[State]","[Range 1].[State].&amp;[FL]","[Range 1].[Type]","[Range 1].[Type].&amp;[4]")," ")</f>
        <v xml:space="preserve"> </v>
      </c>
      <c r="J74" s="20" t="str">
        <f>IFERROR(GETPIVOTDATA("[Measures].[mNewGIS]",'Pivot Table Cats'!$A$3,"[Range 1].[State]","[Range 1].[State].&amp;[FL]","[Range 1].[Type]","[Range 1].[Type].&amp;[4]")," ")</f>
        <v xml:space="preserve"> </v>
      </c>
      <c r="K74" s="21" t="str">
        <f t="shared" si="18"/>
        <v xml:space="preserve"> </v>
      </c>
      <c r="L74" s="20" t="str">
        <f>IFERROR(GETPIVOTDATA("[Measures].[mOldGOS]",'Pivot Table Cats'!$A$3,"[Range 1].[State]","[Range 1].[State].&amp;[FL]","[Range 1].[Type]","[Range 1].[Type].&amp;[4]")," ")</f>
        <v xml:space="preserve"> </v>
      </c>
      <c r="M74" s="20" t="str">
        <f>IFERROR(GETPIVOTDATA("[Measures].[mNewGOS]",'Pivot Table Cats'!$A$3,"[Range 1].[State]","[Range 1].[State].&amp;[FL]","[Range 1].[Type]","[Range 1].[Type].&amp;[4]")," ")</f>
        <v xml:space="preserve"> </v>
      </c>
      <c r="N74" s="21" t="str">
        <f t="shared" si="19"/>
        <v xml:space="preserve"> </v>
      </c>
      <c r="O74" s="25"/>
      <c r="P74" s="26"/>
      <c r="Q74" s="27"/>
      <c r="R74" s="25"/>
      <c r="S74" s="26"/>
      <c r="T74" s="27"/>
      <c r="U74" s="25"/>
      <c r="V74" s="26"/>
      <c r="W74" s="27"/>
      <c r="X74" s="25"/>
      <c r="Y74" s="26"/>
      <c r="Z74" s="27"/>
      <c r="AA74" s="25"/>
      <c r="AB74" s="26"/>
      <c r="AC74" s="27"/>
      <c r="AD74" s="25"/>
      <c r="AE74" s="26"/>
      <c r="AF74" s="27"/>
      <c r="AG74" s="25"/>
      <c r="AH74" s="26"/>
      <c r="AI74" s="27"/>
      <c r="AJ74" s="25"/>
      <c r="AK74" s="26"/>
      <c r="AL74" s="27"/>
      <c r="AM74" s="25"/>
      <c r="AN74" s="26"/>
      <c r="AO74" s="27"/>
      <c r="AP74" s="25"/>
      <c r="AQ74" s="26"/>
      <c r="AR74" s="27"/>
      <c r="AS74" s="25"/>
      <c r="AT74" s="26"/>
      <c r="AU74" s="27"/>
      <c r="AV74" s="25"/>
      <c r="AW74" s="26"/>
      <c r="AX74" s="27"/>
      <c r="AY74" s="25"/>
      <c r="AZ74" s="26"/>
      <c r="BA74" s="27"/>
      <c r="BB74" s="25"/>
      <c r="BC74" s="26"/>
      <c r="BD74" s="27"/>
    </row>
    <row r="75" spans="1:56">
      <c r="A75" s="28"/>
      <c r="B75" s="19" t="s">
        <v>548</v>
      </c>
      <c r="C75" s="20" t="str">
        <f>IFERROR(GETPIVOTDATA("[Measures].[mOldUGIS]",'Pivot Table Cats'!$A$3,"[Range 1].[State]","[Range 1].[State].&amp;[FL]","[Range 1].[Type]","[Range 1].[Type].&amp;[5]")," ")</f>
        <v xml:space="preserve"> </v>
      </c>
      <c r="D75" s="20" t="str">
        <f>IFERROR(GETPIVOTDATA("[Measures].[mNewUGIS]",'Pivot Table Cats'!$A$3,"[Range 1].[State]","[Range 1].[State].&amp;[FL]","[Range 1].[Type]","[Range 1].[Type].&amp;[5]")," ")</f>
        <v xml:space="preserve"> </v>
      </c>
      <c r="E75" s="21" t="str">
        <f t="shared" si="16"/>
        <v xml:space="preserve"> </v>
      </c>
      <c r="F75" s="20" t="str">
        <f>IFERROR(GETPIVOTDATA("[Measures].[mOldUGOS]",'Pivot Table Cats'!$A$3,"[Range 1].[State]","[Range 1].[State].&amp;[FL]","[Range 1].[Type]","[Range 1].[Type].&amp;[5]")," ")</f>
        <v xml:space="preserve"> </v>
      </c>
      <c r="G75" s="20" t="str">
        <f>IFERROR(GETPIVOTDATA("[Measures].[mNewUGOS]",'Pivot Table Cats'!$A$3,"[Range 1].[State]","[Range 1].[State].&amp;[FL]","[Range 1].[Type]","[Range 1].[Type].&amp;[5]")," ")</f>
        <v xml:space="preserve"> </v>
      </c>
      <c r="H75" s="21" t="str">
        <f t="shared" si="17"/>
        <v xml:space="preserve"> </v>
      </c>
      <c r="I75" s="20" t="str">
        <f>IFERROR(GETPIVOTDATA("[Measures].[mOldGIS]",'Pivot Table Cats'!$A$3,"[Range 1].[State]","[Range 1].[State].&amp;[FL]","[Range 1].[Type]","[Range 1].[Type].&amp;[5]")," ")</f>
        <v xml:space="preserve"> </v>
      </c>
      <c r="J75" s="20" t="str">
        <f>IFERROR(GETPIVOTDATA("[Measures].[mNewGIS]",'Pivot Table Cats'!$A$3,"[Range 1].[State]","[Range 1].[State].&amp;[FL]","[Range 1].[Type]","[Range 1].[Type].&amp;[5]")," ")</f>
        <v xml:space="preserve"> </v>
      </c>
      <c r="K75" s="21" t="str">
        <f t="shared" si="18"/>
        <v xml:space="preserve"> </v>
      </c>
      <c r="L75" s="20" t="str">
        <f>IFERROR(GETPIVOTDATA("[Measures].[mOldGOS]",'Pivot Table Cats'!$A$3,"[Range 1].[State]","[Range 1].[State].&amp;[FL]","[Range 1].[Type]","[Range 1].[Type].&amp;[5]")," ")</f>
        <v xml:space="preserve"> </v>
      </c>
      <c r="M75" s="20" t="str">
        <f>IFERROR(GETPIVOTDATA("[Measures].[mNewGOS]",'Pivot Table Cats'!$A$3,"[Range 1].[State]","[Range 1].[State].&amp;[FL]","[Range 1].[Type]","[Range 1].[Type].&amp;[5]")," ")</f>
        <v xml:space="preserve"> </v>
      </c>
      <c r="N75" s="21" t="str">
        <f t="shared" si="19"/>
        <v xml:space="preserve"> </v>
      </c>
      <c r="O75" s="25"/>
      <c r="P75" s="26"/>
      <c r="Q75" s="27"/>
      <c r="R75" s="25"/>
      <c r="S75" s="26"/>
      <c r="T75" s="27"/>
      <c r="U75" s="25"/>
      <c r="V75" s="26"/>
      <c r="W75" s="27"/>
      <c r="X75" s="25"/>
      <c r="Y75" s="26"/>
      <c r="Z75" s="27"/>
      <c r="AA75" s="25"/>
      <c r="AB75" s="26"/>
      <c r="AC75" s="27"/>
      <c r="AD75" s="25"/>
      <c r="AE75" s="26"/>
      <c r="AF75" s="27"/>
      <c r="AG75" s="25"/>
      <c r="AH75" s="26"/>
      <c r="AI75" s="27"/>
      <c r="AJ75" s="25"/>
      <c r="AK75" s="26"/>
      <c r="AL75" s="27"/>
      <c r="AM75" s="25"/>
      <c r="AN75" s="26"/>
      <c r="AO75" s="27"/>
      <c r="AP75" s="25"/>
      <c r="AQ75" s="26"/>
      <c r="AR75" s="27"/>
      <c r="AS75" s="25"/>
      <c r="AT75" s="26"/>
      <c r="AU75" s="27"/>
      <c r="AV75" s="25"/>
      <c r="AW75" s="26"/>
      <c r="AX75" s="27"/>
      <c r="AY75" s="25"/>
      <c r="AZ75" s="26"/>
      <c r="BA75" s="27"/>
      <c r="BB75" s="25"/>
      <c r="BC75" s="26"/>
      <c r="BD75" s="27"/>
    </row>
    <row r="76" spans="1:56">
      <c r="A76" s="28"/>
      <c r="B76" s="19" t="s">
        <v>549</v>
      </c>
      <c r="C76" s="20" t="str">
        <f>IFERROR(GETPIVOTDATA("[Measures].[mOldUGIS]",'Pivot Table Cats'!$A$3,"[Range 1].[State]","[Range 1].[State].&amp;[FL]","[Range 1].[Type]","[Range 1].[Type].&amp;[6]")," ")</f>
        <v xml:space="preserve"> </v>
      </c>
      <c r="D76" s="20" t="str">
        <f>IFERROR(GETPIVOTDATA("[Measures].[mNewUGIS]",'Pivot Table Cats'!$A$3,"[Range 1].[State]","[Range 1].[State].&amp;[FL]","[Range 1].[Type]","[Range 1].[Type].&amp;[6]")," ")</f>
        <v xml:space="preserve"> </v>
      </c>
      <c r="E76" s="21" t="str">
        <f t="shared" si="16"/>
        <v xml:space="preserve"> </v>
      </c>
      <c r="F76" s="20" t="str">
        <f>IFERROR(GETPIVOTDATA("[Measures].[mOldUGOS]",'Pivot Table Cats'!$A$3,"[Range 1].[State]","[Range 1].[State].&amp;[FL]","[Range 1].[Type]","[Range 1].[Type].&amp;[6]")," ")</f>
        <v xml:space="preserve"> </v>
      </c>
      <c r="G76" s="20" t="str">
        <f>IFERROR(GETPIVOTDATA("[Measures].[mNewUGOS]",'Pivot Table Cats'!$A$3,"[Range 1].[State]","[Range 1].[State].&amp;[FL]","[Range 1].[Type]","[Range 1].[Type].&amp;[6]")," ")</f>
        <v xml:space="preserve"> </v>
      </c>
      <c r="H76" s="21" t="str">
        <f t="shared" si="17"/>
        <v xml:space="preserve"> </v>
      </c>
      <c r="I76" s="20" t="str">
        <f>IFERROR(GETPIVOTDATA("[Measures].[mOldGIS]",'Pivot Table Cats'!$A$3,"[Range 1].[State]","[Range 1].[State].&amp;[FL]","[Range 1].[Type]","[Range 1].[Type].&amp;[6]")," ")</f>
        <v xml:space="preserve"> </v>
      </c>
      <c r="J76" s="20" t="str">
        <f>IFERROR(GETPIVOTDATA("[Measures].[mNewGIS]",'Pivot Table Cats'!$A$3,"[Range 1].[State]","[Range 1].[State].&amp;[FL]","[Range 1].[Type]","[Range 1].[Type].&amp;[6]")," ")</f>
        <v xml:space="preserve"> </v>
      </c>
      <c r="K76" s="21" t="str">
        <f t="shared" si="18"/>
        <v xml:space="preserve"> </v>
      </c>
      <c r="L76" s="20" t="str">
        <f>IFERROR(GETPIVOTDATA("[Measures].[mOldGOS]",'Pivot Table Cats'!$A$3,"[Range 1].[State]","[Range 1].[State].&amp;[FL]","[Range 1].[Type]","[Range 1].[Type].&amp;[6]")," ")</f>
        <v xml:space="preserve"> </v>
      </c>
      <c r="M76" s="20" t="str">
        <f>IFERROR(GETPIVOTDATA("[Measures].[mNewGOS]",'Pivot Table Cats'!$A$3,"[Range 1].[State]","[Range 1].[State].&amp;[FL]","[Range 1].[Type]","[Range 1].[Type].&amp;[6]")," ")</f>
        <v xml:space="preserve"> </v>
      </c>
      <c r="N76" s="21" t="str">
        <f t="shared" si="19"/>
        <v xml:space="preserve"> </v>
      </c>
      <c r="O76" s="25"/>
      <c r="P76" s="26"/>
      <c r="Q76" s="27"/>
      <c r="R76" s="25"/>
      <c r="S76" s="26"/>
      <c r="T76" s="27"/>
      <c r="U76" s="25"/>
      <c r="V76" s="26"/>
      <c r="W76" s="27"/>
      <c r="X76" s="25"/>
      <c r="Y76" s="26"/>
      <c r="Z76" s="27"/>
      <c r="AA76" s="25"/>
      <c r="AB76" s="26"/>
      <c r="AC76" s="27"/>
      <c r="AD76" s="25"/>
      <c r="AE76" s="26"/>
      <c r="AF76" s="27"/>
      <c r="AG76" s="25"/>
      <c r="AH76" s="26"/>
      <c r="AI76" s="27"/>
      <c r="AJ76" s="25"/>
      <c r="AK76" s="26"/>
      <c r="AL76" s="27"/>
      <c r="AM76" s="25"/>
      <c r="AN76" s="26"/>
      <c r="AO76" s="27"/>
      <c r="AP76" s="25"/>
      <c r="AQ76" s="26"/>
      <c r="AR76" s="27"/>
      <c r="AS76" s="25"/>
      <c r="AT76" s="26"/>
      <c r="AU76" s="27"/>
      <c r="AV76" s="25"/>
      <c r="AW76" s="26"/>
      <c r="AX76" s="27"/>
      <c r="AY76" s="25"/>
      <c r="AZ76" s="26"/>
      <c r="BA76" s="27"/>
      <c r="BB76" s="25"/>
      <c r="BC76" s="26"/>
      <c r="BD76" s="27"/>
    </row>
    <row r="77" spans="1:56" s="39" customFormat="1" ht="19.5" customHeight="1">
      <c r="A77" s="29"/>
      <c r="B77" s="30" t="s">
        <v>550</v>
      </c>
      <c r="C77" s="31" t="str">
        <f>IFERROR(GETPIVOTDATA("[Measures].[mOldUGIS]",'Pivot Table Totals'!$A$4,"[Range 1].[State]","[Range 1].[State].&amp;[FL]"), " ")</f>
        <v xml:space="preserve"> </v>
      </c>
      <c r="D77" s="31" t="str">
        <f>IFERROR(GETPIVOTDATA("[Measures].[mNewUGIS]",'Pivot Table Totals'!$A$4,"[Range 1].[State]","[Range 1].[State].&amp;[FL]"), " ")</f>
        <v xml:space="preserve"> </v>
      </c>
      <c r="E77" s="21" t="str">
        <f t="shared" si="16"/>
        <v xml:space="preserve"> </v>
      </c>
      <c r="F77" s="31" t="str">
        <f>IFERROR(GETPIVOTDATA("[Measures].[mOldUGOS]",'Pivot Table Totals'!$A$4,"[Range 1].[State]","[Range 1].[State].&amp;[FL]"), " ")</f>
        <v xml:space="preserve"> </v>
      </c>
      <c r="G77" s="31" t="str">
        <f>IFERROR(GETPIVOTDATA("[Measures].[mNewUGOS]",'Pivot Table Totals'!$A$4,"[Range 1].[State]","[Range 1].[State].&amp;[FL]"), " ")</f>
        <v xml:space="preserve"> </v>
      </c>
      <c r="H77" s="21" t="str">
        <f t="shared" si="17"/>
        <v xml:space="preserve"> </v>
      </c>
      <c r="I77" s="31" t="str">
        <f>IFERROR(GETPIVOTDATA("[Measures].[mOldGIS]",'Pivot Table Totals'!$A$4,"[Range 1].[State]","[Range 1].[State].&amp;[FL]"), " ")</f>
        <v xml:space="preserve"> </v>
      </c>
      <c r="J77" s="31" t="str">
        <f>IFERROR(GETPIVOTDATA("[Measures].[mNewGIS]",'Pivot Table Totals'!$A$4,"[Range 1].[State]","[Range 1].[State].&amp;[FL]"), " ")</f>
        <v xml:space="preserve"> </v>
      </c>
      <c r="K77" s="21" t="str">
        <f t="shared" si="18"/>
        <v xml:space="preserve"> </v>
      </c>
      <c r="L77" s="31" t="str">
        <f>IFERROR(GETPIVOTDATA("[Measures].[mOldGOS]",'Pivot Table Totals'!$A$4,"[Range 1].[State]","[Range 1].[State].&amp;[FL]"), " ")</f>
        <v xml:space="preserve"> </v>
      </c>
      <c r="M77" s="31" t="str">
        <f>IFERROR(GETPIVOTDATA("[Measures].[mNewGOS]",'Pivot Table Totals'!$A$4,"[Range 1].[State]","[Range 1].[State].&amp;[FL]"), " ")</f>
        <v xml:space="preserve"> </v>
      </c>
      <c r="N77" s="21" t="str">
        <f>IFERROR(IF(L77&gt;0,(((M77-L77)/L77)*100),0), "  ")</f>
        <v xml:space="preserve">  </v>
      </c>
      <c r="O77" s="36"/>
      <c r="P77" s="37"/>
      <c r="Q77" s="38"/>
      <c r="R77" s="36"/>
      <c r="S77" s="37"/>
      <c r="T77" s="38"/>
      <c r="U77" s="36"/>
      <c r="V77" s="37"/>
      <c r="W77" s="38"/>
      <c r="X77" s="36"/>
      <c r="Y77" s="37"/>
      <c r="Z77" s="38"/>
      <c r="AA77" s="36"/>
      <c r="AB77" s="37"/>
      <c r="AC77" s="38"/>
      <c r="AD77" s="36"/>
      <c r="AE77" s="37"/>
      <c r="AF77" s="38"/>
      <c r="AG77" s="36"/>
      <c r="AH77" s="37"/>
      <c r="AI77" s="38"/>
      <c r="AJ77" s="36"/>
      <c r="AK77" s="37"/>
      <c r="AL77" s="38"/>
      <c r="AM77" s="36"/>
      <c r="AN77" s="37"/>
      <c r="AO77" s="38"/>
      <c r="AP77" s="36"/>
      <c r="AQ77" s="37"/>
      <c r="AR77" s="38"/>
      <c r="AS77" s="36"/>
      <c r="AT77" s="37"/>
      <c r="AU77" s="38"/>
      <c r="AV77" s="36"/>
      <c r="AW77" s="37"/>
      <c r="AX77" s="38"/>
      <c r="AY77" s="36"/>
      <c r="AZ77" s="37"/>
      <c r="BA77" s="38"/>
      <c r="BB77" s="36"/>
      <c r="BC77" s="37"/>
      <c r="BD77" s="38"/>
    </row>
    <row r="78" spans="1:56">
      <c r="A78" s="28"/>
      <c r="B78" s="19" t="s">
        <v>551</v>
      </c>
      <c r="C78" s="20">
        <f>IFERROR(GETPIVOTDATA("[Measures].[mOldUGIS]",'Pivot Table Cats'!$A$3,"[Range 1].[State]","[Range 1].[State].&amp;[FL]","[Range 1].[Type]","[Range 1].[Type].&amp;[7]")," ")</f>
        <v>3129</v>
      </c>
      <c r="D78" s="20">
        <f>IFERROR(GETPIVOTDATA("[Measures].[mNewUGIS]",'Pivot Table Cats'!$A$3,"[Range 1].[State]","[Range 1].[State].&amp;[FL]","[Range 1].[Type]","[Range 1].[Type].&amp;[7]")," ")</f>
        <v>3129</v>
      </c>
      <c r="E78" s="21">
        <f t="shared" si="16"/>
        <v>0</v>
      </c>
      <c r="F78" s="20">
        <f>IFERROR(GETPIVOTDATA("[Measures].[mOldUGOS]",'Pivot Table Cats'!$A$3,"[Range 1].[State]","[Range 1].[State].&amp;[FL]","[Range 1].[Type]","[Range 1].[Type].&amp;[7]")," ")</f>
        <v>11779.05</v>
      </c>
      <c r="G78" s="20">
        <f>IFERROR(GETPIVOTDATA("[Measures].[mNewUGOS]",'Pivot Table Cats'!$A$3,"[Range 1].[State]","[Range 1].[State].&amp;[FL]","[Range 1].[Type]","[Range 1].[Type].&amp;[7]")," ")</f>
        <v>11779.05</v>
      </c>
      <c r="H78" s="21">
        <f t="shared" si="17"/>
        <v>0</v>
      </c>
      <c r="I78" s="20">
        <f>IFERROR(GETPIVOTDATA("[Measures].[mOldGIS]",'Pivot Table Cats'!$A$3,"[Range 1].[State]","[Range 1].[State].&amp;[FL]","[Range 1].[Type]","[Range 1].[Type].&amp;[7]")," ")</f>
        <v>0</v>
      </c>
      <c r="J78" s="20">
        <f>IFERROR(GETPIVOTDATA("[Measures].[mNewGIS]",'Pivot Table Cats'!$A$3,"[Range 1].[State]","[Range 1].[State].&amp;[FL]","[Range 1].[Type]","[Range 1].[Type].&amp;[7]")," ")</f>
        <v>0</v>
      </c>
      <c r="K78" s="21">
        <f t="shared" si="18"/>
        <v>0</v>
      </c>
      <c r="L78" s="20">
        <f>IFERROR(GETPIVOTDATA("[Measures].[mOldGIS]",'Pivot Table Cats'!$A$3,"[Range 1].[State]","[Range 1].[State].&amp;[FL]","[Range 1].[Type]","[Range 1].[Type].&amp;[7]")," ")</f>
        <v>0</v>
      </c>
      <c r="M78" s="20">
        <f>IFERROR(GETPIVOTDATA("[Measures].[mNewGIS]",'Pivot Table Cats'!$A$3,"[Range 1].[State]","[Range 1].[State].&amp;[FL]","[Range 1].[Type]","[Range 1].[Type].&amp;[7]")," ")</f>
        <v>0</v>
      </c>
      <c r="N78" s="21">
        <f t="shared" si="19"/>
        <v>0</v>
      </c>
      <c r="O78" s="25"/>
      <c r="P78" s="26"/>
      <c r="Q78" s="27"/>
      <c r="R78" s="25"/>
      <c r="S78" s="26"/>
      <c r="T78" s="27"/>
      <c r="U78" s="25"/>
      <c r="V78" s="26"/>
      <c r="W78" s="27"/>
      <c r="X78" s="25"/>
      <c r="Y78" s="26"/>
      <c r="Z78" s="27"/>
      <c r="AA78" s="25"/>
      <c r="AB78" s="26"/>
      <c r="AC78" s="27"/>
      <c r="AD78" s="25"/>
      <c r="AE78" s="26"/>
      <c r="AF78" s="27"/>
      <c r="AG78" s="25"/>
      <c r="AH78" s="26"/>
      <c r="AI78" s="27"/>
      <c r="AJ78" s="25"/>
      <c r="AK78" s="26"/>
      <c r="AL78" s="27"/>
      <c r="AM78" s="25"/>
      <c r="AN78" s="26"/>
      <c r="AO78" s="27"/>
      <c r="AP78" s="25"/>
      <c r="AQ78" s="26"/>
      <c r="AR78" s="27"/>
      <c r="AS78" s="25"/>
      <c r="AT78" s="26"/>
      <c r="AU78" s="27"/>
      <c r="AV78" s="25"/>
      <c r="AW78" s="26"/>
      <c r="AX78" s="27"/>
      <c r="AY78" s="25"/>
      <c r="AZ78" s="26"/>
      <c r="BA78" s="27"/>
      <c r="BB78" s="25"/>
      <c r="BC78" s="26"/>
      <c r="BD78" s="27"/>
    </row>
    <row r="79" spans="1:56">
      <c r="A79" s="28"/>
      <c r="B79" s="19" t="s">
        <v>552</v>
      </c>
      <c r="C79" s="20">
        <f>IFERROR(GETPIVOTDATA("[Measures].[mOldUGIS]",'Pivot Table Cats'!$A$3,"[Range 1].[State]","[Range 1].[State].&amp;[FL]","[Range 1].[Type]","[Range 1].[Type].&amp;[8]")," ")</f>
        <v>3070.2</v>
      </c>
      <c r="D79" s="20">
        <f>IFERROR(GETPIVOTDATA("[Measures].[mNewUGIS]",'Pivot Table Cats'!$A$3,"[Range 1].[State]","[Range 1].[State].&amp;[FL]","[Range 1].[Type]","[Range 1].[Type].&amp;[8]")," ")</f>
        <v>3070.2</v>
      </c>
      <c r="E79" s="21">
        <f t="shared" si="16"/>
        <v>0</v>
      </c>
      <c r="F79" s="20">
        <f>IFERROR(GETPIVOTDATA("[Measures].[mOldUGOS]",'Pivot Table Cats'!$A$3,"[Range 1].[State]","[Range 1].[State].&amp;[FL]","[Range 1].[Type]","[Range 1].[Type].&amp;[8]")," ")</f>
        <v>11495.1</v>
      </c>
      <c r="G79" s="20">
        <f>IFERROR(GETPIVOTDATA("[Measures].[mNewUGOS]",'Pivot Table Cats'!$A$3,"[Range 1].[State]","[Range 1].[State].&amp;[FL]","[Range 1].[Type]","[Range 1].[Type].&amp;[8]")," ")</f>
        <v>11495.1</v>
      </c>
      <c r="H79" s="21">
        <f t="shared" si="17"/>
        <v>0</v>
      </c>
      <c r="I79" s="337">
        <f>IFERROR(GETPIVOTDATA("[Measures].[mOldGIS]",'Pivot Table Cats'!$A$3,"[Range 1].[State]","[Range 1].[State].&amp;[FL]","[Range 1].[Type]","[Range 1].[Type].&amp;[8]")," ")</f>
        <v>0</v>
      </c>
      <c r="J79" s="20">
        <f>IFERROR(GETPIVOTDATA("[Measures].[mNewGIS]",'Pivot Table Cats'!$A$3,"[Range 1].[State]","[Range 1].[State].&amp;[FL]","[Range 1].[Type]","[Range 1].[Type].&amp;[8]")," ")</f>
        <v>0</v>
      </c>
      <c r="K79" s="21">
        <f t="shared" si="18"/>
        <v>0</v>
      </c>
      <c r="L79" s="20">
        <f>IFERROR(GETPIVOTDATA("[Measures].[mOldGOS]",'Pivot Table Cats'!$A$3,"[Range 1].[State]","[Range 1].[State].&amp;[FL]","[Range 1].[Type]","[Range 1].[Type].&amp;[8]")," ")</f>
        <v>0</v>
      </c>
      <c r="M79" s="20">
        <f>IFERROR(GETPIVOTDATA("[Measures].[mNewGOS]",'Pivot Table Cats'!$A$3,"[Range 1].[State]","[Range 1].[State].&amp;[FL]","[Range 1].[Type]","[Range 1].[Type].&amp;[8]")," ")</f>
        <v>0</v>
      </c>
      <c r="N79" s="21">
        <f t="shared" si="19"/>
        <v>0</v>
      </c>
      <c r="O79" s="25"/>
      <c r="P79" s="26"/>
      <c r="Q79" s="27"/>
      <c r="R79" s="25"/>
      <c r="S79" s="26"/>
      <c r="T79" s="27"/>
      <c r="U79" s="25"/>
      <c r="V79" s="26"/>
      <c r="W79" s="27"/>
      <c r="X79" s="25"/>
      <c r="Y79" s="26"/>
      <c r="Z79" s="27"/>
      <c r="AA79" s="25"/>
      <c r="AB79" s="26"/>
      <c r="AC79" s="27"/>
      <c r="AD79" s="25"/>
      <c r="AE79" s="26"/>
      <c r="AF79" s="27"/>
      <c r="AG79" s="25"/>
      <c r="AH79" s="26"/>
      <c r="AI79" s="27"/>
      <c r="AJ79" s="25"/>
      <c r="AK79" s="26"/>
      <c r="AL79" s="27"/>
      <c r="AM79" s="25"/>
      <c r="AN79" s="26"/>
      <c r="AO79" s="27"/>
      <c r="AP79" s="25"/>
      <c r="AQ79" s="26"/>
      <c r="AR79" s="27"/>
      <c r="AS79" s="25"/>
      <c r="AT79" s="26"/>
      <c r="AU79" s="27"/>
      <c r="AV79" s="25"/>
      <c r="AW79" s="26"/>
      <c r="AX79" s="27"/>
      <c r="AY79" s="25"/>
      <c r="AZ79" s="26"/>
      <c r="BA79" s="27"/>
      <c r="BB79" s="25"/>
      <c r="BC79" s="26"/>
      <c r="BD79" s="27"/>
    </row>
    <row r="80" spans="1:56">
      <c r="A80" s="28"/>
      <c r="B80" s="19" t="s">
        <v>553</v>
      </c>
      <c r="C80" s="20" t="str">
        <f>IFERROR(GETPIVOTDATA("[Measures].[mOldUGIS]",'Pivot Table Cats'!$A$3,"[Range 1].[State]","[Range 1].[State].&amp;[FL]","[Range 1].[Type]","[Range 1].[Type].&amp;[9]")," ")</f>
        <v xml:space="preserve"> </v>
      </c>
      <c r="D80" s="20" t="str">
        <f>IFERROR(GETPIVOTDATA("[Measures].[mNewUGIS]",'Pivot Table Cats'!$A$3,"[Range 1].[State]","[Range 1].[State].&amp;[FL]","[Range 1].[Type]","[Range 1].[Type].&amp;[9]")," ")</f>
        <v xml:space="preserve"> </v>
      </c>
      <c r="E80" s="21" t="str">
        <f t="shared" si="16"/>
        <v xml:space="preserve"> </v>
      </c>
      <c r="F80" s="20" t="str">
        <f>IFERROR(GETPIVOTDATA("[Measures].[mOldUGOS]",'Pivot Table Cats'!$A$3,"[Range 1].[State]","[Range 1].[State].&amp;[FL]","[Range 1].[Type]","[Range 1].[Type].&amp;[9]")," ")</f>
        <v xml:space="preserve"> </v>
      </c>
      <c r="G80" s="20" t="str">
        <f>IFERROR(GETPIVOTDATA("[Measures].[mNewUGOS]",'Pivot Table Cats'!$A$3,"[Range 1].[State]","[Range 1].[State].&amp;[FL]","[Range 1].[Type]","[Range 1].[Type].&amp;[9]")," ")</f>
        <v xml:space="preserve"> </v>
      </c>
      <c r="H80" s="21" t="str">
        <f t="shared" si="17"/>
        <v xml:space="preserve"> </v>
      </c>
      <c r="I80" s="20" t="str">
        <f>IFERROR(GETPIVOTDATA("[Measures].[mOldGIS]",'Pivot Table Cats'!$A$3,"[Range 1].[State]","[Range 1].[State].&amp;[FL]","[Range 1].[Type]","[Range 1].[Type].&amp;[9]")," ")</f>
        <v xml:space="preserve"> </v>
      </c>
      <c r="J80" s="20" t="str">
        <f>IFERROR(GETPIVOTDATA("[Measures].[mNewGIS]",'Pivot Table Cats'!$A$3,"[Range 1].[State]","[Range 1].[State].&amp;[FL]","[Range 1].[Type]","[Range 1].[Type].&amp;[9]")," ")</f>
        <v xml:space="preserve"> </v>
      </c>
      <c r="K80" s="21" t="str">
        <f t="shared" si="18"/>
        <v xml:space="preserve"> </v>
      </c>
      <c r="L80" s="20" t="str">
        <f>IFERROR(GETPIVOTDATA("[Measures].[mOldGOS]",'Pivot Table Cats'!$A$3,"[Range 1].[State]","[Range 1].[State].&amp;[FL]","[Range 1].[Type]","[Range 1].[Type].&amp;[9]")," ")</f>
        <v xml:space="preserve"> </v>
      </c>
      <c r="M80" s="20" t="str">
        <f>IFERROR(GETPIVOTDATA("[Measures].[mNewGOS]",'Pivot Table Cats'!$A$3,"[Range 1].[State]","[Range 1].[State].&amp;[FL]","[Range 1].[Type]","[Range 1].[Type].&amp;[9]")," ")</f>
        <v xml:space="preserve"> </v>
      </c>
      <c r="N80" s="21" t="str">
        <f t="shared" si="19"/>
        <v xml:space="preserve"> </v>
      </c>
      <c r="O80" s="25"/>
      <c r="P80" s="26"/>
      <c r="Q80" s="27"/>
      <c r="R80" s="25"/>
      <c r="S80" s="26"/>
      <c r="T80" s="27"/>
      <c r="U80" s="25"/>
      <c r="V80" s="26"/>
      <c r="W80" s="27"/>
      <c r="X80" s="25"/>
      <c r="Y80" s="26"/>
      <c r="Z80" s="27"/>
      <c r="AA80" s="25"/>
      <c r="AB80" s="26"/>
      <c r="AC80" s="27"/>
      <c r="AD80" s="25"/>
      <c r="AE80" s="26"/>
      <c r="AF80" s="27"/>
      <c r="AG80" s="25"/>
      <c r="AH80" s="26"/>
      <c r="AI80" s="27"/>
      <c r="AJ80" s="25"/>
      <c r="AK80" s="26"/>
      <c r="AL80" s="27"/>
      <c r="AM80" s="25"/>
      <c r="AN80" s="26"/>
      <c r="AO80" s="27"/>
      <c r="AP80" s="25"/>
      <c r="AQ80" s="26"/>
      <c r="AR80" s="27"/>
      <c r="AS80" s="25"/>
      <c r="AT80" s="26"/>
      <c r="AU80" s="27"/>
      <c r="AV80" s="25"/>
      <c r="AW80" s="26"/>
      <c r="AX80" s="27"/>
      <c r="AY80" s="25"/>
      <c r="AZ80" s="26"/>
      <c r="BA80" s="27"/>
      <c r="BB80" s="25"/>
      <c r="BC80" s="26"/>
      <c r="BD80" s="27"/>
    </row>
    <row r="81" spans="1:56">
      <c r="A81" s="28"/>
      <c r="B81" s="19" t="s">
        <v>554</v>
      </c>
      <c r="C81" s="20">
        <f>IFERROR(GETPIVOTDATA("[Measures].[mOldUGIS]",'Pivot Table Cats'!$A$3,"[Range 1].[State]","[Range 1].[State].&amp;[FL]","[Range 1].[Type]","[Range 1].[Type].&amp;[10]")," ")</f>
        <v>3135.3</v>
      </c>
      <c r="D81" s="20">
        <f>IFERROR(GETPIVOTDATA("[Measures].[mNewUGIS]",'Pivot Table Cats'!$A$3,"[Range 1].[State]","[Range 1].[State].&amp;[FL]","[Range 1].[Type]","[Range 1].[Type].&amp;[10]")," ")</f>
        <v>2914.8</v>
      </c>
      <c r="E81" s="21">
        <f t="shared" si="16"/>
        <v>-7.0328198258539851</v>
      </c>
      <c r="F81" s="20">
        <f>IFERROR(GETPIVOTDATA("[Measures].[mOldUGOS]",'Pivot Table Cats'!$A$3,"[Range 1].[State]","[Range 1].[State].&amp;[FL]","[Range 1].[Type]","[Range 1].[Type].&amp;[10]")," ")</f>
        <v>12525.45</v>
      </c>
      <c r="G81" s="20">
        <f>IFERROR(GETPIVOTDATA("[Measures].[mNewUGOS]",'Pivot Table Cats'!$A$3,"[Range 1].[State]","[Range 1].[State].&amp;[FL]","[Range 1].[Type]","[Range 1].[Type].&amp;[10]")," ")</f>
        <v>11572.95</v>
      </c>
      <c r="H81" s="21">
        <f t="shared" si="17"/>
        <v>-7.6045172029747432</v>
      </c>
      <c r="I81" s="20">
        <f>IFERROR(GETPIVOTDATA("[Measures].[mOldGIS]",'Pivot Table Cats'!$A$3,"[Range 1].[State]","[Range 1].[State].&amp;[FL]","[Range 1].[Type]","[Range 1].[Type].&amp;[10]")," ")</f>
        <v>0</v>
      </c>
      <c r="J81" s="20">
        <f>IFERROR(GETPIVOTDATA("[Measures].[mNewGIS]",'Pivot Table Cats'!$A$3,"[Range 1].[State]","[Range 1].[State].&amp;[FL]","[Range 1].[Type]","[Range 1].[Type].&amp;[10]")," ")</f>
        <v>0</v>
      </c>
      <c r="K81" s="21">
        <f t="shared" si="18"/>
        <v>0</v>
      </c>
      <c r="L81" s="20">
        <f>IFERROR(GETPIVOTDATA("[Measures].[mOldGOS]",'Pivot Table Cats'!$A$3,"[Range 1].[State]","[Range 1].[State].&amp;[FL]","[Range 1].[Type]","[Range 1].[Type].&amp;[10]")," ")</f>
        <v>0</v>
      </c>
      <c r="M81" s="20">
        <f>IFERROR(GETPIVOTDATA("[Measures].[mNewGOS]",'Pivot Table Cats'!$A$3,"[Range 1].[State]","[Range 1].[State].&amp;[FL]","[Range 1].[Type]","[Range 1].[Type].&amp;[10]")," ")</f>
        <v>0</v>
      </c>
      <c r="N81" s="21">
        <f t="shared" si="19"/>
        <v>0</v>
      </c>
      <c r="O81" s="25"/>
      <c r="P81" s="26"/>
      <c r="Q81" s="27"/>
      <c r="R81" s="25"/>
      <c r="S81" s="26"/>
      <c r="T81" s="27"/>
      <c r="U81" s="25"/>
      <c r="V81" s="26"/>
      <c r="W81" s="27"/>
      <c r="X81" s="25"/>
      <c r="Y81" s="26"/>
      <c r="Z81" s="27"/>
      <c r="AA81" s="25"/>
      <c r="AB81" s="26"/>
      <c r="AC81" s="27"/>
      <c r="AD81" s="25"/>
      <c r="AE81" s="26"/>
      <c r="AF81" s="27"/>
      <c r="AG81" s="25"/>
      <c r="AH81" s="26"/>
      <c r="AI81" s="27"/>
      <c r="AJ81" s="25"/>
      <c r="AK81" s="26"/>
      <c r="AL81" s="27"/>
      <c r="AM81" s="25"/>
      <c r="AN81" s="26"/>
      <c r="AO81" s="27"/>
      <c r="AP81" s="25"/>
      <c r="AQ81" s="26"/>
      <c r="AR81" s="27"/>
      <c r="AS81" s="25"/>
      <c r="AT81" s="26"/>
      <c r="AU81" s="27"/>
      <c r="AV81" s="25"/>
      <c r="AW81" s="26"/>
      <c r="AX81" s="27"/>
      <c r="AY81" s="25"/>
      <c r="AZ81" s="26"/>
      <c r="BA81" s="27"/>
      <c r="BB81" s="25"/>
      <c r="BC81" s="26"/>
      <c r="BD81" s="27"/>
    </row>
    <row r="82" spans="1:56" s="49" customFormat="1" ht="20.25" customHeight="1">
      <c r="A82" s="48"/>
      <c r="B82" s="30" t="s">
        <v>555</v>
      </c>
      <c r="C82" s="31">
        <f>GETPIVOTDATA("[Measures].[mOldUGIS]",'Pivot Table Totals'!$A$31,"[Range 1].[State]","[Range 1].[State].&amp;[FL]")</f>
        <v>3121.3500000000004</v>
      </c>
      <c r="D82" s="31">
        <f>GETPIVOTDATA("[Measures].[mNewUGIS]",'Pivot Table Totals'!$A$31,"[Range 1].[State]","[Range 1].[State].&amp;[FL]")</f>
        <v>3121.3500000000004</v>
      </c>
      <c r="E82" s="21">
        <f t="shared" si="16"/>
        <v>0</v>
      </c>
      <c r="F82" s="31">
        <f>GETPIVOTDATA("[Measures].[mOldUGOS]",'Pivot Table Totals'!$A$31,"[Range 1].[State]","[Range 1].[State].&amp;[FL]")</f>
        <v>11779.05</v>
      </c>
      <c r="G82" s="31">
        <f>GETPIVOTDATA("[Measures].[mNewUGOS]",'Pivot Table Totals'!$A$31,"[Range 1].[State]","[Range 1].[State].&amp;[FL]")</f>
        <v>11722.95</v>
      </c>
      <c r="H82" s="21">
        <f t="shared" si="17"/>
        <v>-0.47626930864542172</v>
      </c>
      <c r="I82" s="31">
        <f>GETPIVOTDATA("[Measures].[mOldGIS]",'Pivot Table Totals'!$A$31,"[Range 1].[State]","[Range 1].[State].&amp;[FL]")</f>
        <v>0</v>
      </c>
      <c r="J82" s="31">
        <f>GETPIVOTDATA("[Measures].[mNewGIS]",'Pivot Table Totals'!$A$31,"[Range 1].[State]","[Range 1].[State].&amp;[FL]")</f>
        <v>0</v>
      </c>
      <c r="K82" s="21">
        <f t="shared" si="18"/>
        <v>0</v>
      </c>
      <c r="L82" s="31">
        <f>GETPIVOTDATA("[Measures].[mOldGOS]",'Pivot Table Totals'!$A$31,"[Range 1].[State]","[Range 1].[State].&amp;[FL]")</f>
        <v>0</v>
      </c>
      <c r="M82" s="31">
        <f>GETPIVOTDATA("[Measures].[mNewGOS]",'Pivot Table Totals'!$A$31,"[Range 1].[State]","[Range 1].[State].&amp;[FL]")</f>
        <v>0</v>
      </c>
      <c r="N82" s="21">
        <f t="shared" si="19"/>
        <v>0</v>
      </c>
      <c r="O82" s="36"/>
      <c r="P82" s="37"/>
      <c r="Q82" s="38"/>
      <c r="R82" s="36"/>
      <c r="S82" s="37"/>
      <c r="T82" s="38"/>
      <c r="U82" s="36"/>
      <c r="V82" s="37"/>
      <c r="W82" s="38"/>
      <c r="X82" s="36"/>
      <c r="Y82" s="37"/>
      <c r="Z82" s="38"/>
      <c r="AA82" s="36"/>
      <c r="AB82" s="37"/>
      <c r="AC82" s="38"/>
      <c r="AD82" s="36"/>
      <c r="AE82" s="37"/>
      <c r="AF82" s="38"/>
      <c r="AG82" s="36"/>
      <c r="AH82" s="37"/>
      <c r="AI82" s="38"/>
      <c r="AJ82" s="36"/>
      <c r="AK82" s="37"/>
      <c r="AL82" s="38"/>
      <c r="AM82" s="36"/>
      <c r="AN82" s="37"/>
      <c r="AO82" s="38"/>
      <c r="AP82" s="36"/>
      <c r="AQ82" s="37"/>
      <c r="AR82" s="38"/>
      <c r="AS82" s="36"/>
      <c r="AT82" s="37"/>
      <c r="AU82" s="38"/>
      <c r="AV82" s="36"/>
      <c r="AW82" s="37"/>
      <c r="AX82" s="38"/>
      <c r="AY82" s="36"/>
      <c r="AZ82" s="37"/>
      <c r="BA82" s="38"/>
      <c r="BB82" s="36"/>
      <c r="BC82" s="37"/>
      <c r="BD82" s="38"/>
    </row>
    <row r="83" spans="1:56">
      <c r="A83" s="28"/>
      <c r="B83" s="19" t="s">
        <v>556</v>
      </c>
      <c r="C83" s="20" t="str">
        <f>IFERROR(GETPIVOTDATA("[Measures].[mOldUGIS]",'Pivot Table Cats'!$A$3,"[Range 1].[State]","[Range 1].[State].&amp;[FL]","[Range 1].[Type]","[Range 1].[Type].&amp;[12]")," ")</f>
        <v xml:space="preserve"> </v>
      </c>
      <c r="D83" s="20" t="str">
        <f>IFERROR(GETPIVOTDATA("[Measures].[mNewUGIS]",'Pivot Table Cats'!$A$3,"[Range 1].[State]","[Range 1].[State].&amp;[FL]","[Range 1].[Type]","[Range 1].[Type].&amp;[12]")," ")</f>
        <v xml:space="preserve"> </v>
      </c>
      <c r="E83" s="21" t="str">
        <f t="shared" si="16"/>
        <v xml:space="preserve"> </v>
      </c>
      <c r="F83" s="20" t="str">
        <f>IFERROR(GETPIVOTDATA("[Measures].[mOldUGOS]",'Pivot Table Cats'!$A$3,"[Range 1].[State]","[Range 1].[State].&amp;[FL]","[Range 1].[Type]","[Range 1].[Type].&amp;[12]")," ")</f>
        <v xml:space="preserve"> </v>
      </c>
      <c r="G83" s="20" t="str">
        <f>IFERROR(GETPIVOTDATA("[Measures].[mNewUGOS]",'Pivot Table Cats'!$A$3,"[Range 1].[State]","[Range 1].[State].&amp;[FL]","[Range 1].[Type]","[Range 1].[Type].&amp;[12]")," ")</f>
        <v xml:space="preserve"> </v>
      </c>
      <c r="H83" s="21" t="str">
        <f t="shared" si="17"/>
        <v xml:space="preserve"> </v>
      </c>
      <c r="I83" s="20" t="str">
        <f>IFERROR(GETPIVOTDATA("[Measures].[mOldGIS]",'Pivot Table Cats'!$A$3,"[Range 1].[State]","[Range 1].[State].&amp;[FL]","[Range 1].[Type]","[Range 1].[Type].&amp;[12]")," ")</f>
        <v xml:space="preserve"> </v>
      </c>
      <c r="J83" s="20" t="str">
        <f>IFERROR(GETPIVOTDATA("[Measures].[mNewGIS]",'Pivot Table Cats'!$A$3,"[Range 1].[State]","[Range 1].[State].&amp;[FL]","[Range 1].[Type]","[Range 1].[Type].&amp;[12]")," ")</f>
        <v xml:space="preserve"> </v>
      </c>
      <c r="K83" s="21" t="str">
        <f t="shared" si="18"/>
        <v xml:space="preserve"> </v>
      </c>
      <c r="L83" s="20" t="str">
        <f>IFERROR(GETPIVOTDATA("[Measures].[mOldGOS]",'Pivot Table Cats'!$A$3,"[Range 1].[State]","[Range 1].[State].&amp;[FL]","[Range 1].[Type]","[Range 1].[Type].&amp;[12]")," ")</f>
        <v xml:space="preserve"> </v>
      </c>
      <c r="M83" s="20" t="str">
        <f>IFERROR(GETPIVOTDATA("[Measures].[mNewGOS]",'Pivot Table Cats'!$A$3,"[Range 1].[State]","[Range 1].[State].&amp;[FL]","[Range 1].[Type]","[Range 1].[Type].&amp;[12]")," ")</f>
        <v xml:space="preserve"> </v>
      </c>
      <c r="N83" s="21" t="str">
        <f t="shared" si="19"/>
        <v xml:space="preserve"> </v>
      </c>
      <c r="O83" s="25"/>
      <c r="P83" s="26"/>
      <c r="Q83" s="27"/>
      <c r="R83" s="25"/>
      <c r="S83" s="26"/>
      <c r="T83" s="27"/>
      <c r="U83" s="25"/>
      <c r="V83" s="26"/>
      <c r="W83" s="27"/>
      <c r="X83" s="25"/>
      <c r="Y83" s="26"/>
      <c r="Z83" s="27"/>
      <c r="AA83" s="25"/>
      <c r="AB83" s="26"/>
      <c r="AC83" s="27"/>
      <c r="AD83" s="25"/>
      <c r="AE83" s="26"/>
      <c r="AF83" s="27"/>
      <c r="AG83" s="25"/>
      <c r="AH83" s="26"/>
      <c r="AI83" s="27"/>
      <c r="AJ83" s="25"/>
      <c r="AK83" s="26"/>
      <c r="AL83" s="27"/>
      <c r="AM83" s="25"/>
      <c r="AN83" s="26"/>
      <c r="AO83" s="27"/>
      <c r="AP83" s="25"/>
      <c r="AQ83" s="26"/>
      <c r="AR83" s="27"/>
      <c r="AS83" s="25"/>
      <c r="AT83" s="26"/>
      <c r="AU83" s="27"/>
      <c r="AV83" s="25"/>
      <c r="AW83" s="26"/>
      <c r="AX83" s="27"/>
      <c r="AY83" s="25"/>
      <c r="AZ83" s="26"/>
      <c r="BA83" s="27"/>
      <c r="BB83" s="25"/>
      <c r="BC83" s="26"/>
      <c r="BD83" s="27"/>
    </row>
    <row r="84" spans="1:56">
      <c r="A84" s="28"/>
      <c r="B84" s="19" t="s">
        <v>557</v>
      </c>
      <c r="C84" s="20" t="str">
        <f>IFERROR(GETPIVOTDATA("[Measures].[mOldUGIS]",'Pivot Table Cats'!$A$3,"[Range 1].[State]","[Range 1].[State].&amp;[FL]","[Range 1].[Type]","[Range 1].[Type].&amp;[13]")," ")</f>
        <v xml:space="preserve"> </v>
      </c>
      <c r="D84" s="20" t="str">
        <f>IFERROR(GETPIVOTDATA("[Measures].[mNewUGIS]",'Pivot Table Cats'!$A$3,"[Range 1].[State]","[Range 1].[State].&amp;[FL]","[Range 1].[Type]","[Range 1].[Type].&amp;[13]")," ")</f>
        <v xml:space="preserve"> </v>
      </c>
      <c r="E84" s="21" t="str">
        <f t="shared" si="16"/>
        <v xml:space="preserve"> </v>
      </c>
      <c r="F84" s="20" t="str">
        <f>IFERROR(GETPIVOTDATA("[Measures].[mOldUGOS]",'Pivot Table Cats'!$A$3,"[Range 1].[State]","[Range 1].[State].&amp;[FL]","[Range 1].[Type]","[Range 1].[Type].&amp;[13]")," ")</f>
        <v xml:space="preserve"> </v>
      </c>
      <c r="G84" s="20" t="str">
        <f>IFERROR(GETPIVOTDATA("[Measures].[mNewUGOS]",'Pivot Table Cats'!$A$3,"[Range 1].[State]","[Range 1].[State].&amp;[FL]","[Range 1].[Type]","[Range 1].[Type].&amp;[13]")," ")</f>
        <v xml:space="preserve"> </v>
      </c>
      <c r="H84" s="21" t="str">
        <f t="shared" si="17"/>
        <v xml:space="preserve"> </v>
      </c>
      <c r="I84" s="20" t="str">
        <f>IFERROR(GETPIVOTDATA("[Measures].[mOldGIS]",'Pivot Table Cats'!$A$3,"[Range 1].[State]","[Range 1].[State].&amp;[FL]","[Range 1].[Type]","[Range 1].[Type].&amp;[13]")," ")</f>
        <v xml:space="preserve"> </v>
      </c>
      <c r="J84" s="20" t="str">
        <f>IFERROR(GETPIVOTDATA("[Measures].[mNewGIS]",'Pivot Table Cats'!$A$3,"[Range 1].[State]","[Range 1].[State].&amp;[FL]","[Range 1].[Type]","[Range 1].[Type].&amp;[13]")," ")</f>
        <v xml:space="preserve"> </v>
      </c>
      <c r="K84" s="21" t="str">
        <f t="shared" si="18"/>
        <v xml:space="preserve"> </v>
      </c>
      <c r="L84" s="20" t="str">
        <f>IFERROR(GETPIVOTDATA("[Measures].[mOldGOS]",'Pivot Table Cats'!$A$3,"[Range 1].[State]","[Range 1].[State].&amp;[FL]","[Range 1].[Type]","[Range 1].[Type].&amp;[13]")," ")</f>
        <v xml:space="preserve"> </v>
      </c>
      <c r="M84" s="20" t="str">
        <f>IFERROR(GETPIVOTDATA("[Measures].[mNewGOS]",'Pivot Table Cats'!$A$3,"[Range 1].[State]","[Range 1].[State].&amp;[FL]","[Range 1].[Type]","[Range 1].[Type].&amp;[13]")," ")</f>
        <v xml:space="preserve"> </v>
      </c>
      <c r="N84" s="21" t="str">
        <f t="shared" si="19"/>
        <v xml:space="preserve"> </v>
      </c>
      <c r="O84" s="25"/>
      <c r="P84" s="26"/>
      <c r="Q84" s="27"/>
      <c r="R84" s="25"/>
      <c r="S84" s="26"/>
      <c r="T84" s="27"/>
      <c r="U84" s="25"/>
      <c r="V84" s="26"/>
      <c r="W84" s="27"/>
      <c r="X84" s="25"/>
      <c r="Y84" s="26"/>
      <c r="Z84" s="27"/>
      <c r="AA84" s="25"/>
      <c r="AB84" s="26"/>
      <c r="AC84" s="27"/>
      <c r="AD84" s="25"/>
      <c r="AE84" s="26"/>
      <c r="AF84" s="27"/>
      <c r="AG84" s="25"/>
      <c r="AH84" s="26"/>
      <c r="AI84" s="27"/>
      <c r="AJ84" s="25"/>
      <c r="AK84" s="26"/>
      <c r="AL84" s="27"/>
      <c r="AM84" s="25"/>
      <c r="AN84" s="26"/>
      <c r="AO84" s="27"/>
      <c r="AP84" s="25"/>
      <c r="AQ84" s="26"/>
      <c r="AR84" s="27"/>
      <c r="AS84" s="25"/>
      <c r="AT84" s="26"/>
      <c r="AU84" s="27"/>
      <c r="AV84" s="25"/>
      <c r="AW84" s="26"/>
      <c r="AX84" s="27"/>
      <c r="AY84" s="25"/>
      <c r="AZ84" s="26"/>
      <c r="BA84" s="27"/>
      <c r="BB84" s="25"/>
      <c r="BC84" s="26"/>
      <c r="BD84" s="27"/>
    </row>
    <row r="85" spans="1:56">
      <c r="A85" s="28"/>
      <c r="B85" s="19" t="s">
        <v>558</v>
      </c>
      <c r="C85" s="20" t="str">
        <f>IFERROR(GETPIVOTDATA("[Measures].[mOldUGIS]",'Pivot Table Cats'!$A$3,"[Range 1].[State]","[Range 1].[State].&amp;[FL]","[Range 1].[Type]","[Range 1].[Type].&amp;[14]")," ")</f>
        <v xml:space="preserve"> </v>
      </c>
      <c r="D85" s="20" t="str">
        <f>IFERROR(GETPIVOTDATA("[Measures].[mNewUGIS]",'Pivot Table Cats'!$A$3,"[Range 1].[State]","[Range 1].[State].&amp;[FL]","[Range 1].[Type]","[Range 1].[Type].&amp;[14]")," ")</f>
        <v xml:space="preserve"> </v>
      </c>
      <c r="E85" s="21" t="str">
        <f t="shared" si="16"/>
        <v xml:space="preserve"> </v>
      </c>
      <c r="F85" s="20" t="str">
        <f>IFERROR(GETPIVOTDATA("[Measures].[mOldUGOS]",'Pivot Table Cats'!$A$3,"[Range 1].[State]","[Range 1].[State].&amp;[FL]","[Range 1].[Type]","[Range 1].[Type].&amp;[14]")," ")</f>
        <v xml:space="preserve"> </v>
      </c>
      <c r="G85" s="20" t="str">
        <f>IFERROR(GETPIVOTDATA("[Measures].[mNewUGOS]",'Pivot Table Cats'!$A$3,"[Range 1].[State]","[Range 1].[State].&amp;[FL]","[Range 1].[Type]","[Range 1].[Type].&amp;[14]")," ")</f>
        <v xml:space="preserve"> </v>
      </c>
      <c r="H85" s="21" t="str">
        <f t="shared" si="17"/>
        <v xml:space="preserve"> </v>
      </c>
      <c r="I85" s="20" t="str">
        <f>IFERROR(GETPIVOTDATA("[Measures].[mOldGIS]",'Pivot Table Cats'!$A$3,"[Range 1].[State]","[Range 1].[State].&amp;[FL]","[Range 1].[Type]","[Range 1].[Type].&amp;[14]")," ")</f>
        <v xml:space="preserve"> </v>
      </c>
      <c r="J85" s="20" t="str">
        <f>IFERROR(GETPIVOTDATA("[Measures].[mNewGIS]",'Pivot Table Cats'!$A$3,"[Range 1].[State]","[Range 1].[State].&amp;[FL]","[Range 1].[Type]","[Range 1].[Type].&amp;[14]")," ")</f>
        <v xml:space="preserve"> </v>
      </c>
      <c r="K85" s="21" t="str">
        <f t="shared" si="18"/>
        <v xml:space="preserve"> </v>
      </c>
      <c r="L85" s="20" t="str">
        <f>IFERROR(GETPIVOTDATA("[Measures].[mOldGOS]",'Pivot Table Cats'!$A$3,"[Range 1].[State]","[Range 1].[State].&amp;[FL]","[Range 1].[Type]","[Range 1].[Type].&amp;[14]")," ")</f>
        <v xml:space="preserve"> </v>
      </c>
      <c r="M85" s="20" t="str">
        <f>IFERROR(GETPIVOTDATA("[Measures].[mNewGOS]",'Pivot Table Cats'!$A$3,"[Range 1].[State]","[Range 1].[State].&amp;[FL]","[Range 1].[Type]","[Range 1].[Type].&amp;[14]")," ")</f>
        <v xml:space="preserve"> </v>
      </c>
      <c r="N85" s="21" t="str">
        <f t="shared" si="19"/>
        <v xml:space="preserve"> </v>
      </c>
      <c r="O85" s="25"/>
      <c r="P85" s="26"/>
      <c r="Q85" s="27"/>
      <c r="R85" s="25"/>
      <c r="S85" s="26"/>
      <c r="T85" s="27"/>
      <c r="U85" s="25"/>
      <c r="V85" s="26"/>
      <c r="W85" s="27"/>
      <c r="X85" s="25"/>
      <c r="Y85" s="26"/>
      <c r="Z85" s="27"/>
      <c r="AA85" s="25"/>
      <c r="AB85" s="26"/>
      <c r="AC85" s="27"/>
      <c r="AD85" s="25"/>
      <c r="AE85" s="26"/>
      <c r="AF85" s="27"/>
      <c r="AG85" s="25"/>
      <c r="AH85" s="26"/>
      <c r="AI85" s="27"/>
      <c r="AJ85" s="25"/>
      <c r="AK85" s="26"/>
      <c r="AL85" s="27"/>
      <c r="AM85" s="25"/>
      <c r="AN85" s="26"/>
      <c r="AO85" s="27"/>
      <c r="AP85" s="25"/>
      <c r="AQ85" s="26"/>
      <c r="AR85" s="27"/>
      <c r="AS85" s="25"/>
      <c r="AT85" s="26"/>
      <c r="AU85" s="27"/>
      <c r="AV85" s="25"/>
      <c r="AW85" s="26"/>
      <c r="AX85" s="27"/>
      <c r="AY85" s="25"/>
      <c r="AZ85" s="26"/>
      <c r="BA85" s="27"/>
      <c r="BB85" s="25"/>
      <c r="BC85" s="26"/>
      <c r="BD85" s="27"/>
    </row>
    <row r="86" spans="1:56" s="49" customFormat="1" ht="21.75" customHeight="1">
      <c r="A86" s="48"/>
      <c r="B86" s="30" t="s">
        <v>559</v>
      </c>
      <c r="C86" s="31" t="str">
        <f>IFERROR(GETPIVOTDATA("[Measures].[mOldUGIS]",'Pivot Table Totals'!$A$59,"[Range 1].[State]","[Range 1].[State].&amp;[FL]"), " ")</f>
        <v xml:space="preserve"> </v>
      </c>
      <c r="D86" s="31" t="str">
        <f>IFERROR(GETPIVOTDATA("[Measures].[mNewUGIS]",'Pivot Table Totals'!$A$59,"[Range 1].[State]","[Range 1].[State].&amp;[FL]"), " ")</f>
        <v xml:space="preserve"> </v>
      </c>
      <c r="E86" s="21" t="str">
        <f t="shared" si="16"/>
        <v xml:space="preserve"> </v>
      </c>
      <c r="F86" s="31" t="str">
        <f>IFERROR(GETPIVOTDATA("[Measures].[mOldUGOS]",'Pivot Table Totals'!$A$59,"[Range 1].[State]","[Range 1].[State].&amp;[FL]"), " " )</f>
        <v xml:space="preserve"> </v>
      </c>
      <c r="G86" s="31" t="str">
        <f>IFERROR(GETPIVOTDATA("[Measures].[mNewUGOS]",'Pivot Table Totals'!$A$59,"[Range 1].[State]","[Range 1].[State].&amp;[FL]"), " ")</f>
        <v xml:space="preserve"> </v>
      </c>
      <c r="H86" s="21" t="str">
        <f t="shared" si="17"/>
        <v xml:space="preserve"> </v>
      </c>
      <c r="I86" s="31" t="str">
        <f>IFERROR(GETPIVOTDATA("[Measures].[mOldGIS]",'Pivot Table Totals'!$A$59,"[Range 1].[State]","[Range 1].[State].&amp;[FL]"), " ")</f>
        <v xml:space="preserve"> </v>
      </c>
      <c r="J86" s="31" t="str">
        <f>IFERROR(GETPIVOTDATA("[Measures].[mNewGIS]",'Pivot Table Totals'!$A$59,"[Range 1].[State]","[Range 1].[State].&amp;[FL]"), " ")</f>
        <v xml:space="preserve"> </v>
      </c>
      <c r="K86" s="21" t="str">
        <f t="shared" si="18"/>
        <v xml:space="preserve"> </v>
      </c>
      <c r="L86" s="31" t="str">
        <f>IFERROR(GETPIVOTDATA("[Measures].[mOldGOS]",'Pivot Table Totals'!$A$59,"[Range 1].[State]","[Range 1].[State].&amp;[FL]"), " ")</f>
        <v xml:space="preserve"> </v>
      </c>
      <c r="M86" s="31" t="str">
        <f>IFERROR(GETPIVOTDATA("[Measures].[mNewGOS]",'Pivot Table Totals'!$A$59,"[Range 1].[State]","[Range 1].[State].&amp;[FL]"), " ")</f>
        <v xml:space="preserve"> </v>
      </c>
      <c r="N86" s="21" t="str">
        <f t="shared" si="19"/>
        <v xml:space="preserve"> </v>
      </c>
      <c r="O86" s="36"/>
      <c r="P86" s="37"/>
      <c r="Q86" s="38"/>
      <c r="R86" s="36"/>
      <c r="S86" s="37"/>
      <c r="T86" s="38"/>
      <c r="U86" s="36"/>
      <c r="V86" s="37"/>
      <c r="W86" s="38"/>
      <c r="X86" s="36"/>
      <c r="Y86" s="37"/>
      <c r="Z86" s="38"/>
      <c r="AA86" s="36"/>
      <c r="AB86" s="37"/>
      <c r="AC86" s="38"/>
      <c r="AD86" s="36"/>
      <c r="AE86" s="37"/>
      <c r="AF86" s="38"/>
      <c r="AG86" s="36"/>
      <c r="AH86" s="37"/>
      <c r="AI86" s="38"/>
      <c r="AJ86" s="36"/>
      <c r="AK86" s="37"/>
      <c r="AL86" s="38"/>
      <c r="AM86" s="36"/>
      <c r="AN86" s="37"/>
      <c r="AO86" s="38"/>
      <c r="AP86" s="36"/>
      <c r="AQ86" s="37"/>
      <c r="AR86" s="38"/>
      <c r="AS86" s="36"/>
      <c r="AT86" s="37"/>
      <c r="AU86" s="38"/>
      <c r="AV86" s="36"/>
      <c r="AW86" s="37"/>
      <c r="AX86" s="38"/>
      <c r="AY86" s="36"/>
      <c r="AZ86" s="37"/>
      <c r="BA86" s="38"/>
      <c r="BB86" s="36"/>
      <c r="BC86" s="37"/>
      <c r="BD86" s="38"/>
    </row>
    <row r="87" spans="1:56">
      <c r="A87" s="40"/>
      <c r="B87" s="41" t="s">
        <v>560</v>
      </c>
      <c r="C87" s="42"/>
      <c r="D87" s="42"/>
      <c r="E87" s="335"/>
      <c r="F87" s="42"/>
      <c r="G87" s="42"/>
      <c r="H87" s="44"/>
      <c r="I87" s="45"/>
      <c r="J87" s="42"/>
      <c r="K87" s="44"/>
      <c r="L87" s="45"/>
      <c r="M87" s="42"/>
      <c r="N87" s="44"/>
      <c r="O87" s="336">
        <f>IFERROR(GETPIVOTDATA("[Measures].[mOldLawIS]",'Pivot Table Totals'!$A$79,"[Range 1].[State]","[Range 1].[State].&amp;[FL]"), " ")</f>
        <v>0</v>
      </c>
      <c r="P87" s="42">
        <f>IFERROR(GETPIVOTDATA("[Measures].[mNewLawIS]",'Pivot Table Totals'!$A$79,"[Range 1].[State]","[Range 1].[State].&amp;[FL]"), " ")</f>
        <v>0</v>
      </c>
      <c r="Q87" s="46">
        <f>IFERROR(IF(O87&gt;0,(((P87-O87)/O87)*100),0), " ")</f>
        <v>0</v>
      </c>
      <c r="R87" s="336">
        <f>IFERROR(GETPIVOTDATA("[Measures].[mOldLawOS]",'Pivot Table Totals'!$A$79,"[Range 1].[State]","[Range 1].[State].&amp;[FL]"), " ")</f>
        <v>0</v>
      </c>
      <c r="S87" s="336">
        <f>IFERROR(GETPIVOTDATA("[Measures].[mNewLawOS]",'Pivot Table Totals'!$A$79,"[Range 1].[State]","[Range 1].[State].&amp;[FL]"), " ")</f>
        <v>0</v>
      </c>
      <c r="T87" s="46">
        <f>IFERROR(IF(R87&gt;0,(((S87-R87)/R87)*100),0), " ")</f>
        <v>0</v>
      </c>
      <c r="U87" s="336">
        <f>IFERROR(GETPIVOTDATA("[Measures].[mOldMedIS]",'Pivot Table Totals'!$A$79,"[Range 1].[State]","[Range 1].[State].&amp;[FL]"), " ")</f>
        <v>0</v>
      </c>
      <c r="V87" s="336">
        <f>IFERROR(GETPIVOTDATA("[Measures].[mNewMedIS]",'Pivot Table Totals'!$A$79,"[Range 1].[State]","[Range 1].[State].&amp;[FL]"), " ")</f>
        <v>0</v>
      </c>
      <c r="W87" s="46">
        <f>IFERROR(IF(U87&gt;0,(((V87-U87)/U87)*100),0), " ")</f>
        <v>0</v>
      </c>
      <c r="X87" s="336">
        <f>IFERROR(GETPIVOTDATA("[Measures].[mOldMedOS]",'Pivot Table Totals'!$A$79,"[Range 1].[State]","[Range 1].[State].&amp;[FL]"), " ")</f>
        <v>0</v>
      </c>
      <c r="Y87" s="336">
        <f>IFERROR(GETPIVOTDATA("[Measures].[mNewMedOS]",'Pivot Table Totals'!$A$79,"[Range 1].[State]","[Range 1].[State].&amp;[FL]"), " ")</f>
        <v>0</v>
      </c>
      <c r="Z87" s="46">
        <f>IFERROR(IF(X87&gt;0,(((Y87-X87)/X87)*100),0), " ")</f>
        <v>0</v>
      </c>
      <c r="AA87" s="336">
        <f>IFERROR(GETPIVOTDATA("[Measures].[mOldDenIS]",'Pivot Table Totals'!$A$79,"[Range 1].[State]","[Range 1].[State].&amp;[FL]"), " ")</f>
        <v>0</v>
      </c>
      <c r="AB87" s="336">
        <f>IFERROR(GETPIVOTDATA("[Measures].[mNewDenIS]",'Pivot Table Totals'!$A$79,"[Range 1].[State]","[Range 1].[State].&amp;[FL]"), " ")</f>
        <v>0</v>
      </c>
      <c r="AC87" s="46">
        <f>IFERROR(IF(AA87&gt;0,(((AB87-AA87)/AA87)*100),0), " ")</f>
        <v>0</v>
      </c>
      <c r="AD87" s="336">
        <f>IFERROR(GETPIVOTDATA("[Measures].[mOldDenOS]",'Pivot Table Totals'!$A$79,"[Range 1].[State]","[Range 1].[State].&amp;[FL]"), " ")</f>
        <v>0</v>
      </c>
      <c r="AE87" s="336">
        <f>IFERROR(GETPIVOTDATA("[Measures].[mNewDenOS]",'Pivot Table Totals'!$A$79,"[Range 1].[State]","[Range 1].[State].&amp;[FL]"), " ")</f>
        <v>0</v>
      </c>
      <c r="AF87" s="46">
        <f>IFERROR(IF(AD87&gt;0,(((AE87-AD87)/AD87)*100),0), " ")</f>
        <v>0</v>
      </c>
      <c r="AG87" s="336">
        <f>IFERROR(GETPIVOTDATA("[Measures].[mOldPhrIS]",'Pivot Table Totals'!$A$79,"[Range 1].[State]","[Range 1].[State].&amp;[FL]"), " ")</f>
        <v>0</v>
      </c>
      <c r="AH87" s="336">
        <f>IFERROR(GETPIVOTDATA("[Measures].[mNewPhIS]",'Pivot Table Totals'!$A$79,"[Range 1].[State]","[Range 1].[State].&amp;[FL]"), " ")</f>
        <v>0</v>
      </c>
      <c r="AI87" s="46">
        <f>IFERROR(IF(AG87&gt;0,(((AH87-AG87)/AG87)*100),0), " ")</f>
        <v>0</v>
      </c>
      <c r="AJ87" s="336">
        <f>IFERROR(GETPIVOTDATA("[Measures].[mOldPhrOS]",'Pivot Table Totals'!$A$79,"[Range 1].[State]","[Range 1].[State].&amp;[FL]"), " ")</f>
        <v>0</v>
      </c>
      <c r="AK87" s="336">
        <f>IFERROR(GETPIVOTDATA("[Measures].[mNewPhrOS]",'Pivot Table Totals'!$A$79,"[Range 1].[State]","[Range 1].[State].&amp;[FL]"), " ")</f>
        <v>0</v>
      </c>
      <c r="AL87" s="46">
        <f>IFERROR(IF(AJ87&gt;0,(((AQ87-AJ87)/AJ87)*100),0), " ")</f>
        <v>0</v>
      </c>
      <c r="AM87" s="336">
        <f>IFERROR(GETPIVOTDATA("[Measures].[mOldOptIS]",'Pivot Table Totals'!$A$79,"[Range 1].[State]","[Range 1].[State].&amp;[FL]"), " ")</f>
        <v>0</v>
      </c>
      <c r="AN87" s="336">
        <f>IFERROR(GETPIVOTDATA("[Measures].[mNewOptIS]",'Pivot Table Totals'!$A$79,"[Range 1].[State]","[Range 1].[State].&amp;[FL]"), " ")</f>
        <v>0</v>
      </c>
      <c r="AO87" s="46">
        <f>IFERROR(IF(AM87&gt;0,(((AN87-AM87)/AM87)*100),0), " ")</f>
        <v>0</v>
      </c>
      <c r="AP87" s="336">
        <f>IFERROR(GETPIVOTDATA("[Measures].[mOldOptoS]",'Pivot Table Totals'!$A$79,"[Range 1].[State]","[Range 1].[State].&amp;[FL]"), " ")</f>
        <v>0</v>
      </c>
      <c r="AQ87" s="336">
        <f>IFERROR(GETPIVOTDATA("[Measures].[mNewOptoS]",'Pivot Table Totals'!$A$79,"[Range 1].[State]","[Range 1].[State].&amp;[FL]"), " ")</f>
        <v>0</v>
      </c>
      <c r="AR87" s="46">
        <f>IFERROR(IF(AP87&gt;0,(((AQ87-AP87)/AP87)*100),0), " ")</f>
        <v>0</v>
      </c>
      <c r="AS87" s="336">
        <f>IFERROR(GETPIVOTDATA("[Measures].[mOldOstIS]",'Pivot Table Totals'!$A$79,"[Range 1].[State]","[Range 1].[State].&amp;[FL]"), " ")</f>
        <v>0</v>
      </c>
      <c r="AT87" s="336">
        <f>IFERROR(GETPIVOTDATA("[Measures].[mNewOstIS]",'Pivot Table Totals'!$A$79,"[Range 1].[State]","[Range 1].[State].&amp;[FL]"), " ")</f>
        <v>0</v>
      </c>
      <c r="AU87" s="46">
        <f>IFERROR(IF(AS87&gt;0,(((AT87-AS87)/AS87)*100),0), " ")</f>
        <v>0</v>
      </c>
      <c r="AV87" s="336">
        <f>IFERROR(GETPIVOTDATA("[Measures].[mOldOstOS]",'Pivot Table Totals'!$A$79,"[Range 1].[State]","[Range 1].[State].&amp;[FL]"), " ")</f>
        <v>0</v>
      </c>
      <c r="AW87" s="336">
        <f>IFERROR(GETPIVOTDATA("[Measures].[mNewOstOS]",'Pivot Table Totals'!$A$79,"[Range 1].[State]","[Range 1].[State].&amp;[FL]"), " ")</f>
        <v>0</v>
      </c>
      <c r="AX87" s="46">
        <f>IFERROR(IF(AV87&gt;0,(((AW87-AV87)/AV87)*100),0), " ")</f>
        <v>0</v>
      </c>
      <c r="AY87" s="336">
        <f>IFERROR(GETPIVOTDATA("[Measures].[m[OldVetIS]",'Pivot Table Totals'!$A$79,"[Range 1].[State]","[Range 1].[State].&amp;[FL]"), " ")</f>
        <v>0</v>
      </c>
      <c r="AZ87" s="336">
        <f>IFERROR(GETPIVOTDATA("[Measures].[mNewVetIS]",'Pivot Table Totals'!$A$79,"[Range 1].[State]","[Range 1].[State].&amp;[FL]"), " ")</f>
        <v>0</v>
      </c>
      <c r="BA87" s="46">
        <f>IFERROR(IF(AY87&gt;0,(((AZ87-AY87)/AY87)*100),0), " ")</f>
        <v>0</v>
      </c>
      <c r="BB87" s="336">
        <f>IFERROR(GETPIVOTDATA("[Measures].[mOldVetOS]",'Pivot Table Totals'!$A$79,"[Range 1].[State]","[Range 1].[State].&amp;[FL]"), " ")</f>
        <v>0</v>
      </c>
      <c r="BC87" s="336">
        <f>IFERROR(GETPIVOTDATA("[Measures].[mNewVetOS]",'Pivot Table Totals'!$A$79,"[Range 1].[State]","[Range 1].[State].&amp;[FL]"), " ")</f>
        <v>0</v>
      </c>
      <c r="BD87" s="46">
        <f>IFERROR(IF(BB87&gt;0,(((BC87-BB87)/BB87)*100),0), " ")</f>
        <v>0</v>
      </c>
    </row>
    <row r="88" spans="1:56">
      <c r="A88" s="18" t="s">
        <v>148</v>
      </c>
      <c r="B88" s="47" t="s">
        <v>544</v>
      </c>
      <c r="C88" s="20">
        <f>IFERROR(GETPIVOTDATA("[Measures].[mOldUGIS]",'Pivot Table Cats'!$A$3,"[Range 1].[State]","[Range 1].[State].&amp;[GA]","[Range 1].[Type]","[Range 1].[Type].&amp;[1]")," ")</f>
        <v>11578</v>
      </c>
      <c r="D88" s="20">
        <f>IFERROR(GETPIVOTDATA("[Measures].[mNewUGIS]",'Pivot Table Cats'!$A$3,"[Range 1].[State]","[Range 1].[State].&amp;[GA]","[Range 1].[Type]","[Range 1].[Type].&amp;[1]")," ")</f>
        <v>11578</v>
      </c>
      <c r="E88" s="21">
        <f>IFERROR(IF(C88&gt;0,(((D88-C88)/C88)*100),0), " ")</f>
        <v>0</v>
      </c>
      <c r="F88" s="20">
        <f>IFERROR(GETPIVOTDATA("[Measures].[mOldUGOS]",'Pivot Table Cats'!$A$3,"[Range 1].[State]","[Range 1].[State].&amp;[GA]","[Range 1].[Type]","[Range 1].[Type].&amp;[1]")," ")</f>
        <v>30617</v>
      </c>
      <c r="G88" s="20">
        <f>IFERROR(GETPIVOTDATA("[Measures].[mNewUGOS]",'Pivot Table Cats'!$A$3,"[Range 1].[State]","[Range 1].[State].&amp;[GA]","[Range 1].[Type]","[Range 1].[Type].&amp;[1]")," ")</f>
        <v>30617</v>
      </c>
      <c r="H88" s="21">
        <f>IFERROR(IF(F88&gt;0,(((G88-F88)/F88)*100),0), " ")</f>
        <v>0</v>
      </c>
      <c r="I88" s="20">
        <f>IFERROR(GETPIVOTDATA("[Measures].[mOldGIS]",'Pivot Table Cats'!$A$3,"[Range 1].[State]","[Range 1].[State].&amp;[GA]","[Range 1].[Type]","[Range 1].[Type].&amp;[1]")," ")</f>
        <v>11424</v>
      </c>
      <c r="J88" s="20">
        <f>IFERROR(GETPIVOTDATA("[Measures].[mNewGIS]",'Pivot Table Cats'!$A$3,"[Range 1].[State]","[Range 1].[State].&amp;[GA]","[Range 1].[Type]","[Range 1].[Type].&amp;[1]")," ")</f>
        <v>11424</v>
      </c>
      <c r="K88" s="21">
        <f>IFERROR(IF(I88&gt;0,(((J88-I88)/I88)*100),0), " ")</f>
        <v>0</v>
      </c>
      <c r="L88" s="20">
        <f>IFERROR(GETPIVOTDATA("[Measures].[mOldGOS]",'Pivot Table Cats'!$A$3,"[Range 1].[State]","[Range 1].[State].&amp;[GA]","[Range 1].[Type]","[Range 1].[Type].&amp;[1]")," ")</f>
        <v>29910</v>
      </c>
      <c r="M88" s="20">
        <f>IFERROR(GETPIVOTDATA("[Measures].[mNewGOS]",'Pivot Table Cats'!$A$3,"[Range 1].[State]","[Range 1].[State].&amp;[GA]","[Range 1].[Type]","[Range 1].[Type].&amp;[1]")," ")</f>
        <v>29910</v>
      </c>
      <c r="N88" s="21">
        <f>IFERROR(IF(L88&gt;0,(((M88-L88)/L88)*100),0), " ")</f>
        <v>0</v>
      </c>
      <c r="O88" s="25"/>
      <c r="P88" s="26"/>
      <c r="Q88" s="27"/>
      <c r="R88" s="25"/>
      <c r="S88" s="26"/>
      <c r="T88" s="27"/>
      <c r="U88" s="25"/>
      <c r="V88" s="26"/>
      <c r="W88" s="27"/>
      <c r="X88" s="25"/>
      <c r="Y88" s="26"/>
      <c r="Z88" s="27"/>
      <c r="AA88" s="25"/>
      <c r="AB88" s="26"/>
      <c r="AC88" s="27"/>
      <c r="AD88" s="25"/>
      <c r="AE88" s="26"/>
      <c r="AF88" s="27"/>
      <c r="AG88" s="25"/>
      <c r="AH88" s="26"/>
      <c r="AI88" s="27"/>
      <c r="AJ88" s="25"/>
      <c r="AK88" s="26"/>
      <c r="AL88" s="27"/>
      <c r="AM88" s="25"/>
      <c r="AN88" s="26"/>
      <c r="AO88" s="27"/>
      <c r="AP88" s="25"/>
      <c r="AQ88" s="26"/>
      <c r="AR88" s="27"/>
      <c r="AS88" s="25"/>
      <c r="AT88" s="26"/>
      <c r="AU88" s="27"/>
      <c r="AV88" s="25"/>
      <c r="AW88" s="26"/>
      <c r="AX88" s="27"/>
      <c r="AY88" s="25"/>
      <c r="AZ88" s="26"/>
      <c r="BA88" s="27"/>
      <c r="BB88" s="25"/>
      <c r="BC88" s="26"/>
      <c r="BD88" s="27"/>
    </row>
    <row r="89" spans="1:56">
      <c r="A89" s="28"/>
      <c r="B89" s="19" t="s">
        <v>545</v>
      </c>
      <c r="C89" s="20">
        <f>IFERROR(GETPIVOTDATA("[Measures].[mOldUGIS]",'Pivot Table Cats'!$A$3,"[Range 1].[State]","[Range 1].[State].&amp;[GA]","[Range 1].[Type]","[Range 1].[Type].&amp;[2]")," ")</f>
        <v>12852</v>
      </c>
      <c r="D89" s="20">
        <f>IFERROR(GETPIVOTDATA("[Measures].[mNewUGIS]",'Pivot Table Cats'!$A$3,"[Range 1].[State]","[Range 1].[State].&amp;[GA]","[Range 1].[Type]","[Range 1].[Type].&amp;[2]")," ")</f>
        <v>12852</v>
      </c>
      <c r="E89" s="21">
        <f t="shared" ref="E89:E103" si="20">IFERROR(IF(C89&gt;0,(((D89-C89)/C89)*100),0), " ")</f>
        <v>0</v>
      </c>
      <c r="F89" s="20">
        <f>IFERROR(GETPIVOTDATA("[Measures].[mOldUGOS]",'Pivot Table Cats'!$A$3,"[Range 1].[State]","[Range 1].[State].&amp;[GA]","[Range 1].[Type]","[Range 1].[Type].&amp;[2]")," ")</f>
        <v>33964</v>
      </c>
      <c r="G89" s="20">
        <f>IFERROR(GETPIVOTDATA("[Measures].[mNewUGOS]",'Pivot Table Cats'!$A$3,"[Range 1].[State]","[Range 1].[State].&amp;[GA]","[Range 1].[Type]","[Range 1].[Type].&amp;[2]")," ")</f>
        <v>33964</v>
      </c>
      <c r="H89" s="21">
        <f t="shared" ref="H89:H103" si="21">IFERROR(IF(F89&gt;0,(((G89-F89)/F89)*100),0), " ")</f>
        <v>0</v>
      </c>
      <c r="I89" s="20">
        <f>IFERROR(GETPIVOTDATA("[Measures].[mOldGIS]",'Pivot Table Cats'!$A$3,"[Range 1].[State]","[Range 1].[State].&amp;[GA]","[Range 1].[Type]","[Range 1].[Type].&amp;[2]")," ")</f>
        <v>16258</v>
      </c>
      <c r="J89" s="20">
        <f>IFERROR(GETPIVOTDATA("[Measures].[mNewGIS]",'Pivot Table Cats'!$A$3,"[Range 1].[State]","[Range 1].[State].&amp;[GA]","[Range 1].[Type]","[Range 1].[Type].&amp;[2]")," ")</f>
        <v>17346</v>
      </c>
      <c r="K89" s="21">
        <f t="shared" ref="K89:K103" si="22">IFERROR(IF(I89&gt;0,(((J89-I89)/I89)*100),0), " ")</f>
        <v>6.6920900479763805</v>
      </c>
      <c r="L89" s="20">
        <f>IFERROR(GETPIVOTDATA("[Measures].[mOldGOS]",'Pivot Table Cats'!$A$3,"[Range 1].[State]","[Range 1].[State].&amp;[GA]","[Range 1].[Type]","[Range 1].[Type].&amp;[2]")," ")</f>
        <v>31334</v>
      </c>
      <c r="M89" s="20">
        <f>IFERROR(GETPIVOTDATA("[Measures].[mNewGOS]",'Pivot Table Cats'!$A$3,"[Range 1].[State]","[Range 1].[State].&amp;[GA]","[Range 1].[Type]","[Range 1].[Type].&amp;[2]")," ")</f>
        <v>32422</v>
      </c>
      <c r="N89" s="21">
        <f t="shared" ref="N89:N103" si="23">IFERROR(IF(L89&gt;0,(((M89-L89)/L89)*100),0), " ")</f>
        <v>3.4722665475202654</v>
      </c>
      <c r="O89" s="25"/>
      <c r="P89" s="26"/>
      <c r="Q89" s="27"/>
      <c r="R89" s="25"/>
      <c r="S89" s="26"/>
      <c r="T89" s="27"/>
      <c r="U89" s="25"/>
      <c r="V89" s="26"/>
      <c r="W89" s="27"/>
      <c r="X89" s="25"/>
      <c r="Y89" s="26"/>
      <c r="Z89" s="27"/>
      <c r="AA89" s="25"/>
      <c r="AB89" s="26"/>
      <c r="AC89" s="27"/>
      <c r="AD89" s="25"/>
      <c r="AE89" s="26"/>
      <c r="AF89" s="27"/>
      <c r="AG89" s="25"/>
      <c r="AH89" s="26"/>
      <c r="AI89" s="27"/>
      <c r="AJ89" s="25"/>
      <c r="AK89" s="26"/>
      <c r="AL89" s="27"/>
      <c r="AM89" s="25"/>
      <c r="AN89" s="26"/>
      <c r="AO89" s="27"/>
      <c r="AP89" s="25"/>
      <c r="AQ89" s="26"/>
      <c r="AR89" s="27"/>
      <c r="AS89" s="25"/>
      <c r="AT89" s="26"/>
      <c r="AU89" s="27"/>
      <c r="AV89" s="25"/>
      <c r="AW89" s="26"/>
      <c r="AX89" s="27"/>
      <c r="AY89" s="25"/>
      <c r="AZ89" s="26"/>
      <c r="BA89" s="27"/>
      <c r="BB89" s="25"/>
      <c r="BC89" s="26"/>
      <c r="BD89" s="27"/>
    </row>
    <row r="90" spans="1:56">
      <c r="A90" s="28"/>
      <c r="B90" s="19" t="s">
        <v>546</v>
      </c>
      <c r="C90" s="20">
        <f>IFERROR(GETPIVOTDATA("[Measures].[mOldUGIS]",'Pivot Table Cats'!$A$3,"[Range 1].[State]","[Range 1].[State].&amp;[GA]","[Range 1].[Type]","[Range 1].[Type].&amp;[3]")," ")</f>
        <v>7596</v>
      </c>
      <c r="D90" s="20">
        <f>IFERROR(GETPIVOTDATA("[Measures].[mNewUGIS]",'Pivot Table Cats'!$A$3,"[Range 1].[State]","[Range 1].[State].&amp;[GA]","[Range 1].[Type]","[Range 1].[Type].&amp;[3]")," ")</f>
        <v>7596</v>
      </c>
      <c r="E90" s="21">
        <f t="shared" si="20"/>
        <v>0</v>
      </c>
      <c r="F90" s="20">
        <f>IFERROR(GETPIVOTDATA("[Measures].[mOldUGOS]",'Pivot Table Cats'!$A$3,"[Range 1].[State]","[Range 1].[State].&amp;[GA]","[Range 1].[Type]","[Range 1].[Type].&amp;[3]")," ")</f>
        <v>21463</v>
      </c>
      <c r="G90" s="20">
        <f>IFERROR(GETPIVOTDATA("[Measures].[mNewUGOS]",'Pivot Table Cats'!$A$3,"[Range 1].[State]","[Range 1].[State].&amp;[GA]","[Range 1].[Type]","[Range 1].[Type].&amp;[3]")," ")</f>
        <v>21463</v>
      </c>
      <c r="H90" s="21">
        <f t="shared" si="21"/>
        <v>0</v>
      </c>
      <c r="I90" s="20">
        <f>IFERROR(GETPIVOTDATA("[Measures].[mOldGIS]",'Pivot Table Cats'!$A$3,"[Range 1].[State]","[Range 1].[State].&amp;[GA]","[Range 1].[Type]","[Range 1].[Type].&amp;[3]")," ")</f>
        <v>8523</v>
      </c>
      <c r="J90" s="20">
        <f>IFERROR(GETPIVOTDATA("[Measures].[mNewGIS]",'Pivot Table Cats'!$A$3,"[Range 1].[State]","[Range 1].[State].&amp;[GA]","[Range 1].[Type]","[Range 1].[Type].&amp;[3]")," ")</f>
        <v>8523</v>
      </c>
      <c r="K90" s="21">
        <f t="shared" si="22"/>
        <v>0</v>
      </c>
      <c r="L90" s="20">
        <f>IFERROR(GETPIVOTDATA("[Measures].[mOldGOS]",'Pivot Table Cats'!$A$3,"[Range 1].[State]","[Range 1].[State].&amp;[GA]","[Range 1].[Type]","[Range 1].[Type].&amp;[3]")," ")</f>
        <v>26079</v>
      </c>
      <c r="M90" s="20">
        <f>IFERROR(GETPIVOTDATA("[Measures].[mNewGOS]",'Pivot Table Cats'!$A$3,"[Range 1].[State]","[Range 1].[State].&amp;[GA]","[Range 1].[Type]","[Range 1].[Type].&amp;[3]")," ")</f>
        <v>26079</v>
      </c>
      <c r="N90" s="21">
        <f t="shared" si="23"/>
        <v>0</v>
      </c>
      <c r="O90" s="25"/>
      <c r="P90" s="26"/>
      <c r="Q90" s="27"/>
      <c r="R90" s="25"/>
      <c r="S90" s="26"/>
      <c r="T90" s="27"/>
      <c r="U90" s="25"/>
      <c r="V90" s="26"/>
      <c r="W90" s="27"/>
      <c r="X90" s="25"/>
      <c r="Y90" s="26"/>
      <c r="Z90" s="27"/>
      <c r="AA90" s="25"/>
      <c r="AB90" s="26"/>
      <c r="AC90" s="27"/>
      <c r="AD90" s="25"/>
      <c r="AE90" s="26"/>
      <c r="AF90" s="27"/>
      <c r="AG90" s="25"/>
      <c r="AH90" s="26"/>
      <c r="AI90" s="27"/>
      <c r="AJ90" s="25"/>
      <c r="AK90" s="26"/>
      <c r="AL90" s="27"/>
      <c r="AM90" s="25"/>
      <c r="AN90" s="26"/>
      <c r="AO90" s="27"/>
      <c r="AP90" s="25"/>
      <c r="AQ90" s="26"/>
      <c r="AR90" s="27"/>
      <c r="AS90" s="25"/>
      <c r="AT90" s="26"/>
      <c r="AU90" s="27"/>
      <c r="AV90" s="25"/>
      <c r="AW90" s="26"/>
      <c r="AX90" s="27"/>
      <c r="AY90" s="25"/>
      <c r="AZ90" s="26"/>
      <c r="BA90" s="27"/>
      <c r="BB90" s="25"/>
      <c r="BC90" s="26"/>
      <c r="BD90" s="27"/>
    </row>
    <row r="91" spans="1:56">
      <c r="A91" s="28"/>
      <c r="B91" s="19" t="s">
        <v>547</v>
      </c>
      <c r="C91" s="20">
        <f>IFERROR(GETPIVOTDATA("[Measures].[mOldUGIS]",'Pivot Table Cats'!$A$3,"[Range 1].[State]","[Range 1].[State].&amp;[GA]","[Range 1].[Type]","[Range 1].[Type].&amp;[4]")," ")</f>
        <v>7334</v>
      </c>
      <c r="D91" s="20">
        <f>IFERROR(GETPIVOTDATA("[Measures].[mNewUGIS]",'Pivot Table Cats'!$A$3,"[Range 1].[State]","[Range 1].[State].&amp;[GA]","[Range 1].[Type]","[Range 1].[Type].&amp;[4]")," ")</f>
        <v>7334</v>
      </c>
      <c r="E91" s="21">
        <f t="shared" si="20"/>
        <v>0</v>
      </c>
      <c r="F91" s="20">
        <f>IFERROR(GETPIVOTDATA("[Measures].[mOldUGOS]",'Pivot Table Cats'!$A$3,"[Range 1].[State]","[Range 1].[State].&amp;[GA]","[Range 1].[Type]","[Range 1].[Type].&amp;[4]")," ")</f>
        <v>21152</v>
      </c>
      <c r="G91" s="20">
        <f>IFERROR(GETPIVOTDATA("[Measures].[mNewUGOS]",'Pivot Table Cats'!$A$3,"[Range 1].[State]","[Range 1].[State].&amp;[GA]","[Range 1].[Type]","[Range 1].[Type].&amp;[4]")," ")</f>
        <v>21152</v>
      </c>
      <c r="H91" s="21">
        <f t="shared" si="21"/>
        <v>0</v>
      </c>
      <c r="I91" s="20">
        <f>IFERROR(GETPIVOTDATA("[Measures].[mOldGIS]",'Pivot Table Cats'!$A$3,"[Range 1].[State]","[Range 1].[State].&amp;[GA]","[Range 1].[Type]","[Range 1].[Type].&amp;[4]")," ")</f>
        <v>6892</v>
      </c>
      <c r="J91" s="20">
        <f>IFERROR(GETPIVOTDATA("[Measures].[mNewGIS]",'Pivot Table Cats'!$A$3,"[Range 1].[State]","[Range 1].[State].&amp;[GA]","[Range 1].[Type]","[Range 1].[Type].&amp;[4]")," ")</f>
        <v>6892</v>
      </c>
      <c r="K91" s="21">
        <f t="shared" si="22"/>
        <v>0</v>
      </c>
      <c r="L91" s="20">
        <f>IFERROR(GETPIVOTDATA("[Measures].[mOldGOS]",'Pivot Table Cats'!$A$3,"[Range 1].[State]","[Range 1].[State].&amp;[GA]","[Range 1].[Type]","[Range 1].[Type].&amp;[4]")," ")</f>
        <v>20902</v>
      </c>
      <c r="M91" s="20">
        <f>IFERROR(GETPIVOTDATA("[Measures].[mNewGOS]",'Pivot Table Cats'!$A$3,"[Range 1].[State]","[Range 1].[State].&amp;[GA]","[Range 1].[Type]","[Range 1].[Type].&amp;[4]")," ")</f>
        <v>20902</v>
      </c>
      <c r="N91" s="21">
        <f t="shared" si="23"/>
        <v>0</v>
      </c>
      <c r="O91" s="25"/>
      <c r="P91" s="26"/>
      <c r="Q91" s="27"/>
      <c r="R91" s="25"/>
      <c r="S91" s="26"/>
      <c r="T91" s="27"/>
      <c r="U91" s="25"/>
      <c r="V91" s="26"/>
      <c r="W91" s="27"/>
      <c r="X91" s="25"/>
      <c r="Y91" s="26"/>
      <c r="Z91" s="27"/>
      <c r="AA91" s="25"/>
      <c r="AB91" s="26"/>
      <c r="AC91" s="27"/>
      <c r="AD91" s="25"/>
      <c r="AE91" s="26"/>
      <c r="AF91" s="27"/>
      <c r="AG91" s="25"/>
      <c r="AH91" s="26"/>
      <c r="AI91" s="27"/>
      <c r="AJ91" s="25"/>
      <c r="AK91" s="26"/>
      <c r="AL91" s="27"/>
      <c r="AM91" s="25"/>
      <c r="AN91" s="26"/>
      <c r="AO91" s="27"/>
      <c r="AP91" s="25"/>
      <c r="AQ91" s="26"/>
      <c r="AR91" s="27"/>
      <c r="AS91" s="25"/>
      <c r="AT91" s="26"/>
      <c r="AU91" s="27"/>
      <c r="AV91" s="25"/>
      <c r="AW91" s="26"/>
      <c r="AX91" s="27"/>
      <c r="AY91" s="25"/>
      <c r="AZ91" s="26"/>
      <c r="BA91" s="27"/>
      <c r="BB91" s="25"/>
      <c r="BC91" s="26"/>
      <c r="BD91" s="27"/>
    </row>
    <row r="92" spans="1:56">
      <c r="A92" s="28"/>
      <c r="B92" s="19" t="s">
        <v>548</v>
      </c>
      <c r="C92" s="20">
        <f>IFERROR(GETPIVOTDATA("[Measures].[mOldUGIS]",'Pivot Table Cats'!$A$3,"[Range 1].[State]","[Range 1].[State].&amp;[GA]","[Range 1].[Type]","[Range 1].[Type].&amp;[5]")," ")</f>
        <v>6848</v>
      </c>
      <c r="D92" s="20">
        <f>IFERROR(GETPIVOTDATA("[Measures].[mNewUGIS]",'Pivot Table Cats'!$A$3,"[Range 1].[State]","[Range 1].[State].&amp;[GA]","[Range 1].[Type]","[Range 1].[Type].&amp;[5]")," ")</f>
        <v>6848</v>
      </c>
      <c r="E92" s="21">
        <f t="shared" si="20"/>
        <v>0</v>
      </c>
      <c r="F92" s="20">
        <f>IFERROR(GETPIVOTDATA("[Measures].[mOldUGOS]",'Pivot Table Cats'!$A$3,"[Range 1].[State]","[Range 1].[State].&amp;[GA]","[Range 1].[Type]","[Range 1].[Type].&amp;[5]")," ")</f>
        <v>20250</v>
      </c>
      <c r="G92" s="20">
        <f>IFERROR(GETPIVOTDATA("[Measures].[mNewUGOS]",'Pivot Table Cats'!$A$3,"[Range 1].[State]","[Range 1].[State].&amp;[GA]","[Range 1].[Type]","[Range 1].[Type].&amp;[5]")," ")</f>
        <v>20250</v>
      </c>
      <c r="H92" s="21">
        <f t="shared" si="21"/>
        <v>0</v>
      </c>
      <c r="I92" s="20">
        <f>IFERROR(GETPIVOTDATA("[Measures].[mOldGIS]",'Pivot Table Cats'!$A$3,"[Range 1].[State]","[Range 1].[State].&amp;[GA]","[Range 1].[Type]","[Range 1].[Type].&amp;[5]")," ")</f>
        <v>6106</v>
      </c>
      <c r="J92" s="20">
        <f>IFERROR(GETPIVOTDATA("[Measures].[mNewGIS]",'Pivot Table Cats'!$A$3,"[Range 1].[State]","[Range 1].[State].&amp;[GA]","[Range 1].[Type]","[Range 1].[Type].&amp;[5]")," ")</f>
        <v>6106</v>
      </c>
      <c r="K92" s="21">
        <f t="shared" si="22"/>
        <v>0</v>
      </c>
      <c r="L92" s="20">
        <f>IFERROR(GETPIVOTDATA("[Measures].[mOldGOS]",'Pivot Table Cats'!$A$3,"[Range 1].[State]","[Range 1].[State].&amp;[GA]","[Range 1].[Type]","[Range 1].[Type].&amp;[5]")," ")</f>
        <v>17978</v>
      </c>
      <c r="M92" s="20">
        <f>IFERROR(GETPIVOTDATA("[Measures].[mNewGOS]",'Pivot Table Cats'!$A$3,"[Range 1].[State]","[Range 1].[State].&amp;[GA]","[Range 1].[Type]","[Range 1].[Type].&amp;[5]")," ")</f>
        <v>17978</v>
      </c>
      <c r="N92" s="21">
        <f t="shared" si="23"/>
        <v>0</v>
      </c>
      <c r="O92" s="25"/>
      <c r="P92" s="26"/>
      <c r="Q92" s="27"/>
      <c r="R92" s="25"/>
      <c r="S92" s="26"/>
      <c r="T92" s="27"/>
      <c r="U92" s="25"/>
      <c r="V92" s="26"/>
      <c r="W92" s="27"/>
      <c r="X92" s="25"/>
      <c r="Y92" s="26"/>
      <c r="Z92" s="27"/>
      <c r="AA92" s="25"/>
      <c r="AB92" s="26"/>
      <c r="AC92" s="27"/>
      <c r="AD92" s="25"/>
      <c r="AE92" s="26"/>
      <c r="AF92" s="27"/>
      <c r="AG92" s="25"/>
      <c r="AH92" s="26"/>
      <c r="AI92" s="27"/>
      <c r="AJ92" s="25"/>
      <c r="AK92" s="26"/>
      <c r="AL92" s="27"/>
      <c r="AM92" s="25"/>
      <c r="AN92" s="26"/>
      <c r="AO92" s="27"/>
      <c r="AP92" s="25"/>
      <c r="AQ92" s="26"/>
      <c r="AR92" s="27"/>
      <c r="AS92" s="25"/>
      <c r="AT92" s="26"/>
      <c r="AU92" s="27"/>
      <c r="AV92" s="25"/>
      <c r="AW92" s="26"/>
      <c r="AX92" s="27"/>
      <c r="AY92" s="25"/>
      <c r="AZ92" s="26"/>
      <c r="BA92" s="27"/>
      <c r="BB92" s="25"/>
      <c r="BC92" s="26"/>
      <c r="BD92" s="27"/>
    </row>
    <row r="93" spans="1:56">
      <c r="A93" s="28"/>
      <c r="B93" s="19" t="s">
        <v>549</v>
      </c>
      <c r="C93" s="20">
        <f>IFERROR(GETPIVOTDATA("[Measures].[mOldUGIS]",'Pivot Table Cats'!$A$3,"[Range 1].[State]","[Range 1].[State].&amp;[GA]","[Range 1].[Type]","[Range 1].[Type].&amp;[6]")," ")</f>
        <v>4430</v>
      </c>
      <c r="D93" s="20">
        <f>IFERROR(GETPIVOTDATA("[Measures].[mNewUGIS]",'Pivot Table Cats'!$A$3,"[Range 1].[State]","[Range 1].[State].&amp;[GA]","[Range 1].[Type]","[Range 1].[Type].&amp;[6]")," ")</f>
        <v>4430</v>
      </c>
      <c r="E93" s="21">
        <f t="shared" si="20"/>
        <v>0</v>
      </c>
      <c r="F93" s="20">
        <f>IFERROR(GETPIVOTDATA("[Measures].[mOldUGOS]",'Pivot Table Cats'!$A$3,"[Range 1].[State]","[Range 1].[State].&amp;[GA]","[Range 1].[Type]","[Range 1].[Type].&amp;[6]")," ")</f>
        <v>13062</v>
      </c>
      <c r="G93" s="20">
        <f>IFERROR(GETPIVOTDATA("[Measures].[mNewUGOS]",'Pivot Table Cats'!$A$3,"[Range 1].[State]","[Range 1].[State].&amp;[GA]","[Range 1].[Type]","[Range 1].[Type].&amp;[6]")," ")</f>
        <v>13062</v>
      </c>
      <c r="H93" s="21">
        <f t="shared" si="21"/>
        <v>0</v>
      </c>
      <c r="I93" s="20">
        <f>IFERROR(GETPIVOTDATA("[Measures].[mOldGIS]",'Pivot Table Cats'!$A$3,"[Range 1].[State]","[Range 1].[State].&amp;[GA]","[Range 1].[Type]","[Range 1].[Type].&amp;[6]")," ")</f>
        <v>0</v>
      </c>
      <c r="J93" s="20">
        <f>IFERROR(GETPIVOTDATA("[Measures].[mNewGIS]",'Pivot Table Cats'!$A$3,"[Range 1].[State]","[Range 1].[State].&amp;[GA]","[Range 1].[Type]","[Range 1].[Type].&amp;[6]")," ")</f>
        <v>0</v>
      </c>
      <c r="K93" s="21">
        <f t="shared" si="22"/>
        <v>0</v>
      </c>
      <c r="L93" s="20">
        <f>IFERROR(GETPIVOTDATA("[Measures].[mOldGOS]",'Pivot Table Cats'!$A$3,"[Range 1].[State]","[Range 1].[State].&amp;[GA]","[Range 1].[Type]","[Range 1].[Type].&amp;[6]")," ")</f>
        <v>0</v>
      </c>
      <c r="M93" s="20">
        <f>IFERROR(GETPIVOTDATA("[Measures].[mNewGOS]",'Pivot Table Cats'!$A$3,"[Range 1].[State]","[Range 1].[State].&amp;[GA]","[Range 1].[Type]","[Range 1].[Type].&amp;[6]")," ")</f>
        <v>0</v>
      </c>
      <c r="N93" s="21">
        <f t="shared" si="23"/>
        <v>0</v>
      </c>
      <c r="O93" s="25"/>
      <c r="P93" s="26"/>
      <c r="Q93" s="27"/>
      <c r="R93" s="25"/>
      <c r="S93" s="26"/>
      <c r="T93" s="27"/>
      <c r="U93" s="25"/>
      <c r="V93" s="26"/>
      <c r="W93" s="27"/>
      <c r="X93" s="25"/>
      <c r="Y93" s="26"/>
      <c r="Z93" s="27"/>
      <c r="AA93" s="25"/>
      <c r="AB93" s="26"/>
      <c r="AC93" s="27"/>
      <c r="AD93" s="25"/>
      <c r="AE93" s="26"/>
      <c r="AF93" s="27"/>
      <c r="AG93" s="25"/>
      <c r="AH93" s="26"/>
      <c r="AI93" s="27"/>
      <c r="AJ93" s="25"/>
      <c r="AK93" s="26"/>
      <c r="AL93" s="27"/>
      <c r="AM93" s="25"/>
      <c r="AN93" s="26"/>
      <c r="AO93" s="27"/>
      <c r="AP93" s="25"/>
      <c r="AQ93" s="26"/>
      <c r="AR93" s="27"/>
      <c r="AS93" s="25"/>
      <c r="AT93" s="26"/>
      <c r="AU93" s="27"/>
      <c r="AV93" s="25"/>
      <c r="AW93" s="26"/>
      <c r="AX93" s="27"/>
      <c r="AY93" s="25"/>
      <c r="AZ93" s="26"/>
      <c r="BA93" s="27"/>
      <c r="BB93" s="25"/>
      <c r="BC93" s="26"/>
      <c r="BD93" s="27"/>
    </row>
    <row r="94" spans="1:56" s="39" customFormat="1" ht="19.5" customHeight="1">
      <c r="A94" s="29"/>
      <c r="B94" s="30" t="s">
        <v>550</v>
      </c>
      <c r="C94" s="31">
        <f>IFERROR(GETPIVOTDATA("[Measures].[mOldUGIS]",'Pivot Table Totals'!$A$4,"[Range 1].[State]","[Range 1].[State].&amp;[GA]"), " ")</f>
        <v>7142</v>
      </c>
      <c r="D94" s="31">
        <f>IFERROR(GETPIVOTDATA("[Measures].[mNewUGIS]",'Pivot Table Totals'!$A$4,"[Range 1].[State]","[Range 1].[State].&amp;[GA]"), " ")</f>
        <v>7142</v>
      </c>
      <c r="E94" s="21">
        <f t="shared" si="20"/>
        <v>0</v>
      </c>
      <c r="F94" s="31">
        <f>IFERROR(GETPIVOTDATA("[Measures].[mOldUGOS]",'Pivot Table Totals'!$A$4,"[Range 1].[State]","[Range 1].[State].&amp;[GA]"), " ")</f>
        <v>20752</v>
      </c>
      <c r="G94" s="31">
        <f>IFERROR(GETPIVOTDATA("[Measures].[mNewUGOS]",'Pivot Table Totals'!$A$4,"[Range 1].[State]","[Range 1].[State].&amp;[GA]"), " ")</f>
        <v>20752</v>
      </c>
      <c r="H94" s="21">
        <f t="shared" si="21"/>
        <v>0</v>
      </c>
      <c r="I94" s="31">
        <f>IFERROR(GETPIVOTDATA("[Measures].[mOldGIS]",'Pivot Table Totals'!$A$4,"[Range 1].[State]","[Range 1].[State].&amp;[GA]"), " ")</f>
        <v>7634</v>
      </c>
      <c r="J94" s="31">
        <f>IFERROR(GETPIVOTDATA("[Measures].[mNewGIS]",'Pivot Table Totals'!$A$4,"[Range 1].[State]","[Range 1].[State].&amp;[GA]"), " ")</f>
        <v>7634</v>
      </c>
      <c r="K94" s="21">
        <f t="shared" si="22"/>
        <v>0</v>
      </c>
      <c r="L94" s="31">
        <f>IFERROR(GETPIVOTDATA("[Measures].[mOldGOS]",'Pivot Table Totals'!$A$4,"[Range 1].[State]","[Range 1].[State].&amp;[GA]"), " ")</f>
        <v>23834</v>
      </c>
      <c r="M94" s="31">
        <f>IFERROR(GETPIVOTDATA("[Measures].[mNewGOS]",'Pivot Table Totals'!$A$4,"[Range 1].[State]","[Range 1].[State].&amp;[GA]"), " ")</f>
        <v>23834</v>
      </c>
      <c r="N94" s="21">
        <f>IFERROR(IF(L94&gt;0,(((M94-L94)/L94)*100),0), "  ")</f>
        <v>0</v>
      </c>
      <c r="O94" s="36"/>
      <c r="P94" s="37"/>
      <c r="Q94" s="38"/>
      <c r="R94" s="36"/>
      <c r="S94" s="37"/>
      <c r="T94" s="38"/>
      <c r="U94" s="36"/>
      <c r="V94" s="37"/>
      <c r="W94" s="38"/>
      <c r="X94" s="36"/>
      <c r="Y94" s="37"/>
      <c r="Z94" s="38"/>
      <c r="AA94" s="36"/>
      <c r="AB94" s="37"/>
      <c r="AC94" s="38"/>
      <c r="AD94" s="36"/>
      <c r="AE94" s="37"/>
      <c r="AF94" s="38"/>
      <c r="AG94" s="36"/>
      <c r="AH94" s="37"/>
      <c r="AI94" s="38"/>
      <c r="AJ94" s="36"/>
      <c r="AK94" s="37"/>
      <c r="AL94" s="38"/>
      <c r="AM94" s="36"/>
      <c r="AN94" s="37"/>
      <c r="AO94" s="38"/>
      <c r="AP94" s="36"/>
      <c r="AQ94" s="37"/>
      <c r="AR94" s="38"/>
      <c r="AS94" s="36"/>
      <c r="AT94" s="37"/>
      <c r="AU94" s="38"/>
      <c r="AV94" s="36"/>
      <c r="AW94" s="37"/>
      <c r="AX94" s="38"/>
      <c r="AY94" s="36"/>
      <c r="AZ94" s="37"/>
      <c r="BA94" s="38"/>
      <c r="BB94" s="36"/>
      <c r="BC94" s="37"/>
      <c r="BD94" s="38"/>
    </row>
    <row r="95" spans="1:56">
      <c r="A95" s="28"/>
      <c r="B95" s="19" t="s">
        <v>551</v>
      </c>
      <c r="C95" s="20">
        <f>IFERROR(GETPIVOTDATA("[Measures].[mOldUGIS]",'Pivot Table Cats'!$A$3,"[Range 1].[State]","[Range 1].[State].&amp;[GA]","[Range 1].[Type]","[Range 1].[Type].&amp;[7]")," ")</f>
        <v>3897</v>
      </c>
      <c r="D95" s="20">
        <f>IFERROR(GETPIVOTDATA("[Measures].[mNewUGIS]",'Pivot Table Cats'!$A$3,"[Range 1].[State]","[Range 1].[State].&amp;[GA]","[Range 1].[Type]","[Range 1].[Type].&amp;[7]")," ")</f>
        <v>3897</v>
      </c>
      <c r="E95" s="21">
        <f t="shared" si="20"/>
        <v>0</v>
      </c>
      <c r="F95" s="20">
        <f>IFERROR(GETPIVOTDATA("[Measures].[mOldUGOS]",'Pivot Table Cats'!$A$3,"[Range 1].[State]","[Range 1].[State].&amp;[GA]","[Range 1].[Type]","[Range 1].[Type].&amp;[7]")," ")</f>
        <v>11837</v>
      </c>
      <c r="G95" s="20">
        <f>IFERROR(GETPIVOTDATA("[Measures].[mNewUGOS]",'Pivot Table Cats'!$A$3,"[Range 1].[State]","[Range 1].[State].&amp;[GA]","[Range 1].[Type]","[Range 1].[Type].&amp;[7]")," ")</f>
        <v>11837</v>
      </c>
      <c r="H95" s="21">
        <f t="shared" si="21"/>
        <v>0</v>
      </c>
      <c r="I95" s="20">
        <f>IFERROR(GETPIVOTDATA("[Measures].[mOldGIS]",'Pivot Table Cats'!$A$3,"[Range 1].[State]","[Range 1].[State].&amp;[GA]","[Range 1].[Type]","[Range 1].[Type].&amp;[7]")," ")</f>
        <v>0</v>
      </c>
      <c r="J95" s="20">
        <f>IFERROR(GETPIVOTDATA("[Measures].[mNewGIS]",'Pivot Table Cats'!$A$3,"[Range 1].[State]","[Range 1].[State].&amp;[GA]","[Range 1].[Type]","[Range 1].[Type].&amp;[7]")," ")</f>
        <v>0</v>
      </c>
      <c r="K95" s="21">
        <f t="shared" si="22"/>
        <v>0</v>
      </c>
      <c r="L95" s="20">
        <f>IFERROR(GETPIVOTDATA("[Measures].[mOldGIS]",'Pivot Table Cats'!$A$3,"[Range 1].[State]","[Range 1].[State].&amp;[GA]","[Range 1].[Type]","[Range 1].[Type].&amp;[7]")," ")</f>
        <v>0</v>
      </c>
      <c r="M95" s="20">
        <f>IFERROR(GETPIVOTDATA("[Measures].[mNewGIS]",'Pivot Table Cats'!$A$3,"[Range 1].[State]","[Range 1].[State].&amp;[GA]","[Range 1].[Type]","[Range 1].[Type].&amp;[7]")," ")</f>
        <v>0</v>
      </c>
      <c r="N95" s="21">
        <f t="shared" si="23"/>
        <v>0</v>
      </c>
      <c r="O95" s="25"/>
      <c r="P95" s="26"/>
      <c r="Q95" s="27"/>
      <c r="R95" s="25"/>
      <c r="S95" s="26"/>
      <c r="T95" s="27"/>
      <c r="U95" s="25"/>
      <c r="V95" s="26"/>
      <c r="W95" s="27"/>
      <c r="X95" s="25"/>
      <c r="Y95" s="26"/>
      <c r="Z95" s="27"/>
      <c r="AA95" s="25"/>
      <c r="AB95" s="26"/>
      <c r="AC95" s="27"/>
      <c r="AD95" s="25"/>
      <c r="AE95" s="26"/>
      <c r="AF95" s="27"/>
      <c r="AG95" s="25"/>
      <c r="AH95" s="26"/>
      <c r="AI95" s="27"/>
      <c r="AJ95" s="25"/>
      <c r="AK95" s="26"/>
      <c r="AL95" s="27"/>
      <c r="AM95" s="25"/>
      <c r="AN95" s="26"/>
      <c r="AO95" s="27"/>
      <c r="AP95" s="25"/>
      <c r="AQ95" s="26"/>
      <c r="AR95" s="27"/>
      <c r="AS95" s="25"/>
      <c r="AT95" s="26"/>
      <c r="AU95" s="27"/>
      <c r="AV95" s="25"/>
      <c r="AW95" s="26"/>
      <c r="AX95" s="27"/>
      <c r="AY95" s="25"/>
      <c r="AZ95" s="26"/>
      <c r="BA95" s="27"/>
      <c r="BB95" s="25"/>
      <c r="BC95" s="26"/>
      <c r="BD95" s="27"/>
    </row>
    <row r="96" spans="1:56">
      <c r="A96" s="28"/>
      <c r="B96" s="19" t="s">
        <v>552</v>
      </c>
      <c r="C96" s="20" t="str">
        <f>IFERROR(GETPIVOTDATA("[Measures].[mOldUGIS]",'Pivot Table Cats'!$A$3,"[Range 1].[State]","[Range 1].[State].&amp;[GA]","[Range 1].[Type]","[Range 1].[Type].&amp;[8]")," ")</f>
        <v xml:space="preserve"> </v>
      </c>
      <c r="D96" s="20" t="str">
        <f>IFERROR(GETPIVOTDATA("[Measures].[mNewUGIS]",'Pivot Table Cats'!$A$3,"[Range 1].[State]","[Range 1].[State].&amp;[GA]","[Range 1].[Type]","[Range 1].[Type].&amp;[8]")," ")</f>
        <v xml:space="preserve"> </v>
      </c>
      <c r="E96" s="21" t="str">
        <f t="shared" si="20"/>
        <v xml:space="preserve"> </v>
      </c>
      <c r="F96" s="20" t="str">
        <f>IFERROR(GETPIVOTDATA("[Measures].[mOldUGOS]",'Pivot Table Cats'!$A$3,"[Range 1].[State]","[Range 1].[State].&amp;[GA]","[Range 1].[Type]","[Range 1].[Type].&amp;[8]")," ")</f>
        <v xml:space="preserve"> </v>
      </c>
      <c r="G96" s="20" t="str">
        <f>IFERROR(GETPIVOTDATA("[Measures].[mNewUGOS]",'Pivot Table Cats'!$A$3,"[Range 1].[State]","[Range 1].[State].&amp;[GA]","[Range 1].[Type]","[Range 1].[Type].&amp;[8]")," ")</f>
        <v xml:space="preserve"> </v>
      </c>
      <c r="H96" s="21" t="str">
        <f t="shared" si="21"/>
        <v xml:space="preserve"> </v>
      </c>
      <c r="I96" s="337" t="str">
        <f>IFERROR(GETPIVOTDATA("[Measures].[mOldGIS]",'Pivot Table Cats'!$A$3,"[Range 1].[State]","[Range 1].[State].&amp;[GA]","[Range 1].[Type]","[Range 1].[Type].&amp;[8]")," ")</f>
        <v xml:space="preserve"> </v>
      </c>
      <c r="J96" s="20" t="str">
        <f>IFERROR(GETPIVOTDATA("[Measures].[mNewGIS]",'Pivot Table Cats'!$A$3,"[Range 1].[State]","[Range 1].[State].&amp;[GA]","[Range 1].[Type]","[Range 1].[Type].&amp;[8]")," ")</f>
        <v xml:space="preserve"> </v>
      </c>
      <c r="K96" s="21" t="str">
        <f t="shared" si="22"/>
        <v xml:space="preserve"> </v>
      </c>
      <c r="L96" s="20" t="str">
        <f>IFERROR(GETPIVOTDATA("[Measures].[mOldGOS]",'Pivot Table Cats'!$A$3,"[Range 1].[State]","[Range 1].[State].&amp;[GA]","[Range 1].[Type]","[Range 1].[Type].&amp;[8]")," ")</f>
        <v xml:space="preserve"> </v>
      </c>
      <c r="M96" s="20" t="str">
        <f>IFERROR(GETPIVOTDATA("[Measures].[mNewGOS]",'Pivot Table Cats'!$A$3,"[Range 1].[State]","[Range 1].[State].&amp;[GA]","[Range 1].[Type]","[Range 1].[Type].&amp;[8]")," ")</f>
        <v xml:space="preserve"> </v>
      </c>
      <c r="N96" s="21" t="str">
        <f t="shared" si="23"/>
        <v xml:space="preserve"> </v>
      </c>
      <c r="O96" s="25"/>
      <c r="P96" s="26"/>
      <c r="Q96" s="27"/>
      <c r="R96" s="25"/>
      <c r="S96" s="26"/>
      <c r="T96" s="27"/>
      <c r="U96" s="25"/>
      <c r="V96" s="26"/>
      <c r="W96" s="27"/>
      <c r="X96" s="25"/>
      <c r="Y96" s="26"/>
      <c r="Z96" s="27"/>
      <c r="AA96" s="25"/>
      <c r="AB96" s="26"/>
      <c r="AC96" s="27"/>
      <c r="AD96" s="25"/>
      <c r="AE96" s="26"/>
      <c r="AF96" s="27"/>
      <c r="AG96" s="25"/>
      <c r="AH96" s="26"/>
      <c r="AI96" s="27"/>
      <c r="AJ96" s="25"/>
      <c r="AK96" s="26"/>
      <c r="AL96" s="27"/>
      <c r="AM96" s="25"/>
      <c r="AN96" s="26"/>
      <c r="AO96" s="27"/>
      <c r="AP96" s="25"/>
      <c r="AQ96" s="26"/>
      <c r="AR96" s="27"/>
      <c r="AS96" s="25"/>
      <c r="AT96" s="26"/>
      <c r="AU96" s="27"/>
      <c r="AV96" s="25"/>
      <c r="AW96" s="26"/>
      <c r="AX96" s="27"/>
      <c r="AY96" s="25"/>
      <c r="AZ96" s="26"/>
      <c r="BA96" s="27"/>
      <c r="BB96" s="25"/>
      <c r="BC96" s="26"/>
      <c r="BD96" s="27"/>
    </row>
    <row r="97" spans="1:56">
      <c r="A97" s="28"/>
      <c r="B97" s="19" t="s">
        <v>553</v>
      </c>
      <c r="C97" s="20" t="str">
        <f>IFERROR(GETPIVOTDATA("[Measures].[mOldUGIS]",'Pivot Table Cats'!$A$3,"[Range 1].[State]","[Range 1].[State].&amp;[GA]","[Range 1].[Type]","[Range 1].[Type].&amp;[9]")," ")</f>
        <v xml:space="preserve"> </v>
      </c>
      <c r="D97" s="20" t="str">
        <f>IFERROR(GETPIVOTDATA("[Measures].[mNewUGIS]",'Pivot Table Cats'!$A$3,"[Range 1].[State]","[Range 1].[State].&amp;[GA]","[Range 1].[Type]","[Range 1].[Type].&amp;[9]")," ")</f>
        <v xml:space="preserve"> </v>
      </c>
      <c r="E97" s="21" t="str">
        <f t="shared" si="20"/>
        <v xml:space="preserve"> </v>
      </c>
      <c r="F97" s="20" t="str">
        <f>IFERROR(GETPIVOTDATA("[Measures].[mOldUGOS]",'Pivot Table Cats'!$A$3,"[Range 1].[State]","[Range 1].[State].&amp;[GA]","[Range 1].[Type]","[Range 1].[Type].&amp;[9]")," ")</f>
        <v xml:space="preserve"> </v>
      </c>
      <c r="G97" s="20" t="str">
        <f>IFERROR(GETPIVOTDATA("[Measures].[mNewUGOS]",'Pivot Table Cats'!$A$3,"[Range 1].[State]","[Range 1].[State].&amp;[GA]","[Range 1].[Type]","[Range 1].[Type].&amp;[9]")," ")</f>
        <v xml:space="preserve"> </v>
      </c>
      <c r="H97" s="21" t="str">
        <f t="shared" si="21"/>
        <v xml:space="preserve"> </v>
      </c>
      <c r="I97" s="20" t="str">
        <f>IFERROR(GETPIVOTDATA("[Measures].[mOldGIS]",'Pivot Table Cats'!$A$3,"[Range 1].[State]","[Range 1].[State].&amp;[GA]","[Range 1].[Type]","[Range 1].[Type].&amp;[9]")," ")</f>
        <v xml:space="preserve"> </v>
      </c>
      <c r="J97" s="20" t="str">
        <f>IFERROR(GETPIVOTDATA("[Measures].[mNewGIS]",'Pivot Table Cats'!$A$3,"[Range 1].[State]","[Range 1].[State].&amp;[GA]","[Range 1].[Type]","[Range 1].[Type].&amp;[9]")," ")</f>
        <v xml:space="preserve"> </v>
      </c>
      <c r="K97" s="21" t="str">
        <f t="shared" si="22"/>
        <v xml:space="preserve"> </v>
      </c>
      <c r="L97" s="20" t="str">
        <f>IFERROR(GETPIVOTDATA("[Measures].[mOldGOS]",'Pivot Table Cats'!$A$3,"[Range 1].[State]","[Range 1].[State].&amp;[GA]","[Range 1].[Type]","[Range 1].[Type].&amp;[9]")," ")</f>
        <v xml:space="preserve"> </v>
      </c>
      <c r="M97" s="20" t="str">
        <f>IFERROR(GETPIVOTDATA("[Measures].[mNewGOS]",'Pivot Table Cats'!$A$3,"[Range 1].[State]","[Range 1].[State].&amp;[GA]","[Range 1].[Type]","[Range 1].[Type].&amp;[9]")," ")</f>
        <v xml:space="preserve"> </v>
      </c>
      <c r="N97" s="21" t="str">
        <f t="shared" si="23"/>
        <v xml:space="preserve"> </v>
      </c>
      <c r="O97" s="25"/>
      <c r="P97" s="26"/>
      <c r="Q97" s="27"/>
      <c r="R97" s="25"/>
      <c r="S97" s="26"/>
      <c r="T97" s="27"/>
      <c r="U97" s="25"/>
      <c r="V97" s="26"/>
      <c r="W97" s="27"/>
      <c r="X97" s="25"/>
      <c r="Y97" s="26"/>
      <c r="Z97" s="27"/>
      <c r="AA97" s="25"/>
      <c r="AB97" s="26"/>
      <c r="AC97" s="27"/>
      <c r="AD97" s="25"/>
      <c r="AE97" s="26"/>
      <c r="AF97" s="27"/>
      <c r="AG97" s="25"/>
      <c r="AH97" s="26"/>
      <c r="AI97" s="27"/>
      <c r="AJ97" s="25"/>
      <c r="AK97" s="26"/>
      <c r="AL97" s="27"/>
      <c r="AM97" s="25"/>
      <c r="AN97" s="26"/>
      <c r="AO97" s="27"/>
      <c r="AP97" s="25"/>
      <c r="AQ97" s="26"/>
      <c r="AR97" s="27"/>
      <c r="AS97" s="25"/>
      <c r="AT97" s="26"/>
      <c r="AU97" s="27"/>
      <c r="AV97" s="25"/>
      <c r="AW97" s="26"/>
      <c r="AX97" s="27"/>
      <c r="AY97" s="25"/>
      <c r="AZ97" s="26"/>
      <c r="BA97" s="27"/>
      <c r="BB97" s="25"/>
      <c r="BC97" s="26"/>
      <c r="BD97" s="27"/>
    </row>
    <row r="98" spans="1:56">
      <c r="A98" s="28"/>
      <c r="B98" s="19" t="s">
        <v>554</v>
      </c>
      <c r="C98" s="20" t="str">
        <f>IFERROR(GETPIVOTDATA("[Measures].[mOldUGIS]",'Pivot Table Cats'!$A$3,"[Range 1].[State]","[Range 1].[State].&amp;[GA]","[Range 1].[Type]","[Range 1].[Type].&amp;[10]")," ")</f>
        <v xml:space="preserve"> </v>
      </c>
      <c r="D98" s="20" t="str">
        <f>IFERROR(GETPIVOTDATA("[Measures].[mNewUGIS]",'Pivot Table Cats'!$A$3,"[Range 1].[State]","[Range 1].[State].&amp;[GA]","[Range 1].[Type]","[Range 1].[Type].&amp;[10]")," ")</f>
        <v xml:space="preserve"> </v>
      </c>
      <c r="E98" s="21" t="str">
        <f t="shared" si="20"/>
        <v xml:space="preserve"> </v>
      </c>
      <c r="F98" s="20" t="str">
        <f>IFERROR(GETPIVOTDATA("[Measures].[mOldUGOS]",'Pivot Table Cats'!$A$3,"[Range 1].[State]","[Range 1].[State].&amp;[GA]","[Range 1].[Type]","[Range 1].[Type].&amp;[10]")," ")</f>
        <v xml:space="preserve"> </v>
      </c>
      <c r="G98" s="20" t="str">
        <f>IFERROR(GETPIVOTDATA("[Measures].[mNewUGOS]",'Pivot Table Cats'!$A$3,"[Range 1].[State]","[Range 1].[State].&amp;[GA]","[Range 1].[Type]","[Range 1].[Type].&amp;[10]")," ")</f>
        <v xml:space="preserve"> </v>
      </c>
      <c r="H98" s="21" t="str">
        <f t="shared" si="21"/>
        <v xml:space="preserve"> </v>
      </c>
      <c r="I98" s="20" t="str">
        <f>IFERROR(GETPIVOTDATA("[Measures].[mOldGIS]",'Pivot Table Cats'!$A$3,"[Range 1].[State]","[Range 1].[State].&amp;[GA]","[Range 1].[Type]","[Range 1].[Type].&amp;[10]")," ")</f>
        <v xml:space="preserve"> </v>
      </c>
      <c r="J98" s="20" t="str">
        <f>IFERROR(GETPIVOTDATA("[Measures].[mNewGIS]",'Pivot Table Cats'!$A$3,"[Range 1].[State]","[Range 1].[State].&amp;[GA]","[Range 1].[Type]","[Range 1].[Type].&amp;[10]")," ")</f>
        <v xml:space="preserve"> </v>
      </c>
      <c r="K98" s="21" t="str">
        <f t="shared" si="22"/>
        <v xml:space="preserve"> </v>
      </c>
      <c r="L98" s="20" t="str">
        <f>IFERROR(GETPIVOTDATA("[Measures].[mOldGOS]",'Pivot Table Cats'!$A$3,"[Range 1].[State]","[Range 1].[State].&amp;[GA]","[Range 1].[Type]","[Range 1].[Type].&amp;[10]")," ")</f>
        <v xml:space="preserve"> </v>
      </c>
      <c r="M98" s="20" t="str">
        <f>IFERROR(GETPIVOTDATA("[Measures].[mNewGOS]",'Pivot Table Cats'!$A$3,"[Range 1].[State]","[Range 1].[State].&amp;[GA]","[Range 1].[Type]","[Range 1].[Type].&amp;[10]")," ")</f>
        <v xml:space="preserve"> </v>
      </c>
      <c r="N98" s="21" t="str">
        <f t="shared" si="23"/>
        <v xml:space="preserve"> </v>
      </c>
      <c r="O98" s="25"/>
      <c r="P98" s="26"/>
      <c r="Q98" s="27"/>
      <c r="R98" s="25"/>
      <c r="S98" s="26"/>
      <c r="T98" s="27"/>
      <c r="U98" s="25"/>
      <c r="V98" s="26"/>
      <c r="W98" s="27"/>
      <c r="X98" s="25"/>
      <c r="Y98" s="26"/>
      <c r="Z98" s="27"/>
      <c r="AA98" s="25"/>
      <c r="AB98" s="26"/>
      <c r="AC98" s="27"/>
      <c r="AD98" s="25"/>
      <c r="AE98" s="26"/>
      <c r="AF98" s="27"/>
      <c r="AG98" s="25"/>
      <c r="AH98" s="26"/>
      <c r="AI98" s="27"/>
      <c r="AJ98" s="25"/>
      <c r="AK98" s="26"/>
      <c r="AL98" s="27"/>
      <c r="AM98" s="25"/>
      <c r="AN98" s="26"/>
      <c r="AO98" s="27"/>
      <c r="AP98" s="25"/>
      <c r="AQ98" s="26"/>
      <c r="AR98" s="27"/>
      <c r="AS98" s="25"/>
      <c r="AT98" s="26"/>
      <c r="AU98" s="27"/>
      <c r="AV98" s="25"/>
      <c r="AW98" s="26"/>
      <c r="AX98" s="27"/>
      <c r="AY98" s="25"/>
      <c r="AZ98" s="26"/>
      <c r="BA98" s="27"/>
      <c r="BB98" s="25"/>
      <c r="BC98" s="26"/>
      <c r="BD98" s="27"/>
    </row>
    <row r="99" spans="1:56" s="49" customFormat="1" ht="20.25" customHeight="1">
      <c r="A99" s="48"/>
      <c r="B99" s="30" t="s">
        <v>555</v>
      </c>
      <c r="C99" s="31">
        <f>GETPIVOTDATA("[Measures].[mOldUGIS]",'Pivot Table Totals'!$A$31,"[Range 1].[State]","[Range 1].[State].&amp;[GA]")</f>
        <v>3897</v>
      </c>
      <c r="D99" s="31">
        <f>GETPIVOTDATA("[Measures].[mNewUGIS]",'Pivot Table Totals'!$A$31,"[Range 1].[State]","[Range 1].[State].&amp;[GA]")</f>
        <v>3897</v>
      </c>
      <c r="E99" s="21">
        <f t="shared" si="20"/>
        <v>0</v>
      </c>
      <c r="F99" s="31">
        <f>GETPIVOTDATA("[Measures].[mOldUGOS]",'Pivot Table Totals'!$A$31,"[Range 1].[State]","[Range 1].[State].&amp;[GA]")</f>
        <v>11837</v>
      </c>
      <c r="G99" s="31">
        <f>GETPIVOTDATA("[Measures].[mNewUGOS]",'Pivot Table Totals'!$A$31,"[Range 1].[State]","[Range 1].[State].&amp;[GA]")</f>
        <v>11837</v>
      </c>
      <c r="H99" s="21">
        <f t="shared" si="21"/>
        <v>0</v>
      </c>
      <c r="I99" s="31">
        <f>GETPIVOTDATA("[Measures].[mOldGIS]",'Pivot Table Totals'!$A$31,"[Range 1].[State]","[Range 1].[State].&amp;[GA]")</f>
        <v>0</v>
      </c>
      <c r="J99" s="31">
        <f>GETPIVOTDATA("[Measures].[mNewGIS]",'Pivot Table Totals'!$A$31,"[Range 1].[State]","[Range 1].[State].&amp;[GA]")</f>
        <v>0</v>
      </c>
      <c r="K99" s="21">
        <f t="shared" si="22"/>
        <v>0</v>
      </c>
      <c r="L99" s="31">
        <f>GETPIVOTDATA("[Measures].[mOldGOS]",'Pivot Table Totals'!$A$31,"[Range 1].[State]","[Range 1].[State].&amp;[GA]")</f>
        <v>0</v>
      </c>
      <c r="M99" s="31">
        <f>GETPIVOTDATA("[Measures].[mNewGOS]",'Pivot Table Totals'!$A$31,"[Range 1].[State]","[Range 1].[State].&amp;[GA]")</f>
        <v>0</v>
      </c>
      <c r="N99" s="21">
        <f t="shared" si="23"/>
        <v>0</v>
      </c>
      <c r="O99" s="36"/>
      <c r="P99" s="37"/>
      <c r="Q99" s="38"/>
      <c r="R99" s="36"/>
      <c r="S99" s="37"/>
      <c r="T99" s="38"/>
      <c r="U99" s="36"/>
      <c r="V99" s="37"/>
      <c r="W99" s="38"/>
      <c r="X99" s="36"/>
      <c r="Y99" s="37"/>
      <c r="Z99" s="38"/>
      <c r="AA99" s="36"/>
      <c r="AB99" s="37"/>
      <c r="AC99" s="38"/>
      <c r="AD99" s="36"/>
      <c r="AE99" s="37"/>
      <c r="AF99" s="38"/>
      <c r="AG99" s="36"/>
      <c r="AH99" s="37"/>
      <c r="AI99" s="38"/>
      <c r="AJ99" s="36"/>
      <c r="AK99" s="37"/>
      <c r="AL99" s="38"/>
      <c r="AM99" s="36"/>
      <c r="AN99" s="37"/>
      <c r="AO99" s="38"/>
      <c r="AP99" s="36"/>
      <c r="AQ99" s="37"/>
      <c r="AR99" s="38"/>
      <c r="AS99" s="36"/>
      <c r="AT99" s="37"/>
      <c r="AU99" s="38"/>
      <c r="AV99" s="36"/>
      <c r="AW99" s="37"/>
      <c r="AX99" s="38"/>
      <c r="AY99" s="36"/>
      <c r="AZ99" s="37"/>
      <c r="BA99" s="38"/>
      <c r="BB99" s="36"/>
      <c r="BC99" s="37"/>
      <c r="BD99" s="38"/>
    </row>
    <row r="100" spans="1:56">
      <c r="A100" s="28"/>
      <c r="B100" s="19" t="s">
        <v>556</v>
      </c>
      <c r="C100" s="20">
        <f>IFERROR(GETPIVOTDATA("[Measures].[mOldUGIS]",'Pivot Table Cats'!$A$3,"[Range 1].[State]","[Range 1].[State].&amp;[GA]","[Range 1].[Type]","[Range 1].[Type].&amp;[12]")," ")</f>
        <v>3664</v>
      </c>
      <c r="D100" s="20">
        <f>IFERROR(GETPIVOTDATA("[Measures].[mNewUGIS]",'Pivot Table Cats'!$A$3,"[Range 1].[State]","[Range 1].[State].&amp;[GA]","[Range 1].[Type]","[Range 1].[Type].&amp;[12]")," ")</f>
        <v>3669</v>
      </c>
      <c r="E100" s="21">
        <f t="shared" si="20"/>
        <v>0.13646288209606985</v>
      </c>
      <c r="F100" s="20">
        <f>IFERROR(GETPIVOTDATA("[Measures].[mOldUGOS]",'Pivot Table Cats'!$A$3,"[Range 1].[State]","[Range 1].[State].&amp;[GA]","[Range 1].[Type]","[Range 1].[Type].&amp;[12]")," ")</f>
        <v>6664</v>
      </c>
      <c r="G100" s="20">
        <f>IFERROR(GETPIVOTDATA("[Measures].[mNewUGOS]",'Pivot Table Cats'!$A$3,"[Range 1].[State]","[Range 1].[State].&amp;[GA]","[Range 1].[Type]","[Range 1].[Type].&amp;[12]")," ")</f>
        <v>6669</v>
      </c>
      <c r="H100" s="21">
        <f t="shared" si="21"/>
        <v>7.503001200480193E-2</v>
      </c>
      <c r="I100" s="20">
        <f>IFERROR(GETPIVOTDATA("[Measures].[mOldGIS]",'Pivot Table Cats'!$A$3,"[Range 1].[State]","[Range 1].[State].&amp;[GA]","[Range 1].[Type]","[Range 1].[Type].&amp;[12]")," ")</f>
        <v>0</v>
      </c>
      <c r="J100" s="20">
        <f>IFERROR(GETPIVOTDATA("[Measures].[mNewGIS]",'Pivot Table Cats'!$A$3,"[Range 1].[State]","[Range 1].[State].&amp;[GA]","[Range 1].[Type]","[Range 1].[Type].&amp;[12]")," ")</f>
        <v>0</v>
      </c>
      <c r="K100" s="21">
        <f t="shared" si="22"/>
        <v>0</v>
      </c>
      <c r="L100" s="20">
        <f>IFERROR(GETPIVOTDATA("[Measures].[mOldGOS]",'Pivot Table Cats'!$A$3,"[Range 1].[State]","[Range 1].[State].&amp;[GA]","[Range 1].[Type]","[Range 1].[Type].&amp;[12]")," ")</f>
        <v>0</v>
      </c>
      <c r="M100" s="20">
        <f>IFERROR(GETPIVOTDATA("[Measures].[mNewGOS]",'Pivot Table Cats'!$A$3,"[Range 1].[State]","[Range 1].[State].&amp;[GA]","[Range 1].[Type]","[Range 1].[Type].&amp;[12]")," ")</f>
        <v>0</v>
      </c>
      <c r="N100" s="21">
        <f t="shared" si="23"/>
        <v>0</v>
      </c>
      <c r="O100" s="25"/>
      <c r="P100" s="26"/>
      <c r="Q100" s="27"/>
      <c r="R100" s="25"/>
      <c r="S100" s="26"/>
      <c r="T100" s="27"/>
      <c r="U100" s="25"/>
      <c r="V100" s="26"/>
      <c r="W100" s="27"/>
      <c r="X100" s="25"/>
      <c r="Y100" s="26"/>
      <c r="Z100" s="27"/>
      <c r="AA100" s="25"/>
      <c r="AB100" s="26"/>
      <c r="AC100" s="27"/>
      <c r="AD100" s="25"/>
      <c r="AE100" s="26"/>
      <c r="AF100" s="27"/>
      <c r="AG100" s="25"/>
      <c r="AH100" s="26"/>
      <c r="AI100" s="27"/>
      <c r="AJ100" s="25"/>
      <c r="AK100" s="26"/>
      <c r="AL100" s="27"/>
      <c r="AM100" s="25"/>
      <c r="AN100" s="26"/>
      <c r="AO100" s="27"/>
      <c r="AP100" s="25"/>
      <c r="AQ100" s="26"/>
      <c r="AR100" s="27"/>
      <c r="AS100" s="25"/>
      <c r="AT100" s="26"/>
      <c r="AU100" s="27"/>
      <c r="AV100" s="25"/>
      <c r="AW100" s="26"/>
      <c r="AX100" s="27"/>
      <c r="AY100" s="25"/>
      <c r="AZ100" s="26"/>
      <c r="BA100" s="27"/>
      <c r="BB100" s="25"/>
      <c r="BC100" s="26"/>
      <c r="BD100" s="27"/>
    </row>
    <row r="101" spans="1:56">
      <c r="A101" s="28"/>
      <c r="B101" s="19" t="s">
        <v>557</v>
      </c>
      <c r="C101" s="20" t="str">
        <f>IFERROR(GETPIVOTDATA("[Measures].[mOldUGIS]",'Pivot Table Cats'!$A$3,"[Range 1].[State]","[Range 1].[State].&amp;[GA]","[Range 1].[Type]","[Range 1].[Type].&amp;[13]")," ")</f>
        <v xml:space="preserve"> </v>
      </c>
      <c r="D101" s="20" t="str">
        <f>IFERROR(GETPIVOTDATA("[Measures].[mNewUGIS]",'Pivot Table Cats'!$A$3,"[Range 1].[State]","[Range 1].[State].&amp;[GA]","[Range 1].[Type]","[Range 1].[Type].&amp;[13]")," ")</f>
        <v xml:space="preserve"> </v>
      </c>
      <c r="E101" s="21" t="str">
        <f t="shared" si="20"/>
        <v xml:space="preserve"> </v>
      </c>
      <c r="F101" s="20" t="str">
        <f>IFERROR(GETPIVOTDATA("[Measures].[mOldUGOS]",'Pivot Table Cats'!$A$3,"[Range 1].[State]","[Range 1].[State].&amp;[GA]","[Range 1].[Type]","[Range 1].[Type].&amp;[13]")," ")</f>
        <v xml:space="preserve"> </v>
      </c>
      <c r="G101" s="20" t="str">
        <f>IFERROR(GETPIVOTDATA("[Measures].[mNewUGOS]",'Pivot Table Cats'!$A$3,"[Range 1].[State]","[Range 1].[State].&amp;[GA]","[Range 1].[Type]","[Range 1].[Type].&amp;[13]")," ")</f>
        <v xml:space="preserve"> </v>
      </c>
      <c r="H101" s="21" t="str">
        <f t="shared" si="21"/>
        <v xml:space="preserve"> </v>
      </c>
      <c r="I101" s="20" t="str">
        <f>IFERROR(GETPIVOTDATA("[Measures].[mOldGIS]",'Pivot Table Cats'!$A$3,"[Range 1].[State]","[Range 1].[State].&amp;[GA]","[Range 1].[Type]","[Range 1].[Type].&amp;[13]")," ")</f>
        <v xml:space="preserve"> </v>
      </c>
      <c r="J101" s="20" t="str">
        <f>IFERROR(GETPIVOTDATA("[Measures].[mNewGIS]",'Pivot Table Cats'!$A$3,"[Range 1].[State]","[Range 1].[State].&amp;[GA]","[Range 1].[Type]","[Range 1].[Type].&amp;[13]")," ")</f>
        <v xml:space="preserve"> </v>
      </c>
      <c r="K101" s="21" t="str">
        <f t="shared" si="22"/>
        <v xml:space="preserve"> </v>
      </c>
      <c r="L101" s="20" t="str">
        <f>IFERROR(GETPIVOTDATA("[Measures].[mOldGOS]",'Pivot Table Cats'!$A$3,"[Range 1].[State]","[Range 1].[State].&amp;[GA]","[Range 1].[Type]","[Range 1].[Type].&amp;[13]")," ")</f>
        <v xml:space="preserve"> </v>
      </c>
      <c r="M101" s="20" t="str">
        <f>IFERROR(GETPIVOTDATA("[Measures].[mNewGOS]",'Pivot Table Cats'!$A$3,"[Range 1].[State]","[Range 1].[State].&amp;[GA]","[Range 1].[Type]","[Range 1].[Type].&amp;[13]")," ")</f>
        <v xml:space="preserve"> </v>
      </c>
      <c r="N101" s="21" t="str">
        <f t="shared" si="23"/>
        <v xml:space="preserve"> </v>
      </c>
      <c r="O101" s="25"/>
      <c r="P101" s="26"/>
      <c r="Q101" s="27"/>
      <c r="R101" s="25"/>
      <c r="S101" s="26"/>
      <c r="T101" s="27"/>
      <c r="U101" s="25"/>
      <c r="V101" s="26"/>
      <c r="W101" s="27"/>
      <c r="X101" s="25"/>
      <c r="Y101" s="26"/>
      <c r="Z101" s="27"/>
      <c r="AA101" s="25"/>
      <c r="AB101" s="26"/>
      <c r="AC101" s="27"/>
      <c r="AD101" s="25"/>
      <c r="AE101" s="26"/>
      <c r="AF101" s="27"/>
      <c r="AG101" s="25"/>
      <c r="AH101" s="26"/>
      <c r="AI101" s="27"/>
      <c r="AJ101" s="25"/>
      <c r="AK101" s="26"/>
      <c r="AL101" s="27"/>
      <c r="AM101" s="25"/>
      <c r="AN101" s="26"/>
      <c r="AO101" s="27"/>
      <c r="AP101" s="25"/>
      <c r="AQ101" s="26"/>
      <c r="AR101" s="27"/>
      <c r="AS101" s="25"/>
      <c r="AT101" s="26"/>
      <c r="AU101" s="27"/>
      <c r="AV101" s="25"/>
      <c r="AW101" s="26"/>
      <c r="AX101" s="27"/>
      <c r="AY101" s="25"/>
      <c r="AZ101" s="26"/>
      <c r="BA101" s="27"/>
      <c r="BB101" s="25"/>
      <c r="BC101" s="26"/>
      <c r="BD101" s="27"/>
    </row>
    <row r="102" spans="1:56">
      <c r="A102" s="28"/>
      <c r="B102" s="19" t="s">
        <v>558</v>
      </c>
      <c r="C102" s="20" t="str">
        <f>IFERROR(GETPIVOTDATA("[Measures].[mOldUGIS]",'Pivot Table Cats'!$A$3,"[Range 1].[State]","[Range 1].[State].&amp;[GA]","[Range 1].[Type]","[Range 1].[Type].&amp;[14]")," ")</f>
        <v xml:space="preserve"> </v>
      </c>
      <c r="D102" s="20" t="str">
        <f>IFERROR(GETPIVOTDATA("[Measures].[mNewUGIS]",'Pivot Table Cats'!$A$3,"[Range 1].[State]","[Range 1].[State].&amp;[GA]","[Range 1].[Type]","[Range 1].[Type].&amp;[14]")," ")</f>
        <v xml:space="preserve"> </v>
      </c>
      <c r="E102" s="21" t="str">
        <f t="shared" si="20"/>
        <v xml:space="preserve"> </v>
      </c>
      <c r="F102" s="20" t="str">
        <f>IFERROR(GETPIVOTDATA("[Measures].[mOldUGOS]",'Pivot Table Cats'!$A$3,"[Range 1].[State]","[Range 1].[State].&amp;[GA]","[Range 1].[Type]","[Range 1].[Type].&amp;[14]")," ")</f>
        <v xml:space="preserve"> </v>
      </c>
      <c r="G102" s="20" t="str">
        <f>IFERROR(GETPIVOTDATA("[Measures].[mNewUGOS]",'Pivot Table Cats'!$A$3,"[Range 1].[State]","[Range 1].[State].&amp;[GA]","[Range 1].[Type]","[Range 1].[Type].&amp;[14]")," ")</f>
        <v xml:space="preserve"> </v>
      </c>
      <c r="H102" s="21" t="str">
        <f t="shared" si="21"/>
        <v xml:space="preserve"> </v>
      </c>
      <c r="I102" s="20" t="str">
        <f>IFERROR(GETPIVOTDATA("[Measures].[mOldGIS]",'Pivot Table Cats'!$A$3,"[Range 1].[State]","[Range 1].[State].&amp;[GA]","[Range 1].[Type]","[Range 1].[Type].&amp;[14]")," ")</f>
        <v xml:space="preserve"> </v>
      </c>
      <c r="J102" s="20" t="str">
        <f>IFERROR(GETPIVOTDATA("[Measures].[mNewGIS]",'Pivot Table Cats'!$A$3,"[Range 1].[State]","[Range 1].[State].&amp;[GA]","[Range 1].[Type]","[Range 1].[Type].&amp;[14]")," ")</f>
        <v xml:space="preserve"> </v>
      </c>
      <c r="K102" s="21" t="str">
        <f t="shared" si="22"/>
        <v xml:space="preserve"> </v>
      </c>
      <c r="L102" s="20" t="str">
        <f>IFERROR(GETPIVOTDATA("[Measures].[mOldGOS]",'Pivot Table Cats'!$A$3,"[Range 1].[State]","[Range 1].[State].&amp;[GA]","[Range 1].[Type]","[Range 1].[Type].&amp;[14]")," ")</f>
        <v xml:space="preserve"> </v>
      </c>
      <c r="M102" s="20" t="str">
        <f>IFERROR(GETPIVOTDATA("[Measures].[mNewGOS]",'Pivot Table Cats'!$A$3,"[Range 1].[State]","[Range 1].[State].&amp;[GA]","[Range 1].[Type]","[Range 1].[Type].&amp;[14]")," ")</f>
        <v xml:space="preserve"> </v>
      </c>
      <c r="N102" s="21" t="str">
        <f t="shared" si="23"/>
        <v xml:space="preserve"> </v>
      </c>
      <c r="O102" s="25"/>
      <c r="P102" s="26"/>
      <c r="Q102" s="27"/>
      <c r="R102" s="25"/>
      <c r="S102" s="26"/>
      <c r="T102" s="27"/>
      <c r="U102" s="25"/>
      <c r="V102" s="26"/>
      <c r="W102" s="27"/>
      <c r="X102" s="25"/>
      <c r="Y102" s="26"/>
      <c r="Z102" s="27"/>
      <c r="AA102" s="25"/>
      <c r="AB102" s="26"/>
      <c r="AC102" s="27"/>
      <c r="AD102" s="25"/>
      <c r="AE102" s="26"/>
      <c r="AF102" s="27"/>
      <c r="AG102" s="25"/>
      <c r="AH102" s="26"/>
      <c r="AI102" s="27"/>
      <c r="AJ102" s="25"/>
      <c r="AK102" s="26"/>
      <c r="AL102" s="27"/>
      <c r="AM102" s="25"/>
      <c r="AN102" s="26"/>
      <c r="AO102" s="27"/>
      <c r="AP102" s="25"/>
      <c r="AQ102" s="26"/>
      <c r="AR102" s="27"/>
      <c r="AS102" s="25"/>
      <c r="AT102" s="26"/>
      <c r="AU102" s="27"/>
      <c r="AV102" s="25"/>
      <c r="AW102" s="26"/>
      <c r="AX102" s="27"/>
      <c r="AY102" s="25"/>
      <c r="AZ102" s="26"/>
      <c r="BA102" s="27"/>
      <c r="BB102" s="25"/>
      <c r="BC102" s="26"/>
      <c r="BD102" s="27"/>
    </row>
    <row r="103" spans="1:56" s="49" customFormat="1" ht="18" customHeight="1">
      <c r="A103" s="48"/>
      <c r="B103" s="30" t="s">
        <v>559</v>
      </c>
      <c r="C103" s="31">
        <f>IFERROR(GETPIVOTDATA("[Measures].[mOldUGIS]",'Pivot Table Totals'!$A$59,"[Range 1].[State]","[Range 1].[State].&amp;[GA]"), " ")</f>
        <v>3664</v>
      </c>
      <c r="D103" s="31">
        <f>IFERROR(GETPIVOTDATA("[Measures].[mNewUGIS]",'Pivot Table Totals'!$A$59,"[Range 1].[State]","[Range 1].[State].&amp;[GA]"), " ")</f>
        <v>3669</v>
      </c>
      <c r="E103" s="21">
        <f t="shared" si="20"/>
        <v>0.13646288209606985</v>
      </c>
      <c r="F103" s="31">
        <f>IFERROR(GETPIVOTDATA("[Measures].[mOldUGOS]",'Pivot Table Totals'!$A$59,"[Range 1].[State]","[Range 1].[State].&amp;[GA]"), " " )</f>
        <v>6664</v>
      </c>
      <c r="G103" s="31">
        <f>IFERROR(GETPIVOTDATA("[Measures].[mNewUGOS]",'Pivot Table Totals'!$A$59,"[Range 1].[State]","[Range 1].[State].&amp;[GA]"), " ")</f>
        <v>6669</v>
      </c>
      <c r="H103" s="21">
        <f t="shared" si="21"/>
        <v>7.503001200480193E-2</v>
      </c>
      <c r="I103" s="31">
        <f>IFERROR(GETPIVOTDATA("[Measures].[mOldGIS]",'Pivot Table Totals'!$A$59,"[Range 1].[State]","[Range 1].[State].&amp;[GA]"), " ")</f>
        <v>0</v>
      </c>
      <c r="J103" s="31">
        <f>IFERROR(GETPIVOTDATA("[Measures].[mNewGIS]",'Pivot Table Totals'!$A$59,"[Range 1].[State]","[Range 1].[State].&amp;[GA]"), " ")</f>
        <v>0</v>
      </c>
      <c r="K103" s="21">
        <f t="shared" si="22"/>
        <v>0</v>
      </c>
      <c r="L103" s="31">
        <f>IFERROR(GETPIVOTDATA("[Measures].[mOldGOS]",'Pivot Table Totals'!$A$59,"[Range 1].[State]","[Range 1].[State].&amp;[GA]"), " ")</f>
        <v>0</v>
      </c>
      <c r="M103" s="31">
        <f>IFERROR(GETPIVOTDATA("[Measures].[mNewGOS]",'Pivot Table Totals'!$A$59,"[Range 1].[State]","[Range 1].[State].&amp;[GA]"), " ")</f>
        <v>0</v>
      </c>
      <c r="N103" s="21">
        <f t="shared" si="23"/>
        <v>0</v>
      </c>
      <c r="O103" s="36"/>
      <c r="P103" s="37"/>
      <c r="Q103" s="38"/>
      <c r="R103" s="36"/>
      <c r="S103" s="37"/>
      <c r="T103" s="38"/>
      <c r="U103" s="36"/>
      <c r="V103" s="37"/>
      <c r="W103" s="38"/>
      <c r="X103" s="36"/>
      <c r="Y103" s="37"/>
      <c r="Z103" s="38"/>
      <c r="AA103" s="36"/>
      <c r="AB103" s="37"/>
      <c r="AC103" s="38"/>
      <c r="AD103" s="36"/>
      <c r="AE103" s="37"/>
      <c r="AF103" s="38"/>
      <c r="AG103" s="36"/>
      <c r="AH103" s="37"/>
      <c r="AI103" s="38"/>
      <c r="AJ103" s="36"/>
      <c r="AK103" s="37"/>
      <c r="AL103" s="38"/>
      <c r="AM103" s="36"/>
      <c r="AN103" s="37"/>
      <c r="AO103" s="38"/>
      <c r="AP103" s="36"/>
      <c r="AQ103" s="37"/>
      <c r="AR103" s="38"/>
      <c r="AS103" s="36"/>
      <c r="AT103" s="37"/>
      <c r="AU103" s="38"/>
      <c r="AV103" s="36"/>
      <c r="AW103" s="37"/>
      <c r="AX103" s="38"/>
      <c r="AY103" s="36"/>
      <c r="AZ103" s="37"/>
      <c r="BA103" s="38"/>
      <c r="BB103" s="36"/>
      <c r="BC103" s="37"/>
      <c r="BD103" s="38"/>
    </row>
    <row r="104" spans="1:56">
      <c r="A104" s="40"/>
      <c r="B104" s="41" t="s">
        <v>560</v>
      </c>
      <c r="C104" s="42"/>
      <c r="D104" s="42"/>
      <c r="E104" s="335"/>
      <c r="F104" s="42"/>
      <c r="G104" s="42"/>
      <c r="H104" s="44"/>
      <c r="I104" s="45"/>
      <c r="J104" s="42"/>
      <c r="K104" s="44"/>
      <c r="L104" s="45"/>
      <c r="M104" s="42"/>
      <c r="N104" s="44"/>
      <c r="O104" s="336">
        <f>IFERROR(GETPIVOTDATA("[Measures].[mOldLawIS]",'Pivot Table Totals'!$A$79,"[Range 1].[State]","[Range 1].[State].&amp;[GA]"), " ")</f>
        <v>18895</v>
      </c>
      <c r="P104" s="42">
        <f>IFERROR(GETPIVOTDATA("[Measures].[mNewLawIS]",'Pivot Table Totals'!$A$79,"[Range 1].[State]","[Range 1].[State].&amp;[GA]"), " ")</f>
        <v>21104</v>
      </c>
      <c r="Q104" s="46">
        <f>IFERROR(IF(O104&gt;0,(((P104-O104)/O104)*100),0), " ")</f>
        <v>11.690923524741995</v>
      </c>
      <c r="R104" s="336">
        <f>IFERROR(GETPIVOTDATA("[Measures].[mOldLawOS]",'Pivot Table Totals'!$A$79,"[Range 1].[State]","[Range 1].[State].&amp;[GA]"), " ")</f>
        <v>38078</v>
      </c>
      <c r="S104" s="336">
        <f>IFERROR(GETPIVOTDATA("[Measures].[mNewLawOS]",'Pivot Table Totals'!$A$79,"[Range 1].[State]","[Range 1].[State].&amp;[GA]"), " ")</f>
        <v>40267</v>
      </c>
      <c r="T104" s="46">
        <f>IFERROR(IF(R104&gt;0,(((S104-R104)/R104)*100),0), " ")</f>
        <v>5.7487262986501388</v>
      </c>
      <c r="U104" s="336">
        <f>IFERROR(GETPIVOTDATA("[Measures].[mOldMedIS]",'Pivot Table Totals'!$A$79,"[Range 1].[State]","[Range 1].[State].&amp;[GA]"), " ")</f>
        <v>31056</v>
      </c>
      <c r="V104" s="336">
        <f>IFERROR(GETPIVOTDATA("[Measures].[mNewMedIS]",'Pivot Table Totals'!$A$79,"[Range 1].[State]","[Range 1].[State].&amp;[GA]"), " ")</f>
        <v>33186</v>
      </c>
      <c r="W104" s="46">
        <f>IFERROR(IF(U104&gt;0,(((V104-U104)/U104)*100),0), " ")</f>
        <v>6.8585780525502322</v>
      </c>
      <c r="X104" s="336">
        <f>IFERROR(GETPIVOTDATA("[Measures].[mOldMedOS]",'Pivot Table Totals'!$A$79,"[Range 1].[State]","[Range 1].[State].&amp;[GA]"), " ")</f>
        <v>59980</v>
      </c>
      <c r="Y104" s="336">
        <f>IFERROR(GETPIVOTDATA("[Measures].[mNewMedOS]",'Pivot Table Totals'!$A$79,"[Range 1].[State]","[Range 1].[State].&amp;[GA]"), " ")</f>
        <v>62110</v>
      </c>
      <c r="Z104" s="46">
        <f>IFERROR(IF(X104&gt;0,(((Y104-X104)/X104)*100),0), " ")</f>
        <v>3.551183727909303</v>
      </c>
      <c r="AA104" s="336">
        <f>IFERROR(GETPIVOTDATA("[Measures].[mOldDenIS]",'Pivot Table Totals'!$A$79,"[Range 1].[State]","[Range 1].[State].&amp;[GA]"), " ")</f>
        <v>27674</v>
      </c>
      <c r="AB104" s="336">
        <f>IFERROR(GETPIVOTDATA("[Measures].[mNewDenIS]",'Pivot Table Totals'!$A$79,"[Range 1].[State]","[Range 1].[State].&amp;[GA]"), " ")</f>
        <v>30604</v>
      </c>
      <c r="AC104" s="46">
        <f>IFERROR(IF(AA104&gt;0,(((AB104-AA104)/AA104)*100),0), " ")</f>
        <v>10.587555105875552</v>
      </c>
      <c r="AD104" s="336">
        <f>IFERROR(GETPIVOTDATA("[Measures].[mOldDenOS]",'Pivot Table Totals'!$A$79,"[Range 1].[State]","[Range 1].[State].&amp;[GA]"), " ")</f>
        <v>64940</v>
      </c>
      <c r="AE104" s="336">
        <f>IFERROR(GETPIVOTDATA("[Measures].[mNewDenOS]",'Pivot Table Totals'!$A$79,"[Range 1].[State]","[Range 1].[State].&amp;[GA]"), " ")</f>
        <v>69038</v>
      </c>
      <c r="AF104" s="46">
        <f>IFERROR(IF(AD104&gt;0,(((AE104-AD104)/AD104)*100),0), " ")</f>
        <v>6.3104404065291035</v>
      </c>
      <c r="AG104" s="336">
        <f>IFERROR(GETPIVOTDATA("[Measures].[mOldPhrIS]",'Pivot Table Totals'!$A$79,"[Range 1].[State]","[Range 1].[State].&amp;[GA]"), " ")</f>
        <v>18926</v>
      </c>
      <c r="AH104" s="336">
        <f>IFERROR(GETPIVOTDATA("[Measures].[mNewPhIS]",'Pivot Table Totals'!$A$79,"[Range 1].[State]","[Range 1].[State].&amp;[GA]"), " ")</f>
        <v>20892</v>
      </c>
      <c r="AI104" s="46">
        <f>IFERROR(IF(AG104&gt;0,(((AH104-AG104)/AG104)*100),0), " ")</f>
        <v>10.387826270738666</v>
      </c>
      <c r="AJ104" s="336">
        <f>IFERROR(GETPIVOTDATA("[Measures].[mOldPhrOS]",'Pivot Table Totals'!$A$79,"[Range 1].[State]","[Range 1].[State].&amp;[GA]"), " ")</f>
        <v>39634</v>
      </c>
      <c r="AK104" s="336">
        <f>IFERROR(GETPIVOTDATA("[Measures].[mNewPhrOS]",'Pivot Table Totals'!$A$79,"[Range 1].[State]","[Range 1].[State].&amp;[GA]"), " ")</f>
        <v>41600</v>
      </c>
      <c r="AL104" s="46">
        <f>IFERROR(IF(AJ104&gt;0,(((AQ104-AJ104)/AJ104)*100),0), " ")</f>
        <v>-100</v>
      </c>
      <c r="AM104" s="336">
        <f>IFERROR(GETPIVOTDATA("[Measures].[mOldOptIS]",'Pivot Table Totals'!$A$79,"[Range 1].[State]","[Range 1].[State].&amp;[GA]"), " ")</f>
        <v>0</v>
      </c>
      <c r="AN104" s="336">
        <f>IFERROR(GETPIVOTDATA("[Measures].[mNewOptIS]",'Pivot Table Totals'!$A$79,"[Range 1].[State]","[Range 1].[State].&amp;[GA]"), " ")</f>
        <v>0</v>
      </c>
      <c r="AO104" s="46">
        <f>IFERROR(IF(AM104&gt;0,(((AN104-AM104)/AM104)*100),0), " ")</f>
        <v>0</v>
      </c>
      <c r="AP104" s="336">
        <f>IFERROR(GETPIVOTDATA("[Measures].[mOldOptoS]",'Pivot Table Totals'!$A$79,"[Range 1].[State]","[Range 1].[State].&amp;[GA]"), " ")</f>
        <v>0</v>
      </c>
      <c r="AQ104" s="336">
        <f>IFERROR(GETPIVOTDATA("[Measures].[mNewOptoS]",'Pivot Table Totals'!$A$79,"[Range 1].[State]","[Range 1].[State].&amp;[GA]"), " ")</f>
        <v>0</v>
      </c>
      <c r="AR104" s="46">
        <f>IFERROR(IF(AP104&gt;0,(((AQ104-AP104)/AP104)*100),0), " ")</f>
        <v>0</v>
      </c>
      <c r="AS104" s="336">
        <f>IFERROR(GETPIVOTDATA("[Measures].[mOldOstIS]",'Pivot Table Totals'!$A$79,"[Range 1].[State]","[Range 1].[State].&amp;[GA]"), " ")</f>
        <v>0</v>
      </c>
      <c r="AT104" s="336">
        <f>IFERROR(GETPIVOTDATA("[Measures].[mNewOstIS]",'Pivot Table Totals'!$A$79,"[Range 1].[State]","[Range 1].[State].&amp;[GA]"), " ")</f>
        <v>0</v>
      </c>
      <c r="AU104" s="46">
        <f>IFERROR(IF(AS104&gt;0,(((AT104-AS104)/AS104)*100),0), " ")</f>
        <v>0</v>
      </c>
      <c r="AV104" s="336">
        <f>IFERROR(GETPIVOTDATA("[Measures].[mOldOstOS]",'Pivot Table Totals'!$A$79,"[Range 1].[State]","[Range 1].[State].&amp;[GA]"), " ")</f>
        <v>0</v>
      </c>
      <c r="AW104" s="336">
        <f>IFERROR(GETPIVOTDATA("[Measures].[mNewOstOS]",'Pivot Table Totals'!$A$79,"[Range 1].[State]","[Range 1].[State].&amp;[GA]"), " ")</f>
        <v>0</v>
      </c>
      <c r="AX104" s="46">
        <f>IFERROR(IF(AV104&gt;0,(((AW104-AV104)/AV104)*100),0), " ")</f>
        <v>0</v>
      </c>
      <c r="AY104" s="336">
        <f>IFERROR(GETPIVOTDATA("[Measures].[m[OldVetIS]",'Pivot Table Totals'!$A$79,"[Range 1].[State]","[Range 1].[State].&amp;[GA]"), " ")</f>
        <v>19804</v>
      </c>
      <c r="AZ104" s="336">
        <f>IFERROR(GETPIVOTDATA("[Measures].[mNewVetIS]",'Pivot Table Totals'!$A$79,"[Range 1].[State]","[Range 1].[State].&amp;[GA]"), " ")</f>
        <v>21770</v>
      </c>
      <c r="BA104" s="46">
        <f>IFERROR(IF(AY104&gt;0,(((AZ104-AY104)/AY104)*100),0), " ")</f>
        <v>9.9272874166834981</v>
      </c>
      <c r="BB104" s="336">
        <f>IFERROR(GETPIVOTDATA("[Measures].[mOldVetOS]",'Pivot Table Totals'!$A$79,"[Range 1].[State]","[Range 1].[State].&amp;[GA]"), " ")</f>
        <v>49466</v>
      </c>
      <c r="BC104" s="336">
        <f>IFERROR(GETPIVOTDATA("[Measures].[mNewVetOS]",'Pivot Table Totals'!$A$79,"[Range 1].[State]","[Range 1].[State].&amp;[GA]"), " ")</f>
        <v>51432</v>
      </c>
      <c r="BD104" s="46">
        <f>IFERROR(IF(BB104&gt;0,(((BC104-BB104)/BB104)*100),0), " ")</f>
        <v>3.9744470949743258</v>
      </c>
    </row>
    <row r="105" spans="1:56">
      <c r="A105" s="18" t="s">
        <v>197</v>
      </c>
      <c r="B105" s="19" t="s">
        <v>544</v>
      </c>
      <c r="C105" s="20">
        <f>IFERROR(GETPIVOTDATA("[Measures].[mOldUGIS]",'Pivot Table Cats'!$A$3,"[Range 1].[State]","[Range 1].[State].&amp;[KY]","[Range 1].[Type]","[Range 1].[Type].&amp;[1]")," ")</f>
        <v>12323</v>
      </c>
      <c r="D105" s="20">
        <f>IFERROR(GETPIVOTDATA("[Measures].[mNewUGIS]",'Pivot Table Cats'!$A$3,"[Range 1].[State]","[Range 1].[State].&amp;[KY]","[Range 1].[Type]","[Range 1].[Type].&amp;[1]")," ")</f>
        <v>12490</v>
      </c>
      <c r="E105" s="21">
        <f>IFERROR(IF(C105&gt;0,(((D105-C105)/C105)*100),0), " ")</f>
        <v>1.3551894830804188</v>
      </c>
      <c r="F105" s="20">
        <f>IFERROR(GETPIVOTDATA("[Measures].[mOldUGOS]",'Pivot Table Cats'!$A$3,"[Range 1].[State]","[Range 1].[State].&amp;[KY]","[Range 1].[Type]","[Range 1].[Type].&amp;[1]")," ")</f>
        <v>29901</v>
      </c>
      <c r="G105" s="20">
        <f>IFERROR(GETPIVOTDATA("[Measures].[mNewUGOS]",'Pivot Table Cats'!$A$3,"[Range 1].[State]","[Range 1].[State].&amp;[KY]","[Range 1].[Type]","[Range 1].[Type].&amp;[1]")," ")</f>
        <v>30162</v>
      </c>
      <c r="H105" s="21">
        <f>IFERROR(IF(F105&gt;0,(((G105-F105)/F105)*100),0), " ")</f>
        <v>0.87288050566870679</v>
      </c>
      <c r="I105" s="20">
        <f>IFERROR(GETPIVOTDATA("[Measures].[mOldGIS]",'Pivot Table Cats'!$A$3,"[Range 1].[State]","[Range 1].[State].&amp;[KY]","[Range 1].[Type]","[Range 1].[Type].&amp;[1]")," ")</f>
        <v>13497</v>
      </c>
      <c r="J105" s="20">
        <f>IFERROR(GETPIVOTDATA("[Measures].[mNewGIS]",'Pivot Table Cats'!$A$3,"[Range 1].[State]","[Range 1].[State].&amp;[KY]","[Range 1].[Type]","[Range 1].[Type].&amp;[1]")," ")</f>
        <v>13697</v>
      </c>
      <c r="K105" s="21">
        <f>IFERROR(IF(I105&gt;0,(((J105-I105)/I105)*100),0), " ")</f>
        <v>1.4818107727643182</v>
      </c>
      <c r="L105" s="20">
        <f>IFERROR(GETPIVOTDATA("[Measures].[mOldGOS]",'Pivot Table Cats'!$A$3,"[Range 1].[State]","[Range 1].[State].&amp;[KY]","[Range 1].[Type]","[Range 1].[Type].&amp;[1]")," ")</f>
        <v>30393</v>
      </c>
      <c r="M105" s="20">
        <f>IFERROR(GETPIVOTDATA("[Measures].[mNewGOS]",'Pivot Table Cats'!$A$3,"[Range 1].[State]","[Range 1].[State].&amp;[KY]","[Range 1].[Type]","[Range 1].[Type].&amp;[1]")," ")</f>
        <v>30691</v>
      </c>
      <c r="N105" s="21">
        <f>IFERROR(IF(L105&gt;0,(((M105-L105)/L105)*100),0), " ")</f>
        <v>0.98048892837166446</v>
      </c>
      <c r="O105" s="25"/>
      <c r="P105" s="26"/>
      <c r="Q105" s="27"/>
      <c r="R105" s="25"/>
      <c r="S105" s="26"/>
      <c r="T105" s="27"/>
      <c r="U105" s="25"/>
      <c r="V105" s="26"/>
      <c r="W105" s="27"/>
      <c r="X105" s="25"/>
      <c r="Y105" s="26"/>
      <c r="Z105" s="27"/>
      <c r="AA105" s="25"/>
      <c r="AB105" s="26"/>
      <c r="AC105" s="27"/>
      <c r="AD105" s="25"/>
      <c r="AE105" s="26"/>
      <c r="AF105" s="27"/>
      <c r="AG105" s="25"/>
      <c r="AH105" s="26"/>
      <c r="AI105" s="27"/>
      <c r="AJ105" s="25"/>
      <c r="AK105" s="26"/>
      <c r="AL105" s="27"/>
      <c r="AM105" s="25"/>
      <c r="AN105" s="26"/>
      <c r="AO105" s="27"/>
      <c r="AP105" s="25"/>
      <c r="AQ105" s="26"/>
      <c r="AR105" s="27"/>
      <c r="AS105" s="25"/>
      <c r="AT105" s="26"/>
      <c r="AU105" s="27"/>
      <c r="AV105" s="25"/>
      <c r="AW105" s="26"/>
      <c r="AX105" s="27"/>
      <c r="AY105" s="25"/>
      <c r="AZ105" s="26"/>
      <c r="BA105" s="27"/>
      <c r="BB105" s="25"/>
      <c r="BC105" s="26"/>
      <c r="BD105" s="27"/>
    </row>
    <row r="106" spans="1:56">
      <c r="A106" s="28"/>
      <c r="B106" s="19" t="s">
        <v>545</v>
      </c>
      <c r="C106" s="20" t="str">
        <f>IFERROR(GETPIVOTDATA("[Measures].[mOldUGIS]",'Pivot Table Cats'!$A$3,"[Range 1].[State]","[Range 1].[State].&amp;[KY]","[Range 1].[Type]","[Range 1].[Type].&amp;[2]")," ")</f>
        <v xml:space="preserve"> </v>
      </c>
      <c r="D106" s="20" t="str">
        <f>IFERROR(GETPIVOTDATA("[Measures].[mNewUGIS]",'Pivot Table Cats'!$A$3,"[Range 1].[State]","[Range 1].[State].&amp;[KY]","[Range 1].[Type]","[Range 1].[Type].&amp;[2]")," ")</f>
        <v xml:space="preserve"> </v>
      </c>
      <c r="E106" s="21" t="str">
        <f t="shared" ref="E106:E120" si="24">IFERROR(IF(C106&gt;0,(((D106-C106)/C106)*100),0), " ")</f>
        <v xml:space="preserve"> </v>
      </c>
      <c r="F106" s="20" t="str">
        <f>IFERROR(GETPIVOTDATA("[Measures].[mOldUGOS]",'Pivot Table Cats'!$A$3,"[Range 1].[State]","[Range 1].[State].&amp;[KY]","[Range 1].[Type]","[Range 1].[Type].&amp;[2]")," ")</f>
        <v xml:space="preserve"> </v>
      </c>
      <c r="G106" s="20" t="str">
        <f>IFERROR(GETPIVOTDATA("[Measures].[mNewUGOS]",'Pivot Table Cats'!$A$3,"[Range 1].[State]","[Range 1].[State].&amp;[KY]","[Range 1].[Type]","[Range 1].[Type].&amp;[2]")," ")</f>
        <v xml:space="preserve"> </v>
      </c>
      <c r="H106" s="21" t="str">
        <f t="shared" ref="H106:H120" si="25">IFERROR(IF(F106&gt;0,(((G106-F106)/F106)*100),0), " ")</f>
        <v xml:space="preserve"> </v>
      </c>
      <c r="I106" s="20" t="str">
        <f>IFERROR(GETPIVOTDATA("[Measures].[mOldGIS]",'Pivot Table Cats'!$A$3,"[Range 1].[State]","[Range 1].[State].&amp;[KY]","[Range 1].[Type]","[Range 1].[Type].&amp;[2]")," ")</f>
        <v xml:space="preserve"> </v>
      </c>
      <c r="J106" s="20" t="str">
        <f>IFERROR(GETPIVOTDATA("[Measures].[mNewGIS]",'Pivot Table Cats'!$A$3,"[Range 1].[State]","[Range 1].[State].&amp;[KY]","[Range 1].[Type]","[Range 1].[Type].&amp;[2]")," ")</f>
        <v xml:space="preserve"> </v>
      </c>
      <c r="K106" s="21" t="str">
        <f t="shared" ref="K106:K120" si="26">IFERROR(IF(I106&gt;0,(((J106-I106)/I106)*100),0), " ")</f>
        <v xml:space="preserve"> </v>
      </c>
      <c r="L106" s="20" t="str">
        <f>IFERROR(GETPIVOTDATA("[Measures].[mOldGOS]",'Pivot Table Cats'!$A$3,"[Range 1].[State]","[Range 1].[State].&amp;[KY]","[Range 1].[Type]","[Range 1].[Type].&amp;[2]")," ")</f>
        <v xml:space="preserve"> </v>
      </c>
      <c r="M106" s="20" t="str">
        <f>IFERROR(GETPIVOTDATA("[Measures].[mNewGOS]",'Pivot Table Cats'!$A$3,"[Range 1].[State]","[Range 1].[State].&amp;[KY]","[Range 1].[Type]","[Range 1].[Type].&amp;[2]")," ")</f>
        <v xml:space="preserve"> </v>
      </c>
      <c r="N106" s="21" t="str">
        <f t="shared" ref="N106:N120" si="27">IFERROR(IF(L106&gt;0,(((M106-L106)/L106)*100),0), " ")</f>
        <v xml:space="preserve"> </v>
      </c>
      <c r="O106" s="25"/>
      <c r="P106" s="26"/>
      <c r="Q106" s="27"/>
      <c r="R106" s="25"/>
      <c r="S106" s="26"/>
      <c r="T106" s="27"/>
      <c r="U106" s="25"/>
      <c r="V106" s="26"/>
      <c r="W106" s="27"/>
      <c r="X106" s="25"/>
      <c r="Y106" s="26"/>
      <c r="Z106" s="27"/>
      <c r="AA106" s="25"/>
      <c r="AB106" s="26"/>
      <c r="AC106" s="27"/>
      <c r="AD106" s="25"/>
      <c r="AE106" s="26"/>
      <c r="AF106" s="27"/>
      <c r="AG106" s="25"/>
      <c r="AH106" s="26"/>
      <c r="AI106" s="27"/>
      <c r="AJ106" s="25"/>
      <c r="AK106" s="26"/>
      <c r="AL106" s="27"/>
      <c r="AM106" s="25"/>
      <c r="AN106" s="26"/>
      <c r="AO106" s="27"/>
      <c r="AP106" s="25"/>
      <c r="AQ106" s="26"/>
      <c r="AR106" s="27"/>
      <c r="AS106" s="25"/>
      <c r="AT106" s="26"/>
      <c r="AU106" s="27"/>
      <c r="AV106" s="25"/>
      <c r="AW106" s="26"/>
      <c r="AX106" s="27"/>
      <c r="AY106" s="25"/>
      <c r="AZ106" s="26"/>
      <c r="BA106" s="27"/>
      <c r="BB106" s="25"/>
      <c r="BC106" s="26"/>
      <c r="BD106" s="27"/>
    </row>
    <row r="107" spans="1:56">
      <c r="A107" s="28"/>
      <c r="B107" s="19" t="s">
        <v>546</v>
      </c>
      <c r="C107" s="20">
        <f>IFERROR(GETPIVOTDATA("[Measures].[mOldUGIS]",'Pivot Table Cats'!$A$3,"[Range 1].[State]","[Range 1].[State].&amp;[KY]","[Range 1].[Type]","[Range 1].[Type].&amp;[3]")," ")</f>
        <v>9866</v>
      </c>
      <c r="D107" s="20">
        <f>IFERROR(GETPIVOTDATA("[Measures].[mNewUGIS]",'Pivot Table Cats'!$A$3,"[Range 1].[State]","[Range 1].[State].&amp;[KY]","[Range 1].[Type]","[Range 1].[Type].&amp;[3]")," ")</f>
        <v>10052</v>
      </c>
      <c r="E107" s="21">
        <f t="shared" si="24"/>
        <v>1.8852625177376852</v>
      </c>
      <c r="F107" s="20">
        <f>IFERROR(GETPIVOTDATA("[Measures].[mOldUGOS]",'Pivot Table Cats'!$A$3,"[Range 1].[State]","[Range 1].[State].&amp;[KY]","[Range 1].[Type]","[Range 1].[Type].&amp;[3]")," ")</f>
        <v>19938</v>
      </c>
      <c r="G107" s="20">
        <f>IFERROR(GETPIVOTDATA("[Measures].[mNewUGOS]",'Pivot Table Cats'!$A$3,"[Range 1].[State]","[Range 1].[State].&amp;[KY]","[Range 1].[Type]","[Range 1].[Type].&amp;[3]")," ")</f>
        <v>20324</v>
      </c>
      <c r="H107" s="21">
        <f t="shared" si="25"/>
        <v>1.9360016049754241</v>
      </c>
      <c r="I107" s="20">
        <f>IFERROR(GETPIVOTDATA("[Measures].[mOldGIS]",'Pivot Table Cats'!$A$3,"[Range 1].[State]","[Range 1].[State].&amp;[KY]","[Range 1].[Type]","[Range 1].[Type].&amp;[3]")," ")</f>
        <v>14016</v>
      </c>
      <c r="J107" s="20">
        <f>IFERROR(GETPIVOTDATA("[Measures].[mNewGIS]",'Pivot Table Cats'!$A$3,"[Range 1].[State]","[Range 1].[State].&amp;[KY]","[Range 1].[Type]","[Range 1].[Type].&amp;[3]")," ")</f>
        <v>13740</v>
      </c>
      <c r="K107" s="21">
        <f t="shared" si="26"/>
        <v>-1.9691780821917808</v>
      </c>
      <c r="L107" s="20">
        <f>IFERROR(GETPIVOTDATA("[Measures].[mOldGOS]",'Pivot Table Cats'!$A$3,"[Range 1].[State]","[Range 1].[State].&amp;[KY]","[Range 1].[Type]","[Range 1].[Type].&amp;[3]")," ")</f>
        <v>19440</v>
      </c>
      <c r="M107" s="20">
        <f>IFERROR(GETPIVOTDATA("[Measures].[mNewGOS]",'Pivot Table Cats'!$A$3,"[Range 1].[State]","[Range 1].[State].&amp;[KY]","[Range 1].[Type]","[Range 1].[Type].&amp;[3]")," ")</f>
        <v>19632</v>
      </c>
      <c r="N107" s="21">
        <f t="shared" si="27"/>
        <v>0.98765432098765427</v>
      </c>
      <c r="O107" s="25"/>
      <c r="P107" s="26"/>
      <c r="Q107" s="27"/>
      <c r="R107" s="25"/>
      <c r="S107" s="26"/>
      <c r="T107" s="27"/>
      <c r="U107" s="25"/>
      <c r="V107" s="26"/>
      <c r="W107" s="27"/>
      <c r="X107" s="25"/>
      <c r="Y107" s="26"/>
      <c r="Z107" s="27"/>
      <c r="AA107" s="25"/>
      <c r="AB107" s="26"/>
      <c r="AC107" s="27"/>
      <c r="AD107" s="25"/>
      <c r="AE107" s="26"/>
      <c r="AF107" s="27"/>
      <c r="AG107" s="25"/>
      <c r="AH107" s="26"/>
      <c r="AI107" s="27"/>
      <c r="AJ107" s="25"/>
      <c r="AK107" s="26"/>
      <c r="AL107" s="27"/>
      <c r="AM107" s="25"/>
      <c r="AN107" s="26"/>
      <c r="AO107" s="27"/>
      <c r="AP107" s="25"/>
      <c r="AQ107" s="26"/>
      <c r="AR107" s="27"/>
      <c r="AS107" s="25"/>
      <c r="AT107" s="26"/>
      <c r="AU107" s="27"/>
      <c r="AV107" s="25"/>
      <c r="AW107" s="26"/>
      <c r="AX107" s="27"/>
      <c r="AY107" s="25"/>
      <c r="AZ107" s="26"/>
      <c r="BA107" s="27"/>
      <c r="BB107" s="25"/>
      <c r="BC107" s="26"/>
      <c r="BD107" s="27"/>
    </row>
    <row r="108" spans="1:56">
      <c r="A108" s="28"/>
      <c r="B108" s="19" t="s">
        <v>547</v>
      </c>
      <c r="C108" s="20">
        <f>IFERROR(GETPIVOTDATA("[Measures].[mOldUGIS]",'Pivot Table Cats'!$A$3,"[Range 1].[State]","[Range 1].[State].&amp;[KY]","[Range 1].[Type]","[Range 1].[Type].&amp;[4]")," ")</f>
        <v>8800</v>
      </c>
      <c r="D108" s="20">
        <f>IFERROR(GETPIVOTDATA("[Measures].[mNewUGIS]",'Pivot Table Cats'!$A$3,"[Range 1].[State]","[Range 1].[State].&amp;[KY]","[Range 1].[Type]","[Range 1].[Type].&amp;[4]")," ")</f>
        <v>8800</v>
      </c>
      <c r="E108" s="21">
        <f t="shared" si="24"/>
        <v>0</v>
      </c>
      <c r="F108" s="20">
        <f>IFERROR(GETPIVOTDATA("[Measures].[mOldUGOS]",'Pivot Table Cats'!$A$3,"[Range 1].[State]","[Range 1].[State].&amp;[KY]","[Range 1].[Type]","[Range 1].[Type].&amp;[4]")," ")</f>
        <v>12650</v>
      </c>
      <c r="G108" s="20">
        <f>IFERROR(GETPIVOTDATA("[Measures].[mNewUGOS]",'Pivot Table Cats'!$A$3,"[Range 1].[State]","[Range 1].[State].&amp;[KY]","[Range 1].[Type]","[Range 1].[Type].&amp;[4]")," ")</f>
        <v>12650</v>
      </c>
      <c r="H108" s="21">
        <f t="shared" si="25"/>
        <v>0</v>
      </c>
      <c r="I108" s="20">
        <f>IFERROR(GETPIVOTDATA("[Measures].[mOldGIS]",'Pivot Table Cats'!$A$3,"[Range 1].[State]","[Range 1].[State].&amp;[KY]","[Range 1].[Type]","[Range 1].[Type].&amp;[4]")," ")</f>
        <v>11180</v>
      </c>
      <c r="J108" s="20">
        <f>IFERROR(GETPIVOTDATA("[Measures].[mNewGIS]",'Pivot Table Cats'!$A$3,"[Range 1].[State]","[Range 1].[State].&amp;[KY]","[Range 1].[Type]","[Range 1].[Type].&amp;[4]")," ")</f>
        <v>11180</v>
      </c>
      <c r="K108" s="21">
        <f t="shared" si="26"/>
        <v>0</v>
      </c>
      <c r="L108" s="20">
        <f>IFERROR(GETPIVOTDATA("[Measures].[mOldGOS]",'Pivot Table Cats'!$A$3,"[Range 1].[State]","[Range 1].[State].&amp;[KY]","[Range 1].[Type]","[Range 1].[Type].&amp;[4]")," ")</f>
        <v>16220</v>
      </c>
      <c r="M108" s="20">
        <f>IFERROR(GETPIVOTDATA("[Measures].[mNewGOS]",'Pivot Table Cats'!$A$3,"[Range 1].[State]","[Range 1].[State].&amp;[KY]","[Range 1].[Type]","[Range 1].[Type].&amp;[4]")," ")</f>
        <v>16220</v>
      </c>
      <c r="N108" s="21">
        <f t="shared" si="27"/>
        <v>0</v>
      </c>
      <c r="O108" s="25"/>
      <c r="P108" s="26"/>
      <c r="Q108" s="27"/>
      <c r="R108" s="25"/>
      <c r="S108" s="26"/>
      <c r="T108" s="27"/>
      <c r="U108" s="25"/>
      <c r="V108" s="26"/>
      <c r="W108" s="27"/>
      <c r="X108" s="25"/>
      <c r="Y108" s="26"/>
      <c r="Z108" s="27"/>
      <c r="AA108" s="25"/>
      <c r="AB108" s="26"/>
      <c r="AC108" s="27"/>
      <c r="AD108" s="25"/>
      <c r="AE108" s="26"/>
      <c r="AF108" s="27"/>
      <c r="AG108" s="25"/>
      <c r="AH108" s="26"/>
      <c r="AI108" s="27"/>
      <c r="AJ108" s="25"/>
      <c r="AK108" s="26"/>
      <c r="AL108" s="27"/>
      <c r="AM108" s="25"/>
      <c r="AN108" s="26"/>
      <c r="AO108" s="27"/>
      <c r="AP108" s="25"/>
      <c r="AQ108" s="26"/>
      <c r="AR108" s="27"/>
      <c r="AS108" s="25"/>
      <c r="AT108" s="26"/>
      <c r="AU108" s="27"/>
      <c r="AV108" s="25"/>
      <c r="AW108" s="26"/>
      <c r="AX108" s="27"/>
      <c r="AY108" s="25"/>
      <c r="AZ108" s="26"/>
      <c r="BA108" s="27"/>
      <c r="BB108" s="25"/>
      <c r="BC108" s="26"/>
      <c r="BD108" s="27"/>
    </row>
    <row r="109" spans="1:56">
      <c r="A109" s="28"/>
      <c r="B109" s="19" t="s">
        <v>548</v>
      </c>
      <c r="C109" s="20" t="str">
        <f>IFERROR(GETPIVOTDATA("[Measures].[mOldUGIS]",'Pivot Table Cats'!$A$3,"[Range 1].[State]","[Range 1].[State].&amp;[KY]","[Range 1].[Type]","[Range 1].[Type].&amp;[5]")," ")</f>
        <v xml:space="preserve"> </v>
      </c>
      <c r="D109" s="20" t="str">
        <f>IFERROR(GETPIVOTDATA("[Measures].[mNewUGIS]",'Pivot Table Cats'!$A$3,"[Range 1].[State]","[Range 1].[State].&amp;[KY]","[Range 1].[Type]","[Range 1].[Type].&amp;[5]")," ")</f>
        <v xml:space="preserve"> </v>
      </c>
      <c r="E109" s="21" t="str">
        <f t="shared" si="24"/>
        <v xml:space="preserve"> </v>
      </c>
      <c r="F109" s="20" t="str">
        <f>IFERROR(GETPIVOTDATA("[Measures].[mOldUGOS]",'Pivot Table Cats'!$A$3,"[Range 1].[State]","[Range 1].[State].&amp;[KY]","[Range 1].[Type]","[Range 1].[Type].&amp;[5]")," ")</f>
        <v xml:space="preserve"> </v>
      </c>
      <c r="G109" s="20" t="str">
        <f>IFERROR(GETPIVOTDATA("[Measures].[mNewUGOS]",'Pivot Table Cats'!$A$3,"[Range 1].[State]","[Range 1].[State].&amp;[KY]","[Range 1].[Type]","[Range 1].[Type].&amp;[5]")," ")</f>
        <v xml:space="preserve"> </v>
      </c>
      <c r="H109" s="21" t="str">
        <f t="shared" si="25"/>
        <v xml:space="preserve"> </v>
      </c>
      <c r="I109" s="20" t="str">
        <f>IFERROR(GETPIVOTDATA("[Measures].[mOldGIS]",'Pivot Table Cats'!$A$3,"[Range 1].[State]","[Range 1].[State].&amp;[KY]","[Range 1].[Type]","[Range 1].[Type].&amp;[5]")," ")</f>
        <v xml:space="preserve"> </v>
      </c>
      <c r="J109" s="20" t="str">
        <f>IFERROR(GETPIVOTDATA("[Measures].[mNewGIS]",'Pivot Table Cats'!$A$3,"[Range 1].[State]","[Range 1].[State].&amp;[KY]","[Range 1].[Type]","[Range 1].[Type].&amp;[5]")," ")</f>
        <v xml:space="preserve"> </v>
      </c>
      <c r="K109" s="21" t="str">
        <f t="shared" si="26"/>
        <v xml:space="preserve"> </v>
      </c>
      <c r="L109" s="20" t="str">
        <f>IFERROR(GETPIVOTDATA("[Measures].[mOldGOS]",'Pivot Table Cats'!$A$3,"[Range 1].[State]","[Range 1].[State].&amp;[KY]","[Range 1].[Type]","[Range 1].[Type].&amp;[5]")," ")</f>
        <v xml:space="preserve"> </v>
      </c>
      <c r="M109" s="20" t="str">
        <f>IFERROR(GETPIVOTDATA("[Measures].[mNewGOS]",'Pivot Table Cats'!$A$3,"[Range 1].[State]","[Range 1].[State].&amp;[KY]","[Range 1].[Type]","[Range 1].[Type].&amp;[5]")," ")</f>
        <v xml:space="preserve"> </v>
      </c>
      <c r="N109" s="21" t="str">
        <f t="shared" si="27"/>
        <v xml:space="preserve"> </v>
      </c>
      <c r="O109" s="25"/>
      <c r="P109" s="26"/>
      <c r="Q109" s="27"/>
      <c r="R109" s="25"/>
      <c r="S109" s="26"/>
      <c r="T109" s="27"/>
      <c r="U109" s="25"/>
      <c r="V109" s="26"/>
      <c r="W109" s="27"/>
      <c r="X109" s="25"/>
      <c r="Y109" s="26"/>
      <c r="Z109" s="27"/>
      <c r="AA109" s="25"/>
      <c r="AB109" s="26"/>
      <c r="AC109" s="27"/>
      <c r="AD109" s="25"/>
      <c r="AE109" s="26"/>
      <c r="AF109" s="27"/>
      <c r="AG109" s="25"/>
      <c r="AH109" s="26"/>
      <c r="AI109" s="27"/>
      <c r="AJ109" s="25"/>
      <c r="AK109" s="26"/>
      <c r="AL109" s="27"/>
      <c r="AM109" s="25"/>
      <c r="AN109" s="26"/>
      <c r="AO109" s="27"/>
      <c r="AP109" s="25"/>
      <c r="AQ109" s="26"/>
      <c r="AR109" s="27"/>
      <c r="AS109" s="25"/>
      <c r="AT109" s="26"/>
      <c r="AU109" s="27"/>
      <c r="AV109" s="25"/>
      <c r="AW109" s="26"/>
      <c r="AX109" s="27"/>
      <c r="AY109" s="25"/>
      <c r="AZ109" s="26"/>
      <c r="BA109" s="27"/>
      <c r="BB109" s="25"/>
      <c r="BC109" s="26"/>
      <c r="BD109" s="27"/>
    </row>
    <row r="110" spans="1:56" s="53" customFormat="1">
      <c r="A110" s="51"/>
      <c r="B110" s="52" t="s">
        <v>549</v>
      </c>
      <c r="C110" s="20" t="str">
        <f>IFERROR(GETPIVOTDATA("[Measures].[mOldUGIS]",'Pivot Table Cats'!$A$3,"[Range 1].[State]","[Range 1].[State].&amp;[KY]","[Range 1].[Type]","[Range 1].[Type].&amp;[6]")," ")</f>
        <v xml:space="preserve"> </v>
      </c>
      <c r="D110" s="20" t="str">
        <f>IFERROR(GETPIVOTDATA("[Measures].[mNewUGIS]",'Pivot Table Cats'!$A$3,"[Range 1].[State]","[Range 1].[State].&amp;[KY]","[Range 1].[Type]","[Range 1].[Type].&amp;[6]")," ")</f>
        <v xml:space="preserve"> </v>
      </c>
      <c r="E110" s="21" t="str">
        <f t="shared" si="24"/>
        <v xml:space="preserve"> </v>
      </c>
      <c r="F110" s="20" t="str">
        <f>IFERROR(GETPIVOTDATA("[Measures].[mOldUGOS]",'Pivot Table Cats'!$A$3,"[Range 1].[State]","[Range 1].[State].&amp;[KY]","[Range 1].[Type]","[Range 1].[Type].&amp;[6]")," ")</f>
        <v xml:space="preserve"> </v>
      </c>
      <c r="G110" s="20" t="str">
        <f>IFERROR(GETPIVOTDATA("[Measures].[mNewUGOS]",'Pivot Table Cats'!$A$3,"[Range 1].[State]","[Range 1].[State].&amp;[KY]","[Range 1].[Type]","[Range 1].[Type].&amp;[6]")," ")</f>
        <v xml:space="preserve"> </v>
      </c>
      <c r="H110" s="21" t="str">
        <f t="shared" si="25"/>
        <v xml:space="preserve"> </v>
      </c>
      <c r="I110" s="20" t="str">
        <f>IFERROR(GETPIVOTDATA("[Measures].[mOldGIS]",'Pivot Table Cats'!$A$3,"[Range 1].[State]","[Range 1].[State].&amp;[KY]","[Range 1].[Type]","[Range 1].[Type].&amp;[6]")," ")</f>
        <v xml:space="preserve"> </v>
      </c>
      <c r="J110" s="20" t="str">
        <f>IFERROR(GETPIVOTDATA("[Measures].[mNewGIS]",'Pivot Table Cats'!$A$3,"[Range 1].[State]","[Range 1].[State].&amp;[KY]","[Range 1].[Type]","[Range 1].[Type].&amp;[6]")," ")</f>
        <v xml:space="preserve"> </v>
      </c>
      <c r="K110" s="21" t="str">
        <f t="shared" si="26"/>
        <v xml:space="preserve"> </v>
      </c>
      <c r="L110" s="20" t="str">
        <f>IFERROR(GETPIVOTDATA("[Measures].[mOldGOS]",'Pivot Table Cats'!$A$3,"[Range 1].[State]","[Range 1].[State].&amp;[KY]","[Range 1].[Type]","[Range 1].[Type].&amp;[6]")," ")</f>
        <v xml:space="preserve"> </v>
      </c>
      <c r="M110" s="20" t="str">
        <f>IFERROR(GETPIVOTDATA("[Measures].[mNewGOS]",'Pivot Table Cats'!$A$3,"[Range 1].[State]","[Range 1].[State].&amp;[KY]","[Range 1].[Type]","[Range 1].[Type].&amp;[6]")," ")</f>
        <v xml:space="preserve"> </v>
      </c>
      <c r="N110" s="21" t="str">
        <f t="shared" si="27"/>
        <v xml:space="preserve"> </v>
      </c>
      <c r="O110" s="25"/>
      <c r="P110" s="26"/>
      <c r="Q110" s="27"/>
      <c r="R110" s="25"/>
      <c r="S110" s="26"/>
      <c r="T110" s="27"/>
      <c r="U110" s="25"/>
      <c r="V110" s="26"/>
      <c r="W110" s="27"/>
      <c r="X110" s="25"/>
      <c r="Y110" s="26"/>
      <c r="Z110" s="27"/>
      <c r="AA110" s="25"/>
      <c r="AB110" s="26"/>
      <c r="AC110" s="27"/>
      <c r="AD110" s="25"/>
      <c r="AE110" s="26"/>
      <c r="AF110" s="27"/>
      <c r="AG110" s="25"/>
      <c r="AH110" s="26"/>
      <c r="AI110" s="27"/>
      <c r="AJ110" s="25"/>
      <c r="AK110" s="26"/>
      <c r="AL110" s="27"/>
      <c r="AM110" s="25"/>
      <c r="AN110" s="26"/>
      <c r="AO110" s="27"/>
      <c r="AP110" s="25"/>
      <c r="AQ110" s="26"/>
      <c r="AR110" s="27"/>
      <c r="AS110" s="25"/>
      <c r="AT110" s="26"/>
      <c r="AU110" s="27"/>
      <c r="AV110" s="25"/>
      <c r="AW110" s="26"/>
      <c r="AX110" s="27"/>
      <c r="AY110" s="25"/>
      <c r="AZ110" s="26"/>
      <c r="BA110" s="27"/>
      <c r="BB110" s="25"/>
      <c r="BC110" s="26"/>
      <c r="BD110" s="27"/>
    </row>
    <row r="111" spans="1:56" s="56" customFormat="1" ht="19.5" customHeight="1">
      <c r="A111" s="54"/>
      <c r="B111" s="55" t="s">
        <v>550</v>
      </c>
      <c r="C111" s="31">
        <f>IFERROR(GETPIVOTDATA("[Measures].[mOldUGIS]",'Pivot Table Totals'!$A$4,"[Range 1].[State]","[Range 1].[State].&amp;[KY]"), " ")</f>
        <v>10081</v>
      </c>
      <c r="D111" s="31">
        <f>IFERROR(GETPIVOTDATA("[Measures].[mNewUGIS]",'Pivot Table Totals'!$A$4,"[Range 1].[State]","[Range 1].[State].&amp;[KY]"), " ")</f>
        <v>10224</v>
      </c>
      <c r="E111" s="21">
        <f t="shared" si="24"/>
        <v>1.4185100684455907</v>
      </c>
      <c r="F111" s="31">
        <f>IFERROR(GETPIVOTDATA("[Measures].[mOldUGOS]",'Pivot Table Totals'!$A$4,"[Range 1].[State]","[Range 1].[State].&amp;[KY]"), " ")</f>
        <v>20097</v>
      </c>
      <c r="G111" s="31">
        <f>IFERROR(GETPIVOTDATA("[Measures].[mNewUGOS]",'Pivot Table Totals'!$A$4,"[Range 1].[State]","[Range 1].[State].&amp;[KY]"), " ")</f>
        <v>20389</v>
      </c>
      <c r="H111" s="21">
        <f t="shared" si="25"/>
        <v>1.4529531770911082</v>
      </c>
      <c r="I111" s="31">
        <f>IFERROR(GETPIVOTDATA("[Measures].[mOldGIS]",'Pivot Table Totals'!$A$4,"[Range 1].[State]","[Range 1].[State].&amp;[KY]"), " ")</f>
        <v>13639</v>
      </c>
      <c r="J111" s="31">
        <f>IFERROR(GETPIVOTDATA("[Measures].[mNewGIS]",'Pivot Table Totals'!$A$4,"[Range 1].[State]","[Range 1].[State].&amp;[KY]"), " ")</f>
        <v>13697</v>
      </c>
      <c r="K111" s="21">
        <f t="shared" si="26"/>
        <v>0.42525111811716398</v>
      </c>
      <c r="L111" s="31">
        <f>IFERROR(GETPIVOTDATA("[Measures].[mOldGOS]",'Pivot Table Totals'!$A$4,"[Range 1].[State]","[Range 1].[State].&amp;[KY]"), " ")</f>
        <v>20844</v>
      </c>
      <c r="M111" s="31">
        <f>IFERROR(GETPIVOTDATA("[Measures].[mNewGOS]",'Pivot Table Totals'!$A$4,"[Range 1].[State]","[Range 1].[State].&amp;[KY]"), " ")</f>
        <v>20148</v>
      </c>
      <c r="N111" s="21">
        <f>IFERROR(IF(L111&gt;0,(((M111-L111)/L111)*100),0), "  ")</f>
        <v>-3.3390903857225105</v>
      </c>
      <c r="O111" s="36"/>
      <c r="P111" s="37"/>
      <c r="Q111" s="38"/>
      <c r="R111" s="36"/>
      <c r="S111" s="37"/>
      <c r="T111" s="38"/>
      <c r="U111" s="36"/>
      <c r="V111" s="37"/>
      <c r="W111" s="38"/>
      <c r="X111" s="36"/>
      <c r="Y111" s="37"/>
      <c r="Z111" s="38"/>
      <c r="AA111" s="36"/>
      <c r="AB111" s="37"/>
      <c r="AC111" s="38"/>
      <c r="AD111" s="36"/>
      <c r="AE111" s="37"/>
      <c r="AF111" s="38"/>
      <c r="AG111" s="36"/>
      <c r="AH111" s="37"/>
      <c r="AI111" s="38"/>
      <c r="AJ111" s="36"/>
      <c r="AK111" s="37"/>
      <c r="AL111" s="38"/>
      <c r="AM111" s="36"/>
      <c r="AN111" s="37"/>
      <c r="AO111" s="38"/>
      <c r="AP111" s="36"/>
      <c r="AQ111" s="37"/>
      <c r="AR111" s="38"/>
      <c r="AS111" s="36"/>
      <c r="AT111" s="37"/>
      <c r="AU111" s="38"/>
      <c r="AV111" s="36"/>
      <c r="AW111" s="37"/>
      <c r="AX111" s="38"/>
      <c r="AY111" s="36"/>
      <c r="AZ111" s="37"/>
      <c r="BA111" s="38"/>
      <c r="BB111" s="36"/>
      <c r="BC111" s="37"/>
      <c r="BD111" s="38"/>
    </row>
    <row r="112" spans="1:56">
      <c r="A112" s="28"/>
      <c r="B112" s="19" t="s">
        <v>551</v>
      </c>
      <c r="C112" s="20" t="str">
        <f>IFERROR(GETPIVOTDATA("[Measures].[mOldUGIS]",'Pivot Table Cats'!$A$3,"[Range 1].[State]","[Range 1].[State].&amp;[KY]","[Range 1].[Type]","[Range 1].[Type].&amp;[7]")," ")</f>
        <v xml:space="preserve"> </v>
      </c>
      <c r="D112" s="20" t="str">
        <f>IFERROR(GETPIVOTDATA("[Measures].[mNewUGIS]",'Pivot Table Cats'!$A$3,"[Range 1].[State]","[Range 1].[State].&amp;[KY]","[Range 1].[Type]","[Range 1].[Type].&amp;[7]")," ")</f>
        <v xml:space="preserve"> </v>
      </c>
      <c r="E112" s="21" t="str">
        <f t="shared" si="24"/>
        <v xml:space="preserve"> </v>
      </c>
      <c r="F112" s="20" t="str">
        <f>IFERROR(GETPIVOTDATA("[Measures].[mOldUGIS]",'Pivot Table Cats'!$A$3,"[Range 1].[State]","[Range 1].[State].&amp;[KY]","[Range 1].[Type]","[Range 1].[Type].&amp;[7]")," ")</f>
        <v xml:space="preserve"> </v>
      </c>
      <c r="G112" s="20" t="str">
        <f>IFERROR(GETPIVOTDATA("[Measures].[mNewUGIS]",'Pivot Table Cats'!$A$3,"[Range 1].[State]","[Range 1].[State].&amp;[KY]","[Range 1].[Type]","[Range 1].[Type].&amp;[7]")," ")</f>
        <v xml:space="preserve"> </v>
      </c>
      <c r="H112" s="21" t="str">
        <f t="shared" si="25"/>
        <v xml:space="preserve"> </v>
      </c>
      <c r="I112" s="20" t="str">
        <f>IFERROR(GETPIVOTDATA("[Measures].[mOldGIS]",'Pivot Table Cats'!$A$3,"[Range 1].[State]","[Range 1].[State].&amp;[KY]","[Range 1].[Type]","[Range 1].[Type].&amp;[7]")," ")</f>
        <v xml:space="preserve"> </v>
      </c>
      <c r="J112" s="20" t="str">
        <f>IFERROR(GETPIVOTDATA("[Measures].[mNewGIS]",'Pivot Table Cats'!$A$3,"[Range 1].[State]","[Range 1].[State].&amp;[KY]","[Range 1].[Type]","[Range 1].[Type].&amp;[7]")," ")</f>
        <v xml:space="preserve"> </v>
      </c>
      <c r="K112" s="21" t="str">
        <f t="shared" si="26"/>
        <v xml:space="preserve"> </v>
      </c>
      <c r="L112" s="20" t="str">
        <f>IFERROR(GETPIVOTDATA("[Measures].[mOldGIS]",'Pivot Table Cats'!$A$3,"[Range 1].[State]","[Range 1].[State].&amp;[KY]","[Range 1].[Type]","[Range 1].[Type].&amp;[7]")," ")</f>
        <v xml:space="preserve"> </v>
      </c>
      <c r="M112" s="20" t="str">
        <f>IFERROR(GETPIVOTDATA("[Measures].[mNewGIS]",'Pivot Table Cats'!$A$3,"[Range 1].[State]","[Range 1].[State].&amp;[KY]","[Range 1].[Type]","[Range 1].[Type].&amp;[7]")," ")</f>
        <v xml:space="preserve"> </v>
      </c>
      <c r="N112" s="21" t="str">
        <f t="shared" si="27"/>
        <v xml:space="preserve"> </v>
      </c>
      <c r="O112" s="25"/>
      <c r="P112" s="26"/>
      <c r="Q112" s="27"/>
      <c r="R112" s="25"/>
      <c r="S112" s="26"/>
      <c r="T112" s="27"/>
      <c r="U112" s="25"/>
      <c r="V112" s="26"/>
      <c r="W112" s="27"/>
      <c r="X112" s="25"/>
      <c r="Y112" s="26"/>
      <c r="Z112" s="27"/>
      <c r="AA112" s="25"/>
      <c r="AB112" s="26"/>
      <c r="AC112" s="27"/>
      <c r="AD112" s="25"/>
      <c r="AE112" s="26"/>
      <c r="AF112" s="27"/>
      <c r="AG112" s="25"/>
      <c r="AH112" s="26"/>
      <c r="AI112" s="27"/>
      <c r="AJ112" s="25"/>
      <c r="AK112" s="26"/>
      <c r="AL112" s="27"/>
      <c r="AM112" s="25"/>
      <c r="AN112" s="26"/>
      <c r="AO112" s="27"/>
      <c r="AP112" s="25"/>
      <c r="AQ112" s="26"/>
      <c r="AR112" s="27"/>
      <c r="AS112" s="25"/>
      <c r="AT112" s="26"/>
      <c r="AU112" s="27"/>
      <c r="AV112" s="25"/>
      <c r="AW112" s="26"/>
      <c r="AX112" s="27"/>
      <c r="AY112" s="25"/>
      <c r="AZ112" s="26"/>
      <c r="BA112" s="27"/>
      <c r="BB112" s="25"/>
      <c r="BC112" s="26"/>
      <c r="BD112" s="27"/>
    </row>
    <row r="113" spans="1:56">
      <c r="A113" s="28"/>
      <c r="B113" s="19" t="s">
        <v>552</v>
      </c>
      <c r="C113" s="20">
        <f>IFERROR(GETPIVOTDATA("[Measures].[mOldUGIS]",'Pivot Table Cats'!$A$3,"[Range 1].[State]","[Range 1].[State].&amp;[KY]","[Range 1].[Type]","[Range 1].[Type].&amp;[8]")," ")</f>
        <v>5610</v>
      </c>
      <c r="D113" s="20">
        <f>IFERROR(GETPIVOTDATA("[Measures].[mNewUGIS]",'Pivot Table Cats'!$A$3,"[Range 1].[State]","[Range 1].[State].&amp;[KY]","[Range 1].[Type]","[Range 1].[Type].&amp;[8]")," ")</f>
        <v>5610</v>
      </c>
      <c r="E113" s="21">
        <f t="shared" si="24"/>
        <v>0</v>
      </c>
      <c r="F113" s="20">
        <f>IFERROR(GETPIVOTDATA("[Measures].[mOldUGOS]",'Pivot Table Cats'!$A$3,"[Range 1].[State]","[Range 1].[State].&amp;[KY]","[Range 1].[Type]","[Range 1].[Type].&amp;[8]")," ")</f>
        <v>19050</v>
      </c>
      <c r="G113" s="20">
        <f>IFERROR(GETPIVOTDATA("[Measures].[mNewUGOS]",'Pivot Table Cats'!$A$3,"[Range 1].[State]","[Range 1].[State].&amp;[KY]","[Range 1].[Type]","[Range 1].[Type].&amp;[8]")," ")</f>
        <v>19050</v>
      </c>
      <c r="H113" s="21">
        <f t="shared" si="25"/>
        <v>0</v>
      </c>
      <c r="I113" s="337">
        <f>IFERROR(GETPIVOTDATA("[Measures].[mOldGIS]",'Pivot Table Cats'!$A$3,"[Range 1].[State]","[Range 1].[State].&amp;[KY]","[Range 1].[Type]","[Range 1].[Type].&amp;[8]")," ")</f>
        <v>0</v>
      </c>
      <c r="J113" s="20">
        <f>IFERROR(GETPIVOTDATA("[Measures].[mNewGIS]",'Pivot Table Cats'!$A$3,"[Range 1].[State]","[Range 1].[State].&amp;[KY]","[Range 1].[Type]","[Range 1].[Type].&amp;[8]")," ")</f>
        <v>0</v>
      </c>
      <c r="K113" s="21">
        <f t="shared" si="26"/>
        <v>0</v>
      </c>
      <c r="L113" s="20">
        <f>IFERROR(GETPIVOTDATA("[Measures].[mOldGOS]",'Pivot Table Cats'!$A$3,"[Range 1].[State]","[Range 1].[State].&amp;[KY]","[Range 1].[Type]","[Range 1].[Type].&amp;[8]")," ")</f>
        <v>0</v>
      </c>
      <c r="M113" s="20">
        <f>IFERROR(GETPIVOTDATA("[Measures].[mNewGOS]",'Pivot Table Cats'!$A$3,"[Range 1].[State]","[Range 1].[State].&amp;[KY]","[Range 1].[Type]","[Range 1].[Type].&amp;[8]")," ")</f>
        <v>0</v>
      </c>
      <c r="N113" s="21">
        <f t="shared" si="27"/>
        <v>0</v>
      </c>
      <c r="O113" s="25"/>
      <c r="P113" s="26"/>
      <c r="Q113" s="27"/>
      <c r="R113" s="25"/>
      <c r="S113" s="26"/>
      <c r="T113" s="27"/>
      <c r="U113" s="25"/>
      <c r="V113" s="26"/>
      <c r="W113" s="27"/>
      <c r="X113" s="25"/>
      <c r="Y113" s="26"/>
      <c r="Z113" s="27"/>
      <c r="AA113" s="25"/>
      <c r="AB113" s="26"/>
      <c r="AC113" s="27"/>
      <c r="AD113" s="25"/>
      <c r="AE113" s="26"/>
      <c r="AF113" s="27"/>
      <c r="AG113" s="25"/>
      <c r="AH113" s="26"/>
      <c r="AI113" s="27"/>
      <c r="AJ113" s="25"/>
      <c r="AK113" s="26"/>
      <c r="AL113" s="27"/>
      <c r="AM113" s="25"/>
      <c r="AN113" s="26"/>
      <c r="AO113" s="27"/>
      <c r="AP113" s="25"/>
      <c r="AQ113" s="26"/>
      <c r="AR113" s="27"/>
      <c r="AS113" s="25"/>
      <c r="AT113" s="26"/>
      <c r="AU113" s="27"/>
      <c r="AV113" s="25"/>
      <c r="AW113" s="26"/>
      <c r="AX113" s="27"/>
      <c r="AY113" s="25"/>
      <c r="AZ113" s="26"/>
      <c r="BA113" s="27"/>
      <c r="BB113" s="25"/>
      <c r="BC113" s="26"/>
      <c r="BD113" s="27"/>
    </row>
    <row r="114" spans="1:56">
      <c r="A114" s="28"/>
      <c r="B114" s="19" t="s">
        <v>553</v>
      </c>
      <c r="C114" s="20">
        <f>IFERROR(GETPIVOTDATA("[Measures].[mOldUGIS]",'Pivot Table Cats'!$A$3,"[Range 1].[State]","[Range 1].[State].&amp;[KY]","[Range 1].[Type]","[Range 1].[Type].&amp;[9]")," ")</f>
        <v>5610</v>
      </c>
      <c r="D114" s="20">
        <f>IFERROR(GETPIVOTDATA("[Measures].[mNewUGIS]",'Pivot Table Cats'!$A$3,"[Range 1].[State]","[Range 1].[State].&amp;[KY]","[Range 1].[Type]","[Range 1].[Type].&amp;[9]")," ")</f>
        <v>5610</v>
      </c>
      <c r="E114" s="21">
        <f t="shared" si="24"/>
        <v>0</v>
      </c>
      <c r="F114" s="20">
        <f>IFERROR(GETPIVOTDATA("[Measures].[mOldUGOS]",'Pivot Table Cats'!$A$3,"[Range 1].[State]","[Range 1].[State].&amp;[KY]","[Range 1].[Type]","[Range 1].[Type].&amp;[9]")," ")</f>
        <v>19050</v>
      </c>
      <c r="G114" s="20">
        <f>IFERROR(GETPIVOTDATA("[Measures].[mNewUGOS]",'Pivot Table Cats'!$A$3,"[Range 1].[State]","[Range 1].[State].&amp;[KY]","[Range 1].[Type]","[Range 1].[Type].&amp;[9]")," ")</f>
        <v>19050</v>
      </c>
      <c r="H114" s="21">
        <f t="shared" si="25"/>
        <v>0</v>
      </c>
      <c r="I114" s="20">
        <f>IFERROR(GETPIVOTDATA("[Measures].[mOldGIS]",'Pivot Table Cats'!$A$3,"[Range 1].[State]","[Range 1].[State].&amp;[KY]","[Range 1].[Type]","[Range 1].[Type].&amp;[9]")," ")</f>
        <v>0</v>
      </c>
      <c r="J114" s="20">
        <f>IFERROR(GETPIVOTDATA("[Measures].[mNewGIS]",'Pivot Table Cats'!$A$3,"[Range 1].[State]","[Range 1].[State].&amp;[KY]","[Range 1].[Type]","[Range 1].[Type].&amp;[9]")," ")</f>
        <v>0</v>
      </c>
      <c r="K114" s="21">
        <f t="shared" si="26"/>
        <v>0</v>
      </c>
      <c r="L114" s="20">
        <f>IFERROR(GETPIVOTDATA("[Measures].[mOldGOS]",'Pivot Table Cats'!$A$3,"[Range 1].[State]","[Range 1].[State].&amp;[KY]","[Range 1].[Type]","[Range 1].[Type].&amp;[9]")," ")</f>
        <v>0</v>
      </c>
      <c r="M114" s="20">
        <f>IFERROR(GETPIVOTDATA("[Measures].[mNewGOS]",'Pivot Table Cats'!$A$3,"[Range 1].[State]","[Range 1].[State].&amp;[KY]","[Range 1].[Type]","[Range 1].[Type].&amp;[9]")," ")</f>
        <v>0</v>
      </c>
      <c r="N114" s="21">
        <f t="shared" si="27"/>
        <v>0</v>
      </c>
      <c r="O114" s="25"/>
      <c r="P114" s="26"/>
      <c r="Q114" s="27"/>
      <c r="R114" s="25"/>
      <c r="S114" s="26"/>
      <c r="T114" s="27"/>
      <c r="U114" s="25"/>
      <c r="V114" s="26"/>
      <c r="W114" s="27"/>
      <c r="X114" s="25"/>
      <c r="Y114" s="26"/>
      <c r="Z114" s="27"/>
      <c r="AA114" s="25"/>
      <c r="AB114" s="26"/>
      <c r="AC114" s="27"/>
      <c r="AD114" s="25"/>
      <c r="AE114" s="26"/>
      <c r="AF114" s="27"/>
      <c r="AG114" s="25"/>
      <c r="AH114" s="26"/>
      <c r="AI114" s="27"/>
      <c r="AJ114" s="25"/>
      <c r="AK114" s="26"/>
      <c r="AL114" s="27"/>
      <c r="AM114" s="25"/>
      <c r="AN114" s="26"/>
      <c r="AO114" s="27"/>
      <c r="AP114" s="25"/>
      <c r="AQ114" s="26"/>
      <c r="AR114" s="27"/>
      <c r="AS114" s="25"/>
      <c r="AT114" s="26"/>
      <c r="AU114" s="27"/>
      <c r="AV114" s="25"/>
      <c r="AW114" s="26"/>
      <c r="AX114" s="27"/>
      <c r="AY114" s="25"/>
      <c r="AZ114" s="26"/>
      <c r="BA114" s="27"/>
      <c r="BB114" s="25"/>
      <c r="BC114" s="26"/>
      <c r="BD114" s="27"/>
    </row>
    <row r="115" spans="1:56">
      <c r="A115" s="28"/>
      <c r="B115" s="19" t="s">
        <v>554</v>
      </c>
      <c r="C115" s="20">
        <f>IFERROR(GETPIVOTDATA("[Measures].[mOldUGIS]",'Pivot Table Cats'!$A$3,"[Range 1].[State]","[Range 1].[State].&amp;[KY]","[Range 1].[Type]","[Range 1].[Type].&amp;[10]")," ")</f>
        <v>5610</v>
      </c>
      <c r="D115" s="20">
        <f>IFERROR(GETPIVOTDATA("[Measures].[mNewUGIS]",'Pivot Table Cats'!$A$3,"[Range 1].[State]","[Range 1].[State].&amp;[KY]","[Range 1].[Type]","[Range 1].[Type].&amp;[10]")," ")</f>
        <v>5610</v>
      </c>
      <c r="E115" s="21">
        <f t="shared" si="24"/>
        <v>0</v>
      </c>
      <c r="F115" s="20">
        <f>IFERROR(GETPIVOTDATA("[Measures].[mOldUGOS]",'Pivot Table Cats'!$A$3,"[Range 1].[State]","[Range 1].[State].&amp;[KY]","[Range 1].[Type]","[Range 1].[Type].&amp;[10]")," ")</f>
        <v>19050</v>
      </c>
      <c r="G115" s="20">
        <f>IFERROR(GETPIVOTDATA("[Measures].[mNewUGOS]",'Pivot Table Cats'!$A$3,"[Range 1].[State]","[Range 1].[State].&amp;[KY]","[Range 1].[Type]","[Range 1].[Type].&amp;[10]")," ")</f>
        <v>19050</v>
      </c>
      <c r="H115" s="21">
        <f t="shared" si="25"/>
        <v>0</v>
      </c>
      <c r="I115" s="20">
        <f>IFERROR(GETPIVOTDATA("[Measures].[mOldGIS]",'Pivot Table Cats'!$A$3,"[Range 1].[State]","[Range 1].[State].&amp;[KY]","[Range 1].[Type]","[Range 1].[Type].&amp;[10]")," ")</f>
        <v>0</v>
      </c>
      <c r="J115" s="20">
        <f>IFERROR(GETPIVOTDATA("[Measures].[mNewGIS]",'Pivot Table Cats'!$A$3,"[Range 1].[State]","[Range 1].[State].&amp;[KY]","[Range 1].[Type]","[Range 1].[Type].&amp;[10]")," ")</f>
        <v>0</v>
      </c>
      <c r="K115" s="21">
        <f t="shared" si="26"/>
        <v>0</v>
      </c>
      <c r="L115" s="20">
        <f>IFERROR(GETPIVOTDATA("[Measures].[mOldGOS]",'Pivot Table Cats'!$A$3,"[Range 1].[State]","[Range 1].[State].&amp;[KY]","[Range 1].[Type]","[Range 1].[Type].&amp;[10]")," ")</f>
        <v>0</v>
      </c>
      <c r="M115" s="20">
        <f>IFERROR(GETPIVOTDATA("[Measures].[mNewGOS]",'Pivot Table Cats'!$A$3,"[Range 1].[State]","[Range 1].[State].&amp;[KY]","[Range 1].[Type]","[Range 1].[Type].&amp;[10]")," ")</f>
        <v>0</v>
      </c>
      <c r="N115" s="21">
        <f t="shared" si="27"/>
        <v>0</v>
      </c>
      <c r="O115" s="25"/>
      <c r="P115" s="26"/>
      <c r="Q115" s="27"/>
      <c r="R115" s="25"/>
      <c r="S115" s="26"/>
      <c r="T115" s="27"/>
      <c r="U115" s="25"/>
      <c r="V115" s="26"/>
      <c r="W115" s="27"/>
      <c r="X115" s="25"/>
      <c r="Y115" s="26"/>
      <c r="Z115" s="27"/>
      <c r="AA115" s="25"/>
      <c r="AB115" s="26"/>
      <c r="AC115" s="27"/>
      <c r="AD115" s="25"/>
      <c r="AE115" s="26"/>
      <c r="AF115" s="27"/>
      <c r="AG115" s="25"/>
      <c r="AH115" s="26"/>
      <c r="AI115" s="27"/>
      <c r="AJ115" s="25"/>
      <c r="AK115" s="26"/>
      <c r="AL115" s="27"/>
      <c r="AM115" s="25"/>
      <c r="AN115" s="26"/>
      <c r="AO115" s="27"/>
      <c r="AP115" s="25"/>
      <c r="AQ115" s="26"/>
      <c r="AR115" s="27"/>
      <c r="AS115" s="25"/>
      <c r="AT115" s="26"/>
      <c r="AU115" s="27"/>
      <c r="AV115" s="25"/>
      <c r="AW115" s="26"/>
      <c r="AX115" s="27"/>
      <c r="AY115" s="25"/>
      <c r="AZ115" s="26"/>
      <c r="BA115" s="27"/>
      <c r="BB115" s="25"/>
      <c r="BC115" s="26"/>
      <c r="BD115" s="27"/>
    </row>
    <row r="116" spans="1:56" s="49" customFormat="1" ht="20.25" customHeight="1">
      <c r="A116" s="48"/>
      <c r="B116" s="30" t="s">
        <v>555</v>
      </c>
      <c r="C116" s="31">
        <f>GETPIVOTDATA("[Measures].[mOldUGIS]",'Pivot Table Totals'!$A$31,"[Range 1].[State]","[Range 1].[State].&amp;[KY]")</f>
        <v>5610</v>
      </c>
      <c r="D116" s="31">
        <f>GETPIVOTDATA("[Measures].[mNewUGIS]",'Pivot Table Totals'!$A$31,"[Range 1].[State]","[Range 1].[State].&amp;[KY]")</f>
        <v>5610</v>
      </c>
      <c r="E116" s="21">
        <f t="shared" si="24"/>
        <v>0</v>
      </c>
      <c r="F116" s="31">
        <f>GETPIVOTDATA("[Measures].[mOldUGOS]",'Pivot Table Totals'!$A$31,"[Range 1].[State]","[Range 1].[State].&amp;[KY]")</f>
        <v>19050</v>
      </c>
      <c r="G116" s="31">
        <f>GETPIVOTDATA("[Measures].[mNewUGOS]",'Pivot Table Totals'!$A$31,"[Range 1].[State]","[Range 1].[State].&amp;[KY]")</f>
        <v>19050</v>
      </c>
      <c r="H116" s="21">
        <f t="shared" si="25"/>
        <v>0</v>
      </c>
      <c r="I116" s="31">
        <f>GETPIVOTDATA("[Measures].[mOldGIS]",'Pivot Table Totals'!$A$31,"[Range 1].[State]","[Range 1].[State].&amp;[KY]")</f>
        <v>0</v>
      </c>
      <c r="J116" s="31">
        <f>GETPIVOTDATA("[Measures].[mNewGIS]",'Pivot Table Totals'!$A$31,"[Range 1].[State]","[Range 1].[State].&amp;[KY]")</f>
        <v>0</v>
      </c>
      <c r="K116" s="21">
        <f t="shared" si="26"/>
        <v>0</v>
      </c>
      <c r="L116" s="31">
        <f>GETPIVOTDATA("[Measures].[mOldGOS]",'Pivot Table Totals'!$A$31,"[Range 1].[State]","[Range 1].[State].&amp;[KY]")</f>
        <v>0</v>
      </c>
      <c r="M116" s="31">
        <f>GETPIVOTDATA("[Measures].[mNewGOS]",'Pivot Table Totals'!$A$31,"[Range 1].[State]","[Range 1].[State].&amp;[KY]")</f>
        <v>0</v>
      </c>
      <c r="N116" s="21">
        <f t="shared" si="27"/>
        <v>0</v>
      </c>
      <c r="O116" s="36"/>
      <c r="P116" s="37"/>
      <c r="Q116" s="38"/>
      <c r="R116" s="36"/>
      <c r="S116" s="37"/>
      <c r="T116" s="38"/>
      <c r="U116" s="36"/>
      <c r="V116" s="37"/>
      <c r="W116" s="38"/>
      <c r="X116" s="36"/>
      <c r="Y116" s="37"/>
      <c r="Z116" s="38"/>
      <c r="AA116" s="36"/>
      <c r="AB116" s="37"/>
      <c r="AC116" s="38"/>
      <c r="AD116" s="36"/>
      <c r="AE116" s="37"/>
      <c r="AF116" s="38"/>
      <c r="AG116" s="36"/>
      <c r="AH116" s="37"/>
      <c r="AI116" s="38"/>
      <c r="AJ116" s="36"/>
      <c r="AK116" s="37"/>
      <c r="AL116" s="38"/>
      <c r="AM116" s="36"/>
      <c r="AN116" s="37"/>
      <c r="AO116" s="38"/>
      <c r="AP116" s="36"/>
      <c r="AQ116" s="37"/>
      <c r="AR116" s="38"/>
      <c r="AS116" s="36"/>
      <c r="AT116" s="37"/>
      <c r="AU116" s="38"/>
      <c r="AV116" s="36"/>
      <c r="AW116" s="37"/>
      <c r="AX116" s="38"/>
      <c r="AY116" s="36"/>
      <c r="AZ116" s="37"/>
      <c r="BA116" s="38"/>
      <c r="BB116" s="36"/>
      <c r="BC116" s="37"/>
      <c r="BD116" s="38"/>
    </row>
    <row r="117" spans="1:56">
      <c r="A117" s="28"/>
      <c r="B117" s="19" t="s">
        <v>556</v>
      </c>
      <c r="C117" s="20">
        <f>IFERROR(GETPIVOTDATA("[Measures].[mOldUGIS]",'Pivot Table Cats'!$A$3,"[Range 1].[State]","[Range 1].[State].&amp;[KY]","[Range 1].[Type]","[Range 1].[Type].&amp;[12]")," ")</f>
        <v>5610</v>
      </c>
      <c r="D117" s="20">
        <f>IFERROR(GETPIVOTDATA("[Measures].[mNewUGIS]",'Pivot Table Cats'!$A$3,"[Range 1].[State]","[Range 1].[State].&amp;[KY]","[Range 1].[Type]","[Range 1].[Type].&amp;[12]")," ")</f>
        <v>5610</v>
      </c>
      <c r="E117" s="21">
        <f t="shared" si="24"/>
        <v>0</v>
      </c>
      <c r="F117" s="20">
        <f>IFERROR(GETPIVOTDATA("[Measures].[mOldUGOS]",'Pivot Table Cats'!$A$3,"[Range 1].[State]","[Range 1].[State].&amp;[KY]","[Range 1].[Type]","[Range 1].[Type].&amp;[12]")," ")</f>
        <v>19050</v>
      </c>
      <c r="G117" s="20">
        <f>IFERROR(GETPIVOTDATA("[Measures].[mNewUGOS]",'Pivot Table Cats'!$A$3,"[Range 1].[State]","[Range 1].[State].&amp;[KY]","[Range 1].[Type]","[Range 1].[Type].&amp;[12]")," ")</f>
        <v>19050</v>
      </c>
      <c r="H117" s="21">
        <f t="shared" si="25"/>
        <v>0</v>
      </c>
      <c r="I117" s="20">
        <f>IFERROR(GETPIVOTDATA("[Measures].[mOldGIS]",'Pivot Table Cats'!$A$3,"[Range 1].[State]","[Range 1].[State].&amp;[KY]","[Range 1].[Type]","[Range 1].[Type].&amp;[12]")," ")</f>
        <v>0</v>
      </c>
      <c r="J117" s="20">
        <f>IFERROR(GETPIVOTDATA("[Measures].[mNewGIS]",'Pivot Table Cats'!$A$3,"[Range 1].[State]","[Range 1].[State].&amp;[KY]","[Range 1].[Type]","[Range 1].[Type].&amp;[12]")," ")</f>
        <v>0</v>
      </c>
      <c r="K117" s="21">
        <f t="shared" si="26"/>
        <v>0</v>
      </c>
      <c r="L117" s="20">
        <f>IFERROR(GETPIVOTDATA("[Measures].[mOldGOS]",'Pivot Table Cats'!$A$3,"[Range 1].[State]","[Range 1].[State].&amp;[KY]","[Range 1].[Type]","[Range 1].[Type].&amp;[12]")," ")</f>
        <v>0</v>
      </c>
      <c r="M117" s="20">
        <f>IFERROR(GETPIVOTDATA("[Measures].[mNewGOS]",'Pivot Table Cats'!$A$3,"[Range 1].[State]","[Range 1].[State].&amp;[KY]","[Range 1].[Type]","[Range 1].[Type].&amp;[12]")," ")</f>
        <v>0</v>
      </c>
      <c r="N117" s="21">
        <f t="shared" si="27"/>
        <v>0</v>
      </c>
      <c r="O117" s="25"/>
      <c r="P117" s="26"/>
      <c r="Q117" s="27"/>
      <c r="R117" s="25"/>
      <c r="S117" s="26"/>
      <c r="T117" s="27"/>
      <c r="U117" s="25"/>
      <c r="V117" s="26"/>
      <c r="W117" s="27"/>
      <c r="X117" s="25"/>
      <c r="Y117" s="26"/>
      <c r="Z117" s="27"/>
      <c r="AA117" s="25"/>
      <c r="AB117" s="26"/>
      <c r="AC117" s="27"/>
      <c r="AD117" s="25"/>
      <c r="AE117" s="26"/>
      <c r="AF117" s="27"/>
      <c r="AG117" s="25"/>
      <c r="AH117" s="26"/>
      <c r="AI117" s="27"/>
      <c r="AJ117" s="25"/>
      <c r="AK117" s="26"/>
      <c r="AL117" s="27"/>
      <c r="AM117" s="25"/>
      <c r="AN117" s="26"/>
      <c r="AO117" s="27"/>
      <c r="AP117" s="25"/>
      <c r="AQ117" s="26"/>
      <c r="AR117" s="27"/>
      <c r="AS117" s="25"/>
      <c r="AT117" s="26"/>
      <c r="AU117" s="27"/>
      <c r="AV117" s="25"/>
      <c r="AW117" s="26"/>
      <c r="AX117" s="27"/>
      <c r="AY117" s="25"/>
      <c r="AZ117" s="26"/>
      <c r="BA117" s="27"/>
      <c r="BB117" s="25"/>
      <c r="BC117" s="26"/>
      <c r="BD117" s="27"/>
    </row>
    <row r="118" spans="1:56">
      <c r="A118" s="28"/>
      <c r="B118" s="19" t="s">
        <v>557</v>
      </c>
      <c r="C118" s="20" t="str">
        <f>IFERROR(GETPIVOTDATA("[Measures].[mOldUGIS]",'Pivot Table Cats'!$A$3,"[Range 1].[State]","[Range 1].[State].&amp;[KY]","[Range 1].[Type]","[Range 1].[Type].&amp;[13]")," ")</f>
        <v xml:space="preserve"> </v>
      </c>
      <c r="D118" s="20" t="str">
        <f>IFERROR(GETPIVOTDATA("[Measures].[mNewUGIS]",'Pivot Table Cats'!$A$3,"[Range 1].[State]","[Range 1].[State].&amp;[KY]","[Range 1].[Type]","[Range 1].[Type].&amp;[13]")," ")</f>
        <v xml:space="preserve"> </v>
      </c>
      <c r="E118" s="21" t="str">
        <f t="shared" si="24"/>
        <v xml:space="preserve"> </v>
      </c>
      <c r="F118" s="20" t="str">
        <f>IFERROR(GETPIVOTDATA("[Measures].[mOldUGOS]",'Pivot Table Cats'!$A$3,"[Range 1].[State]","[Range 1].[State].&amp;[KY]","[Range 1].[Type]","[Range 1].[Type].&amp;[13]")," ")</f>
        <v xml:space="preserve"> </v>
      </c>
      <c r="G118" s="20" t="str">
        <f>IFERROR(GETPIVOTDATA("[Measures].[mNewUGOS]",'Pivot Table Cats'!$A$3,"[Range 1].[State]","[Range 1].[State].&amp;[KY]","[Range 1].[Type]","[Range 1].[Type].&amp;[13]")," ")</f>
        <v xml:space="preserve"> </v>
      </c>
      <c r="H118" s="21" t="str">
        <f t="shared" si="25"/>
        <v xml:space="preserve"> </v>
      </c>
      <c r="I118" s="20" t="str">
        <f>IFERROR(GETPIVOTDATA("[Measures].[mOldGIS]",'Pivot Table Cats'!$A$3,"[Range 1].[State]","[Range 1].[State].&amp;[KY]","[Range 1].[Type]","[Range 1].[Type].&amp;[13]")," ")</f>
        <v xml:space="preserve"> </v>
      </c>
      <c r="J118" s="20" t="str">
        <f>IFERROR(GETPIVOTDATA("[Measures].[mNewGIS]",'Pivot Table Cats'!$A$3,"[Range 1].[State]","[Range 1].[State].&amp;[KY]","[Range 1].[Type]","[Range 1].[Type].&amp;[13]")," ")</f>
        <v xml:space="preserve"> </v>
      </c>
      <c r="K118" s="21" t="str">
        <f t="shared" si="26"/>
        <v xml:space="preserve"> </v>
      </c>
      <c r="L118" s="20" t="str">
        <f>IFERROR(GETPIVOTDATA("[Measures].[mOldGOS]",'Pivot Table Cats'!$A$3,"[Range 1].[State]","[Range 1].[State].&amp;[KY]","[Range 1].[Type]","[Range 1].[Type].&amp;[13]")," ")</f>
        <v xml:space="preserve"> </v>
      </c>
      <c r="M118" s="20" t="str">
        <f>IFERROR(GETPIVOTDATA("[Measures].[mNewGOS]",'Pivot Table Cats'!$A$3,"[Range 1].[State]","[Range 1].[State].&amp;[KY]","[Range 1].[Type]","[Range 1].[Type].&amp;[13]")," ")</f>
        <v xml:space="preserve"> </v>
      </c>
      <c r="N118" s="21" t="str">
        <f t="shared" si="27"/>
        <v xml:space="preserve"> </v>
      </c>
      <c r="O118" s="25"/>
      <c r="P118" s="26"/>
      <c r="Q118" s="27"/>
      <c r="R118" s="25"/>
      <c r="S118" s="26"/>
      <c r="T118" s="27"/>
      <c r="U118" s="25"/>
      <c r="V118" s="26"/>
      <c r="W118" s="27"/>
      <c r="X118" s="25"/>
      <c r="Y118" s="26"/>
      <c r="Z118" s="27"/>
      <c r="AA118" s="25"/>
      <c r="AB118" s="26"/>
      <c r="AC118" s="27"/>
      <c r="AD118" s="25"/>
      <c r="AE118" s="26"/>
      <c r="AF118" s="27"/>
      <c r="AG118" s="25"/>
      <c r="AH118" s="26"/>
      <c r="AI118" s="27"/>
      <c r="AJ118" s="25"/>
      <c r="AK118" s="26"/>
      <c r="AL118" s="27"/>
      <c r="AM118" s="25"/>
      <c r="AN118" s="26"/>
      <c r="AO118" s="27"/>
      <c r="AP118" s="25"/>
      <c r="AQ118" s="26"/>
      <c r="AR118" s="27"/>
      <c r="AS118" s="25"/>
      <c r="AT118" s="26"/>
      <c r="AU118" s="27"/>
      <c r="AV118" s="25"/>
      <c r="AW118" s="26"/>
      <c r="AX118" s="27"/>
      <c r="AY118" s="25"/>
      <c r="AZ118" s="26"/>
      <c r="BA118" s="27"/>
      <c r="BB118" s="25"/>
      <c r="BC118" s="26"/>
      <c r="BD118" s="27"/>
    </row>
    <row r="119" spans="1:56">
      <c r="A119" s="28"/>
      <c r="B119" s="19" t="s">
        <v>558</v>
      </c>
      <c r="C119" s="20" t="str">
        <f>IFERROR(GETPIVOTDATA("[Measures].[mOldUGIS]",'Pivot Table Cats'!$A$3,"[Range 1].[State]","[Range 1].[State].&amp;[KY]","[Range 1].[Type]","[Range 1].[Type].&amp;[14]")," ")</f>
        <v xml:space="preserve"> </v>
      </c>
      <c r="D119" s="20" t="str">
        <f>IFERROR(GETPIVOTDATA("[Measures].[mNewUGIS]",'Pivot Table Cats'!$A$3,"[Range 1].[State]","[Range 1].[State].&amp;[KY]","[Range 1].[Type]","[Range 1].[Type].&amp;[14]")," ")</f>
        <v xml:space="preserve"> </v>
      </c>
      <c r="E119" s="21" t="str">
        <f t="shared" si="24"/>
        <v xml:space="preserve"> </v>
      </c>
      <c r="F119" s="20" t="str">
        <f>IFERROR(GETPIVOTDATA("[Measures].[mOldUGOS]",'Pivot Table Cats'!$A$3,"[Range 1].[State]","[Range 1].[State].&amp;[KY]","[Range 1].[Type]","[Range 1].[Type].&amp;[14]")," ")</f>
        <v xml:space="preserve"> </v>
      </c>
      <c r="G119" s="20" t="str">
        <f>IFERROR(GETPIVOTDATA("[Measures].[mNewUGOS]",'Pivot Table Cats'!$A$3,"[Range 1].[State]","[Range 1].[State].&amp;[KY]","[Range 1].[Type]","[Range 1].[Type].&amp;[14]")," ")</f>
        <v xml:space="preserve"> </v>
      </c>
      <c r="H119" s="21" t="str">
        <f t="shared" si="25"/>
        <v xml:space="preserve"> </v>
      </c>
      <c r="I119" s="20" t="str">
        <f>IFERROR(GETPIVOTDATA("[Measures].[mOldGIS]",'Pivot Table Cats'!$A$3,"[Range 1].[State]","[Range 1].[State].&amp;[KY]","[Range 1].[Type]","[Range 1].[Type].&amp;[14]")," ")</f>
        <v xml:space="preserve"> </v>
      </c>
      <c r="J119" s="20" t="str">
        <f>IFERROR(GETPIVOTDATA("[Measures].[mNewGIS]",'Pivot Table Cats'!$A$3,"[Range 1].[State]","[Range 1].[State].&amp;[KY]","[Range 1].[Type]","[Range 1].[Type].&amp;[14]")," ")</f>
        <v xml:space="preserve"> </v>
      </c>
      <c r="K119" s="21" t="str">
        <f t="shared" si="26"/>
        <v xml:space="preserve"> </v>
      </c>
      <c r="L119" s="20" t="str">
        <f>IFERROR(GETPIVOTDATA("[Measures].[mOldGOS]",'Pivot Table Cats'!$A$3,"[Range 1].[State]","[Range 1].[State].&amp;[KY]","[Range 1].[Type]","[Range 1].[Type].&amp;[14]")," ")</f>
        <v xml:space="preserve"> </v>
      </c>
      <c r="M119" s="20" t="str">
        <f>IFERROR(GETPIVOTDATA("[Measures].[mNewGOS]",'Pivot Table Cats'!$A$3,"[Range 1].[State]","[Range 1].[State].&amp;[KY]","[Range 1].[Type]","[Range 1].[Type].&amp;[14]")," ")</f>
        <v xml:space="preserve"> </v>
      </c>
      <c r="N119" s="21" t="str">
        <f t="shared" si="27"/>
        <v xml:space="preserve"> </v>
      </c>
      <c r="O119" s="25"/>
      <c r="P119" s="26"/>
      <c r="Q119" s="27"/>
      <c r="R119" s="25"/>
      <c r="S119" s="26"/>
      <c r="T119" s="27"/>
      <c r="U119" s="25"/>
      <c r="V119" s="26"/>
      <c r="W119" s="27"/>
      <c r="X119" s="25"/>
      <c r="Y119" s="26"/>
      <c r="Z119" s="27"/>
      <c r="AA119" s="25"/>
      <c r="AB119" s="26"/>
      <c r="AC119" s="27"/>
      <c r="AD119" s="25"/>
      <c r="AE119" s="26"/>
      <c r="AF119" s="27"/>
      <c r="AG119" s="25"/>
      <c r="AH119" s="26"/>
      <c r="AI119" s="27"/>
      <c r="AJ119" s="25"/>
      <c r="AK119" s="26"/>
      <c r="AL119" s="27"/>
      <c r="AM119" s="25"/>
      <c r="AN119" s="26"/>
      <c r="AO119" s="27"/>
      <c r="AP119" s="25"/>
      <c r="AQ119" s="26"/>
      <c r="AR119" s="27"/>
      <c r="AS119" s="25"/>
      <c r="AT119" s="26"/>
      <c r="AU119" s="27"/>
      <c r="AV119" s="25"/>
      <c r="AW119" s="26"/>
      <c r="AX119" s="27"/>
      <c r="AY119" s="25"/>
      <c r="AZ119" s="26"/>
      <c r="BA119" s="27"/>
      <c r="BB119" s="25"/>
      <c r="BC119" s="26"/>
      <c r="BD119" s="27"/>
    </row>
    <row r="120" spans="1:56" s="49" customFormat="1" ht="20.25" customHeight="1">
      <c r="A120" s="48"/>
      <c r="B120" s="30" t="s">
        <v>559</v>
      </c>
      <c r="C120" s="31">
        <f>IFERROR(GETPIVOTDATA("[Measures].[mOldUGIS]",'Pivot Table Totals'!$A$59,"[Range 1].[State]","[Range 1].[State].&amp;[KY]"), " ")</f>
        <v>5610</v>
      </c>
      <c r="D120" s="31">
        <f>IFERROR(GETPIVOTDATA("[Measures].[mNewUGIS]",'Pivot Table Totals'!$A$59,"[Range 1].[State]","[Range 1].[State].&amp;[KY]"), " ")</f>
        <v>5610</v>
      </c>
      <c r="E120" s="21">
        <f t="shared" si="24"/>
        <v>0</v>
      </c>
      <c r="F120" s="31">
        <f>IFERROR(GETPIVOTDATA("[Measures].[mOldUGOS]",'Pivot Table Totals'!$A$59,"[Range 1].[State]","[Range 1].[State].&amp;[KY]"), " " )</f>
        <v>19050</v>
      </c>
      <c r="G120" s="31">
        <f>IFERROR(GETPIVOTDATA("[Measures].[mNewUGOS]",'Pivot Table Totals'!$A$59,"[Range 1].[State]","[Range 1].[State].&amp;[KY]"), " ")</f>
        <v>19050</v>
      </c>
      <c r="H120" s="21">
        <f t="shared" si="25"/>
        <v>0</v>
      </c>
      <c r="I120" s="31">
        <f>IFERROR(GETPIVOTDATA("[Measures].[mOldGIS]",'Pivot Table Totals'!$A$59,"[Range 1].[State]","[Range 1].[State].&amp;[KY]"), " ")</f>
        <v>0</v>
      </c>
      <c r="J120" s="31">
        <f>IFERROR(GETPIVOTDATA("[Measures].[mNewGIS]",'Pivot Table Totals'!$A$59,"[Range 1].[State]","[Range 1].[State].&amp;[KY]"), " ")</f>
        <v>0</v>
      </c>
      <c r="K120" s="21">
        <f t="shared" si="26"/>
        <v>0</v>
      </c>
      <c r="L120" s="31">
        <f>IFERROR(GETPIVOTDATA("[Measures].[mOldGOS]",'Pivot Table Totals'!$A$59,"[Range 1].[State]","[Range 1].[State].&amp;[KY]"), " ")</f>
        <v>0</v>
      </c>
      <c r="M120" s="31">
        <f>IFERROR(GETPIVOTDATA("[Measures].[mNewGOS]",'Pivot Table Totals'!$A$59,"[Range 1].[State]","[Range 1].[State].&amp;[KY]"), " ")</f>
        <v>0</v>
      </c>
      <c r="N120" s="21">
        <f t="shared" si="27"/>
        <v>0</v>
      </c>
      <c r="O120" s="36"/>
      <c r="P120" s="37"/>
      <c r="Q120" s="38"/>
      <c r="R120" s="36"/>
      <c r="S120" s="37"/>
      <c r="T120" s="38"/>
      <c r="U120" s="36"/>
      <c r="V120" s="37"/>
      <c r="W120" s="38"/>
      <c r="X120" s="36"/>
      <c r="Y120" s="37"/>
      <c r="Z120" s="38"/>
      <c r="AA120" s="36"/>
      <c r="AB120" s="37"/>
      <c r="AC120" s="38"/>
      <c r="AD120" s="36"/>
      <c r="AE120" s="37"/>
      <c r="AF120" s="38"/>
      <c r="AG120" s="36"/>
      <c r="AH120" s="37"/>
      <c r="AI120" s="38"/>
      <c r="AJ120" s="36"/>
      <c r="AK120" s="37"/>
      <c r="AL120" s="38"/>
      <c r="AM120" s="36"/>
      <c r="AN120" s="37"/>
      <c r="AO120" s="38"/>
      <c r="AP120" s="36"/>
      <c r="AQ120" s="37"/>
      <c r="AR120" s="38"/>
      <c r="AS120" s="36"/>
      <c r="AT120" s="37"/>
      <c r="AU120" s="38"/>
      <c r="AV120" s="36"/>
      <c r="AW120" s="37"/>
      <c r="AX120" s="38"/>
      <c r="AY120" s="36"/>
      <c r="AZ120" s="37"/>
      <c r="BA120" s="38"/>
      <c r="BB120" s="36"/>
      <c r="BC120" s="37"/>
      <c r="BD120" s="38"/>
    </row>
    <row r="121" spans="1:56">
      <c r="A121" s="40"/>
      <c r="B121" s="41" t="s">
        <v>560</v>
      </c>
      <c r="C121" s="42"/>
      <c r="D121" s="42"/>
      <c r="E121" s="335"/>
      <c r="F121" s="42"/>
      <c r="G121" s="42"/>
      <c r="H121" s="44"/>
      <c r="I121" s="45"/>
      <c r="J121" s="42"/>
      <c r="K121" s="44"/>
      <c r="L121" s="45"/>
      <c r="M121" s="42"/>
      <c r="N121" s="44"/>
      <c r="O121" s="336">
        <f>IFERROR(GETPIVOTDATA("[Measures].[mOldLawIS]",'Pivot Table Totals'!$A$79,"[Range 1].[State]","[Range 1].[State].&amp;[KY]"), " ")</f>
        <v>23302</v>
      </c>
      <c r="P121" s="42">
        <f>IFERROR(GETPIVOTDATA("[Measures].[mNewLawIS]",'Pivot Table Totals'!$A$79,"[Range 1].[State]","[Range 1].[State].&amp;[KY]"), " ")</f>
        <v>23798</v>
      </c>
      <c r="Q121" s="46">
        <f>IFERROR(IF(O121&gt;0,(((P121-O121)/O121)*100),0), " ")</f>
        <v>2.1285726547077504</v>
      </c>
      <c r="R121" s="336">
        <f>IFERROR(GETPIVOTDATA("[Measures].[mOldLawOS]",'Pivot Table Totals'!$A$79,"[Range 1].[State]","[Range 1].[State].&amp;[KY]"), " ")</f>
        <v>35910</v>
      </c>
      <c r="S121" s="336">
        <f>IFERROR(GETPIVOTDATA("[Measures].[mNewLawOS]",'Pivot Table Totals'!$A$79,"[Range 1].[State]","[Range 1].[State].&amp;[KY]"), " ")</f>
        <v>35910</v>
      </c>
      <c r="T121" s="46">
        <f>IFERROR(IF(R121&gt;0,(((S121-R121)/R121)*100),0), " ")</f>
        <v>0</v>
      </c>
      <c r="U121" s="336">
        <f>IFERROR(GETPIVOTDATA("[Measures].[mOldMedIS]",'Pivot Table Totals'!$A$79,"[Range 1].[State]","[Range 1].[State].&amp;[KY]"), " ")</f>
        <v>41218</v>
      </c>
      <c r="V121" s="336">
        <f>IFERROR(GETPIVOTDATA("[Measures].[mNewMedIS]",'Pivot Table Totals'!$A$79,"[Range 1].[State]","[Range 1].[State].&amp;[KY]"), " ")</f>
        <v>41738</v>
      </c>
      <c r="W121" s="46">
        <f>IFERROR(IF(U121&gt;0,(((V121-U121)/U121)*100),0), " ")</f>
        <v>1.2615847445290893</v>
      </c>
      <c r="X121" s="336">
        <f>IFERROR(GETPIVOTDATA("[Measures].[mOldMedOS]",'Pivot Table Totals'!$A$79,"[Range 1].[State]","[Range 1].[State].&amp;[KY]"), " ")</f>
        <v>68790</v>
      </c>
      <c r="Y121" s="336">
        <f>IFERROR(GETPIVOTDATA("[Measures].[mNewMedOS]",'Pivot Table Totals'!$A$79,"[Range 1].[State]","[Range 1].[State].&amp;[KY]"), " ")</f>
        <v>69695</v>
      </c>
      <c r="Z121" s="46">
        <f>IFERROR(IF(X121&gt;0,(((Y121-X121)/X121)*100),0), " ")</f>
        <v>1.3155981974124147</v>
      </c>
      <c r="AA121" s="336">
        <f>IFERROR(GETPIVOTDATA("[Measures].[mOldDenIS]",'Pivot Table Totals'!$A$79,"[Range 1].[State]","[Range 1].[State].&amp;[KY]"), " ")</f>
        <v>35660</v>
      </c>
      <c r="AB121" s="336">
        <f>IFERROR(GETPIVOTDATA("[Measures].[mNewDenIS]",'Pivot Table Totals'!$A$79,"[Range 1].[State]","[Range 1].[State].&amp;[KY]"), " ")</f>
        <v>36089.5</v>
      </c>
      <c r="AC121" s="46">
        <f>IFERROR(IF(AA121&gt;0,(((AB121-AA121)/AA121)*100),0), " ")</f>
        <v>1.2044307347167695</v>
      </c>
      <c r="AD121" s="336">
        <f>IFERROR(GETPIVOTDATA("[Measures].[mOldDenOS]",'Pivot Table Totals'!$A$79,"[Range 1].[State]","[Range 1].[State].&amp;[KY]"), " ")</f>
        <v>75504</v>
      </c>
      <c r="AE121" s="336">
        <f>IFERROR(GETPIVOTDATA("[Measures].[mNewDenOS]",'Pivot Table Totals'!$A$79,"[Range 1].[State]","[Range 1].[State].&amp;[KY]"), " ")</f>
        <v>76529</v>
      </c>
      <c r="AF121" s="46">
        <f>IFERROR(IF(AD121&gt;0,(((AE121-AD121)/AD121)*100),0), " ")</f>
        <v>1.357543971180335</v>
      </c>
      <c r="AG121" s="336">
        <f>IFERROR(GETPIVOTDATA("[Measures].[mOldPhrIS]",'Pivot Table Totals'!$A$79,"[Range 1].[State]","[Range 1].[State].&amp;[KY]"), " ")</f>
        <v>28662</v>
      </c>
      <c r="AH121" s="336">
        <f>IFERROR(GETPIVOTDATA("[Measures].[mNewPhIS]",'Pivot Table Totals'!$A$79,"[Range 1].[State]","[Range 1].[State].&amp;[KY]"), " ")</f>
        <v>28907</v>
      </c>
      <c r="AI121" s="46">
        <f>IFERROR(IF(AG121&gt;0,(((AH121-AG121)/AG121)*100),0), " ")</f>
        <v>0.85479031470239342</v>
      </c>
      <c r="AJ121" s="336">
        <f>IFERROR(GETPIVOTDATA("[Measures].[mOldPhrOS]",'Pivot Table Totals'!$A$79,"[Range 1].[State]","[Range 1].[State].&amp;[KY]"), " ")</f>
        <v>53686</v>
      </c>
      <c r="AK121" s="336">
        <f>IFERROR(GETPIVOTDATA("[Measures].[mNewPhrOS]",'Pivot Table Totals'!$A$79,"[Range 1].[State]","[Range 1].[State].&amp;[KY]"), " ")</f>
        <v>54222</v>
      </c>
      <c r="AL121" s="46">
        <f>IFERROR(IF(AJ121&gt;0,(((AQ121-AJ121)/AJ121)*100),0), " ")</f>
        <v>-100</v>
      </c>
      <c r="AM121" s="336">
        <f>IFERROR(GETPIVOTDATA("[Measures].[mOldOptIS]",'Pivot Table Totals'!$A$79,"[Range 1].[State]","[Range 1].[State].&amp;[KY]"), " ")</f>
        <v>0</v>
      </c>
      <c r="AN121" s="336">
        <f>IFERROR(GETPIVOTDATA("[Measures].[mNewOptIS]",'Pivot Table Totals'!$A$79,"[Range 1].[State]","[Range 1].[State].&amp;[KY]"), " ")</f>
        <v>0</v>
      </c>
      <c r="AO121" s="46">
        <f>IFERROR(IF(AM121&gt;0,(((AN121-AM121)/AM121)*100),0), " ")</f>
        <v>0</v>
      </c>
      <c r="AP121" s="336">
        <f>IFERROR(GETPIVOTDATA("[Measures].[mOldOptoS]",'Pivot Table Totals'!$A$79,"[Range 1].[State]","[Range 1].[State].&amp;[KY]"), " ")</f>
        <v>0</v>
      </c>
      <c r="AQ121" s="336">
        <f>IFERROR(GETPIVOTDATA("[Measures].[mNewOptoS]",'Pivot Table Totals'!$A$79,"[Range 1].[State]","[Range 1].[State].&amp;[KY]"), " ")</f>
        <v>0</v>
      </c>
      <c r="AR121" s="46">
        <f>IFERROR(IF(AP121&gt;0,(((AQ121-AP121)/AP121)*100),0), " ")</f>
        <v>0</v>
      </c>
      <c r="AS121" s="336">
        <f>IFERROR(GETPIVOTDATA("[Measures].[mOldOstIS]",'Pivot Table Totals'!$A$79,"[Range 1].[State]","[Range 1].[State].&amp;[KY]"), " ")</f>
        <v>0</v>
      </c>
      <c r="AT121" s="336">
        <f>IFERROR(GETPIVOTDATA("[Measures].[mNewOstIS]",'Pivot Table Totals'!$A$79,"[Range 1].[State]","[Range 1].[State].&amp;[KY]"), " ")</f>
        <v>0</v>
      </c>
      <c r="AU121" s="46">
        <f>IFERROR(IF(AS121&gt;0,(((AT121-AS121)/AS121)*100),0), " ")</f>
        <v>0</v>
      </c>
      <c r="AV121" s="336">
        <f>IFERROR(GETPIVOTDATA("[Measures].[mOldOstOS]",'Pivot Table Totals'!$A$79,"[Range 1].[State]","[Range 1].[State].&amp;[KY]"), " ")</f>
        <v>0</v>
      </c>
      <c r="AW121" s="336">
        <f>IFERROR(GETPIVOTDATA("[Measures].[mNewOstOS]",'Pivot Table Totals'!$A$79,"[Range 1].[State]","[Range 1].[State].&amp;[KY]"), " ")</f>
        <v>0</v>
      </c>
      <c r="AX121" s="46">
        <f>IFERROR(IF(AV121&gt;0,(((AW121-AV121)/AV121)*100),0), " ")</f>
        <v>0</v>
      </c>
      <c r="AY121" s="336">
        <f>IFERROR(GETPIVOTDATA("[Measures].[m[OldVetIS]",'Pivot Table Totals'!$A$79,"[Range 1].[State]","[Range 1].[State].&amp;[KY]"), " ")</f>
        <v>0</v>
      </c>
      <c r="AZ121" s="336">
        <f>IFERROR(GETPIVOTDATA("[Measures].[mNewVetIS]",'Pivot Table Totals'!$A$79,"[Range 1].[State]","[Range 1].[State].&amp;[KY]"), " ")</f>
        <v>0</v>
      </c>
      <c r="BA121" s="46">
        <f>IFERROR(IF(AY121&gt;0,(((AZ121-AY121)/AY121)*100),0), " ")</f>
        <v>0</v>
      </c>
      <c r="BB121" s="336">
        <f>IFERROR(GETPIVOTDATA("[Measures].[mOldVetOS]",'Pivot Table Totals'!$A$79,"[Range 1].[State]","[Range 1].[State].&amp;[KY]"), " ")</f>
        <v>0</v>
      </c>
      <c r="BC121" s="336">
        <f>IFERROR(GETPIVOTDATA("[Measures].[mNewVetOS]",'Pivot Table Totals'!$A$79,"[Range 1].[State]","[Range 1].[State].&amp;[KY]"), " ")</f>
        <v>0</v>
      </c>
      <c r="BD121" s="46">
        <f>IFERROR(IF(BB121&gt;0,(((BC121-BB121)/BB121)*100),0), " ")</f>
        <v>0</v>
      </c>
    </row>
    <row r="122" spans="1:56">
      <c r="A122" s="18" t="s">
        <v>222</v>
      </c>
      <c r="B122" s="19" t="s">
        <v>544</v>
      </c>
      <c r="C122" s="20">
        <f>IFERROR(GETPIVOTDATA("[Measures].[mOldUGIS]",'Pivot Table Cats'!$A$3,"[Range 1].[State]","[Range 1].[State].&amp;[LA]","[Range 1].[Type]","[Range 1].[Type].&amp;[1]")," ")</f>
        <v>11962</v>
      </c>
      <c r="D122" s="20">
        <f>IFERROR(GETPIVOTDATA("[Measures].[mNewUGIS]",'Pivot Table Cats'!$A$3,"[Range 1].[State]","[Range 1].[State].&amp;[LA]","[Range 1].[Type]","[Range 1].[Type].&amp;[1]")," ")</f>
        <v>11958</v>
      </c>
      <c r="E122" s="21">
        <f>IFERROR(IF(C122&gt;0,(((D122-C122)/C122)*100),0), " ")</f>
        <v>-3.3439224209998328E-2</v>
      </c>
      <c r="F122" s="20">
        <f>IFERROR(GETPIVOTDATA("[Measures].[mOldUGOS]",'Pivot Table Cats'!$A$3,"[Range 1].[State]","[Range 1].[State].&amp;[LA]","[Range 1].[Type]","[Range 1].[Type].&amp;[1]")," ")</f>
        <v>28639</v>
      </c>
      <c r="G122" s="20">
        <f>IFERROR(GETPIVOTDATA("[Measures].[mNewUGOS]",'Pivot Table Cats'!$A$3,"[Range 1].[State]","[Range 1].[State].&amp;[LA]","[Range 1].[Type]","[Range 1].[Type].&amp;[1]")," ")</f>
        <v>28635</v>
      </c>
      <c r="H122" s="21">
        <f>IFERROR(IF(F122&gt;0,(((G122-F122)/F122)*100),0), " ")</f>
        <v>-1.3966968120395266E-2</v>
      </c>
      <c r="I122" s="20">
        <f>IFERROR(GETPIVOTDATA("[Measures].[mOldGIS]",'Pivot Table Cats'!$A$3,"[Range 1].[State]","[Range 1].[State].&amp;[LA]","[Range 1].[Type]","[Range 1].[Type].&amp;[1]")," ")</f>
        <v>13035</v>
      </c>
      <c r="J122" s="20">
        <f>IFERROR(GETPIVOTDATA("[Measures].[mNewGIS]",'Pivot Table Cats'!$A$3,"[Range 1].[State]","[Range 1].[State].&amp;[LA]","[Range 1].[Type]","[Range 1].[Type].&amp;[1]")," ")</f>
        <v>13031</v>
      </c>
      <c r="K122" s="21">
        <f>IFERROR(IF(I122&gt;0,(((J122-I122)/I122)*100),0), " ")</f>
        <v>-3.0686612965093975E-2</v>
      </c>
      <c r="L122" s="20">
        <f>IFERROR(GETPIVOTDATA("[Measures].[mOldGOS]",'Pivot Table Cats'!$A$3,"[Range 1].[State]","[Range 1].[State].&amp;[LA]","[Range 1].[Type]","[Range 1].[Type].&amp;[1]")," ")</f>
        <v>29970</v>
      </c>
      <c r="M122" s="20">
        <f>IFERROR(GETPIVOTDATA("[Measures].[mNewGOS]",'Pivot Table Cats'!$A$3,"[Range 1].[State]","[Range 1].[State].&amp;[LA]","[Range 1].[Type]","[Range 1].[Type].&amp;[1]")," ")</f>
        <v>29966</v>
      </c>
      <c r="N122" s="21">
        <f>IFERROR(IF(L122&gt;0,(((M122-L122)/L122)*100),0), " ")</f>
        <v>-1.3346680013346681E-2</v>
      </c>
      <c r="O122" s="25"/>
      <c r="P122" s="26"/>
      <c r="Q122" s="27"/>
      <c r="R122" s="25"/>
      <c r="S122" s="26"/>
      <c r="T122" s="27"/>
      <c r="U122" s="25"/>
      <c r="V122" s="26"/>
      <c r="W122" s="27"/>
      <c r="X122" s="25"/>
      <c r="Y122" s="26"/>
      <c r="Z122" s="27"/>
      <c r="AA122" s="25"/>
      <c r="AB122" s="26"/>
      <c r="AC122" s="27"/>
      <c r="AD122" s="25"/>
      <c r="AE122" s="26"/>
      <c r="AF122" s="27"/>
      <c r="AG122" s="25"/>
      <c r="AH122" s="26"/>
      <c r="AI122" s="27"/>
      <c r="AJ122" s="25"/>
      <c r="AK122" s="26"/>
      <c r="AL122" s="27"/>
      <c r="AM122" s="25"/>
      <c r="AN122" s="26"/>
      <c r="AO122" s="27"/>
      <c r="AP122" s="25"/>
      <c r="AQ122" s="26"/>
      <c r="AR122" s="27"/>
      <c r="AS122" s="25"/>
      <c r="AT122" s="26"/>
      <c r="AU122" s="27"/>
      <c r="AV122" s="25"/>
      <c r="AW122" s="26"/>
      <c r="AX122" s="27"/>
      <c r="AY122" s="25"/>
      <c r="AZ122" s="26"/>
      <c r="BA122" s="27"/>
      <c r="BB122" s="25"/>
      <c r="BC122" s="26"/>
      <c r="BD122" s="27"/>
    </row>
    <row r="123" spans="1:56">
      <c r="A123" s="28"/>
      <c r="B123" s="19" t="s">
        <v>545</v>
      </c>
      <c r="C123" s="20">
        <f>IFERROR(GETPIVOTDATA("[Measures].[mOldUGIS]",'Pivot Table Cats'!$A$3,"[Range 1].[State]","[Range 1].[State].&amp;[LA]","[Range 1].[Type]","[Range 1].[Type].&amp;[2]")," ")</f>
        <v>10634</v>
      </c>
      <c r="D123" s="20">
        <f>IFERROR(GETPIVOTDATA("[Measures].[mNewUGIS]",'Pivot Table Cats'!$A$3,"[Range 1].[State]","[Range 1].[State].&amp;[LA]","[Range 1].[Type]","[Range 1].[Type].&amp;[2]")," ")</f>
        <v>10635</v>
      </c>
      <c r="E123" s="21">
        <f t="shared" ref="E123:E137" si="28">IFERROR(IF(C123&gt;0,(((D123-C123)/C123)*100),0), " ")</f>
        <v>9.4037991348504806E-3</v>
      </c>
      <c r="F123" s="20">
        <f>IFERROR(GETPIVOTDATA("[Measures].[mOldUGOS]",'Pivot Table Cats'!$A$3,"[Range 1].[State]","[Range 1].[State].&amp;[LA]","[Range 1].[Type]","[Range 1].[Type].&amp;[2]")," ")</f>
        <v>19547.2</v>
      </c>
      <c r="G123" s="20">
        <f>IFERROR(GETPIVOTDATA("[Measures].[mNewUGOS]",'Pivot Table Cats'!$A$3,"[Range 1].[State]","[Range 1].[State].&amp;[LA]","[Range 1].[Type]","[Range 1].[Type].&amp;[2]")," ")</f>
        <v>19548</v>
      </c>
      <c r="H123" s="21">
        <f t="shared" ref="H123:H137" si="29">IFERROR(IF(F123&gt;0,(((G123-F123)/F123)*100),0), " ")</f>
        <v>4.092657771953387E-3</v>
      </c>
      <c r="I123" s="20">
        <f>IFERROR(GETPIVOTDATA("[Measures].[mOldGIS]",'Pivot Table Cats'!$A$3,"[Range 1].[State]","[Range 1].[State].&amp;[LA]","[Range 1].[Type]","[Range 1].[Type].&amp;[2]")," ")</f>
        <v>10053</v>
      </c>
      <c r="J123" s="20">
        <f>IFERROR(GETPIVOTDATA("[Measures].[mNewGIS]",'Pivot Table Cats'!$A$3,"[Range 1].[State]","[Range 1].[State].&amp;[LA]","[Range 1].[Type]","[Range 1].[Type].&amp;[2]")," ")</f>
        <v>10053</v>
      </c>
      <c r="K123" s="21">
        <f t="shared" ref="K123:K137" si="30">IFERROR(IF(I123&gt;0,(((J123-I123)/I123)*100),0), " ")</f>
        <v>0</v>
      </c>
      <c r="L123" s="20">
        <f>IFERROR(GETPIVOTDATA("[Measures].[mOldGOS]",'Pivot Table Cats'!$A$3,"[Range 1].[State]","[Range 1].[State].&amp;[LA]","[Range 1].[Type]","[Range 1].[Type].&amp;[2]")," ")</f>
        <v>16794</v>
      </c>
      <c r="M123" s="20">
        <f>IFERROR(GETPIVOTDATA("[Measures].[mNewGOS]",'Pivot Table Cats'!$A$3,"[Range 1].[State]","[Range 1].[State].&amp;[LA]","[Range 1].[Type]","[Range 1].[Type].&amp;[2]")," ")</f>
        <v>16794</v>
      </c>
      <c r="N123" s="21">
        <f t="shared" ref="N123:N137" si="31">IFERROR(IF(L123&gt;0,(((M123-L123)/L123)*100),0), " ")</f>
        <v>0</v>
      </c>
      <c r="O123" s="25"/>
      <c r="P123" s="26"/>
      <c r="Q123" s="27"/>
      <c r="R123" s="25"/>
      <c r="S123" s="26"/>
      <c r="T123" s="27"/>
      <c r="U123" s="25"/>
      <c r="V123" s="26"/>
      <c r="W123" s="27"/>
      <c r="X123" s="25"/>
      <c r="Y123" s="26"/>
      <c r="Z123" s="27"/>
      <c r="AA123" s="25"/>
      <c r="AB123" s="26"/>
      <c r="AC123" s="27"/>
      <c r="AD123" s="25"/>
      <c r="AE123" s="26"/>
      <c r="AF123" s="27"/>
      <c r="AG123" s="25"/>
      <c r="AH123" s="26"/>
      <c r="AI123" s="27"/>
      <c r="AJ123" s="25"/>
      <c r="AK123" s="26"/>
      <c r="AL123" s="27"/>
      <c r="AM123" s="25"/>
      <c r="AN123" s="26"/>
      <c r="AO123" s="27"/>
      <c r="AP123" s="25"/>
      <c r="AQ123" s="26"/>
      <c r="AR123" s="27"/>
      <c r="AS123" s="25"/>
      <c r="AT123" s="26"/>
      <c r="AU123" s="27"/>
      <c r="AV123" s="25"/>
      <c r="AW123" s="26"/>
      <c r="AX123" s="27"/>
      <c r="AY123" s="25"/>
      <c r="AZ123" s="26"/>
      <c r="BA123" s="27"/>
      <c r="BB123" s="25"/>
      <c r="BC123" s="26"/>
      <c r="BD123" s="27"/>
    </row>
    <row r="124" spans="1:56">
      <c r="A124" s="28"/>
      <c r="B124" s="19" t="s">
        <v>546</v>
      </c>
      <c r="C124" s="20">
        <f>IFERROR(GETPIVOTDATA("[Measures].[mOldUGIS]",'Pivot Table Cats'!$A$3,"[Range 1].[State]","[Range 1].[State].&amp;[LA]","[Range 1].[Type]","[Range 1].[Type].&amp;[3]")," ")</f>
        <v>8950.5</v>
      </c>
      <c r="D124" s="20">
        <f>IFERROR(GETPIVOTDATA("[Measures].[mNewUGIS]",'Pivot Table Cats'!$A$3,"[Range 1].[State]","[Range 1].[State].&amp;[LA]","[Range 1].[Type]","[Range 1].[Type].&amp;[3]")," ")</f>
        <v>9024.83</v>
      </c>
      <c r="E124" s="21">
        <f t="shared" si="28"/>
        <v>0.83045639908384916</v>
      </c>
      <c r="F124" s="20">
        <f>IFERROR(GETPIVOTDATA("[Measures].[mOldUGOS]",'Pivot Table Cats'!$A$3,"[Range 1].[State]","[Range 1].[State].&amp;[LA]","[Range 1].[Type]","[Range 1].[Type].&amp;[3]")," ")</f>
        <v>20336</v>
      </c>
      <c r="G124" s="20">
        <f>IFERROR(GETPIVOTDATA("[Measures].[mNewUGOS]",'Pivot Table Cats'!$A$3,"[Range 1].[State]","[Range 1].[State].&amp;[LA]","[Range 1].[Type]","[Range 1].[Type].&amp;[3]")," ")</f>
        <v>20334.830000000002</v>
      </c>
      <c r="H124" s="21">
        <f t="shared" si="29"/>
        <v>-5.7533438237522315E-3</v>
      </c>
      <c r="I124" s="20">
        <f>IFERROR(GETPIVOTDATA("[Measures].[mOldGIS]",'Pivot Table Cats'!$A$3,"[Range 1].[State]","[Range 1].[State].&amp;[LA]","[Range 1].[Type]","[Range 1].[Type].&amp;[3]")," ")</f>
        <v>9375</v>
      </c>
      <c r="J124" s="20">
        <f>IFERROR(GETPIVOTDATA("[Measures].[mNewGIS]",'Pivot Table Cats'!$A$3,"[Range 1].[State]","[Range 1].[State].&amp;[LA]","[Range 1].[Type]","[Range 1].[Type].&amp;[3]")," ")</f>
        <v>9369</v>
      </c>
      <c r="K124" s="21">
        <f t="shared" si="30"/>
        <v>-6.4000000000000001E-2</v>
      </c>
      <c r="L124" s="20">
        <f>IFERROR(GETPIVOTDATA("[Measures].[mOldGOS]",'Pivot Table Cats'!$A$3,"[Range 1].[State]","[Range 1].[State].&amp;[LA]","[Range 1].[Type]","[Range 1].[Type].&amp;[3]")," ")</f>
        <v>20668.5</v>
      </c>
      <c r="M124" s="20">
        <f>IFERROR(GETPIVOTDATA("[Measures].[mNewGOS]",'Pivot Table Cats'!$A$3,"[Range 1].[State]","[Range 1].[State].&amp;[LA]","[Range 1].[Type]","[Range 1].[Type].&amp;[3]")," ")</f>
        <v>20667.34</v>
      </c>
      <c r="N124" s="21">
        <f t="shared" si="31"/>
        <v>-5.612405351137501E-3</v>
      </c>
      <c r="O124" s="25"/>
      <c r="P124" s="26"/>
      <c r="Q124" s="27"/>
      <c r="R124" s="25"/>
      <c r="S124" s="26"/>
      <c r="T124" s="27"/>
      <c r="U124" s="25"/>
      <c r="V124" s="26"/>
      <c r="W124" s="27"/>
      <c r="X124" s="25"/>
      <c r="Y124" s="26"/>
      <c r="Z124" s="27"/>
      <c r="AA124" s="25"/>
      <c r="AB124" s="26"/>
      <c r="AC124" s="27"/>
      <c r="AD124" s="25"/>
      <c r="AE124" s="26"/>
      <c r="AF124" s="27"/>
      <c r="AG124" s="25"/>
      <c r="AH124" s="26"/>
      <c r="AI124" s="27"/>
      <c r="AJ124" s="25"/>
      <c r="AK124" s="26"/>
      <c r="AL124" s="27"/>
      <c r="AM124" s="25"/>
      <c r="AN124" s="26"/>
      <c r="AO124" s="27"/>
      <c r="AP124" s="25"/>
      <c r="AQ124" s="26"/>
      <c r="AR124" s="27"/>
      <c r="AS124" s="25"/>
      <c r="AT124" s="26"/>
      <c r="AU124" s="27"/>
      <c r="AV124" s="25"/>
      <c r="AW124" s="26"/>
      <c r="AX124" s="27"/>
      <c r="AY124" s="25"/>
      <c r="AZ124" s="26"/>
      <c r="BA124" s="27"/>
      <c r="BB124" s="25"/>
      <c r="BC124" s="26"/>
      <c r="BD124" s="27"/>
    </row>
    <row r="125" spans="1:56">
      <c r="A125" s="28"/>
      <c r="B125" s="19" t="s">
        <v>547</v>
      </c>
      <c r="C125" s="20">
        <f>IFERROR(GETPIVOTDATA("[Measures].[mOldUGIS]",'Pivot Table Cats'!$A$3,"[Range 1].[State]","[Range 1].[State].&amp;[LA]","[Range 1].[Type]","[Range 1].[Type].&amp;[4]")," ")</f>
        <v>7805</v>
      </c>
      <c r="D125" s="20">
        <f>IFERROR(GETPIVOTDATA("[Measures].[mNewUGIS]",'Pivot Table Cats'!$A$3,"[Range 1].[State]","[Range 1].[State].&amp;[LA]","[Range 1].[Type]","[Range 1].[Type].&amp;[4]")," ")</f>
        <v>7829</v>
      </c>
      <c r="E125" s="21">
        <f t="shared" si="28"/>
        <v>0.30749519538757208</v>
      </c>
      <c r="F125" s="20">
        <f>IFERROR(GETPIVOTDATA("[Measures].[mOldUGOS]",'Pivot Table Cats'!$A$3,"[Range 1].[State]","[Range 1].[State].&amp;[LA]","[Range 1].[Type]","[Range 1].[Type].&amp;[4]")," ")</f>
        <v>18074</v>
      </c>
      <c r="G125" s="20">
        <f>IFERROR(GETPIVOTDATA("[Measures].[mNewUGOS]",'Pivot Table Cats'!$A$3,"[Range 1].[State]","[Range 1].[State].&amp;[LA]","[Range 1].[Type]","[Range 1].[Type].&amp;[4]")," ")</f>
        <v>18098</v>
      </c>
      <c r="H125" s="21">
        <f t="shared" si="29"/>
        <v>0.1327874294566781</v>
      </c>
      <c r="I125" s="20">
        <f>IFERROR(GETPIVOTDATA("[Measures].[mOldGIS]",'Pivot Table Cats'!$A$3,"[Range 1].[State]","[Range 1].[State].&amp;[LA]","[Range 1].[Type]","[Range 1].[Type].&amp;[4]")," ")</f>
        <v>8134.3249999999998</v>
      </c>
      <c r="J125" s="20">
        <f>IFERROR(GETPIVOTDATA("[Measures].[mNewGIS]",'Pivot Table Cats'!$A$3,"[Range 1].[State]","[Range 1].[State].&amp;[LA]","[Range 1].[Type]","[Range 1].[Type].&amp;[4]")," ")</f>
        <v>8102</v>
      </c>
      <c r="K125" s="21">
        <f t="shared" si="30"/>
        <v>-0.39739007231700013</v>
      </c>
      <c r="L125" s="20">
        <f>IFERROR(GETPIVOTDATA("[Measures].[mOldGOS]",'Pivot Table Cats'!$A$3,"[Range 1].[State]","[Range 1].[State].&amp;[LA]","[Range 1].[Type]","[Range 1].[Type].&amp;[4]")," ")</f>
        <v>18391.434999999998</v>
      </c>
      <c r="M125" s="20">
        <f>IFERROR(GETPIVOTDATA("[Measures].[mNewGOS]",'Pivot Table Cats'!$A$3,"[Range 1].[State]","[Range 1].[State].&amp;[LA]","[Range 1].[Type]","[Range 1].[Type].&amp;[4]")," ")</f>
        <v>18278.95</v>
      </c>
      <c r="N125" s="21">
        <f t="shared" si="31"/>
        <v>-0.61161622244265856</v>
      </c>
      <c r="O125" s="25"/>
      <c r="P125" s="26"/>
      <c r="Q125" s="27"/>
      <c r="R125" s="25"/>
      <c r="S125" s="26"/>
      <c r="T125" s="27"/>
      <c r="U125" s="25"/>
      <c r="V125" s="26"/>
      <c r="W125" s="27"/>
      <c r="X125" s="25"/>
      <c r="Y125" s="26"/>
      <c r="Z125" s="27"/>
      <c r="AA125" s="25"/>
      <c r="AB125" s="26"/>
      <c r="AC125" s="27"/>
      <c r="AD125" s="25"/>
      <c r="AE125" s="26"/>
      <c r="AF125" s="27"/>
      <c r="AG125" s="25"/>
      <c r="AH125" s="26"/>
      <c r="AI125" s="27"/>
      <c r="AJ125" s="25"/>
      <c r="AK125" s="26"/>
      <c r="AL125" s="27"/>
      <c r="AM125" s="25"/>
      <c r="AN125" s="26"/>
      <c r="AO125" s="27"/>
      <c r="AP125" s="25"/>
      <c r="AQ125" s="26"/>
      <c r="AR125" s="27"/>
      <c r="AS125" s="25"/>
      <c r="AT125" s="26"/>
      <c r="AU125" s="27"/>
      <c r="AV125" s="25"/>
      <c r="AW125" s="26"/>
      <c r="AX125" s="27"/>
      <c r="AY125" s="25"/>
      <c r="AZ125" s="26"/>
      <c r="BA125" s="27"/>
      <c r="BB125" s="25"/>
      <c r="BC125" s="26"/>
      <c r="BD125" s="27"/>
    </row>
    <row r="126" spans="1:56">
      <c r="A126" s="28"/>
      <c r="B126" s="19" t="s">
        <v>548</v>
      </c>
      <c r="C126" s="20">
        <f>IFERROR(GETPIVOTDATA("[Measures].[mOldUGIS]",'Pivot Table Cats'!$A$3,"[Range 1].[State]","[Range 1].[State].&amp;[LA]","[Range 1].[Type]","[Range 1].[Type].&amp;[5]")," ")</f>
        <v>7287.3339999999998</v>
      </c>
      <c r="D126" s="20">
        <f>IFERROR(GETPIVOTDATA("[Measures].[mNewUGIS]",'Pivot Table Cats'!$A$3,"[Range 1].[State]","[Range 1].[State].&amp;[LA]","[Range 1].[Type]","[Range 1].[Type].&amp;[5]")," ")</f>
        <v>7381.34</v>
      </c>
      <c r="E126" s="21">
        <f t="shared" si="28"/>
        <v>1.2899916485233189</v>
      </c>
      <c r="F126" s="20">
        <f>IFERROR(GETPIVOTDATA("[Measures].[mOldUGOS]",'Pivot Table Cats'!$A$3,"[Range 1].[State]","[Range 1].[State].&amp;[LA]","[Range 1].[Type]","[Range 1].[Type].&amp;[5]")," ")</f>
        <v>16188.34</v>
      </c>
      <c r="G126" s="20">
        <f>IFERROR(GETPIVOTDATA("[Measures].[mNewUGOS]",'Pivot Table Cats'!$A$3,"[Range 1].[State]","[Range 1].[State].&amp;[LA]","[Range 1].[Type]","[Range 1].[Type].&amp;[5]")," ")</f>
        <v>16282.34</v>
      </c>
      <c r="H126" s="21">
        <f t="shared" si="29"/>
        <v>0.58066484889741621</v>
      </c>
      <c r="I126" s="20">
        <f>IFERROR(GETPIVOTDATA("[Measures].[mOldGIS]",'Pivot Table Cats'!$A$3,"[Range 1].[State]","[Range 1].[State].&amp;[LA]","[Range 1].[Type]","[Range 1].[Type].&amp;[5]")," ")</f>
        <v>9120.34</v>
      </c>
      <c r="J126" s="20">
        <f>IFERROR(GETPIVOTDATA("[Measures].[mNewGIS]",'Pivot Table Cats'!$A$3,"[Range 1].[State]","[Range 1].[State].&amp;[LA]","[Range 1].[Type]","[Range 1].[Type].&amp;[5]")," ")</f>
        <v>9214.34</v>
      </c>
      <c r="K126" s="21">
        <f t="shared" si="30"/>
        <v>1.03066333053373</v>
      </c>
      <c r="L126" s="20">
        <f>IFERROR(GETPIVOTDATA("[Measures].[mOldGOS]",'Pivot Table Cats'!$A$3,"[Range 1].[State]","[Range 1].[State].&amp;[LA]","[Range 1].[Type]","[Range 1].[Type].&amp;[5]")," ")</f>
        <v>16062.34</v>
      </c>
      <c r="M126" s="20">
        <f>IFERROR(GETPIVOTDATA("[Measures].[mNewGOS]",'Pivot Table Cats'!$A$3,"[Range 1].[State]","[Range 1].[State].&amp;[LA]","[Range 1].[Type]","[Range 1].[Type].&amp;[5]")," ")</f>
        <v>16156.34</v>
      </c>
      <c r="N126" s="21">
        <f t="shared" si="31"/>
        <v>0.5852198372092734</v>
      </c>
      <c r="O126" s="25"/>
      <c r="P126" s="26"/>
      <c r="Q126" s="27"/>
      <c r="R126" s="25"/>
      <c r="S126" s="26"/>
      <c r="T126" s="27"/>
      <c r="U126" s="25"/>
      <c r="V126" s="26"/>
      <c r="W126" s="27"/>
      <c r="X126" s="25"/>
      <c r="Y126" s="26"/>
      <c r="Z126" s="27"/>
      <c r="AA126" s="25"/>
      <c r="AB126" s="26"/>
      <c r="AC126" s="27"/>
      <c r="AD126" s="25"/>
      <c r="AE126" s="26"/>
      <c r="AF126" s="27"/>
      <c r="AG126" s="25"/>
      <c r="AH126" s="26"/>
      <c r="AI126" s="27"/>
      <c r="AJ126" s="25"/>
      <c r="AK126" s="26"/>
      <c r="AL126" s="27"/>
      <c r="AM126" s="25"/>
      <c r="AN126" s="26"/>
      <c r="AO126" s="27"/>
      <c r="AP126" s="25"/>
      <c r="AQ126" s="26"/>
      <c r="AR126" s="27"/>
      <c r="AS126" s="25"/>
      <c r="AT126" s="26"/>
      <c r="AU126" s="27"/>
      <c r="AV126" s="25"/>
      <c r="AW126" s="26"/>
      <c r="AX126" s="27"/>
      <c r="AY126" s="25"/>
      <c r="AZ126" s="26"/>
      <c r="BA126" s="27"/>
      <c r="BB126" s="25"/>
      <c r="BC126" s="26"/>
      <c r="BD126" s="27"/>
    </row>
    <row r="127" spans="1:56">
      <c r="A127" s="28"/>
      <c r="B127" s="19" t="s">
        <v>549</v>
      </c>
      <c r="C127" s="20">
        <f>IFERROR(GETPIVOTDATA("[Measures].[mOldUGIS]",'Pivot Table Cats'!$A$3,"[Range 1].[State]","[Range 1].[State].&amp;[LA]","[Range 1].[Type]","[Range 1].[Type].&amp;[6]")," ")</f>
        <v>6910.1</v>
      </c>
      <c r="D127" s="20">
        <f>IFERROR(GETPIVOTDATA("[Measures].[mNewUGIS]",'Pivot Table Cats'!$A$3,"[Range 1].[State]","[Range 1].[State].&amp;[LA]","[Range 1].[Type]","[Range 1].[Type].&amp;[6]")," ")</f>
        <v>6910.02</v>
      </c>
      <c r="E127" s="21">
        <f t="shared" si="28"/>
        <v>-1.1577256479635206E-3</v>
      </c>
      <c r="F127" s="20">
        <f>IFERROR(GETPIVOTDATA("[Measures].[mOldUGOS]",'Pivot Table Cats'!$A$3,"[Range 1].[State]","[Range 1].[State].&amp;[LA]","[Range 1].[Type]","[Range 1].[Type].&amp;[6]")," ")</f>
        <v>14175.86</v>
      </c>
      <c r="G127" s="20">
        <f>IFERROR(GETPIVOTDATA("[Measures].[mNewUGOS]",'Pivot Table Cats'!$A$3,"[Range 1].[State]","[Range 1].[State].&amp;[LA]","[Range 1].[Type]","[Range 1].[Type].&amp;[6]")," ")</f>
        <v>14175.78</v>
      </c>
      <c r="H127" s="21">
        <f t="shared" si="29"/>
        <v>-5.6433965911011563E-4</v>
      </c>
      <c r="I127" s="20">
        <f>IFERROR(GETPIVOTDATA("[Measures].[mOldGIS]",'Pivot Table Cats'!$A$3,"[Range 1].[State]","[Range 1].[State].&amp;[LA]","[Range 1].[Type]","[Range 1].[Type].&amp;[6]")," ")</f>
        <v>0</v>
      </c>
      <c r="J127" s="20">
        <f>IFERROR(GETPIVOTDATA("[Measures].[mNewGIS]",'Pivot Table Cats'!$A$3,"[Range 1].[State]","[Range 1].[State].&amp;[LA]","[Range 1].[Type]","[Range 1].[Type].&amp;[6]")," ")</f>
        <v>0</v>
      </c>
      <c r="K127" s="21">
        <f t="shared" si="30"/>
        <v>0</v>
      </c>
      <c r="L127" s="20">
        <f>IFERROR(GETPIVOTDATA("[Measures].[mOldGOS]",'Pivot Table Cats'!$A$3,"[Range 1].[State]","[Range 1].[State].&amp;[LA]","[Range 1].[Type]","[Range 1].[Type].&amp;[6]")," ")</f>
        <v>0</v>
      </c>
      <c r="M127" s="20">
        <f>IFERROR(GETPIVOTDATA("[Measures].[mNewGOS]",'Pivot Table Cats'!$A$3,"[Range 1].[State]","[Range 1].[State].&amp;[LA]","[Range 1].[Type]","[Range 1].[Type].&amp;[6]")," ")</f>
        <v>0</v>
      </c>
      <c r="N127" s="21">
        <f t="shared" si="31"/>
        <v>0</v>
      </c>
      <c r="O127" s="25"/>
      <c r="P127" s="26"/>
      <c r="Q127" s="27"/>
      <c r="R127" s="25"/>
      <c r="S127" s="26"/>
      <c r="T127" s="27"/>
      <c r="U127" s="25"/>
      <c r="V127" s="26"/>
      <c r="W127" s="27"/>
      <c r="X127" s="25"/>
      <c r="Y127" s="26"/>
      <c r="Z127" s="27"/>
      <c r="AA127" s="25"/>
      <c r="AB127" s="26"/>
      <c r="AC127" s="27"/>
      <c r="AD127" s="25"/>
      <c r="AE127" s="26"/>
      <c r="AF127" s="27"/>
      <c r="AG127" s="25"/>
      <c r="AH127" s="26"/>
      <c r="AI127" s="27"/>
      <c r="AJ127" s="25"/>
      <c r="AK127" s="26"/>
      <c r="AL127" s="27"/>
      <c r="AM127" s="25"/>
      <c r="AN127" s="26"/>
      <c r="AO127" s="27"/>
      <c r="AP127" s="25"/>
      <c r="AQ127" s="26"/>
      <c r="AR127" s="27"/>
      <c r="AS127" s="25"/>
      <c r="AT127" s="26"/>
      <c r="AU127" s="27"/>
      <c r="AV127" s="25"/>
      <c r="AW127" s="26"/>
      <c r="AX127" s="27"/>
      <c r="AY127" s="25"/>
      <c r="AZ127" s="26"/>
      <c r="BA127" s="27"/>
      <c r="BB127" s="25"/>
      <c r="BC127" s="26"/>
      <c r="BD127" s="27"/>
    </row>
    <row r="128" spans="1:56" s="49" customFormat="1" ht="19.5" customHeight="1">
      <c r="A128" s="48"/>
      <c r="B128" s="30" t="s">
        <v>550</v>
      </c>
      <c r="C128" s="31">
        <f>IFERROR(GETPIVOTDATA("[Measures].[mOldUGIS]",'Pivot Table Totals'!$A$4,"[Range 1].[State]","[Range 1].[State].&amp;[LA]"), " ")</f>
        <v>8683.5</v>
      </c>
      <c r="D128" s="31">
        <f>IFERROR(GETPIVOTDATA("[Measures].[mNewUGIS]",'Pivot Table Totals'!$A$4,"[Range 1].[State]","[Range 1].[State].&amp;[LA]"), " ")</f>
        <v>8682.33</v>
      </c>
      <c r="E128" s="21">
        <f t="shared" si="28"/>
        <v>-1.3473829676974408E-2</v>
      </c>
      <c r="F128" s="31">
        <f>IFERROR(GETPIVOTDATA("[Measures].[mOldUGOS]",'Pivot Table Totals'!$A$4,"[Range 1].[State]","[Range 1].[State].&amp;[LA]"), " ")</f>
        <v>19518.599999999999</v>
      </c>
      <c r="G128" s="31">
        <f>IFERROR(GETPIVOTDATA("[Measures].[mNewUGOS]",'Pivot Table Totals'!$A$4,"[Range 1].[State]","[Range 1].[State].&amp;[LA]"), " ")</f>
        <v>19519</v>
      </c>
      <c r="H128" s="21">
        <f t="shared" si="29"/>
        <v>2.0493273083185023E-3</v>
      </c>
      <c r="I128" s="31">
        <f>IFERROR(GETPIVOTDATA("[Measures].[mOldGIS]",'Pivot Table Totals'!$A$4,"[Range 1].[State]","[Range 1].[State].&amp;[LA]"), " ")</f>
        <v>9648</v>
      </c>
      <c r="J128" s="31">
        <f>IFERROR(GETPIVOTDATA("[Measures].[mNewGIS]",'Pivot Table Totals'!$A$4,"[Range 1].[State]","[Range 1].[State].&amp;[LA]"), " ")</f>
        <v>9648</v>
      </c>
      <c r="K128" s="21">
        <f t="shared" si="30"/>
        <v>0</v>
      </c>
      <c r="L128" s="31">
        <f>IFERROR(GETPIVOTDATA("[Measures].[mOldGOS]",'Pivot Table Totals'!$A$4,"[Range 1].[State]","[Range 1].[State].&amp;[LA]"), " ")</f>
        <v>19897</v>
      </c>
      <c r="M128" s="31">
        <f>IFERROR(GETPIVOTDATA("[Measures].[mNewGOS]",'Pivot Table Totals'!$A$4,"[Range 1].[State]","[Range 1].[State].&amp;[LA]"), " ")</f>
        <v>19894.68</v>
      </c>
      <c r="N128" s="21">
        <f>IFERROR(IF(L128&gt;0,(((M128-L128)/L128)*100),0), "  ")</f>
        <v>-1.1660049253654867E-2</v>
      </c>
      <c r="O128" s="36"/>
      <c r="P128" s="37"/>
      <c r="Q128" s="38"/>
      <c r="R128" s="36"/>
      <c r="S128" s="37"/>
      <c r="T128" s="38"/>
      <c r="U128" s="36"/>
      <c r="V128" s="37"/>
      <c r="W128" s="38"/>
      <c r="X128" s="36"/>
      <c r="Y128" s="37"/>
      <c r="Z128" s="38"/>
      <c r="AA128" s="36"/>
      <c r="AB128" s="37"/>
      <c r="AC128" s="38"/>
      <c r="AD128" s="36"/>
      <c r="AE128" s="37"/>
      <c r="AF128" s="38"/>
      <c r="AG128" s="36"/>
      <c r="AH128" s="37"/>
      <c r="AI128" s="38"/>
      <c r="AJ128" s="36"/>
      <c r="AK128" s="37"/>
      <c r="AL128" s="38"/>
      <c r="AM128" s="36"/>
      <c r="AN128" s="37"/>
      <c r="AO128" s="38"/>
      <c r="AP128" s="36"/>
      <c r="AQ128" s="37"/>
      <c r="AR128" s="38"/>
      <c r="AS128" s="36"/>
      <c r="AT128" s="37"/>
      <c r="AU128" s="38"/>
      <c r="AV128" s="36"/>
      <c r="AW128" s="37"/>
      <c r="AX128" s="38"/>
      <c r="AY128" s="36"/>
      <c r="AZ128" s="37"/>
      <c r="BA128" s="38"/>
      <c r="BB128" s="36"/>
      <c r="BC128" s="37"/>
      <c r="BD128" s="38"/>
    </row>
    <row r="129" spans="1:56">
      <c r="A129" s="28"/>
      <c r="B129" s="19" t="s">
        <v>551</v>
      </c>
      <c r="C129" s="20" t="str">
        <f>IFERROR(GETPIVOTDATA("[Measures].[mOldUGIS]",'Pivot Table Cats'!$A$3,"[Range 1].[State]","[Range 1].[State].&amp;[LA]","[Range 1].[Type]","[Range 1].[Type].&amp;[7]")," ")</f>
        <v xml:space="preserve"> </v>
      </c>
      <c r="D129" s="20" t="str">
        <f>IFERROR(GETPIVOTDATA("[Measures].[mNewUGIS]",'Pivot Table Cats'!$A$3,"[Range 1].[State]","[Range 1].[State].&amp;[LA]","[Range 1].[Type]","[Range 1].[Type].&amp;[7]")," ")</f>
        <v xml:space="preserve"> </v>
      </c>
      <c r="E129" s="21" t="str">
        <f t="shared" si="28"/>
        <v xml:space="preserve"> </v>
      </c>
      <c r="F129" s="20" t="str">
        <f>IFERROR(GETPIVOTDATA("[Measures].[mOldUGOS]",'Pivot Table Cats'!$A$3,"[Range 1].[State]","[Range 1].[State].&amp;[LA]","[Range 1].[Type]","[Range 1].[Type].&amp;[7]")," ")</f>
        <v xml:space="preserve"> </v>
      </c>
      <c r="G129" s="20" t="str">
        <f>IFERROR(GETPIVOTDATA("[Measures].[mNewUGOS]",'Pivot Table Cats'!$A$3,"[Range 1].[State]","[Range 1].[State].&amp;[LA]","[Range 1].[Type]","[Range 1].[Type].&amp;[7]")," ")</f>
        <v xml:space="preserve"> </v>
      </c>
      <c r="H129" s="21" t="str">
        <f t="shared" si="29"/>
        <v xml:space="preserve"> </v>
      </c>
      <c r="I129" s="20" t="str">
        <f>IFERROR(GETPIVOTDATA("[Measures].[mOldGIS]",'Pivot Table Cats'!$A$3,"[Range 1].[State]","[Range 1].[State].&amp;[LA]","[Range 1].[Type]","[Range 1].[Type].&amp;[7]")," ")</f>
        <v xml:space="preserve"> </v>
      </c>
      <c r="J129" s="20" t="str">
        <f>IFERROR(GETPIVOTDATA("[Measures].[mNewGIS]",'Pivot Table Cats'!$A$3,"[Range 1].[State]","[Range 1].[State].&amp;[LA]","[Range 1].[Type]","[Range 1].[Type].&amp;[7]")," ")</f>
        <v xml:space="preserve"> </v>
      </c>
      <c r="K129" s="21" t="str">
        <f t="shared" si="30"/>
        <v xml:space="preserve"> </v>
      </c>
      <c r="L129" s="20" t="str">
        <f>IFERROR(GETPIVOTDATA("[Measures].[mOldGIS]",'Pivot Table Cats'!$A$3,"[Range 1].[State]","[Range 1].[State].&amp;[LA]","[Range 1].[Type]","[Range 1].[Type].&amp;[7]")," ")</f>
        <v xml:space="preserve"> </v>
      </c>
      <c r="M129" s="20" t="str">
        <f>IFERROR(GETPIVOTDATA("[Measures].[mNewGIS]",'Pivot Table Cats'!$A$3,"[Range 1].[State]","[Range 1].[State].&amp;[LA]","[Range 1].[Type]","[Range 1].[Type].&amp;[7]")," ")</f>
        <v xml:space="preserve"> </v>
      </c>
      <c r="N129" s="21" t="str">
        <f t="shared" si="31"/>
        <v xml:space="preserve"> </v>
      </c>
      <c r="O129" s="25"/>
      <c r="P129" s="26"/>
      <c r="Q129" s="27"/>
      <c r="R129" s="25"/>
      <c r="S129" s="26"/>
      <c r="T129" s="27"/>
      <c r="U129" s="25"/>
      <c r="V129" s="26"/>
      <c r="W129" s="27"/>
      <c r="X129" s="25"/>
      <c r="Y129" s="26"/>
      <c r="Z129" s="27"/>
      <c r="AA129" s="25"/>
      <c r="AB129" s="26"/>
      <c r="AC129" s="27"/>
      <c r="AD129" s="25"/>
      <c r="AE129" s="26"/>
      <c r="AF129" s="27"/>
      <c r="AG129" s="25"/>
      <c r="AH129" s="26"/>
      <c r="AI129" s="27"/>
      <c r="AJ129" s="25"/>
      <c r="AK129" s="26"/>
      <c r="AL129" s="27"/>
      <c r="AM129" s="25"/>
      <c r="AN129" s="26"/>
      <c r="AO129" s="27"/>
      <c r="AP129" s="25"/>
      <c r="AQ129" s="26"/>
      <c r="AR129" s="27"/>
      <c r="AS129" s="25"/>
      <c r="AT129" s="26"/>
      <c r="AU129" s="27"/>
      <c r="AV129" s="25"/>
      <c r="AW129" s="26"/>
      <c r="AX129" s="27"/>
      <c r="AY129" s="25"/>
      <c r="AZ129" s="26"/>
      <c r="BA129" s="27"/>
      <c r="BB129" s="25"/>
      <c r="BC129" s="26"/>
      <c r="BD129" s="27"/>
    </row>
    <row r="130" spans="1:56">
      <c r="A130" s="28"/>
      <c r="B130" s="19" t="s">
        <v>552</v>
      </c>
      <c r="C130" s="20">
        <f>IFERROR(GETPIVOTDATA("[Measures].[mOldUGIS]",'Pivot Table Cats'!$A$3,"[Range 1].[State]","[Range 1].[State].&amp;[LA]","[Range 1].[Type]","[Range 1].[Type].&amp;[8]")," ")</f>
        <v>4250.2</v>
      </c>
      <c r="D130" s="20">
        <f>IFERROR(GETPIVOTDATA("[Measures].[mNewUGIS]",'Pivot Table Cats'!$A$3,"[Range 1].[State]","[Range 1].[State].&amp;[LA]","[Range 1].[Type]","[Range 1].[Type].&amp;[8]")," ")</f>
        <v>4300.2</v>
      </c>
      <c r="E130" s="21">
        <f t="shared" si="28"/>
        <v>1.176415227518705</v>
      </c>
      <c r="F130" s="20">
        <f>IFERROR(GETPIVOTDATA("[Measures].[mOldUGOS]",'Pivot Table Cats'!$A$3,"[Range 1].[State]","[Range 1].[State].&amp;[LA]","[Range 1].[Type]","[Range 1].[Type].&amp;[8]")," ")</f>
        <v>4250.2</v>
      </c>
      <c r="G130" s="20">
        <f>IFERROR(GETPIVOTDATA("[Measures].[mNewUGOS]",'Pivot Table Cats'!$A$3,"[Range 1].[State]","[Range 1].[State].&amp;[LA]","[Range 1].[Type]","[Range 1].[Type].&amp;[8]")," ")</f>
        <v>4300.2</v>
      </c>
      <c r="H130" s="21">
        <f t="shared" si="29"/>
        <v>1.176415227518705</v>
      </c>
      <c r="I130" s="337">
        <f>IFERROR(GETPIVOTDATA("[Measures].[mOldGIS]",'Pivot Table Cats'!$A$3,"[Range 1].[State]","[Range 1].[State].&amp;[LA]","[Range 1].[Type]","[Range 1].[Type].&amp;[8]")," ")</f>
        <v>0</v>
      </c>
      <c r="J130" s="20">
        <f>IFERROR(GETPIVOTDATA("[Measures].[mNewGIS]",'Pivot Table Cats'!$A$3,"[Range 1].[State]","[Range 1].[State].&amp;[LA]","[Range 1].[Type]","[Range 1].[Type].&amp;[8]")," ")</f>
        <v>0</v>
      </c>
      <c r="K130" s="21">
        <f t="shared" si="30"/>
        <v>0</v>
      </c>
      <c r="L130" s="20">
        <f>IFERROR(GETPIVOTDATA("[Measures].[mOldGOS]",'Pivot Table Cats'!$A$3,"[Range 1].[State]","[Range 1].[State].&amp;[LA]","[Range 1].[Type]","[Range 1].[Type].&amp;[8]")," ")</f>
        <v>0</v>
      </c>
      <c r="M130" s="20">
        <f>IFERROR(GETPIVOTDATA("[Measures].[mNewGOS]",'Pivot Table Cats'!$A$3,"[Range 1].[State]","[Range 1].[State].&amp;[LA]","[Range 1].[Type]","[Range 1].[Type].&amp;[8]")," ")</f>
        <v>0</v>
      </c>
      <c r="N130" s="21">
        <f t="shared" si="31"/>
        <v>0</v>
      </c>
      <c r="O130" s="25"/>
      <c r="P130" s="26"/>
      <c r="Q130" s="27"/>
      <c r="R130" s="25"/>
      <c r="S130" s="26"/>
      <c r="T130" s="27"/>
      <c r="U130" s="25"/>
      <c r="V130" s="26"/>
      <c r="W130" s="27"/>
      <c r="X130" s="25"/>
      <c r="Y130" s="26"/>
      <c r="Z130" s="27"/>
      <c r="AA130" s="25"/>
      <c r="AB130" s="26"/>
      <c r="AC130" s="27"/>
      <c r="AD130" s="25"/>
      <c r="AE130" s="26"/>
      <c r="AF130" s="27"/>
      <c r="AG130" s="25"/>
      <c r="AH130" s="26"/>
      <c r="AI130" s="27"/>
      <c r="AJ130" s="25"/>
      <c r="AK130" s="26"/>
      <c r="AL130" s="27"/>
      <c r="AM130" s="25"/>
      <c r="AN130" s="26"/>
      <c r="AO130" s="27"/>
      <c r="AP130" s="25"/>
      <c r="AQ130" s="26"/>
      <c r="AR130" s="27"/>
      <c r="AS130" s="25"/>
      <c r="AT130" s="26"/>
      <c r="AU130" s="27"/>
      <c r="AV130" s="25"/>
      <c r="AW130" s="26"/>
      <c r="AX130" s="27"/>
      <c r="AY130" s="25"/>
      <c r="AZ130" s="26"/>
      <c r="BA130" s="27"/>
      <c r="BB130" s="25"/>
      <c r="BC130" s="26"/>
      <c r="BD130" s="27"/>
    </row>
    <row r="131" spans="1:56">
      <c r="A131" s="28"/>
      <c r="B131" s="19" t="s">
        <v>553</v>
      </c>
      <c r="C131" s="20">
        <f>IFERROR(GETPIVOTDATA("[Measures].[mOldUGIS]",'Pivot Table Cats'!$A$3,"[Range 1].[State]","[Range 1].[State].&amp;[LA]","[Range 1].[Type]","[Range 1].[Type].&amp;[9]")," ")</f>
        <v>4283.04</v>
      </c>
      <c r="D131" s="20">
        <f>IFERROR(GETPIVOTDATA("[Measures].[mNewUGIS]",'Pivot Table Cats'!$A$3,"[Range 1].[State]","[Range 1].[State].&amp;[LA]","[Range 1].[Type]","[Range 1].[Type].&amp;[9]")," ")</f>
        <v>4283.04</v>
      </c>
      <c r="E131" s="21">
        <f t="shared" si="28"/>
        <v>0</v>
      </c>
      <c r="F131" s="20">
        <f>IFERROR(GETPIVOTDATA("[Measures].[mOldUGOS]",'Pivot Table Cats'!$A$3,"[Range 1].[State]","[Range 1].[State].&amp;[LA]","[Range 1].[Type]","[Range 1].[Type].&amp;[9]")," ")</f>
        <v>4283.04</v>
      </c>
      <c r="G131" s="20">
        <f>IFERROR(GETPIVOTDATA("[Measures].[mNewUGOS]",'Pivot Table Cats'!$A$3,"[Range 1].[State]","[Range 1].[State].&amp;[LA]","[Range 1].[Type]","[Range 1].[Type].&amp;[9]")," ")</f>
        <v>4283.04</v>
      </c>
      <c r="H131" s="21">
        <f t="shared" si="29"/>
        <v>0</v>
      </c>
      <c r="I131" s="20">
        <f>IFERROR(GETPIVOTDATA("[Measures].[mOldGIS]",'Pivot Table Cats'!$A$3,"[Range 1].[State]","[Range 1].[State].&amp;[LA]","[Range 1].[Type]","[Range 1].[Type].&amp;[9]")," ")</f>
        <v>0</v>
      </c>
      <c r="J131" s="20">
        <f>IFERROR(GETPIVOTDATA("[Measures].[mNewGIS]",'Pivot Table Cats'!$A$3,"[Range 1].[State]","[Range 1].[State].&amp;[LA]","[Range 1].[Type]","[Range 1].[Type].&amp;[9]")," ")</f>
        <v>0</v>
      </c>
      <c r="K131" s="21">
        <f t="shared" si="30"/>
        <v>0</v>
      </c>
      <c r="L131" s="20">
        <f>IFERROR(GETPIVOTDATA("[Measures].[mOldGOS]",'Pivot Table Cats'!$A$3,"[Range 1].[State]","[Range 1].[State].&amp;[LA]","[Range 1].[Type]","[Range 1].[Type].&amp;[9]")," ")</f>
        <v>0</v>
      </c>
      <c r="M131" s="20">
        <f>IFERROR(GETPIVOTDATA("[Measures].[mNewGOS]",'Pivot Table Cats'!$A$3,"[Range 1].[State]","[Range 1].[State].&amp;[LA]","[Range 1].[Type]","[Range 1].[Type].&amp;[9]")," ")</f>
        <v>0</v>
      </c>
      <c r="N131" s="21">
        <f t="shared" si="31"/>
        <v>0</v>
      </c>
      <c r="O131" s="25"/>
      <c r="P131" s="26"/>
      <c r="Q131" s="27"/>
      <c r="R131" s="25"/>
      <c r="S131" s="26"/>
      <c r="T131" s="27"/>
      <c r="U131" s="25"/>
      <c r="V131" s="26"/>
      <c r="W131" s="27"/>
      <c r="X131" s="25"/>
      <c r="Y131" s="26"/>
      <c r="Z131" s="27"/>
      <c r="AA131" s="25"/>
      <c r="AB131" s="26"/>
      <c r="AC131" s="27"/>
      <c r="AD131" s="25"/>
      <c r="AE131" s="26"/>
      <c r="AF131" s="27"/>
      <c r="AG131" s="25"/>
      <c r="AH131" s="26"/>
      <c r="AI131" s="27"/>
      <c r="AJ131" s="25"/>
      <c r="AK131" s="26"/>
      <c r="AL131" s="27"/>
      <c r="AM131" s="25"/>
      <c r="AN131" s="26"/>
      <c r="AO131" s="27"/>
      <c r="AP131" s="25"/>
      <c r="AQ131" s="26"/>
      <c r="AR131" s="27"/>
      <c r="AS131" s="25"/>
      <c r="AT131" s="26"/>
      <c r="AU131" s="27"/>
      <c r="AV131" s="25"/>
      <c r="AW131" s="26"/>
      <c r="AX131" s="27"/>
      <c r="AY131" s="25"/>
      <c r="AZ131" s="26"/>
      <c r="BA131" s="27"/>
      <c r="BB131" s="25"/>
      <c r="BC131" s="26"/>
      <c r="BD131" s="27"/>
    </row>
    <row r="132" spans="1:56">
      <c r="A132" s="28"/>
      <c r="B132" s="19" t="s">
        <v>554</v>
      </c>
      <c r="C132" s="20">
        <f>IFERROR(GETPIVOTDATA("[Measures].[mOldUGIS]",'Pivot Table Cats'!$A$3,"[Range 1].[State]","[Range 1].[State].&amp;[LA]","[Range 1].[Type]","[Range 1].[Type].&amp;[10]")," ")</f>
        <v>4218.04</v>
      </c>
      <c r="D132" s="20">
        <f>IFERROR(GETPIVOTDATA("[Measures].[mNewUGIS]",'Pivot Table Cats'!$A$3,"[Range 1].[State]","[Range 1].[State].&amp;[LA]","[Range 1].[Type]","[Range 1].[Type].&amp;[10]")," ")</f>
        <v>4182.04</v>
      </c>
      <c r="E132" s="21">
        <f t="shared" si="28"/>
        <v>-0.85347697034641679</v>
      </c>
      <c r="F132" s="20">
        <f>IFERROR(GETPIVOTDATA("[Measures].[mOldUGOS]",'Pivot Table Cats'!$A$3,"[Range 1].[State]","[Range 1].[State].&amp;[LA]","[Range 1].[Type]","[Range 1].[Type].&amp;[10]")," ")</f>
        <v>4218.04</v>
      </c>
      <c r="G132" s="20">
        <f>IFERROR(GETPIVOTDATA("[Measures].[mNewUGOS]",'Pivot Table Cats'!$A$3,"[Range 1].[State]","[Range 1].[State].&amp;[LA]","[Range 1].[Type]","[Range 1].[Type].&amp;[10]")," ")</f>
        <v>4182.04</v>
      </c>
      <c r="H132" s="21">
        <f t="shared" si="29"/>
        <v>-0.85347697034641679</v>
      </c>
      <c r="I132" s="20">
        <f>IFERROR(GETPIVOTDATA("[Measures].[mOldGIS]",'Pivot Table Cats'!$A$3,"[Range 1].[State]","[Range 1].[State].&amp;[LA]","[Range 1].[Type]","[Range 1].[Type].&amp;[10]")," ")</f>
        <v>0</v>
      </c>
      <c r="J132" s="20">
        <f>IFERROR(GETPIVOTDATA("[Measures].[mNewGIS]",'Pivot Table Cats'!$A$3,"[Range 1].[State]","[Range 1].[State].&amp;[LA]","[Range 1].[Type]","[Range 1].[Type].&amp;[10]")," ")</f>
        <v>0</v>
      </c>
      <c r="K132" s="21">
        <f t="shared" si="30"/>
        <v>0</v>
      </c>
      <c r="L132" s="20">
        <f>IFERROR(GETPIVOTDATA("[Measures].[mOldGOS]",'Pivot Table Cats'!$A$3,"[Range 1].[State]","[Range 1].[State].&amp;[LA]","[Range 1].[Type]","[Range 1].[Type].&amp;[10]")," ")</f>
        <v>0</v>
      </c>
      <c r="M132" s="20">
        <f>IFERROR(GETPIVOTDATA("[Measures].[mNewGOS]",'Pivot Table Cats'!$A$3,"[Range 1].[State]","[Range 1].[State].&amp;[LA]","[Range 1].[Type]","[Range 1].[Type].&amp;[10]")," ")</f>
        <v>0</v>
      </c>
      <c r="N132" s="21">
        <f t="shared" si="31"/>
        <v>0</v>
      </c>
      <c r="O132" s="25"/>
      <c r="P132" s="26"/>
      <c r="Q132" s="27"/>
      <c r="R132" s="25"/>
      <c r="S132" s="26"/>
      <c r="T132" s="27"/>
      <c r="U132" s="25"/>
      <c r="V132" s="26"/>
      <c r="W132" s="27"/>
      <c r="X132" s="25"/>
      <c r="Y132" s="26"/>
      <c r="Z132" s="27"/>
      <c r="AA132" s="25"/>
      <c r="AB132" s="26"/>
      <c r="AC132" s="27"/>
      <c r="AD132" s="25"/>
      <c r="AE132" s="26"/>
      <c r="AF132" s="27"/>
      <c r="AG132" s="25"/>
      <c r="AH132" s="26"/>
      <c r="AI132" s="27"/>
      <c r="AJ132" s="25"/>
      <c r="AK132" s="26"/>
      <c r="AL132" s="27"/>
      <c r="AM132" s="25"/>
      <c r="AN132" s="26"/>
      <c r="AO132" s="27"/>
      <c r="AP132" s="25"/>
      <c r="AQ132" s="26"/>
      <c r="AR132" s="27"/>
      <c r="AS132" s="25"/>
      <c r="AT132" s="26"/>
      <c r="AU132" s="27"/>
      <c r="AV132" s="25"/>
      <c r="AW132" s="26"/>
      <c r="AX132" s="27"/>
      <c r="AY132" s="25"/>
      <c r="AZ132" s="26"/>
      <c r="BA132" s="27"/>
      <c r="BB132" s="25"/>
      <c r="BC132" s="26"/>
      <c r="BD132" s="27"/>
    </row>
    <row r="133" spans="1:56" s="49" customFormat="1" ht="20.25" customHeight="1">
      <c r="A133" s="48"/>
      <c r="B133" s="30" t="s">
        <v>555</v>
      </c>
      <c r="C133" s="31">
        <f>GETPIVOTDATA("[Measures].[mOldUGIS]",'Pivot Table Totals'!$A$31,"[Range 1].[State]","[Range 1].[State].&amp;[LA]")</f>
        <v>4279.04</v>
      </c>
      <c r="D133" s="31">
        <f>GETPIVOTDATA("[Measures].[mNewUGIS]",'Pivot Table Totals'!$A$31,"[Range 1].[State]","[Range 1].[State].&amp;[LA]")</f>
        <v>4279.04</v>
      </c>
      <c r="E133" s="21">
        <f t="shared" si="28"/>
        <v>0</v>
      </c>
      <c r="F133" s="31">
        <f>GETPIVOTDATA("[Measures].[mOldUGOS]",'Pivot Table Totals'!$A$31,"[Range 1].[State]","[Range 1].[State].&amp;[LA]")</f>
        <v>4279.04</v>
      </c>
      <c r="G133" s="31">
        <f>GETPIVOTDATA("[Measures].[mNewUGOS]",'Pivot Table Totals'!$A$31,"[Range 1].[State]","[Range 1].[State].&amp;[LA]")</f>
        <v>4279.04</v>
      </c>
      <c r="H133" s="21">
        <f t="shared" si="29"/>
        <v>0</v>
      </c>
      <c r="I133" s="31">
        <f>GETPIVOTDATA("[Measures].[mOldGIS]",'Pivot Table Totals'!$A$31,"[Range 1].[State]","[Range 1].[State].&amp;[LA]")</f>
        <v>0</v>
      </c>
      <c r="J133" s="31">
        <f>GETPIVOTDATA("[Measures].[mNewGIS]",'Pivot Table Totals'!$A$31,"[Range 1].[State]","[Range 1].[State].&amp;[LA]")</f>
        <v>0</v>
      </c>
      <c r="K133" s="21">
        <f t="shared" si="30"/>
        <v>0</v>
      </c>
      <c r="L133" s="31">
        <f>GETPIVOTDATA("[Measures].[mOldGOS]",'Pivot Table Totals'!$A$31,"[Range 1].[State]","[Range 1].[State].&amp;[LA]")</f>
        <v>0</v>
      </c>
      <c r="M133" s="31">
        <f>GETPIVOTDATA("[Measures].[mNewGOS]",'Pivot Table Totals'!$A$31,"[Range 1].[State]","[Range 1].[State].&amp;[LA]")</f>
        <v>0</v>
      </c>
      <c r="N133" s="21">
        <f t="shared" si="31"/>
        <v>0</v>
      </c>
      <c r="O133" s="36"/>
      <c r="P133" s="37"/>
      <c r="Q133" s="38"/>
      <c r="R133" s="36"/>
      <c r="S133" s="37"/>
      <c r="T133" s="38"/>
      <c r="U133" s="36"/>
      <c r="V133" s="37"/>
      <c r="W133" s="38"/>
      <c r="X133" s="36"/>
      <c r="Y133" s="37"/>
      <c r="Z133" s="38"/>
      <c r="AA133" s="36"/>
      <c r="AB133" s="37"/>
      <c r="AC133" s="38"/>
      <c r="AD133" s="36"/>
      <c r="AE133" s="37"/>
      <c r="AF133" s="38"/>
      <c r="AG133" s="36"/>
      <c r="AH133" s="37"/>
      <c r="AI133" s="38"/>
      <c r="AJ133" s="36"/>
      <c r="AK133" s="37"/>
      <c r="AL133" s="38"/>
      <c r="AM133" s="36"/>
      <c r="AN133" s="37"/>
      <c r="AO133" s="38"/>
      <c r="AP133" s="36"/>
      <c r="AQ133" s="37"/>
      <c r="AR133" s="38"/>
      <c r="AS133" s="36"/>
      <c r="AT133" s="37"/>
      <c r="AU133" s="38"/>
      <c r="AV133" s="36"/>
      <c r="AW133" s="37"/>
      <c r="AX133" s="38"/>
      <c r="AY133" s="36"/>
      <c r="AZ133" s="37"/>
      <c r="BA133" s="38"/>
      <c r="BB133" s="36"/>
      <c r="BC133" s="37"/>
      <c r="BD133" s="38"/>
    </row>
    <row r="134" spans="1:56">
      <c r="A134" s="28"/>
      <c r="B134" s="19" t="s">
        <v>556</v>
      </c>
      <c r="C134" s="20">
        <f>IFERROR(GETPIVOTDATA("[Measures].[mOldUGIS]",'Pivot Table Cats'!$A$3,"[Range 1].[State]","[Range 1].[State].&amp;[LA]","[Range 1].[Type]","[Range 1].[Type].&amp;[12]")," ")</f>
        <v>4114.04</v>
      </c>
      <c r="D134" s="20">
        <f>IFERROR(GETPIVOTDATA("[Measures].[mNewUGIS]",'Pivot Table Cats'!$A$3,"[Range 1].[State]","[Range 1].[State].&amp;[LA]","[Range 1].[Type]","[Range 1].[Type].&amp;[12]")," ")</f>
        <v>4193.9549999999999</v>
      </c>
      <c r="E134" s="21">
        <f t="shared" si="28"/>
        <v>1.9424944823093593</v>
      </c>
      <c r="F134" s="20">
        <f>IFERROR(GETPIVOTDATA("[Measures].[mOldUGOS]",'Pivot Table Cats'!$A$3,"[Range 1].[State]","[Range 1].[State].&amp;[LA]","[Range 1].[Type]","[Range 1].[Type].&amp;[12]")," ")</f>
        <v>4114.04</v>
      </c>
      <c r="G134" s="20">
        <f>IFERROR(GETPIVOTDATA("[Measures].[mNewUGOS]",'Pivot Table Cats'!$A$3,"[Range 1].[State]","[Range 1].[State].&amp;[LA]","[Range 1].[Type]","[Range 1].[Type].&amp;[12]")," ")</f>
        <v>4193.9549999999999</v>
      </c>
      <c r="H134" s="21">
        <f t="shared" si="29"/>
        <v>1.9424944823093593</v>
      </c>
      <c r="I134" s="20">
        <f>IFERROR(GETPIVOTDATA("[Measures].[mOldGIS]",'Pivot Table Cats'!$A$3,"[Range 1].[State]","[Range 1].[State].&amp;[LA]","[Range 1].[Type]","[Range 1].[Type].&amp;[12]")," ")</f>
        <v>0</v>
      </c>
      <c r="J134" s="20">
        <f>IFERROR(GETPIVOTDATA("[Measures].[mNewGIS]",'Pivot Table Cats'!$A$3,"[Range 1].[State]","[Range 1].[State].&amp;[LA]","[Range 1].[Type]","[Range 1].[Type].&amp;[12]")," ")</f>
        <v>0</v>
      </c>
      <c r="K134" s="21">
        <f t="shared" si="30"/>
        <v>0</v>
      </c>
      <c r="L134" s="20">
        <f>IFERROR(GETPIVOTDATA("[Measures].[mOldGOS]",'Pivot Table Cats'!$A$3,"[Range 1].[State]","[Range 1].[State].&amp;[LA]","[Range 1].[Type]","[Range 1].[Type].&amp;[12]")," ")</f>
        <v>0</v>
      </c>
      <c r="M134" s="20">
        <f>IFERROR(GETPIVOTDATA("[Measures].[mNewGOS]",'Pivot Table Cats'!$A$3,"[Range 1].[State]","[Range 1].[State].&amp;[LA]","[Range 1].[Type]","[Range 1].[Type].&amp;[12]")," ")</f>
        <v>0</v>
      </c>
      <c r="N134" s="21">
        <f t="shared" si="31"/>
        <v>0</v>
      </c>
      <c r="O134" s="25"/>
      <c r="P134" s="26"/>
      <c r="Q134" s="27"/>
      <c r="R134" s="25"/>
      <c r="S134" s="26"/>
      <c r="T134" s="27"/>
      <c r="U134" s="25"/>
      <c r="V134" s="26"/>
      <c r="W134" s="27"/>
      <c r="X134" s="25"/>
      <c r="Y134" s="26"/>
      <c r="Z134" s="27"/>
      <c r="AA134" s="25"/>
      <c r="AB134" s="26"/>
      <c r="AC134" s="27"/>
      <c r="AD134" s="25"/>
      <c r="AE134" s="26"/>
      <c r="AF134" s="27"/>
      <c r="AG134" s="25"/>
      <c r="AH134" s="26"/>
      <c r="AI134" s="27"/>
      <c r="AJ134" s="25"/>
      <c r="AK134" s="26"/>
      <c r="AL134" s="27"/>
      <c r="AM134" s="25"/>
      <c r="AN134" s="26"/>
      <c r="AO134" s="27"/>
      <c r="AP134" s="25"/>
      <c r="AQ134" s="26"/>
      <c r="AR134" s="27"/>
      <c r="AS134" s="25"/>
      <c r="AT134" s="26"/>
      <c r="AU134" s="27"/>
      <c r="AV134" s="25"/>
      <c r="AW134" s="26"/>
      <c r="AX134" s="27"/>
      <c r="AY134" s="25"/>
      <c r="AZ134" s="26"/>
      <c r="BA134" s="27"/>
      <c r="BB134" s="25"/>
      <c r="BC134" s="26"/>
      <c r="BD134" s="27"/>
    </row>
    <row r="135" spans="1:56">
      <c r="A135" s="28"/>
      <c r="B135" s="19" t="s">
        <v>557</v>
      </c>
      <c r="C135" s="20">
        <f>IFERROR(GETPIVOTDATA("[Measures].[mOldUGIS]",'Pivot Table Cats'!$A$3,"[Range 1].[State]","[Range 1].[State].&amp;[LA]","[Range 1].[Type]","[Range 1].[Type].&amp;[13]")," ")</f>
        <v>4109.3500000000004</v>
      </c>
      <c r="D135" s="20">
        <f>IFERROR(GETPIVOTDATA("[Measures].[mNewUGIS]",'Pivot Table Cats'!$A$3,"[Range 1].[State]","[Range 1].[State].&amp;[LA]","[Range 1].[Type]","[Range 1].[Type].&amp;[13]")," ")</f>
        <v>4109.3500000000004</v>
      </c>
      <c r="E135" s="21">
        <f t="shared" si="28"/>
        <v>0</v>
      </c>
      <c r="F135" s="20">
        <f>IFERROR(GETPIVOTDATA("[Measures].[mOldUGOS]",'Pivot Table Cats'!$A$3,"[Range 1].[State]","[Range 1].[State].&amp;[LA]","[Range 1].[Type]","[Range 1].[Type].&amp;[13]")," ")</f>
        <v>4109.3500000000004</v>
      </c>
      <c r="G135" s="20">
        <f>IFERROR(GETPIVOTDATA("[Measures].[mNewUGOS]",'Pivot Table Cats'!$A$3,"[Range 1].[State]","[Range 1].[State].&amp;[LA]","[Range 1].[Type]","[Range 1].[Type].&amp;[13]")," ")</f>
        <v>4109.3500000000004</v>
      </c>
      <c r="H135" s="21">
        <f t="shared" si="29"/>
        <v>0</v>
      </c>
      <c r="I135" s="20">
        <f>IFERROR(GETPIVOTDATA("[Measures].[mOldGIS]",'Pivot Table Cats'!$A$3,"[Range 1].[State]","[Range 1].[State].&amp;[LA]","[Range 1].[Type]","[Range 1].[Type].&amp;[13]")," ")</f>
        <v>0</v>
      </c>
      <c r="J135" s="20">
        <f>IFERROR(GETPIVOTDATA("[Measures].[mNewGIS]",'Pivot Table Cats'!$A$3,"[Range 1].[State]","[Range 1].[State].&amp;[LA]","[Range 1].[Type]","[Range 1].[Type].&amp;[13]")," ")</f>
        <v>0</v>
      </c>
      <c r="K135" s="21">
        <f t="shared" si="30"/>
        <v>0</v>
      </c>
      <c r="L135" s="20">
        <f>IFERROR(GETPIVOTDATA("[Measures].[mOldGOS]",'Pivot Table Cats'!$A$3,"[Range 1].[State]","[Range 1].[State].&amp;[LA]","[Range 1].[Type]","[Range 1].[Type].&amp;[13]")," ")</f>
        <v>0</v>
      </c>
      <c r="M135" s="20">
        <f>IFERROR(GETPIVOTDATA("[Measures].[mNewGOS]",'Pivot Table Cats'!$A$3,"[Range 1].[State]","[Range 1].[State].&amp;[LA]","[Range 1].[Type]","[Range 1].[Type].&amp;[13]")," ")</f>
        <v>0</v>
      </c>
      <c r="N135" s="21">
        <f t="shared" si="31"/>
        <v>0</v>
      </c>
      <c r="O135" s="25"/>
      <c r="P135" s="26"/>
      <c r="Q135" s="27"/>
      <c r="R135" s="25"/>
      <c r="S135" s="26"/>
      <c r="T135" s="27"/>
      <c r="U135" s="25"/>
      <c r="V135" s="26"/>
      <c r="W135" s="27"/>
      <c r="X135" s="25"/>
      <c r="Y135" s="26"/>
      <c r="Z135" s="27"/>
      <c r="AA135" s="25"/>
      <c r="AB135" s="26"/>
      <c r="AC135" s="27"/>
      <c r="AD135" s="25"/>
      <c r="AE135" s="26"/>
      <c r="AF135" s="27"/>
      <c r="AG135" s="25"/>
      <c r="AH135" s="26"/>
      <c r="AI135" s="27"/>
      <c r="AJ135" s="25"/>
      <c r="AK135" s="26"/>
      <c r="AL135" s="27"/>
      <c r="AM135" s="25"/>
      <c r="AN135" s="26"/>
      <c r="AO135" s="27"/>
      <c r="AP135" s="25"/>
      <c r="AQ135" s="26"/>
      <c r="AR135" s="27"/>
      <c r="AS135" s="25"/>
      <c r="AT135" s="26"/>
      <c r="AU135" s="27"/>
      <c r="AV135" s="25"/>
      <c r="AW135" s="26"/>
      <c r="AX135" s="27"/>
      <c r="AY135" s="25"/>
      <c r="AZ135" s="26"/>
      <c r="BA135" s="27"/>
      <c r="BB135" s="25"/>
      <c r="BC135" s="26"/>
      <c r="BD135" s="27"/>
    </row>
    <row r="136" spans="1:56">
      <c r="A136" s="28"/>
      <c r="B136" s="19" t="s">
        <v>558</v>
      </c>
      <c r="C136" s="20" t="str">
        <f>IFERROR(GETPIVOTDATA("[Measures].[mOldUGIS]",'Pivot Table Cats'!$A$3,"[Range 1].[State]","[Range 1].[State].&amp;[LA]","[Range 1].[Type]","[Range 1].[Type].&amp;[14]")," ")</f>
        <v xml:space="preserve"> </v>
      </c>
      <c r="D136" s="20" t="str">
        <f>IFERROR(GETPIVOTDATA("[Measures].[mNewUGIS]",'Pivot Table Cats'!$A$3,"[Range 1].[State]","[Range 1].[State].&amp;[LA]","[Range 1].[Type]","[Range 1].[Type].&amp;[14]")," ")</f>
        <v xml:space="preserve"> </v>
      </c>
      <c r="E136" s="21" t="str">
        <f t="shared" si="28"/>
        <v xml:space="preserve"> </v>
      </c>
      <c r="F136" s="20" t="str">
        <f>IFERROR(GETPIVOTDATA("[Measures].[mOldUGOS]",'Pivot Table Cats'!$A$3,"[Range 1].[State]","[Range 1].[State].&amp;[LA]","[Range 1].[Type]","[Range 1].[Type].&amp;[14]")," ")</f>
        <v xml:space="preserve"> </v>
      </c>
      <c r="G136" s="20" t="str">
        <f>IFERROR(GETPIVOTDATA("[Measures].[mNewUGOS]",'Pivot Table Cats'!$A$3,"[Range 1].[State]","[Range 1].[State].&amp;[LA]","[Range 1].[Type]","[Range 1].[Type].&amp;[14]")," ")</f>
        <v xml:space="preserve"> </v>
      </c>
      <c r="H136" s="21" t="str">
        <f t="shared" si="29"/>
        <v xml:space="preserve"> </v>
      </c>
      <c r="I136" s="20" t="str">
        <f>IFERROR(GETPIVOTDATA("[Measures].[mOldGIS]",'Pivot Table Cats'!$A$3,"[Range 1].[State]","[Range 1].[State].&amp;[LA]","[Range 1].[Type]","[Range 1].[Type].&amp;[14]")," ")</f>
        <v xml:space="preserve"> </v>
      </c>
      <c r="J136" s="20" t="str">
        <f>IFERROR(GETPIVOTDATA("[Measures].[mNewGIS]",'Pivot Table Cats'!$A$3,"[Range 1].[State]","[Range 1].[State].&amp;[LA]","[Range 1].[Type]","[Range 1].[Type].&amp;[14]")," ")</f>
        <v xml:space="preserve"> </v>
      </c>
      <c r="K136" s="21" t="str">
        <f t="shared" si="30"/>
        <v xml:space="preserve"> </v>
      </c>
      <c r="L136" s="20" t="str">
        <f>IFERROR(GETPIVOTDATA("[Measures].[mOldGOS]",'Pivot Table Cats'!$A$3,"[Range 1].[State]","[Range 1].[State].&amp;[LA]","[Range 1].[Type]","[Range 1].[Type].&amp;[14]")," ")</f>
        <v xml:space="preserve"> </v>
      </c>
      <c r="M136" s="20" t="str">
        <f>IFERROR(GETPIVOTDATA("[Measures].[mNewGOS]",'Pivot Table Cats'!$A$3,"[Range 1].[State]","[Range 1].[State].&amp;[LA]","[Range 1].[Type]","[Range 1].[Type].&amp;[14]")," ")</f>
        <v xml:space="preserve"> </v>
      </c>
      <c r="N136" s="21" t="str">
        <f t="shared" si="31"/>
        <v xml:space="preserve"> </v>
      </c>
      <c r="O136" s="25"/>
      <c r="P136" s="26"/>
      <c r="Q136" s="27"/>
      <c r="R136" s="25"/>
      <c r="S136" s="26"/>
      <c r="T136" s="27"/>
      <c r="U136" s="25"/>
      <c r="V136" s="26"/>
      <c r="W136" s="27"/>
      <c r="X136" s="25"/>
      <c r="Y136" s="26"/>
      <c r="Z136" s="27"/>
      <c r="AA136" s="25"/>
      <c r="AB136" s="26"/>
      <c r="AC136" s="27"/>
      <c r="AD136" s="25"/>
      <c r="AE136" s="26"/>
      <c r="AF136" s="27"/>
      <c r="AG136" s="25"/>
      <c r="AH136" s="26"/>
      <c r="AI136" s="27"/>
      <c r="AJ136" s="25"/>
      <c r="AK136" s="26"/>
      <c r="AL136" s="27"/>
      <c r="AM136" s="25"/>
      <c r="AN136" s="26"/>
      <c r="AO136" s="27"/>
      <c r="AP136" s="25"/>
      <c r="AQ136" s="26"/>
      <c r="AR136" s="27"/>
      <c r="AS136" s="25"/>
      <c r="AT136" s="26"/>
      <c r="AU136" s="27"/>
      <c r="AV136" s="25"/>
      <c r="AW136" s="26"/>
      <c r="AX136" s="27"/>
      <c r="AY136" s="25"/>
      <c r="AZ136" s="26"/>
      <c r="BA136" s="27"/>
      <c r="BB136" s="25"/>
      <c r="BC136" s="26"/>
      <c r="BD136" s="27"/>
    </row>
    <row r="137" spans="1:56" s="49" customFormat="1" ht="21.75" customHeight="1">
      <c r="A137" s="48"/>
      <c r="B137" s="30" t="s">
        <v>559</v>
      </c>
      <c r="C137" s="31">
        <f>IFERROR(GETPIVOTDATA("[Measures].[mOldUGIS]",'Pivot Table Totals'!$A$59,"[Range 1].[State]","[Range 1].[State].&amp;[LA]"), " ")</f>
        <v>4109.3500000000004</v>
      </c>
      <c r="D137" s="31">
        <f>IFERROR(GETPIVOTDATA("[Measures].[mNewUGIS]",'Pivot Table Totals'!$A$59,"[Range 1].[State]","[Range 1].[State].&amp;[LA]"), " ")</f>
        <v>4184.87</v>
      </c>
      <c r="E137" s="21">
        <f t="shared" si="28"/>
        <v>1.8377602297200171</v>
      </c>
      <c r="F137" s="31">
        <f>IFERROR(GETPIVOTDATA("[Measures].[mOldUGOS]",'Pivot Table Totals'!$A$59,"[Range 1].[State]","[Range 1].[State].&amp;[LA]"), " " )</f>
        <v>4109.3500000000004</v>
      </c>
      <c r="G137" s="31">
        <f>IFERROR(GETPIVOTDATA("[Measures].[mNewUGOS]",'Pivot Table Totals'!$A$59,"[Range 1].[State]","[Range 1].[State].&amp;[LA]"), " ")</f>
        <v>4184.87</v>
      </c>
      <c r="H137" s="21">
        <f t="shared" si="29"/>
        <v>1.8377602297200171</v>
      </c>
      <c r="I137" s="31">
        <f>IFERROR(GETPIVOTDATA("[Measures].[mOldGIS]",'Pivot Table Totals'!$A$59,"[Range 1].[State]","[Range 1].[State].&amp;[LA]"), " ")</f>
        <v>0</v>
      </c>
      <c r="J137" s="31">
        <f>IFERROR(GETPIVOTDATA("[Measures].[mNewGIS]",'Pivot Table Totals'!$A$59,"[Range 1].[State]","[Range 1].[State].&amp;[LA]"), " ")</f>
        <v>0</v>
      </c>
      <c r="K137" s="21">
        <f t="shared" si="30"/>
        <v>0</v>
      </c>
      <c r="L137" s="31">
        <f>IFERROR(GETPIVOTDATA("[Measures].[mOldGOS]",'Pivot Table Totals'!$A$59,"[Range 1].[State]","[Range 1].[State].&amp;[LA]"), " ")</f>
        <v>0</v>
      </c>
      <c r="M137" s="31">
        <f>IFERROR(GETPIVOTDATA("[Measures].[mNewGOS]",'Pivot Table Totals'!$A$59,"[Range 1].[State]","[Range 1].[State].&amp;[LA]"), " ")</f>
        <v>0</v>
      </c>
      <c r="N137" s="21">
        <f t="shared" si="31"/>
        <v>0</v>
      </c>
      <c r="O137" s="36"/>
      <c r="P137" s="37"/>
      <c r="Q137" s="38"/>
      <c r="R137" s="36"/>
      <c r="S137" s="37"/>
      <c r="T137" s="38"/>
      <c r="U137" s="36"/>
      <c r="V137" s="37"/>
      <c r="W137" s="38"/>
      <c r="X137" s="36"/>
      <c r="Y137" s="37"/>
      <c r="Z137" s="38"/>
      <c r="AA137" s="36"/>
      <c r="AB137" s="37"/>
      <c r="AC137" s="38"/>
      <c r="AD137" s="36"/>
      <c r="AE137" s="37"/>
      <c r="AF137" s="38"/>
      <c r="AG137" s="36"/>
      <c r="AH137" s="37"/>
      <c r="AI137" s="38"/>
      <c r="AJ137" s="36"/>
      <c r="AK137" s="37"/>
      <c r="AL137" s="38"/>
      <c r="AM137" s="36"/>
      <c r="AN137" s="37"/>
      <c r="AO137" s="38"/>
      <c r="AP137" s="36"/>
      <c r="AQ137" s="37"/>
      <c r="AR137" s="38"/>
      <c r="AS137" s="36"/>
      <c r="AT137" s="37"/>
      <c r="AU137" s="38"/>
      <c r="AV137" s="36"/>
      <c r="AW137" s="37"/>
      <c r="AX137" s="38"/>
      <c r="AY137" s="36"/>
      <c r="AZ137" s="37"/>
      <c r="BA137" s="38"/>
      <c r="BB137" s="36"/>
      <c r="BC137" s="37"/>
      <c r="BD137" s="38"/>
    </row>
    <row r="138" spans="1:56">
      <c r="A138" s="40"/>
      <c r="B138" s="41" t="s">
        <v>560</v>
      </c>
      <c r="C138" s="42"/>
      <c r="D138" s="42"/>
      <c r="E138" s="335"/>
      <c r="F138" s="42"/>
      <c r="G138" s="42"/>
      <c r="H138" s="44"/>
      <c r="I138" s="45"/>
      <c r="J138" s="42"/>
      <c r="K138" s="44"/>
      <c r="L138" s="45"/>
      <c r="M138" s="42"/>
      <c r="N138" s="44"/>
      <c r="O138" s="336">
        <f>IFERROR(GETPIVOTDATA("[Measures].[mOldLawIS]",'Pivot Table Totals'!$A$79,"[Range 1].[State]","[Range 1].[State].&amp;[LA]"), " ")</f>
        <v>20553.5</v>
      </c>
      <c r="P138" s="42">
        <f>IFERROR(GETPIVOTDATA("[Measures].[mNewLawIS]",'Pivot Table Totals'!$A$79,"[Range 1].[State]","[Range 1].[State].&amp;[LA]"), " ")</f>
        <v>20551.45</v>
      </c>
      <c r="Q138" s="46">
        <f>IFERROR(IF(O138&gt;0,(((P138-O138)/O138)*100),0), " ")</f>
        <v>-9.9739703700064339E-3</v>
      </c>
      <c r="R138" s="336">
        <f>IFERROR(GETPIVOTDATA("[Measures].[mOldLawOS]",'Pivot Table Totals'!$A$79,"[Range 1].[State]","[Range 1].[State].&amp;[LA]"), " ")</f>
        <v>34573.5</v>
      </c>
      <c r="S138" s="336">
        <f>IFERROR(GETPIVOTDATA("[Measures].[mNewLawOS]",'Pivot Table Totals'!$A$79,"[Range 1].[State]","[Range 1].[State].&amp;[LA]"), " ")</f>
        <v>34571.449999999997</v>
      </c>
      <c r="T138" s="46">
        <f>IFERROR(IF(R138&gt;0,(((S138-R138)/R138)*100),0), " ")</f>
        <v>-5.9293967923493727E-3</v>
      </c>
      <c r="U138" s="336">
        <f>IFERROR(GETPIVOTDATA("[Measures].[mOldMedIS]",'Pivot Table Totals'!$A$79,"[Range 1].[State]","[Range 1].[State].&amp;[LA]"), " ")</f>
        <v>31140.1</v>
      </c>
      <c r="V138" s="336">
        <f>IFERROR(GETPIVOTDATA("[Measures].[mNewMedIS]",'Pivot Table Totals'!$A$79,"[Range 1].[State]","[Range 1].[State].&amp;[LA]"), " ")</f>
        <v>31140.1</v>
      </c>
      <c r="W138" s="46">
        <f>IFERROR(IF(U138&gt;0,(((V138-U138)/U138)*100),0), " ")</f>
        <v>0</v>
      </c>
      <c r="X138" s="336">
        <f>IFERROR(GETPIVOTDATA("[Measures].[mOldMedOS]",'Pivot Table Totals'!$A$79,"[Range 1].[State]","[Range 1].[State].&amp;[LA]"), " ")</f>
        <v>61139.770000000004</v>
      </c>
      <c r="Y138" s="336">
        <f>IFERROR(GETPIVOTDATA("[Measures].[mNewMedOS]",'Pivot Table Totals'!$A$79,"[Range 1].[State]","[Range 1].[State].&amp;[LA]"), " ")</f>
        <v>61139.770000000004</v>
      </c>
      <c r="Z138" s="46">
        <f>IFERROR(IF(X138&gt;0,(((Y138-X138)/X138)*100),0), " ")</f>
        <v>0</v>
      </c>
      <c r="AA138" s="336">
        <f>IFERROR(GETPIVOTDATA("[Measures].[mOldDenIS]",'Pivot Table Totals'!$A$79,"[Range 1].[State]","[Range 1].[State].&amp;[LA]"), " ")</f>
        <v>34403</v>
      </c>
      <c r="AB138" s="336">
        <f>IFERROR(GETPIVOTDATA("[Measures].[mNewDenIS]",'Pivot Table Totals'!$A$79,"[Range 1].[State]","[Range 1].[State].&amp;[LA]"), " ")</f>
        <v>34403</v>
      </c>
      <c r="AC138" s="46">
        <f>IFERROR(IF(AA138&gt;0,(((AB138-AA138)/AA138)*100),0), " ")</f>
        <v>0</v>
      </c>
      <c r="AD138" s="336">
        <f>IFERROR(GETPIVOTDATA("[Measures].[mOldDenOS]",'Pivot Table Totals'!$A$79,"[Range 1].[State]","[Range 1].[State].&amp;[LA]"), " ")</f>
        <v>63869</v>
      </c>
      <c r="AE138" s="336">
        <f>IFERROR(GETPIVOTDATA("[Measures].[mNewDenOS]",'Pivot Table Totals'!$A$79,"[Range 1].[State]","[Range 1].[State].&amp;[LA]"), " ")</f>
        <v>63869</v>
      </c>
      <c r="AF138" s="46">
        <f>IFERROR(IF(AD138&gt;0,(((AE138-AD138)/AD138)*100),0), " ")</f>
        <v>0</v>
      </c>
      <c r="AG138" s="336">
        <f>IFERROR(GETPIVOTDATA("[Measures].[mOldPhrIS]",'Pivot Table Totals'!$A$79,"[Range 1].[State]","[Range 1].[State].&amp;[LA]"), " ")</f>
        <v>24493</v>
      </c>
      <c r="AH138" s="336">
        <f>IFERROR(GETPIVOTDATA("[Measures].[mNewPhIS]",'Pivot Table Totals'!$A$79,"[Range 1].[State]","[Range 1].[State].&amp;[LA]"), " ")</f>
        <v>24481</v>
      </c>
      <c r="AI138" s="46">
        <f>IFERROR(IF(AG138&gt;0,(((AH138-AG138)/AG138)*100),0), " ")</f>
        <v>-4.899359000530764E-2</v>
      </c>
      <c r="AJ138" s="336">
        <f>IFERROR(GETPIVOTDATA("[Measures].[mOldPhrOS]",'Pivot Table Totals'!$A$79,"[Range 1].[State]","[Range 1].[State].&amp;[LA]"), " ")</f>
        <v>44749</v>
      </c>
      <c r="AK138" s="336">
        <f>IFERROR(GETPIVOTDATA("[Measures].[mNewPhrOS]",'Pivot Table Totals'!$A$79,"[Range 1].[State]","[Range 1].[State].&amp;[LA]"), " ")</f>
        <v>44737</v>
      </c>
      <c r="AL138" s="46">
        <f>IFERROR(IF(AJ138&gt;0,(((AQ138-AJ138)/AJ138)*100),0), " ")</f>
        <v>-100</v>
      </c>
      <c r="AM138" s="336">
        <f>IFERROR(GETPIVOTDATA("[Measures].[mOldOptIS]",'Pivot Table Totals'!$A$79,"[Range 1].[State]","[Range 1].[State].&amp;[LA]"), " ")</f>
        <v>0</v>
      </c>
      <c r="AN138" s="336">
        <f>IFERROR(GETPIVOTDATA("[Measures].[mNewOptIS]",'Pivot Table Totals'!$A$79,"[Range 1].[State]","[Range 1].[State].&amp;[LA]"), " ")</f>
        <v>0</v>
      </c>
      <c r="AO138" s="46">
        <f>IFERROR(IF(AM138&gt;0,(((AN138-AM138)/AM138)*100),0), " ")</f>
        <v>0</v>
      </c>
      <c r="AP138" s="336">
        <f>IFERROR(GETPIVOTDATA("[Measures].[mOldOptoS]",'Pivot Table Totals'!$A$79,"[Range 1].[State]","[Range 1].[State].&amp;[LA]"), " ")</f>
        <v>0</v>
      </c>
      <c r="AQ138" s="336">
        <f>IFERROR(GETPIVOTDATA("[Measures].[mNewOptoS]",'Pivot Table Totals'!$A$79,"[Range 1].[State]","[Range 1].[State].&amp;[LA]"), " ")</f>
        <v>0</v>
      </c>
      <c r="AR138" s="46">
        <f>IFERROR(IF(AP138&gt;0,(((AQ138-AP138)/AP138)*100),0), " ")</f>
        <v>0</v>
      </c>
      <c r="AS138" s="336">
        <f>IFERROR(GETPIVOTDATA("[Measures].[mOldOstIS]",'Pivot Table Totals'!$A$79,"[Range 1].[State]","[Range 1].[State].&amp;[LA]"), " ")</f>
        <v>0</v>
      </c>
      <c r="AT138" s="336">
        <f>IFERROR(GETPIVOTDATA("[Measures].[mNewOstIS]",'Pivot Table Totals'!$A$79,"[Range 1].[State]","[Range 1].[State].&amp;[LA]"), " ")</f>
        <v>0</v>
      </c>
      <c r="AU138" s="46">
        <f>IFERROR(IF(AS138&gt;0,(((AT138-AS138)/AS138)*100),0), " ")</f>
        <v>0</v>
      </c>
      <c r="AV138" s="336">
        <f>IFERROR(GETPIVOTDATA("[Measures].[mOldOstOS]",'Pivot Table Totals'!$A$79,"[Range 1].[State]","[Range 1].[State].&amp;[LA]"), " ")</f>
        <v>0</v>
      </c>
      <c r="AW138" s="336">
        <f>IFERROR(GETPIVOTDATA("[Measures].[mNewOstOS]",'Pivot Table Totals'!$A$79,"[Range 1].[State]","[Range 1].[State].&amp;[LA]"), " ")</f>
        <v>0</v>
      </c>
      <c r="AX138" s="46">
        <f>IFERROR(IF(AV138&gt;0,(((AW138-AV138)/AV138)*100),0), " ")</f>
        <v>0</v>
      </c>
      <c r="AY138" s="336">
        <f>IFERROR(GETPIVOTDATA("[Measures].[m[OldVetIS]",'Pivot Table Totals'!$A$79,"[Range 1].[State]","[Range 1].[State].&amp;[LA]"), " ")</f>
        <v>27399</v>
      </c>
      <c r="AZ138" s="336">
        <f>IFERROR(GETPIVOTDATA("[Measures].[mNewVetIS]",'Pivot Table Totals'!$A$79,"[Range 1].[State]","[Range 1].[State].&amp;[LA]"), " ")</f>
        <v>27395</v>
      </c>
      <c r="BA138" s="46">
        <f>IFERROR(IF(AY138&gt;0,(((AZ138-AY138)/AY138)*100),0), " ")</f>
        <v>-1.4599072958867112E-2</v>
      </c>
      <c r="BB138" s="336">
        <f>IFERROR(GETPIVOTDATA("[Measures].[mOldVetOS]",'Pivot Table Totals'!$A$79,"[Range 1].[State]","[Range 1].[State].&amp;[LA]"), " ")</f>
        <v>56499</v>
      </c>
      <c r="BC138" s="336">
        <f>IFERROR(GETPIVOTDATA("[Measures].[mNewVetOS]",'Pivot Table Totals'!$A$79,"[Range 1].[State]","[Range 1].[State].&amp;[LA]"), " ")</f>
        <v>56495</v>
      </c>
      <c r="BD138" s="46">
        <f>IFERROR(IF(BB138&gt;0,(((BC138-BB138)/BB138)*100),0), " ")</f>
        <v>-7.0797713233862547E-3</v>
      </c>
    </row>
    <row r="139" spans="1:56">
      <c r="A139" s="18" t="s">
        <v>252</v>
      </c>
      <c r="B139" s="19" t="s">
        <v>544</v>
      </c>
      <c r="C139" s="20">
        <f>IFERROR(GETPIVOTDATA("[Measures].[mOldUGIS]",'Pivot Table Cats'!$A$3,"[Range 1].[State]","[Range 1].[State].&amp;[MD]","[Range 1].[Type]","[Range 1].[Type].&amp;[1]")," ")</f>
        <v>10779</v>
      </c>
      <c r="D139" s="20">
        <f>IFERROR(GETPIVOTDATA("[Measures].[mNewUGIS]",'Pivot Table Cats'!$A$3,"[Range 1].[State]","[Range 1].[State].&amp;[MD]","[Range 1].[Type]","[Range 1].[Type].&amp;[1]")," ")</f>
        <v>10955</v>
      </c>
      <c r="E139" s="21">
        <f>IFERROR(IF(C139&gt;0,(((D139-C139)/C139)*100),0), " ")</f>
        <v>1.6328045273216438</v>
      </c>
      <c r="F139" s="20">
        <f>IFERROR(GETPIVOTDATA("[Measures].[mOldUGOS]",'Pivot Table Cats'!$A$3,"[Range 1].[State]","[Range 1].[State].&amp;[MD]","[Range 1].[Type]","[Range 1].[Type].&amp;[1]")," ")</f>
        <v>36891</v>
      </c>
      <c r="G139" s="20">
        <f>IFERROR(GETPIVOTDATA("[Measures].[mNewUGOS]",'Pivot Table Cats'!$A$3,"[Range 1].[State]","[Range 1].[State].&amp;[MD]","[Range 1].[Type]","[Range 1].[Type].&amp;[1]")," ")</f>
        <v>38638</v>
      </c>
      <c r="H139" s="21">
        <f>IFERROR(IF(F139&gt;0,(((G139-F139)/F139)*100),0), " ")</f>
        <v>4.7355723618226664</v>
      </c>
      <c r="I139" s="20">
        <f>IFERROR(GETPIVOTDATA("[Measures].[mOldGIS]",'Pivot Table Cats'!$A$3,"[Range 1].[State]","[Range 1].[State].&amp;[MD]","[Range 1].[Type]","[Range 1].[Type].&amp;[1]")," ")</f>
        <v>19485</v>
      </c>
      <c r="J139" s="20">
        <f>IFERROR(GETPIVOTDATA("[Measures].[mNewGIS]",'Pivot Table Cats'!$A$3,"[Range 1].[State]","[Range 1].[State].&amp;[MD]","[Range 1].[Type]","[Range 1].[Type].&amp;[1]")," ")</f>
        <v>20362</v>
      </c>
      <c r="K139" s="21">
        <f>IFERROR(IF(I139&gt;0,(((J139-I139)/I139)*100),0), " ")</f>
        <v>4.5008981267641772</v>
      </c>
      <c r="L139" s="20">
        <f>IFERROR(GETPIVOTDATA("[Measures].[mOldGOS]",'Pivot Table Cats'!$A$3,"[Range 1].[State]","[Range 1].[State].&amp;[MD]","[Range 1].[Type]","[Range 1].[Type].&amp;[1]")," ")</f>
        <v>40941</v>
      </c>
      <c r="M139" s="20">
        <f>IFERROR(GETPIVOTDATA("[Measures].[mNewGOS]",'Pivot Table Cats'!$A$3,"[Range 1].[State]","[Range 1].[State].&amp;[MD]","[Range 1].[Type]","[Range 1].[Type].&amp;[1]")," ")</f>
        <v>42585</v>
      </c>
      <c r="N139" s="21">
        <f>IFERROR(IF(L139&gt;0,(((M139-L139)/L139)*100),0), " ")</f>
        <v>4.0155345497178869</v>
      </c>
      <c r="O139" s="25"/>
      <c r="P139" s="26"/>
      <c r="Q139" s="27"/>
      <c r="R139" s="25"/>
      <c r="S139" s="26"/>
      <c r="T139" s="27"/>
      <c r="U139" s="25"/>
      <c r="V139" s="26"/>
      <c r="W139" s="27"/>
      <c r="X139" s="25"/>
      <c r="Y139" s="26"/>
      <c r="Z139" s="27"/>
      <c r="AA139" s="25"/>
      <c r="AB139" s="26"/>
      <c r="AC139" s="27"/>
      <c r="AD139" s="25"/>
      <c r="AE139" s="26"/>
      <c r="AF139" s="27"/>
      <c r="AG139" s="25"/>
      <c r="AH139" s="26"/>
      <c r="AI139" s="27"/>
      <c r="AJ139" s="25"/>
      <c r="AK139" s="26"/>
      <c r="AL139" s="27"/>
      <c r="AM139" s="25"/>
      <c r="AN139" s="26"/>
      <c r="AO139" s="27"/>
      <c r="AP139" s="25"/>
      <c r="AQ139" s="26"/>
      <c r="AR139" s="27"/>
      <c r="AS139" s="25"/>
      <c r="AT139" s="26"/>
      <c r="AU139" s="27"/>
      <c r="AV139" s="25"/>
      <c r="AW139" s="26"/>
      <c r="AX139" s="27"/>
      <c r="AY139" s="25"/>
      <c r="AZ139" s="26"/>
      <c r="BA139" s="27"/>
      <c r="BB139" s="25"/>
      <c r="BC139" s="26"/>
      <c r="BD139" s="27"/>
    </row>
    <row r="140" spans="1:56">
      <c r="A140" s="28"/>
      <c r="B140" s="19" t="s">
        <v>545</v>
      </c>
      <c r="C140" s="20">
        <f>IFERROR(GETPIVOTDATA("[Measures].[mOldUGIS]",'Pivot Table Cats'!$A$3,"[Range 1].[State]","[Range 1].[State].&amp;[MD]","[Range 1].[Type]","[Range 1].[Type].&amp;[2]")," ")</f>
        <v>9828</v>
      </c>
      <c r="D140" s="20">
        <f>IFERROR(GETPIVOTDATA("[Measures].[mNewUGIS]",'Pivot Table Cats'!$A$3,"[Range 1].[State]","[Range 1].[State].&amp;[MD]","[Range 1].[Type]","[Range 1].[Type].&amp;[2]")," ")</f>
        <v>10144</v>
      </c>
      <c r="E140" s="21">
        <f t="shared" ref="E140:E154" si="32">IFERROR(IF(C140&gt;0,(((D140-C140)/C140)*100),0), " ")</f>
        <v>3.2153032153032153</v>
      </c>
      <c r="F140" s="20">
        <f>IFERROR(GETPIVOTDATA("[Measures].[mOldUGOS]",'Pivot Table Cats'!$A$3,"[Range 1].[State]","[Range 1].[State].&amp;[MD]","[Range 1].[Type]","[Range 1].[Type].&amp;[2]")," ")</f>
        <v>22881</v>
      </c>
      <c r="G140" s="20">
        <f>IFERROR(GETPIVOTDATA("[Measures].[mNewUGOS]",'Pivot Table Cats'!$A$3,"[Range 1].[State]","[Range 1].[State].&amp;[MD]","[Range 1].[Type]","[Range 1].[Type].&amp;[2]")," ")</f>
        <v>23475</v>
      </c>
      <c r="H140" s="21">
        <f t="shared" ref="H140:H154" si="33">IFERROR(IF(F140&gt;0,(((G140-F140)/F140)*100),0), " ")</f>
        <v>2.5960403828503997</v>
      </c>
      <c r="I140" s="20">
        <f>IFERROR(GETPIVOTDATA("[Measures].[mOldGIS]",'Pivot Table Cats'!$A$3,"[Range 1].[State]","[Range 1].[State].&amp;[MD]","[Range 1].[Type]","[Range 1].[Type].&amp;[2]")," ")</f>
        <v>16074</v>
      </c>
      <c r="J140" s="20">
        <f>IFERROR(GETPIVOTDATA("[Measures].[mNewGIS]",'Pivot Table Cats'!$A$3,"[Range 1].[State]","[Range 1].[State].&amp;[MD]","[Range 1].[Type]","[Range 1].[Type].&amp;[2]")," ")</f>
        <v>16518</v>
      </c>
      <c r="K140" s="21">
        <f t="shared" ref="K140:K154" si="34">IFERROR(IF(I140&gt;0,(((J140-I140)/I140)*100),0), " ")</f>
        <v>2.7622247107129527</v>
      </c>
      <c r="L140" s="20">
        <f>IFERROR(GETPIVOTDATA("[Measures].[mOldGOS]",'Pivot Table Cats'!$A$3,"[Range 1].[State]","[Range 1].[State].&amp;[MD]","[Range 1].[Type]","[Range 1].[Type].&amp;[2]")," ")</f>
        <v>27015</v>
      </c>
      <c r="M140" s="20">
        <f>IFERROR(GETPIVOTDATA("[Measures].[mNewGOS]",'Pivot Table Cats'!$A$3,"[Range 1].[State]","[Range 1].[State].&amp;[MD]","[Range 1].[Type]","[Range 1].[Type].&amp;[2]")," ")</f>
        <v>27426</v>
      </c>
      <c r="N140" s="21">
        <f t="shared" ref="N140:N154" si="35">IFERROR(IF(L140&gt;0,(((M140-L140)/L140)*100),0), " ")</f>
        <v>1.5213770127706829</v>
      </c>
      <c r="O140" s="25"/>
      <c r="P140" s="26"/>
      <c r="Q140" s="27"/>
      <c r="R140" s="25"/>
      <c r="S140" s="26"/>
      <c r="T140" s="27"/>
      <c r="U140" s="25"/>
      <c r="V140" s="26"/>
      <c r="W140" s="27"/>
      <c r="X140" s="25"/>
      <c r="Y140" s="26"/>
      <c r="Z140" s="27"/>
      <c r="AA140" s="25"/>
      <c r="AB140" s="26"/>
      <c r="AC140" s="27"/>
      <c r="AD140" s="25"/>
      <c r="AE140" s="26"/>
      <c r="AF140" s="27"/>
      <c r="AG140" s="25"/>
      <c r="AH140" s="26"/>
      <c r="AI140" s="27"/>
      <c r="AJ140" s="25"/>
      <c r="AK140" s="26"/>
      <c r="AL140" s="27"/>
      <c r="AM140" s="25"/>
      <c r="AN140" s="26"/>
      <c r="AO140" s="27"/>
      <c r="AP140" s="25"/>
      <c r="AQ140" s="26"/>
      <c r="AR140" s="27"/>
      <c r="AS140" s="25"/>
      <c r="AT140" s="26"/>
      <c r="AU140" s="27"/>
      <c r="AV140" s="25"/>
      <c r="AW140" s="26"/>
      <c r="AX140" s="27"/>
      <c r="AY140" s="25"/>
      <c r="AZ140" s="26"/>
      <c r="BA140" s="27"/>
      <c r="BB140" s="25"/>
      <c r="BC140" s="26"/>
      <c r="BD140" s="27"/>
    </row>
    <row r="141" spans="1:56">
      <c r="A141" s="28"/>
      <c r="B141" s="19" t="s">
        <v>546</v>
      </c>
      <c r="C141" s="20">
        <f>IFERROR(GETPIVOTDATA("[Measures].[mOldUGIS]",'Pivot Table Cats'!$A$3,"[Range 1].[State]","[Range 1].[State].&amp;[MD]","[Range 1].[Type]","[Range 1].[Type].&amp;[3]")," ")</f>
        <v>9647</v>
      </c>
      <c r="D141" s="20">
        <f>IFERROR(GETPIVOTDATA("[Measures].[mNewUGIS]",'Pivot Table Cats'!$A$3,"[Range 1].[State]","[Range 1].[State].&amp;[MD]","[Range 1].[Type]","[Range 1].[Type].&amp;[3]")," ")</f>
        <v>9914</v>
      </c>
      <c r="E141" s="21">
        <f t="shared" si="32"/>
        <v>2.7676998030475799</v>
      </c>
      <c r="F141" s="20">
        <f>IFERROR(GETPIVOTDATA("[Measures].[mOldUGOS]",'Pivot Table Cats'!$A$3,"[Range 1].[State]","[Range 1].[State].&amp;[MD]","[Range 1].[Type]","[Range 1].[Type].&amp;[3]")," ")</f>
        <v>22895</v>
      </c>
      <c r="G141" s="20">
        <f>IFERROR(GETPIVOTDATA("[Measures].[mNewUGOS]",'Pivot Table Cats'!$A$3,"[Range 1].[State]","[Range 1].[State].&amp;[MD]","[Range 1].[Type]","[Range 1].[Type].&amp;[3]")," ")</f>
        <v>24033</v>
      </c>
      <c r="H141" s="21">
        <f t="shared" si="33"/>
        <v>4.970517580257698</v>
      </c>
      <c r="I141" s="20">
        <f>IFERROR(GETPIVOTDATA("[Measures].[mOldGIS]",'Pivot Table Cats'!$A$3,"[Range 1].[State]","[Range 1].[State].&amp;[MD]","[Range 1].[Type]","[Range 1].[Type].&amp;[3]")," ")</f>
        <v>17269</v>
      </c>
      <c r="J141" s="20">
        <f>IFERROR(GETPIVOTDATA("[Measures].[mNewGIS]",'Pivot Table Cats'!$A$3,"[Range 1].[State]","[Range 1].[State].&amp;[MD]","[Range 1].[Type]","[Range 1].[Type].&amp;[3]")," ")</f>
        <v>19005.125</v>
      </c>
      <c r="K141" s="21">
        <f t="shared" si="34"/>
        <v>10.053419422085819</v>
      </c>
      <c r="L141" s="20">
        <f>IFERROR(GETPIVOTDATA("[Measures].[mOldGOS]",'Pivot Table Cats'!$A$3,"[Range 1].[State]","[Range 1].[State].&amp;[MD]","[Range 1].[Type]","[Range 1].[Type].&amp;[3]")," ")</f>
        <v>27133</v>
      </c>
      <c r="M141" s="20">
        <f>IFERROR(GETPIVOTDATA("[Measures].[mNewGOS]",'Pivot Table Cats'!$A$3,"[Range 1].[State]","[Range 1].[State].&amp;[MD]","[Range 1].[Type]","[Range 1].[Type].&amp;[3]")," ")</f>
        <v>28030.2181818182</v>
      </c>
      <c r="N141" s="21">
        <f t="shared" si="35"/>
        <v>3.3067415391523234</v>
      </c>
      <c r="O141" s="25"/>
      <c r="P141" s="26"/>
      <c r="Q141" s="27"/>
      <c r="R141" s="25"/>
      <c r="S141" s="26"/>
      <c r="T141" s="27"/>
      <c r="U141" s="25"/>
      <c r="V141" s="26"/>
      <c r="W141" s="27"/>
      <c r="X141" s="25"/>
      <c r="Y141" s="26"/>
      <c r="Z141" s="27"/>
      <c r="AA141" s="25"/>
      <c r="AB141" s="26"/>
      <c r="AC141" s="27"/>
      <c r="AD141" s="25"/>
      <c r="AE141" s="26"/>
      <c r="AF141" s="27"/>
      <c r="AG141" s="25"/>
      <c r="AH141" s="26"/>
      <c r="AI141" s="27"/>
      <c r="AJ141" s="25"/>
      <c r="AK141" s="26"/>
      <c r="AL141" s="27"/>
      <c r="AM141" s="25"/>
      <c r="AN141" s="26"/>
      <c r="AO141" s="27"/>
      <c r="AP141" s="25"/>
      <c r="AQ141" s="26"/>
      <c r="AR141" s="27"/>
      <c r="AS141" s="25"/>
      <c r="AT141" s="26"/>
      <c r="AU141" s="27"/>
      <c r="AV141" s="25"/>
      <c r="AW141" s="26"/>
      <c r="AX141" s="27"/>
      <c r="AY141" s="25"/>
      <c r="AZ141" s="26"/>
      <c r="BA141" s="27"/>
      <c r="BB141" s="25"/>
      <c r="BC141" s="26"/>
      <c r="BD141" s="27"/>
    </row>
    <row r="142" spans="1:56">
      <c r="A142" s="28"/>
      <c r="B142" s="19" t="s">
        <v>547</v>
      </c>
      <c r="C142" s="20">
        <f>IFERROR(GETPIVOTDATA("[Measures].[mOldUGIS]",'Pivot Table Cats'!$A$3,"[Range 1].[State]","[Range 1].[State].&amp;[MD]","[Range 1].[Type]","[Range 1].[Type].&amp;[4]")," ")</f>
        <v>8984</v>
      </c>
      <c r="D142" s="20">
        <f>IFERROR(GETPIVOTDATA("[Measures].[mNewUGIS]",'Pivot Table Cats'!$A$3,"[Range 1].[State]","[Range 1].[State].&amp;[MD]","[Range 1].[Type]","[Range 1].[Type].&amp;[4]")," ")</f>
        <v>9159</v>
      </c>
      <c r="E142" s="21">
        <f t="shared" si="32"/>
        <v>1.9479073909171862</v>
      </c>
      <c r="F142" s="20">
        <f>IFERROR(GETPIVOTDATA("[Measures].[mOldUGOS]",'Pivot Table Cats'!$A$3,"[Range 1].[State]","[Range 1].[State].&amp;[MD]","[Range 1].[Type]","[Range 1].[Type].&amp;[4]")," ")</f>
        <v>19623</v>
      </c>
      <c r="G142" s="20">
        <f>IFERROR(GETPIVOTDATA("[Measures].[mNewUGOS]",'Pivot Table Cats'!$A$3,"[Range 1].[State]","[Range 1].[State].&amp;[MD]","[Range 1].[Type]","[Range 1].[Type].&amp;[4]")," ")</f>
        <v>19900.5</v>
      </c>
      <c r="H142" s="21">
        <f t="shared" si="33"/>
        <v>1.4141568567497325</v>
      </c>
      <c r="I142" s="20">
        <f>IFERROR(GETPIVOTDATA("[Measures].[mOldGIS]",'Pivot Table Cats'!$A$3,"[Range 1].[State]","[Range 1].[State].&amp;[MD]","[Range 1].[Type]","[Range 1].[Type].&amp;[4]")," ")</f>
        <v>12763.5</v>
      </c>
      <c r="J142" s="20">
        <f>IFERROR(GETPIVOTDATA("[Measures].[mNewGIS]",'Pivot Table Cats'!$A$3,"[Range 1].[State]","[Range 1].[State].&amp;[MD]","[Range 1].[Type]","[Range 1].[Type].&amp;[4]")," ")</f>
        <v>12958</v>
      </c>
      <c r="K142" s="21">
        <f t="shared" si="34"/>
        <v>1.5238766795941552</v>
      </c>
      <c r="L142" s="20">
        <f>IFERROR(GETPIVOTDATA("[Measures].[mOldGOS]",'Pivot Table Cats'!$A$3,"[Range 1].[State]","[Range 1].[State].&amp;[MD]","[Range 1].[Type]","[Range 1].[Type].&amp;[4]")," ")</f>
        <v>18308</v>
      </c>
      <c r="M142" s="20">
        <f>IFERROR(GETPIVOTDATA("[Measures].[mNewGOS]",'Pivot Table Cats'!$A$3,"[Range 1].[State]","[Range 1].[State].&amp;[MD]","[Range 1].[Type]","[Range 1].[Type].&amp;[4]")," ")</f>
        <v>18635</v>
      </c>
      <c r="N142" s="21">
        <f t="shared" si="35"/>
        <v>1.7861044352195761</v>
      </c>
      <c r="O142" s="25"/>
      <c r="P142" s="26"/>
      <c r="Q142" s="27"/>
      <c r="R142" s="25"/>
      <c r="S142" s="26"/>
      <c r="T142" s="27"/>
      <c r="U142" s="25"/>
      <c r="V142" s="26"/>
      <c r="W142" s="27"/>
      <c r="X142" s="25"/>
      <c r="Y142" s="26"/>
      <c r="Z142" s="27"/>
      <c r="AA142" s="25"/>
      <c r="AB142" s="26"/>
      <c r="AC142" s="27"/>
      <c r="AD142" s="25"/>
      <c r="AE142" s="26"/>
      <c r="AF142" s="27"/>
      <c r="AG142" s="25"/>
      <c r="AH142" s="26"/>
      <c r="AI142" s="27"/>
      <c r="AJ142" s="25"/>
      <c r="AK142" s="26"/>
      <c r="AL142" s="27"/>
      <c r="AM142" s="25"/>
      <c r="AN142" s="26"/>
      <c r="AO142" s="27"/>
      <c r="AP142" s="25"/>
      <c r="AQ142" s="26"/>
      <c r="AR142" s="27"/>
      <c r="AS142" s="25"/>
      <c r="AT142" s="26"/>
      <c r="AU142" s="27"/>
      <c r="AV142" s="25"/>
      <c r="AW142" s="26"/>
      <c r="AX142" s="27"/>
      <c r="AY142" s="25"/>
      <c r="AZ142" s="26"/>
      <c r="BA142" s="27"/>
      <c r="BB142" s="25"/>
      <c r="BC142" s="26"/>
      <c r="BD142" s="27"/>
    </row>
    <row r="143" spans="1:56">
      <c r="A143" s="28"/>
      <c r="B143" s="19" t="s">
        <v>548</v>
      </c>
      <c r="C143" s="20">
        <f>IFERROR(GETPIVOTDATA("[Measures].[mOldUGIS]",'Pivot Table Cats'!$A$3,"[Range 1].[State]","[Range 1].[State].&amp;[MD]","[Range 1].[Type]","[Range 1].[Type].&amp;[5]")," ")</f>
        <v>6716</v>
      </c>
      <c r="D143" s="20">
        <f>IFERROR(GETPIVOTDATA("[Measures].[mNewUGIS]",'Pivot Table Cats'!$A$3,"[Range 1].[State]","[Range 1].[State].&amp;[MD]","[Range 1].[Type]","[Range 1].[Type].&amp;[5]")," ")</f>
        <v>6809</v>
      </c>
      <c r="E143" s="21">
        <f t="shared" si="32"/>
        <v>1.3847528290649196</v>
      </c>
      <c r="F143" s="20">
        <f>IFERROR(GETPIVOTDATA("[Measures].[mOldUGOS]",'Pivot Table Cats'!$A$3,"[Range 1].[State]","[Range 1].[State].&amp;[MD]","[Range 1].[Type]","[Range 1].[Type].&amp;[5]")," ")</f>
        <v>13113</v>
      </c>
      <c r="G143" s="20">
        <f>IFERROR(GETPIVOTDATA("[Measures].[mNewUGOS]",'Pivot Table Cats'!$A$3,"[Range 1].[State]","[Range 1].[State].&amp;[MD]","[Range 1].[Type]","[Range 1].[Type].&amp;[5]")," ")</f>
        <v>13334</v>
      </c>
      <c r="H143" s="21">
        <f t="shared" si="33"/>
        <v>1.685350415618089</v>
      </c>
      <c r="I143" s="20">
        <f>IFERROR(GETPIVOTDATA("[Measures].[mOldGIS]",'Pivot Table Cats'!$A$3,"[Range 1].[State]","[Range 1].[State].&amp;[MD]","[Range 1].[Type]","[Range 1].[Type].&amp;[5]")," ")</f>
        <v>10278</v>
      </c>
      <c r="J143" s="20">
        <f>IFERROR(GETPIVOTDATA("[Measures].[mNewGIS]",'Pivot Table Cats'!$A$3,"[Range 1].[State]","[Range 1].[State].&amp;[MD]","[Range 1].[Type]","[Range 1].[Type].&amp;[5]")," ")</f>
        <v>10446</v>
      </c>
      <c r="K143" s="21">
        <f t="shared" si="34"/>
        <v>1.6345592527729131</v>
      </c>
      <c r="L143" s="20">
        <f>IFERROR(GETPIVOTDATA("[Measures].[mOldGOS]",'Pivot Table Cats'!$A$3,"[Range 1].[State]","[Range 1].[State].&amp;[MD]","[Range 1].[Type]","[Range 1].[Type].&amp;[5]")," ")</f>
        <v>17214</v>
      </c>
      <c r="M143" s="20">
        <f>IFERROR(GETPIVOTDATA("[Measures].[mNewGOS]",'Pivot Table Cats'!$A$3,"[Range 1].[State]","[Range 1].[State].&amp;[MD]","[Range 1].[Type]","[Range 1].[Type].&amp;[5]")," ")</f>
        <v>17526</v>
      </c>
      <c r="N143" s="21">
        <f t="shared" si="35"/>
        <v>1.8124782154060648</v>
      </c>
      <c r="O143" s="25"/>
      <c r="P143" s="26"/>
      <c r="Q143" s="27"/>
      <c r="R143" s="25"/>
      <c r="S143" s="26"/>
      <c r="T143" s="27"/>
      <c r="U143" s="25"/>
      <c r="V143" s="26"/>
      <c r="W143" s="27"/>
      <c r="X143" s="25"/>
      <c r="Y143" s="26"/>
      <c r="Z143" s="27"/>
      <c r="AA143" s="25"/>
      <c r="AB143" s="26"/>
      <c r="AC143" s="27"/>
      <c r="AD143" s="25"/>
      <c r="AE143" s="26"/>
      <c r="AF143" s="27"/>
      <c r="AG143" s="25"/>
      <c r="AH143" s="26"/>
      <c r="AI143" s="27"/>
      <c r="AJ143" s="25"/>
      <c r="AK143" s="26"/>
      <c r="AL143" s="27"/>
      <c r="AM143" s="25"/>
      <c r="AN143" s="26"/>
      <c r="AO143" s="27"/>
      <c r="AP143" s="25"/>
      <c r="AQ143" s="26"/>
      <c r="AR143" s="27"/>
      <c r="AS143" s="25"/>
      <c r="AT143" s="26"/>
      <c r="AU143" s="27"/>
      <c r="AV143" s="25"/>
      <c r="AW143" s="26"/>
      <c r="AX143" s="27"/>
      <c r="AY143" s="25"/>
      <c r="AZ143" s="26"/>
      <c r="BA143" s="27"/>
      <c r="BB143" s="25"/>
      <c r="BC143" s="26"/>
      <c r="BD143" s="27"/>
    </row>
    <row r="144" spans="1:56">
      <c r="A144" s="28"/>
      <c r="B144" s="19" t="s">
        <v>549</v>
      </c>
      <c r="C144" s="20">
        <f>IFERROR(GETPIVOTDATA("[Measures].[mOldUGIS]",'Pivot Table Cats'!$A$3,"[Range 1].[State]","[Range 1].[State].&amp;[MD]","[Range 1].[Type]","[Range 1].[Type].&amp;[6]")," ")</f>
        <v>15124</v>
      </c>
      <c r="D144" s="20">
        <f>IFERROR(GETPIVOTDATA("[Measures].[mNewUGIS]",'Pivot Table Cats'!$A$3,"[Range 1].[State]","[Range 1].[State].&amp;[MD]","[Range 1].[Type]","[Range 1].[Type].&amp;[6]")," ")</f>
        <v>15124</v>
      </c>
      <c r="E144" s="21">
        <f t="shared" si="32"/>
        <v>0</v>
      </c>
      <c r="F144" s="20">
        <f>IFERROR(GETPIVOTDATA("[Measures].[mOldUGOS]",'Pivot Table Cats'!$A$3,"[Range 1].[State]","[Range 1].[State].&amp;[MD]","[Range 1].[Type]","[Range 1].[Type].&amp;[6]")," ")</f>
        <v>31200</v>
      </c>
      <c r="G144" s="20">
        <f>IFERROR(GETPIVOTDATA("[Measures].[mNewUGOS]",'Pivot Table Cats'!$A$3,"[Range 1].[State]","[Range 1].[State].&amp;[MD]","[Range 1].[Type]","[Range 1].[Type].&amp;[6]")," ")</f>
        <v>31200</v>
      </c>
      <c r="H144" s="21">
        <f t="shared" si="33"/>
        <v>0</v>
      </c>
      <c r="I144" s="20">
        <f>IFERROR(GETPIVOTDATA("[Measures].[mOldGIS]",'Pivot Table Cats'!$A$3,"[Range 1].[State]","[Range 1].[State].&amp;[MD]","[Range 1].[Type]","[Range 1].[Type].&amp;[6]")," ")</f>
        <v>0</v>
      </c>
      <c r="J144" s="20">
        <f>IFERROR(GETPIVOTDATA("[Measures].[mNewGIS]",'Pivot Table Cats'!$A$3,"[Range 1].[State]","[Range 1].[State].&amp;[MD]","[Range 1].[Type]","[Range 1].[Type].&amp;[6]")," ")</f>
        <v>0</v>
      </c>
      <c r="K144" s="21">
        <f t="shared" si="34"/>
        <v>0</v>
      </c>
      <c r="L144" s="20">
        <f>IFERROR(GETPIVOTDATA("[Measures].[mOldGOS]",'Pivot Table Cats'!$A$3,"[Range 1].[State]","[Range 1].[State].&amp;[MD]","[Range 1].[Type]","[Range 1].[Type].&amp;[6]")," ")</f>
        <v>0</v>
      </c>
      <c r="M144" s="20">
        <f>IFERROR(GETPIVOTDATA("[Measures].[mNewGOS]",'Pivot Table Cats'!$A$3,"[Range 1].[State]","[Range 1].[State].&amp;[MD]","[Range 1].[Type]","[Range 1].[Type].&amp;[6]")," ")</f>
        <v>0</v>
      </c>
      <c r="N144" s="21">
        <f t="shared" si="35"/>
        <v>0</v>
      </c>
      <c r="O144" s="25"/>
      <c r="P144" s="26"/>
      <c r="Q144" s="27"/>
      <c r="R144" s="25"/>
      <c r="S144" s="26"/>
      <c r="T144" s="27"/>
      <c r="U144" s="25"/>
      <c r="V144" s="26"/>
      <c r="W144" s="27"/>
      <c r="X144" s="25"/>
      <c r="Y144" s="26"/>
      <c r="Z144" s="27"/>
      <c r="AA144" s="25"/>
      <c r="AB144" s="26"/>
      <c r="AC144" s="27"/>
      <c r="AD144" s="25"/>
      <c r="AE144" s="26"/>
      <c r="AF144" s="27"/>
      <c r="AG144" s="25"/>
      <c r="AH144" s="26"/>
      <c r="AI144" s="27"/>
      <c r="AJ144" s="25"/>
      <c r="AK144" s="26"/>
      <c r="AL144" s="27"/>
      <c r="AM144" s="25"/>
      <c r="AN144" s="26"/>
      <c r="AO144" s="27"/>
      <c r="AP144" s="25"/>
      <c r="AQ144" s="26"/>
      <c r="AR144" s="27"/>
      <c r="AS144" s="25"/>
      <c r="AT144" s="26"/>
      <c r="AU144" s="27"/>
      <c r="AV144" s="25"/>
      <c r="AW144" s="26"/>
      <c r="AX144" s="27"/>
      <c r="AY144" s="25"/>
      <c r="AZ144" s="26"/>
      <c r="BA144" s="27"/>
      <c r="BB144" s="25"/>
      <c r="BC144" s="26"/>
      <c r="BD144" s="27"/>
    </row>
    <row r="145" spans="1:56" s="49" customFormat="1" ht="19.5" customHeight="1">
      <c r="A145" s="48"/>
      <c r="B145" s="30" t="s">
        <v>550</v>
      </c>
      <c r="C145" s="31">
        <f>IFERROR(GETPIVOTDATA("[Measures].[mOldUGIS]",'Pivot Table Totals'!$A$4,"[Range 1].[State]","[Range 1].[State].&amp;[MD]"), " ")</f>
        <v>9410</v>
      </c>
      <c r="D145" s="31">
        <f>IFERROR(GETPIVOTDATA("[Measures].[mNewUGIS]",'Pivot Table Totals'!$A$4,"[Range 1].[State]","[Range 1].[State].&amp;[MD]"), " ")</f>
        <v>9594</v>
      </c>
      <c r="E145" s="21">
        <f t="shared" si="32"/>
        <v>1.955366631243358</v>
      </c>
      <c r="F145" s="31">
        <f>IFERROR(GETPIVOTDATA("[Measures].[mOldUGOS]",'Pivot Table Totals'!$A$4,"[Range 1].[State]","[Range 1].[State].&amp;[MD]"), " ")</f>
        <v>21456</v>
      </c>
      <c r="G145" s="31">
        <f>IFERROR(GETPIVOTDATA("[Measures].[mNewUGOS]",'Pivot Table Totals'!$A$4,"[Range 1].[State]","[Range 1].[State].&amp;[MD]"), " ")</f>
        <v>22550</v>
      </c>
      <c r="H145" s="21">
        <f t="shared" si="33"/>
        <v>5.0988068605518269</v>
      </c>
      <c r="I145" s="31">
        <f>IFERROR(GETPIVOTDATA("[Measures].[mOldGIS]",'Pivot Table Totals'!$A$4,"[Range 1].[State]","[Range 1].[State].&amp;[MD]"), " ")</f>
        <v>13400</v>
      </c>
      <c r="J145" s="31">
        <f>IFERROR(GETPIVOTDATA("[Measures].[mNewGIS]",'Pivot Table Totals'!$A$4,"[Range 1].[State]","[Range 1].[State].&amp;[MD]"), " ")</f>
        <v>13679</v>
      </c>
      <c r="K145" s="21">
        <f t="shared" si="34"/>
        <v>2.0820895522388061</v>
      </c>
      <c r="L145" s="31">
        <f>IFERROR(GETPIVOTDATA("[Measures].[mOldGOS]",'Pivot Table Totals'!$A$4,"[Range 1].[State]","[Range 1].[State].&amp;[MD]"), " ")</f>
        <v>21807</v>
      </c>
      <c r="M145" s="31">
        <f>IFERROR(GETPIVOTDATA("[Measures].[mNewGOS]",'Pivot Table Totals'!$A$4,"[Range 1].[State]","[Range 1].[State].&amp;[MD]"), " ")</f>
        <v>22122</v>
      </c>
      <c r="N145" s="21">
        <f>IFERROR(IF(L145&gt;0,(((M145-L145)/L145)*100),0), "  ")</f>
        <v>1.4444903012794057</v>
      </c>
      <c r="O145" s="36"/>
      <c r="P145" s="37"/>
      <c r="Q145" s="38"/>
      <c r="R145" s="36"/>
      <c r="S145" s="37"/>
      <c r="T145" s="38"/>
      <c r="U145" s="36"/>
      <c r="V145" s="37"/>
      <c r="W145" s="38"/>
      <c r="X145" s="36"/>
      <c r="Y145" s="37"/>
      <c r="Z145" s="38"/>
      <c r="AA145" s="36"/>
      <c r="AB145" s="37"/>
      <c r="AC145" s="38"/>
      <c r="AD145" s="36"/>
      <c r="AE145" s="37"/>
      <c r="AF145" s="38"/>
      <c r="AG145" s="36"/>
      <c r="AH145" s="37"/>
      <c r="AI145" s="38"/>
      <c r="AJ145" s="36"/>
      <c r="AK145" s="37"/>
      <c r="AL145" s="38"/>
      <c r="AM145" s="36"/>
      <c r="AN145" s="37"/>
      <c r="AO145" s="38"/>
      <c r="AP145" s="36"/>
      <c r="AQ145" s="37"/>
      <c r="AR145" s="38"/>
      <c r="AS145" s="36"/>
      <c r="AT145" s="37"/>
      <c r="AU145" s="38"/>
      <c r="AV145" s="36"/>
      <c r="AW145" s="37"/>
      <c r="AX145" s="38"/>
      <c r="AY145" s="36"/>
      <c r="AZ145" s="37"/>
      <c r="BA145" s="38"/>
      <c r="BB145" s="36"/>
      <c r="BC145" s="37"/>
      <c r="BD145" s="38"/>
    </row>
    <row r="146" spans="1:56">
      <c r="A146" s="28"/>
      <c r="B146" s="19" t="s">
        <v>551</v>
      </c>
      <c r="C146" s="20" t="str">
        <f>IFERROR(GETPIVOTDATA("[Measures].[mOldUGIS]",'Pivot Table Cats'!$A$3,"[Range 1].[State]","[Range 1].[State].&amp;[MD]","[Range 1].[Type]","[Range 1].[Type].&amp;[7]")," ")</f>
        <v xml:space="preserve"> </v>
      </c>
      <c r="D146" s="20" t="str">
        <f>IFERROR(GETPIVOTDATA("[Measures].[mNewUGIS]",'Pivot Table Cats'!$A$3,"[Range 1].[State]","[Range 1].[State].&amp;[MD]","[Range 1].[Type]","[Range 1].[Type].&amp;[7]")," ")</f>
        <v xml:space="preserve"> </v>
      </c>
      <c r="E146" s="21" t="str">
        <f t="shared" si="32"/>
        <v xml:space="preserve"> </v>
      </c>
      <c r="F146" s="20" t="str">
        <f>IFERROR(GETPIVOTDATA("[Measures].[mOldUGOS]",'Pivot Table Cats'!$A$3,"[Range 1].[State]","[Range 1].[State].&amp;[MD]","[Range 1].[Type]","[Range 1].[Type].&amp;[7]")," ")</f>
        <v xml:space="preserve"> </v>
      </c>
      <c r="G146" s="20" t="str">
        <f>IFERROR(GETPIVOTDATA("[Measures].[mNewUGOS]",'Pivot Table Cats'!$A$3,"[Range 1].[State]","[Range 1].[State].&amp;[MD]","[Range 1].[Type]","[Range 1].[Type].&amp;[7]")," ")</f>
        <v xml:space="preserve"> </v>
      </c>
      <c r="H146" s="21" t="str">
        <f t="shared" si="33"/>
        <v xml:space="preserve"> </v>
      </c>
      <c r="I146" s="20" t="str">
        <f>IFERROR(GETPIVOTDATA("[Measures].[mOldGIS]",'Pivot Table Cats'!$A$3,"[Range 1].[State]","[Range 1].[State].&amp;[MD]","[Range 1].[Type]","[Range 1].[Type].&amp;[7]")," ")</f>
        <v xml:space="preserve"> </v>
      </c>
      <c r="J146" s="20" t="str">
        <f>IFERROR(GETPIVOTDATA("[Measures].[mNewGIS]",'Pivot Table Cats'!$A$3,"[Range 1].[State]","[Range 1].[State].&amp;[MD]","[Range 1].[Type]","[Range 1].[Type].&amp;[7]")," ")</f>
        <v xml:space="preserve"> </v>
      </c>
      <c r="K146" s="21" t="str">
        <f t="shared" si="34"/>
        <v xml:space="preserve"> </v>
      </c>
      <c r="L146" s="20" t="str">
        <f>IFERROR(GETPIVOTDATA("[Measures].[mOldGIS]",'Pivot Table Cats'!$A$3,"[Range 1].[State]","[Range 1].[State].&amp;[MD]","[Range 1].[Type]","[Range 1].[Type].&amp;[7]")," ")</f>
        <v xml:space="preserve"> </v>
      </c>
      <c r="M146" s="20" t="str">
        <f>IFERROR(GETPIVOTDATA("[Measures].[mNewGIS]",'Pivot Table Cats'!$A$3,"[Range 1].[State]","[Range 1].[State].&amp;[MD]","[Range 1].[Type]","[Range 1].[Type].&amp;[7]")," ")</f>
        <v xml:space="preserve"> </v>
      </c>
      <c r="N146" s="21" t="str">
        <f t="shared" si="35"/>
        <v xml:space="preserve"> </v>
      </c>
      <c r="O146" s="25"/>
      <c r="P146" s="26"/>
      <c r="Q146" s="27"/>
      <c r="R146" s="25"/>
      <c r="S146" s="26"/>
      <c r="T146" s="27"/>
      <c r="U146" s="25"/>
      <c r="V146" s="26"/>
      <c r="W146" s="27"/>
      <c r="X146" s="25"/>
      <c r="Y146" s="26"/>
      <c r="Z146" s="27"/>
      <c r="AA146" s="25"/>
      <c r="AB146" s="26"/>
      <c r="AC146" s="27"/>
      <c r="AD146" s="25"/>
      <c r="AE146" s="26"/>
      <c r="AF146" s="27"/>
      <c r="AG146" s="25"/>
      <c r="AH146" s="26"/>
      <c r="AI146" s="27"/>
      <c r="AJ146" s="25"/>
      <c r="AK146" s="26"/>
      <c r="AL146" s="27"/>
      <c r="AM146" s="25"/>
      <c r="AN146" s="26"/>
      <c r="AO146" s="27"/>
      <c r="AP146" s="25"/>
      <c r="AQ146" s="26"/>
      <c r="AR146" s="27"/>
      <c r="AS146" s="25"/>
      <c r="AT146" s="26"/>
      <c r="AU146" s="27"/>
      <c r="AV146" s="25"/>
      <c r="AW146" s="26"/>
      <c r="AX146" s="27"/>
      <c r="AY146" s="25"/>
      <c r="AZ146" s="26"/>
      <c r="BA146" s="27"/>
      <c r="BB146" s="25"/>
      <c r="BC146" s="26"/>
      <c r="BD146" s="27"/>
    </row>
    <row r="147" spans="1:56">
      <c r="A147" s="28"/>
      <c r="B147" s="19" t="s">
        <v>552</v>
      </c>
      <c r="C147" s="20">
        <f>IFERROR(GETPIVOTDATA("[Measures].[mOldUGIS]",'Pivot Table Cats'!$A$3,"[Range 1].[State]","[Range 1].[State].&amp;[MD]","[Range 1].[Type]","[Range 1].[Type].&amp;[8]")," ")</f>
        <v>5016</v>
      </c>
      <c r="D147" s="20">
        <f>IFERROR(GETPIVOTDATA("[Measures].[mNewUGIS]",'Pivot Table Cats'!$A$3,"[Range 1].[State]","[Range 1].[State].&amp;[MD]","[Range 1].[Type]","[Range 1].[Type].&amp;[8]")," ")</f>
        <v>5016</v>
      </c>
      <c r="E147" s="21">
        <f t="shared" si="32"/>
        <v>0</v>
      </c>
      <c r="F147" s="20">
        <f>IFERROR(GETPIVOTDATA("[Measures].[mOldUGOS]",'Pivot Table Cats'!$A$3,"[Range 1].[State]","[Range 1].[State].&amp;[MD]","[Range 1].[Type]","[Range 1].[Type].&amp;[8]")," ")</f>
        <v>12516</v>
      </c>
      <c r="G147" s="20">
        <f>IFERROR(GETPIVOTDATA("[Measures].[mNewUGOS]",'Pivot Table Cats'!$A$3,"[Range 1].[State]","[Range 1].[State].&amp;[MD]","[Range 1].[Type]","[Range 1].[Type].&amp;[8]")," ")</f>
        <v>12516</v>
      </c>
      <c r="H147" s="21">
        <f t="shared" si="33"/>
        <v>0</v>
      </c>
      <c r="I147" s="337">
        <f>IFERROR(GETPIVOTDATA("[Measures].[mOldGIS]",'Pivot Table Cats'!$A$3,"[Range 1].[State]","[Range 1].[State].&amp;[MD]","[Range 1].[Type]","[Range 1].[Type].&amp;[8]")," ")</f>
        <v>0</v>
      </c>
      <c r="J147" s="20">
        <f>IFERROR(GETPIVOTDATA("[Measures].[mNewGIS]",'Pivot Table Cats'!$A$3,"[Range 1].[State]","[Range 1].[State].&amp;[MD]","[Range 1].[Type]","[Range 1].[Type].&amp;[8]")," ")</f>
        <v>0</v>
      </c>
      <c r="K147" s="21">
        <f t="shared" si="34"/>
        <v>0</v>
      </c>
      <c r="L147" s="20">
        <f>IFERROR(GETPIVOTDATA("[Measures].[mOldGOS]",'Pivot Table Cats'!$A$3,"[Range 1].[State]","[Range 1].[State].&amp;[MD]","[Range 1].[Type]","[Range 1].[Type].&amp;[8]")," ")</f>
        <v>0</v>
      </c>
      <c r="M147" s="20">
        <f>IFERROR(GETPIVOTDATA("[Measures].[mNewGOS]",'Pivot Table Cats'!$A$3,"[Range 1].[State]","[Range 1].[State].&amp;[MD]","[Range 1].[Type]","[Range 1].[Type].&amp;[8]")," ")</f>
        <v>0</v>
      </c>
      <c r="N147" s="21">
        <f t="shared" si="35"/>
        <v>0</v>
      </c>
      <c r="O147" s="25"/>
      <c r="P147" s="26"/>
      <c r="Q147" s="27"/>
      <c r="R147" s="25"/>
      <c r="S147" s="26"/>
      <c r="T147" s="27"/>
      <c r="U147" s="25"/>
      <c r="V147" s="26"/>
      <c r="W147" s="27"/>
      <c r="X147" s="25"/>
      <c r="Y147" s="26"/>
      <c r="Z147" s="27"/>
      <c r="AA147" s="25"/>
      <c r="AB147" s="26"/>
      <c r="AC147" s="27"/>
      <c r="AD147" s="25"/>
      <c r="AE147" s="26"/>
      <c r="AF147" s="27"/>
      <c r="AG147" s="25"/>
      <c r="AH147" s="26"/>
      <c r="AI147" s="27"/>
      <c r="AJ147" s="25"/>
      <c r="AK147" s="26"/>
      <c r="AL147" s="27"/>
      <c r="AM147" s="25"/>
      <c r="AN147" s="26"/>
      <c r="AO147" s="27"/>
      <c r="AP147" s="25"/>
      <c r="AQ147" s="26"/>
      <c r="AR147" s="27"/>
      <c r="AS147" s="25"/>
      <c r="AT147" s="26"/>
      <c r="AU147" s="27"/>
      <c r="AV147" s="25"/>
      <c r="AW147" s="26"/>
      <c r="AX147" s="27"/>
      <c r="AY147" s="25"/>
      <c r="AZ147" s="26"/>
      <c r="BA147" s="27"/>
      <c r="BB147" s="25"/>
      <c r="BC147" s="26"/>
      <c r="BD147" s="27"/>
    </row>
    <row r="148" spans="1:56">
      <c r="A148" s="28"/>
      <c r="B148" s="19" t="s">
        <v>553</v>
      </c>
      <c r="C148" s="20">
        <f>IFERROR(GETPIVOTDATA("[Measures].[mOldUGIS]",'Pivot Table Cats'!$A$3,"[Range 1].[State]","[Range 1].[State].&amp;[MD]","[Range 1].[Type]","[Range 1].[Type].&amp;[9]")," ")</f>
        <v>4726</v>
      </c>
      <c r="D148" s="20">
        <f>IFERROR(GETPIVOTDATA("[Measures].[mNewUGIS]",'Pivot Table Cats'!$A$3,"[Range 1].[State]","[Range 1].[State].&amp;[MD]","[Range 1].[Type]","[Range 1].[Type].&amp;[9]")," ")</f>
        <v>4750</v>
      </c>
      <c r="E148" s="21">
        <f t="shared" si="32"/>
        <v>0.50782903089293274</v>
      </c>
      <c r="F148" s="20">
        <f>IFERROR(GETPIVOTDATA("[Measures].[mOldUGOS]",'Pivot Table Cats'!$A$3,"[Range 1].[State]","[Range 1].[State].&amp;[MD]","[Range 1].[Type]","[Range 1].[Type].&amp;[9]")," ")</f>
        <v>10701</v>
      </c>
      <c r="G148" s="20">
        <f>IFERROR(GETPIVOTDATA("[Measures].[mNewUGOS]",'Pivot Table Cats'!$A$3,"[Range 1].[State]","[Range 1].[State].&amp;[MD]","[Range 1].[Type]","[Range 1].[Type].&amp;[9]")," ")</f>
        <v>10618.5</v>
      </c>
      <c r="H148" s="21">
        <f t="shared" si="33"/>
        <v>-0.77095598542192323</v>
      </c>
      <c r="I148" s="20">
        <f>IFERROR(GETPIVOTDATA("[Measures].[mOldGIS]",'Pivot Table Cats'!$A$3,"[Range 1].[State]","[Range 1].[State].&amp;[MD]","[Range 1].[Type]","[Range 1].[Type].&amp;[9]")," ")</f>
        <v>0</v>
      </c>
      <c r="J148" s="20">
        <f>IFERROR(GETPIVOTDATA("[Measures].[mNewGIS]",'Pivot Table Cats'!$A$3,"[Range 1].[State]","[Range 1].[State].&amp;[MD]","[Range 1].[Type]","[Range 1].[Type].&amp;[9]")," ")</f>
        <v>0</v>
      </c>
      <c r="K148" s="21">
        <f t="shared" si="34"/>
        <v>0</v>
      </c>
      <c r="L148" s="20">
        <f>IFERROR(GETPIVOTDATA("[Measures].[mOldGOS]",'Pivot Table Cats'!$A$3,"[Range 1].[State]","[Range 1].[State].&amp;[MD]","[Range 1].[Type]","[Range 1].[Type].&amp;[9]")," ")</f>
        <v>0</v>
      </c>
      <c r="M148" s="20">
        <f>IFERROR(GETPIVOTDATA("[Measures].[mNewGOS]",'Pivot Table Cats'!$A$3,"[Range 1].[State]","[Range 1].[State].&amp;[MD]","[Range 1].[Type]","[Range 1].[Type].&amp;[9]")," ")</f>
        <v>0</v>
      </c>
      <c r="N148" s="21">
        <f t="shared" si="35"/>
        <v>0</v>
      </c>
      <c r="O148" s="25"/>
      <c r="P148" s="26"/>
      <c r="Q148" s="27"/>
      <c r="R148" s="25"/>
      <c r="S148" s="26"/>
      <c r="T148" s="27"/>
      <c r="U148" s="25"/>
      <c r="V148" s="26"/>
      <c r="W148" s="27"/>
      <c r="X148" s="25"/>
      <c r="Y148" s="26"/>
      <c r="Z148" s="27"/>
      <c r="AA148" s="25"/>
      <c r="AB148" s="26"/>
      <c r="AC148" s="27"/>
      <c r="AD148" s="25"/>
      <c r="AE148" s="26"/>
      <c r="AF148" s="27"/>
      <c r="AG148" s="25"/>
      <c r="AH148" s="26"/>
      <c r="AI148" s="27"/>
      <c r="AJ148" s="25"/>
      <c r="AK148" s="26"/>
      <c r="AL148" s="27"/>
      <c r="AM148" s="25"/>
      <c r="AN148" s="26"/>
      <c r="AO148" s="27"/>
      <c r="AP148" s="25"/>
      <c r="AQ148" s="26"/>
      <c r="AR148" s="27"/>
      <c r="AS148" s="25"/>
      <c r="AT148" s="26"/>
      <c r="AU148" s="27"/>
      <c r="AV148" s="25"/>
      <c r="AW148" s="26"/>
      <c r="AX148" s="27"/>
      <c r="AY148" s="25"/>
      <c r="AZ148" s="26"/>
      <c r="BA148" s="27"/>
      <c r="BB148" s="25"/>
      <c r="BC148" s="26"/>
      <c r="BD148" s="27"/>
    </row>
    <row r="149" spans="1:56">
      <c r="A149" s="28"/>
      <c r="B149" s="19" t="s">
        <v>554</v>
      </c>
      <c r="C149" s="20">
        <f>IFERROR(GETPIVOTDATA("[Measures].[mOldUGIS]",'Pivot Table Cats'!$A$3,"[Range 1].[State]","[Range 1].[State].&amp;[MD]","[Range 1].[Type]","[Range 1].[Type].&amp;[10]")," ")</f>
        <v>4770</v>
      </c>
      <c r="D149" s="20">
        <f>IFERROR(GETPIVOTDATA("[Measures].[mNewUGIS]",'Pivot Table Cats'!$A$3,"[Range 1].[State]","[Range 1].[State].&amp;[MD]","[Range 1].[Type]","[Range 1].[Type].&amp;[10]")," ")</f>
        <v>4770</v>
      </c>
      <c r="E149" s="21">
        <f t="shared" si="32"/>
        <v>0</v>
      </c>
      <c r="F149" s="20">
        <f>IFERROR(GETPIVOTDATA("[Measures].[mOldUGOS]",'Pivot Table Cats'!$A$3,"[Range 1].[State]","[Range 1].[State].&amp;[MD]","[Range 1].[Type]","[Range 1].[Type].&amp;[10]")," ")</f>
        <v>9990</v>
      </c>
      <c r="G149" s="20">
        <f>IFERROR(GETPIVOTDATA("[Measures].[mNewUGOS]",'Pivot Table Cats'!$A$3,"[Range 1].[State]","[Range 1].[State].&amp;[MD]","[Range 1].[Type]","[Range 1].[Type].&amp;[10]")," ")</f>
        <v>10350</v>
      </c>
      <c r="H149" s="21">
        <f t="shared" si="33"/>
        <v>3.6036036036036037</v>
      </c>
      <c r="I149" s="20">
        <f>IFERROR(GETPIVOTDATA("[Measures].[mOldGIS]",'Pivot Table Cats'!$A$3,"[Range 1].[State]","[Range 1].[State].&amp;[MD]","[Range 1].[Type]","[Range 1].[Type].&amp;[10]")," ")</f>
        <v>0</v>
      </c>
      <c r="J149" s="20">
        <f>IFERROR(GETPIVOTDATA("[Measures].[mNewGIS]",'Pivot Table Cats'!$A$3,"[Range 1].[State]","[Range 1].[State].&amp;[MD]","[Range 1].[Type]","[Range 1].[Type].&amp;[10]")," ")</f>
        <v>0</v>
      </c>
      <c r="K149" s="21">
        <f t="shared" si="34"/>
        <v>0</v>
      </c>
      <c r="L149" s="20">
        <f>IFERROR(GETPIVOTDATA("[Measures].[mOldGOS]",'Pivot Table Cats'!$A$3,"[Range 1].[State]","[Range 1].[State].&amp;[MD]","[Range 1].[Type]","[Range 1].[Type].&amp;[10]")," ")</f>
        <v>0</v>
      </c>
      <c r="M149" s="20">
        <f>IFERROR(GETPIVOTDATA("[Measures].[mNewGOS]",'Pivot Table Cats'!$A$3,"[Range 1].[State]","[Range 1].[State].&amp;[MD]","[Range 1].[Type]","[Range 1].[Type].&amp;[10]")," ")</f>
        <v>0</v>
      </c>
      <c r="N149" s="21">
        <f t="shared" si="35"/>
        <v>0</v>
      </c>
      <c r="O149" s="25"/>
      <c r="P149" s="26"/>
      <c r="Q149" s="27"/>
      <c r="R149" s="25"/>
      <c r="S149" s="26"/>
      <c r="T149" s="27"/>
      <c r="U149" s="25"/>
      <c r="V149" s="26"/>
      <c r="W149" s="27"/>
      <c r="X149" s="25"/>
      <c r="Y149" s="26"/>
      <c r="Z149" s="27"/>
      <c r="AA149" s="25"/>
      <c r="AB149" s="26"/>
      <c r="AC149" s="27"/>
      <c r="AD149" s="25"/>
      <c r="AE149" s="26"/>
      <c r="AF149" s="27"/>
      <c r="AG149" s="25"/>
      <c r="AH149" s="26"/>
      <c r="AI149" s="27"/>
      <c r="AJ149" s="25"/>
      <c r="AK149" s="26"/>
      <c r="AL149" s="27"/>
      <c r="AM149" s="25"/>
      <c r="AN149" s="26"/>
      <c r="AO149" s="27"/>
      <c r="AP149" s="25"/>
      <c r="AQ149" s="26"/>
      <c r="AR149" s="27"/>
      <c r="AS149" s="25"/>
      <c r="AT149" s="26"/>
      <c r="AU149" s="27"/>
      <c r="AV149" s="25"/>
      <c r="AW149" s="26"/>
      <c r="AX149" s="27"/>
      <c r="AY149" s="25"/>
      <c r="AZ149" s="26"/>
      <c r="BA149" s="27"/>
      <c r="BB149" s="25"/>
      <c r="BC149" s="26"/>
      <c r="BD149" s="27"/>
    </row>
    <row r="150" spans="1:56" s="49" customFormat="1" ht="20.25" customHeight="1">
      <c r="A150" s="48"/>
      <c r="B150" s="30" t="s">
        <v>555</v>
      </c>
      <c r="C150" s="31">
        <f>GETPIVOTDATA("[Measures].[mOldUGIS]",'Pivot Table Totals'!$A$31,"[Range 1].[State]","[Range 1].[State].&amp;[MD]")</f>
        <v>4776.5</v>
      </c>
      <c r="D150" s="31">
        <f>GETPIVOTDATA("[Measures].[mNewUGIS]",'Pivot Table Totals'!$A$31,"[Range 1].[State]","[Range 1].[State].&amp;[MD]")</f>
        <v>4816.5</v>
      </c>
      <c r="E150" s="21">
        <f t="shared" si="32"/>
        <v>0.83743326703653309</v>
      </c>
      <c r="F150" s="31">
        <f>GETPIVOTDATA("[Measures].[mOldUGOS]",'Pivot Table Totals'!$A$31,"[Range 1].[State]","[Range 1].[State].&amp;[MD]")</f>
        <v>10525</v>
      </c>
      <c r="G150" s="31">
        <f>GETPIVOTDATA("[Measures].[mNewUGOS]",'Pivot Table Totals'!$A$31,"[Range 1].[State]","[Range 1].[State].&amp;[MD]")</f>
        <v>10419.5</v>
      </c>
      <c r="H150" s="21">
        <f t="shared" si="33"/>
        <v>-1.002375296912114</v>
      </c>
      <c r="I150" s="31">
        <f>GETPIVOTDATA("[Measures].[mOldGIS]",'Pivot Table Totals'!$A$31,"[Range 1].[State]","[Range 1].[State].&amp;[MD]")</f>
        <v>0</v>
      </c>
      <c r="J150" s="31">
        <f>GETPIVOTDATA("[Measures].[mNewGIS]",'Pivot Table Totals'!$A$31,"[Range 1].[State]","[Range 1].[State].&amp;[MD]")</f>
        <v>0</v>
      </c>
      <c r="K150" s="21">
        <f t="shared" si="34"/>
        <v>0</v>
      </c>
      <c r="L150" s="31">
        <f>GETPIVOTDATA("[Measures].[mOldGOS]",'Pivot Table Totals'!$A$31,"[Range 1].[State]","[Range 1].[State].&amp;[MD]")</f>
        <v>0</v>
      </c>
      <c r="M150" s="31">
        <f>GETPIVOTDATA("[Measures].[mNewGOS]",'Pivot Table Totals'!$A$31,"[Range 1].[State]","[Range 1].[State].&amp;[MD]")</f>
        <v>0</v>
      </c>
      <c r="N150" s="21">
        <f t="shared" si="35"/>
        <v>0</v>
      </c>
      <c r="O150" s="36"/>
      <c r="P150" s="37"/>
      <c r="Q150" s="38"/>
      <c r="R150" s="36"/>
      <c r="S150" s="37"/>
      <c r="T150" s="38"/>
      <c r="U150" s="36"/>
      <c r="V150" s="37"/>
      <c r="W150" s="38"/>
      <c r="X150" s="36"/>
      <c r="Y150" s="37"/>
      <c r="Z150" s="38"/>
      <c r="AA150" s="36"/>
      <c r="AB150" s="37"/>
      <c r="AC150" s="38"/>
      <c r="AD150" s="36"/>
      <c r="AE150" s="37"/>
      <c r="AF150" s="38"/>
      <c r="AG150" s="36"/>
      <c r="AH150" s="37"/>
      <c r="AI150" s="38"/>
      <c r="AJ150" s="36"/>
      <c r="AK150" s="37"/>
      <c r="AL150" s="38"/>
      <c r="AM150" s="36"/>
      <c r="AN150" s="37"/>
      <c r="AO150" s="38"/>
      <c r="AP150" s="36"/>
      <c r="AQ150" s="37"/>
      <c r="AR150" s="38"/>
      <c r="AS150" s="36"/>
      <c r="AT150" s="37"/>
      <c r="AU150" s="38"/>
      <c r="AV150" s="36"/>
      <c r="AW150" s="37"/>
      <c r="AX150" s="38"/>
      <c r="AY150" s="36"/>
      <c r="AZ150" s="37"/>
      <c r="BA150" s="38"/>
      <c r="BB150" s="36"/>
      <c r="BC150" s="37"/>
      <c r="BD150" s="38"/>
    </row>
    <row r="151" spans="1:56">
      <c r="A151" s="28"/>
      <c r="B151" s="19" t="s">
        <v>556</v>
      </c>
      <c r="C151" s="20" t="str">
        <f>IFERROR(GETPIVOTDATA("[Measures].[mOldUGIS]",'Pivot Table Cats'!$A$3,"[Range 1].[State]","[Range 1].[State].&amp;[MD]","[Range 1].[Type]","[Range 1].[Type].&amp;[12]")," ")</f>
        <v xml:space="preserve"> </v>
      </c>
      <c r="D151" s="20" t="str">
        <f>IFERROR(GETPIVOTDATA("[Measures].[mNewUGIS]",'Pivot Table Cats'!$A$3,"[Range 1].[State]","[Range 1].[State].&amp;[MD]","[Range 1].[Type]","[Range 1].[Type].&amp;[12]")," ")</f>
        <v xml:space="preserve"> </v>
      </c>
      <c r="E151" s="21" t="str">
        <f t="shared" si="32"/>
        <v xml:space="preserve"> </v>
      </c>
      <c r="F151" s="20" t="str">
        <f>IFERROR(GETPIVOTDATA("[Measures].[mOldUGOS]",'Pivot Table Cats'!$A$3,"[Range 1].[State]","[Range 1].[State].&amp;[MD]","[Range 1].[Type]","[Range 1].[Type].&amp;[12]")," ")</f>
        <v xml:space="preserve"> </v>
      </c>
      <c r="G151" s="20" t="str">
        <f>IFERROR(GETPIVOTDATA("[Measures].[mNewUGOS]",'Pivot Table Cats'!$A$3,"[Range 1].[State]","[Range 1].[State].&amp;[MD]","[Range 1].[Type]","[Range 1].[Type].&amp;[12]")," ")</f>
        <v xml:space="preserve"> </v>
      </c>
      <c r="H151" s="21" t="str">
        <f t="shared" si="33"/>
        <v xml:space="preserve"> </v>
      </c>
      <c r="I151" s="20" t="str">
        <f>IFERROR(GETPIVOTDATA("[Measures].[mOldGIS]",'Pivot Table Cats'!$A$3,"[Range 1].[State]","[Range 1].[State].&amp;[MD]","[Range 1].[Type]","[Range 1].[Type].&amp;[12]")," ")</f>
        <v xml:space="preserve"> </v>
      </c>
      <c r="J151" s="20" t="str">
        <f>IFERROR(GETPIVOTDATA("[Measures].[mNewGIS]",'Pivot Table Cats'!$A$3,"[Range 1].[State]","[Range 1].[State].&amp;[MD]","[Range 1].[Type]","[Range 1].[Type].&amp;[12]")," ")</f>
        <v xml:space="preserve"> </v>
      </c>
      <c r="K151" s="21" t="str">
        <f t="shared" si="34"/>
        <v xml:space="preserve"> </v>
      </c>
      <c r="L151" s="20" t="str">
        <f>IFERROR(GETPIVOTDATA("[Measures].[mOldGOS]",'Pivot Table Cats'!$A$3,"[Range 1].[State]","[Range 1].[State].&amp;[MD]","[Range 1].[Type]","[Range 1].[Type].&amp;[12]")," ")</f>
        <v xml:space="preserve"> </v>
      </c>
      <c r="M151" s="20" t="str">
        <f>IFERROR(GETPIVOTDATA("[Measures].[mNewGOS]",'Pivot Table Cats'!$A$3,"[Range 1].[State]","[Range 1].[State].&amp;[MD]","[Range 1].[Type]","[Range 1].[Type].&amp;[12]")," ")</f>
        <v xml:space="preserve"> </v>
      </c>
      <c r="N151" s="21" t="str">
        <f t="shared" si="35"/>
        <v xml:space="preserve"> </v>
      </c>
      <c r="O151" s="25"/>
      <c r="P151" s="26"/>
      <c r="Q151" s="27"/>
      <c r="R151" s="25"/>
      <c r="S151" s="26"/>
      <c r="T151" s="27"/>
      <c r="U151" s="25"/>
      <c r="V151" s="26"/>
      <c r="W151" s="27"/>
      <c r="X151" s="25"/>
      <c r="Y151" s="26"/>
      <c r="Z151" s="27"/>
      <c r="AA151" s="25"/>
      <c r="AB151" s="26"/>
      <c r="AC151" s="27"/>
      <c r="AD151" s="25"/>
      <c r="AE151" s="26"/>
      <c r="AF151" s="27"/>
      <c r="AG151" s="25"/>
      <c r="AH151" s="26"/>
      <c r="AI151" s="27"/>
      <c r="AJ151" s="25"/>
      <c r="AK151" s="26"/>
      <c r="AL151" s="27"/>
      <c r="AM151" s="25"/>
      <c r="AN151" s="26"/>
      <c r="AO151" s="27"/>
      <c r="AP151" s="25"/>
      <c r="AQ151" s="26"/>
      <c r="AR151" s="27"/>
      <c r="AS151" s="25"/>
      <c r="AT151" s="26"/>
      <c r="AU151" s="27"/>
      <c r="AV151" s="25"/>
      <c r="AW151" s="26"/>
      <c r="AX151" s="27"/>
      <c r="AY151" s="25"/>
      <c r="AZ151" s="26"/>
      <c r="BA151" s="27"/>
      <c r="BB151" s="25"/>
      <c r="BC151" s="26"/>
      <c r="BD151" s="27"/>
    </row>
    <row r="152" spans="1:56">
      <c r="A152" s="28"/>
      <c r="B152" s="19" t="s">
        <v>557</v>
      </c>
      <c r="C152" s="20" t="str">
        <f>IFERROR(GETPIVOTDATA("[Measures].[mOldUGIS]",'Pivot Table Cats'!$A$3,"[Range 1].[State]","[Range 1].[State].&amp;[MD]","[Range 1].[Type]","[Range 1].[Type].&amp;[13]")," ")</f>
        <v xml:space="preserve"> </v>
      </c>
      <c r="D152" s="20" t="str">
        <f>IFERROR(GETPIVOTDATA("[Measures].[mNewUGIS]",'Pivot Table Cats'!$A$3,"[Range 1].[State]","[Range 1].[State].&amp;[MD]","[Range 1].[Type]","[Range 1].[Type].&amp;[13]")," ")</f>
        <v xml:space="preserve"> </v>
      </c>
      <c r="E152" s="21" t="str">
        <f t="shared" si="32"/>
        <v xml:space="preserve"> </v>
      </c>
      <c r="F152" s="20" t="str">
        <f>IFERROR(GETPIVOTDATA("[Measures].[mOldUGOS]",'Pivot Table Cats'!$A$3,"[Range 1].[State]","[Range 1].[State].&amp;[MD]","[Range 1].[Type]","[Range 1].[Type].&amp;[13]")," ")</f>
        <v xml:space="preserve"> </v>
      </c>
      <c r="G152" s="20" t="str">
        <f>IFERROR(GETPIVOTDATA("[Measures].[mNewUGOS]",'Pivot Table Cats'!$A$3,"[Range 1].[State]","[Range 1].[State].&amp;[MD]","[Range 1].[Type]","[Range 1].[Type].&amp;[13]")," ")</f>
        <v xml:space="preserve"> </v>
      </c>
      <c r="H152" s="21" t="str">
        <f t="shared" si="33"/>
        <v xml:space="preserve"> </v>
      </c>
      <c r="I152" s="20" t="str">
        <f>IFERROR(GETPIVOTDATA("[Measures].[mOldGIS]",'Pivot Table Cats'!$A$3,"[Range 1].[State]","[Range 1].[State].&amp;[MD]","[Range 1].[Type]","[Range 1].[Type].&amp;[13]")," ")</f>
        <v xml:space="preserve"> </v>
      </c>
      <c r="J152" s="20" t="str">
        <f>IFERROR(GETPIVOTDATA("[Measures].[mNewGIS]",'Pivot Table Cats'!$A$3,"[Range 1].[State]","[Range 1].[State].&amp;[MD]","[Range 1].[Type]","[Range 1].[Type].&amp;[13]")," ")</f>
        <v xml:space="preserve"> </v>
      </c>
      <c r="K152" s="21" t="str">
        <f t="shared" si="34"/>
        <v xml:space="preserve"> </v>
      </c>
      <c r="L152" s="20" t="str">
        <f>IFERROR(GETPIVOTDATA("[Measures].[mOldGOS]",'Pivot Table Cats'!$A$3,"[Range 1].[State]","[Range 1].[State].&amp;[MD]","[Range 1].[Type]","[Range 1].[Type].&amp;[13]")," ")</f>
        <v xml:space="preserve"> </v>
      </c>
      <c r="M152" s="20" t="str">
        <f>IFERROR(GETPIVOTDATA("[Measures].[mNewGOS]",'Pivot Table Cats'!$A$3,"[Range 1].[State]","[Range 1].[State].&amp;[MD]","[Range 1].[Type]","[Range 1].[Type].&amp;[13]")," ")</f>
        <v xml:space="preserve"> </v>
      </c>
      <c r="N152" s="21" t="str">
        <f t="shared" si="35"/>
        <v xml:space="preserve"> </v>
      </c>
      <c r="O152" s="25"/>
      <c r="P152" s="26"/>
      <c r="Q152" s="27"/>
      <c r="R152" s="25"/>
      <c r="S152" s="26"/>
      <c r="T152" s="27"/>
      <c r="U152" s="25"/>
      <c r="V152" s="26"/>
      <c r="W152" s="27"/>
      <c r="X152" s="25"/>
      <c r="Y152" s="26"/>
      <c r="Z152" s="27"/>
      <c r="AA152" s="25"/>
      <c r="AB152" s="26"/>
      <c r="AC152" s="27"/>
      <c r="AD152" s="25"/>
      <c r="AE152" s="26"/>
      <c r="AF152" s="27"/>
      <c r="AG152" s="25"/>
      <c r="AH152" s="26"/>
      <c r="AI152" s="27"/>
      <c r="AJ152" s="25"/>
      <c r="AK152" s="26"/>
      <c r="AL152" s="27"/>
      <c r="AM152" s="25"/>
      <c r="AN152" s="26"/>
      <c r="AO152" s="27"/>
      <c r="AP152" s="25"/>
      <c r="AQ152" s="26"/>
      <c r="AR152" s="27"/>
      <c r="AS152" s="25"/>
      <c r="AT152" s="26"/>
      <c r="AU152" s="27"/>
      <c r="AV152" s="25"/>
      <c r="AW152" s="26"/>
      <c r="AX152" s="27"/>
      <c r="AY152" s="25"/>
      <c r="AZ152" s="26"/>
      <c r="BA152" s="27"/>
      <c r="BB152" s="25"/>
      <c r="BC152" s="26"/>
      <c r="BD152" s="27"/>
    </row>
    <row r="153" spans="1:56">
      <c r="A153" s="28"/>
      <c r="B153" s="19" t="s">
        <v>558</v>
      </c>
      <c r="C153" s="20" t="str">
        <f>IFERROR(GETPIVOTDATA("[Measures].[mOldUGIS]",'Pivot Table Cats'!$A$3,"[Range 1].[State]","[Range 1].[State].&amp;[MD]","[Range 1].[Type]","[Range 1].[Type].&amp;[14]")," ")</f>
        <v xml:space="preserve"> </v>
      </c>
      <c r="D153" s="20" t="str">
        <f>IFERROR(GETPIVOTDATA("[Measures].[mNewUGIS]",'Pivot Table Cats'!$A$3,"[Range 1].[State]","[Range 1].[State].&amp;[MD]","[Range 1].[Type]","[Range 1].[Type].&amp;[14]")," ")</f>
        <v xml:space="preserve"> </v>
      </c>
      <c r="E153" s="21" t="str">
        <f t="shared" si="32"/>
        <v xml:space="preserve"> </v>
      </c>
      <c r="F153" s="20" t="str">
        <f>IFERROR(GETPIVOTDATA("[Measures].[mOldUGOS]",'Pivot Table Cats'!$A$3,"[Range 1].[State]","[Range 1].[State].&amp;[MD]","[Range 1].[Type]","[Range 1].[Type].&amp;[14]")," ")</f>
        <v xml:space="preserve"> </v>
      </c>
      <c r="G153" s="20" t="str">
        <f>IFERROR(GETPIVOTDATA("[Measures].[mNewUGOS]",'Pivot Table Cats'!$A$3,"[Range 1].[State]","[Range 1].[State].&amp;[MD]","[Range 1].[Type]","[Range 1].[Type].&amp;[14]")," ")</f>
        <v xml:space="preserve"> </v>
      </c>
      <c r="H153" s="21" t="str">
        <f t="shared" si="33"/>
        <v xml:space="preserve"> </v>
      </c>
      <c r="I153" s="20" t="str">
        <f>IFERROR(GETPIVOTDATA("[Measures].[mOldGIS]",'Pivot Table Cats'!$A$3,"[Range 1].[State]","[Range 1].[State].&amp;[MD]","[Range 1].[Type]","[Range 1].[Type].&amp;[14]")," ")</f>
        <v xml:space="preserve"> </v>
      </c>
      <c r="J153" s="20" t="str">
        <f>IFERROR(GETPIVOTDATA("[Measures].[mNewGIS]",'Pivot Table Cats'!$A$3,"[Range 1].[State]","[Range 1].[State].&amp;[MD]","[Range 1].[Type]","[Range 1].[Type].&amp;[14]")," ")</f>
        <v xml:space="preserve"> </v>
      </c>
      <c r="K153" s="21" t="str">
        <f t="shared" si="34"/>
        <v xml:space="preserve"> </v>
      </c>
      <c r="L153" s="20" t="str">
        <f>IFERROR(GETPIVOTDATA("[Measures].[mOldGOS]",'Pivot Table Cats'!$A$3,"[Range 1].[State]","[Range 1].[State].&amp;[MD]","[Range 1].[Type]","[Range 1].[Type].&amp;[14]")," ")</f>
        <v xml:space="preserve"> </v>
      </c>
      <c r="M153" s="20" t="str">
        <f>IFERROR(GETPIVOTDATA("[Measures].[mNewGOS]",'Pivot Table Cats'!$A$3,"[Range 1].[State]","[Range 1].[State].&amp;[MD]","[Range 1].[Type]","[Range 1].[Type].&amp;[14]")," ")</f>
        <v xml:space="preserve"> </v>
      </c>
      <c r="N153" s="21" t="str">
        <f t="shared" si="35"/>
        <v xml:space="preserve"> </v>
      </c>
      <c r="O153" s="25"/>
      <c r="P153" s="26"/>
      <c r="Q153" s="27"/>
      <c r="R153" s="25"/>
      <c r="S153" s="26"/>
      <c r="T153" s="27"/>
      <c r="U153" s="25"/>
      <c r="V153" s="26"/>
      <c r="W153" s="27"/>
      <c r="X153" s="25"/>
      <c r="Y153" s="26"/>
      <c r="Z153" s="27"/>
      <c r="AA153" s="25"/>
      <c r="AB153" s="26"/>
      <c r="AC153" s="27"/>
      <c r="AD153" s="25"/>
      <c r="AE153" s="26"/>
      <c r="AF153" s="27"/>
      <c r="AG153" s="25"/>
      <c r="AH153" s="26"/>
      <c r="AI153" s="27"/>
      <c r="AJ153" s="25"/>
      <c r="AK153" s="26"/>
      <c r="AL153" s="27"/>
      <c r="AM153" s="25"/>
      <c r="AN153" s="26"/>
      <c r="AO153" s="27"/>
      <c r="AP153" s="25"/>
      <c r="AQ153" s="26"/>
      <c r="AR153" s="27"/>
      <c r="AS153" s="25"/>
      <c r="AT153" s="26"/>
      <c r="AU153" s="27"/>
      <c r="AV153" s="25"/>
      <c r="AW153" s="26"/>
      <c r="AX153" s="27"/>
      <c r="AY153" s="25"/>
      <c r="AZ153" s="26"/>
      <c r="BA153" s="27"/>
      <c r="BB153" s="25"/>
      <c r="BC153" s="26"/>
      <c r="BD153" s="27"/>
    </row>
    <row r="154" spans="1:56" s="49" customFormat="1" ht="21.75" customHeight="1">
      <c r="A154" s="48"/>
      <c r="B154" s="50" t="s">
        <v>559</v>
      </c>
      <c r="C154" s="31" t="str">
        <f>IFERROR(GETPIVOTDATA("[Measures].[mOldUGIS]",'Pivot Table Totals'!$A$59,"[Range 1].[State]","[Range 1].[State].&amp;[MD]"), " ")</f>
        <v xml:space="preserve"> </v>
      </c>
      <c r="D154" s="31" t="str">
        <f>IFERROR(GETPIVOTDATA("[Measures].[mNewUGIS]",'Pivot Table Totals'!$A$59,"[Range 1].[State]","[Range 1].[State].&amp;[MD]"), " ")</f>
        <v xml:space="preserve"> </v>
      </c>
      <c r="E154" s="21" t="str">
        <f t="shared" si="32"/>
        <v xml:space="preserve"> </v>
      </c>
      <c r="F154" s="31" t="str">
        <f>IFERROR(GETPIVOTDATA("[Measures].[mOldUGOS]",'Pivot Table Totals'!$A$59,"[Range 1].[State]","[Range 1].[State].&amp;[MD]"), " " )</f>
        <v xml:space="preserve"> </v>
      </c>
      <c r="G154" s="31" t="str">
        <f>IFERROR(GETPIVOTDATA("[Measures].[mNewUGOS]",'Pivot Table Totals'!$A$59,"[Range 1].[State]","[Range 1].[State].&amp;[MD]"), " ")</f>
        <v xml:space="preserve"> </v>
      </c>
      <c r="H154" s="21" t="str">
        <f t="shared" si="33"/>
        <v xml:space="preserve"> </v>
      </c>
      <c r="I154" s="31" t="str">
        <f>IFERROR(GETPIVOTDATA("[Measures].[mOldGIS]",'Pivot Table Totals'!$A$59,"[Range 1].[State]","[Range 1].[State].&amp;[MD]"), " ")</f>
        <v xml:space="preserve"> </v>
      </c>
      <c r="J154" s="31" t="str">
        <f>IFERROR(GETPIVOTDATA("[Measures].[mNewGIS]",'Pivot Table Totals'!$A$59,"[Range 1].[State]","[Range 1].[State].&amp;[MD]"), " ")</f>
        <v xml:space="preserve"> </v>
      </c>
      <c r="K154" s="21" t="str">
        <f t="shared" si="34"/>
        <v xml:space="preserve"> </v>
      </c>
      <c r="L154" s="31" t="str">
        <f>IFERROR(GETPIVOTDATA("[Measures].[mOldGOS]",'Pivot Table Totals'!$A$59,"[Range 1].[State]","[Range 1].[State].&amp;[MD]"), " ")</f>
        <v xml:space="preserve"> </v>
      </c>
      <c r="M154" s="31" t="str">
        <f>IFERROR(GETPIVOTDATA("[Measures].[mNewGOS]",'Pivot Table Totals'!$A$59,"[Range 1].[State]","[Range 1].[State].&amp;[MD]"), " ")</f>
        <v xml:space="preserve"> </v>
      </c>
      <c r="N154" s="21" t="str">
        <f t="shared" si="35"/>
        <v xml:space="preserve"> </v>
      </c>
      <c r="O154" s="36"/>
      <c r="P154" s="37"/>
      <c r="Q154" s="38"/>
      <c r="R154" s="36"/>
      <c r="S154" s="37"/>
      <c r="T154" s="38"/>
      <c r="U154" s="36"/>
      <c r="V154" s="37"/>
      <c r="W154" s="38"/>
      <c r="X154" s="36"/>
      <c r="Y154" s="37"/>
      <c r="Z154" s="38"/>
      <c r="AA154" s="36"/>
      <c r="AB154" s="37"/>
      <c r="AC154" s="38"/>
      <c r="AD154" s="36"/>
      <c r="AE154" s="37"/>
      <c r="AF154" s="38"/>
      <c r="AG154" s="36"/>
      <c r="AH154" s="37"/>
      <c r="AI154" s="38"/>
      <c r="AJ154" s="36"/>
      <c r="AK154" s="37"/>
      <c r="AL154" s="38"/>
      <c r="AM154" s="36"/>
      <c r="AN154" s="37"/>
      <c r="AO154" s="38"/>
      <c r="AP154" s="36"/>
      <c r="AQ154" s="37"/>
      <c r="AR154" s="38"/>
      <c r="AS154" s="36"/>
      <c r="AT154" s="37"/>
      <c r="AU154" s="38"/>
      <c r="AV154" s="36"/>
      <c r="AW154" s="37"/>
      <c r="AX154" s="38"/>
      <c r="AY154" s="36"/>
      <c r="AZ154" s="37"/>
      <c r="BA154" s="38"/>
      <c r="BB154" s="36"/>
      <c r="BC154" s="37"/>
      <c r="BD154" s="38"/>
    </row>
    <row r="155" spans="1:56">
      <c r="A155" s="40"/>
      <c r="B155" s="41" t="s">
        <v>560</v>
      </c>
      <c r="C155" s="42"/>
      <c r="D155" s="42"/>
      <c r="E155" s="335"/>
      <c r="F155" s="42"/>
      <c r="G155" s="42"/>
      <c r="H155" s="44"/>
      <c r="I155" s="45"/>
      <c r="J155" s="42"/>
      <c r="K155" s="44"/>
      <c r="L155" s="45"/>
      <c r="M155" s="42"/>
      <c r="N155" s="44"/>
      <c r="O155" s="336">
        <f>IFERROR(GETPIVOTDATA("[Measures].[mOldLawIS]",'Pivot Table Totals'!$A$79,"[Range 1].[State]","[Range 1].[State].&amp;[MD]"), " ")</f>
        <v>33783</v>
      </c>
      <c r="P155" s="42">
        <f>IFERROR(GETPIVOTDATA("[Measures].[mNewLawIS]",'Pivot Table Totals'!$A$79,"[Range 1].[State]","[Range 1].[State].&amp;[MD]"), " ")</f>
        <v>34564</v>
      </c>
      <c r="Q155" s="46">
        <f>IFERROR(IF(O155&gt;0,(((P155-O155)/O155)*100),0), " ")</f>
        <v>2.3118136340763105</v>
      </c>
      <c r="R155" s="336">
        <f>IFERROR(GETPIVOTDATA("[Measures].[mOldLawOS]",'Pivot Table Totals'!$A$79,"[Range 1].[State]","[Range 1].[State].&amp;[MD]"), " ")</f>
        <v>49146</v>
      </c>
      <c r="S155" s="336">
        <f>IFERROR(GETPIVOTDATA("[Measures].[mNewLawOS]",'Pivot Table Totals'!$A$79,"[Range 1].[State]","[Range 1].[State].&amp;[MD]"), " ")</f>
        <v>50274.5</v>
      </c>
      <c r="T155" s="46">
        <f>IFERROR(IF(R155&gt;0,(((S155-R155)/R155)*100),0), " ")</f>
        <v>2.2962194278272898</v>
      </c>
      <c r="U155" s="336">
        <f>IFERROR(GETPIVOTDATA("[Measures].[mOldMedIS]",'Pivot Table Totals'!$A$79,"[Range 1].[State]","[Range 1].[State].&amp;[MD]"), " ")</f>
        <v>39736</v>
      </c>
      <c r="V155" s="336">
        <f>IFERROR(GETPIVOTDATA("[Measures].[mNewMedIS]",'Pivot Table Totals'!$A$79,"[Range 1].[State]","[Range 1].[State].&amp;[MD]"), " ")</f>
        <v>39743</v>
      </c>
      <c r="W155" s="46">
        <f>IFERROR(IF(U155&gt;0,(((V155-U155)/U155)*100),0), " ")</f>
        <v>1.7616267364606402E-2</v>
      </c>
      <c r="X155" s="336">
        <f>IFERROR(GETPIVOTDATA("[Measures].[mOldMedOS]",'Pivot Table Totals'!$A$79,"[Range 1].[State]","[Range 1].[State].&amp;[MD]"), " ")</f>
        <v>68381</v>
      </c>
      <c r="Y155" s="336">
        <f>IFERROR(GETPIVOTDATA("[Measures].[mNewMedOS]",'Pivot Table Totals'!$A$79,"[Range 1].[State]","[Range 1].[State].&amp;[MD]"), " ")</f>
        <v>68838</v>
      </c>
      <c r="Z155" s="46">
        <f>IFERROR(IF(X155&gt;0,(((Y155-X155)/X155)*100),0), " ")</f>
        <v>0.66831429783126894</v>
      </c>
      <c r="AA155" s="336">
        <f>IFERROR(GETPIVOTDATA("[Measures].[mOldDenIS]",'Pivot Table Totals'!$A$79,"[Range 1].[State]","[Range 1].[State].&amp;[MD]"), " ")</f>
        <v>43999</v>
      </c>
      <c r="AB155" s="336">
        <f>IFERROR(GETPIVOTDATA("[Measures].[mNewDenIS]",'Pivot Table Totals'!$A$79,"[Range 1].[State]","[Range 1].[State].&amp;[MD]"), " ")</f>
        <v>46082</v>
      </c>
      <c r="AC155" s="46">
        <f>IFERROR(IF(AA155&gt;0,(((AB155-AA155)/AA155)*100),0), " ")</f>
        <v>4.7341985045114665</v>
      </c>
      <c r="AD155" s="336">
        <f>IFERROR(GETPIVOTDATA("[Measures].[mOldDenOS]",'Pivot Table Totals'!$A$79,"[Range 1].[State]","[Range 1].[State].&amp;[MD]"), " ")</f>
        <v>80156</v>
      </c>
      <c r="AE155" s="336">
        <f>IFERROR(GETPIVOTDATA("[Measures].[mNewDEnOS]",'Pivot Table Totals'!$A$79,"[Range 1].[State]","[Range 1].[State].&amp;[MD]"), " ")</f>
        <v>84047</v>
      </c>
      <c r="AF155" s="46">
        <f>IFERROR(IF(AD155&gt;0,(((AE155-AD155)/AD155)*100),0), " ")</f>
        <v>4.8542841459154644</v>
      </c>
      <c r="AG155" s="336">
        <f>IFERROR(GETPIVOTDATA("[Measures].[mOldPhrIS]",'Pivot Table Totals'!$A$79,"[Range 1].[State]","[Range 1].[State].&amp;[MD]"), " ")</f>
        <v>30065</v>
      </c>
      <c r="AH155" s="336">
        <f>IFERROR(GETPIVOTDATA("[Measures].[mNewPhIS]",'Pivot Table Totals'!$A$79,"[Range 1].[State]","[Range 1].[State].&amp;[MD]"), " ")</f>
        <v>30781</v>
      </c>
      <c r="AI155" s="46">
        <f>IFERROR(IF(AG155&gt;0,(((AH155-AG155)/AG155)*100),0), " ")</f>
        <v>2.3815067354066191</v>
      </c>
      <c r="AJ155" s="336">
        <f>IFERROR(GETPIVOTDATA("[Measures].[mOldPhrOS]",'Pivot Table Totals'!$A$79,"[Range 1].[State]","[Range 1].[State].&amp;[MD]"), " ")</f>
        <v>53265.5</v>
      </c>
      <c r="AK155" s="336">
        <f>IFERROR(GETPIVOTDATA("[Measures].[mNewPhrOS]",'Pivot Table Totals'!$A$79,"[Range 1].[State]","[Range 1].[State].&amp;[MD]"), " ")</f>
        <v>54256</v>
      </c>
      <c r="AL155" s="46">
        <f>IFERROR(IF(AJ155&gt;0,(((AQ155-AJ155)/AJ155)*100),0), " ")</f>
        <v>-100</v>
      </c>
      <c r="AM155" s="336">
        <f>IFERROR(GETPIVOTDATA("[Measures].[mOldOptIS]",'Pivot Table Totals'!$A$79,"[Range 1].[State]","[Range 1].[State].&amp;[MD]"), " ")</f>
        <v>0</v>
      </c>
      <c r="AN155" s="336">
        <f>IFERROR(GETPIVOTDATA("[Measures].[mNewOptIS]",'Pivot Table Totals'!$A$79,"[Range 1].[State]","[Range 1].[State].&amp;[MD]"), " ")</f>
        <v>0</v>
      </c>
      <c r="AO155" s="46">
        <f>IFERROR(IF(AM155&gt;0,(((AN155-AM155)/AM155)*100),0), " ")</f>
        <v>0</v>
      </c>
      <c r="AP155" s="336">
        <f>IFERROR(GETPIVOTDATA("[Measures].[mOldOptoS]",'Pivot Table Totals'!$A$79,"[Range 1].[State]","[Range 1].[State].&amp;[MD]"), " ")</f>
        <v>0</v>
      </c>
      <c r="AQ155" s="336">
        <f>IFERROR(GETPIVOTDATA("[Measures].[mNewOptoS]",'Pivot Table Totals'!$A$79,"[Range 1].[State]","[Range 1].[State].&amp;[MD]"), " ")</f>
        <v>0</v>
      </c>
      <c r="AR155" s="46">
        <f>IFERROR(IF(AP155&gt;0,(((AQ155-AP155)/AP155)*100),0), " ")</f>
        <v>0</v>
      </c>
      <c r="AS155" s="336">
        <f>IFERROR(GETPIVOTDATA("[Measures].[mOldOstIS]",'Pivot Table Totals'!$A$79,"[Range 1].[State]","[Range 1].[State].&amp;[MD]"), " ")</f>
        <v>0</v>
      </c>
      <c r="AT155" s="336">
        <f>IFERROR(GETPIVOTDATA("[Measures].[mNewOstIS]",'Pivot Table Totals'!$A$79,"[Range 1].[State]","[Range 1].[State].&amp;[MD]"), " ")</f>
        <v>0</v>
      </c>
      <c r="AU155" s="46">
        <f>IFERROR(IF(AS155&gt;0,(((AT155-AS155)/AS155)*100),0), " ")</f>
        <v>0</v>
      </c>
      <c r="AV155" s="336">
        <f>IFERROR(GETPIVOTDATA("[Measures].[mOldOstOS]",'Pivot Table Totals'!$A$79,"[Range 1].[State]","[Range 1].[State].&amp;[MD]"), " ")</f>
        <v>0</v>
      </c>
      <c r="AW155" s="336">
        <f>IFERROR(GETPIVOTDATA("[Measures].[mNewOstOS]",'Pivot Table Totals'!$A$79,"[Range 1].[State]","[Range 1].[State].&amp;[MD]"), " ")</f>
        <v>0</v>
      </c>
      <c r="AX155" s="46">
        <f>IFERROR(IF(AV155&gt;0,(((AW155-AV155)/AV155)*100),0), " ")</f>
        <v>0</v>
      </c>
      <c r="AY155" s="336">
        <f>IFERROR(GETPIVOTDATA("[Measures].[m[OldVetIS]",'Pivot Table Totals'!$A$79,"[Range 1].[State]","[Range 1].[State].&amp;[MD]"), " ")</f>
        <v>25435</v>
      </c>
      <c r="AZ155" s="336">
        <f>IFERROR(GETPIVOTDATA("[Measures].[mNewVetIS]",'Pivot Table Totals'!$A$79,"[Range 1].[State]","[Range 1].[State].&amp;[MD]"), " ")</f>
        <v>26086</v>
      </c>
      <c r="BA155" s="46">
        <f>IFERROR(IF(AY155&gt;0,(((AZ155-AY155)/AY155)*100),0), " ")</f>
        <v>2.5594653037153527</v>
      </c>
      <c r="BB155" s="336">
        <f>IFERROR(GETPIVOTDATA("[Measures].[mOldVetOS]",'Pivot Table Totals'!$A$79,"[Range 1].[State]","[Range 1].[State].&amp;[MD]"), " ")</f>
        <v>54568</v>
      </c>
      <c r="BC155" s="336">
        <f>IFERROR(GETPIVOTDATA("[Measures].[mNewVetOS]",'Pivot Table Totals'!$A$79,"[Range 1].[State]","[Range 1].[State].&amp;[MD]"), " ")</f>
        <v>55687</v>
      </c>
      <c r="BD155" s="46">
        <f>IFERROR(IF(BB155&gt;0,(((BC155-BB155)/BB155)*100),0), " ")</f>
        <v>2.0506523970092361</v>
      </c>
    </row>
    <row r="156" spans="1:56">
      <c r="A156" s="18" t="s">
        <v>278</v>
      </c>
      <c r="B156" s="19" t="s">
        <v>544</v>
      </c>
      <c r="C156" s="20">
        <f>IFERROR(GETPIVOTDATA("[Measures].[mOldUGIS]",'Pivot Table Cats'!$A$3,"[Range 1].[State]","[Range 1].[State].&amp;[MS]","[Range 1].[Type]","[Range 1].[Type].&amp;[1]")," ")</f>
        <v>8896</v>
      </c>
      <c r="D156" s="20">
        <f>IFERROR(GETPIVOTDATA("[Measures].[mNewUGIS]",'Pivot Table Cats'!$A$3,"[Range 1].[State]","[Range 1].[State].&amp;[MS]","[Range 1].[Type]","[Range 1].[Type].&amp;[1]")," ")</f>
        <v>9204</v>
      </c>
      <c r="E156" s="21">
        <f>IFERROR(IF(C156&gt;0,(((D156-C156)/C156)*100),0), " ")</f>
        <v>3.4622302158273381</v>
      </c>
      <c r="F156" s="20">
        <f>IFERROR(GETPIVOTDATA("[Measures].[mOldUGOS]",'Pivot Table Cats'!$A$3,"[Range 1].[State]","[Range 1].[State].&amp;[MS]","[Range 1].[Type]","[Range 1].[Type].&amp;[1]")," ")</f>
        <v>23950</v>
      </c>
      <c r="G156" s="20">
        <f>IFERROR(GETPIVOTDATA("[Measures].[mNewUGOS]",'Pivot Table Cats'!$A$3,"[Range 1].[State]","[Range 1].[State].&amp;[MS]","[Range 1].[Type]","[Range 1].[Type].&amp;[1]")," ")</f>
        <v>24900</v>
      </c>
      <c r="H156" s="21">
        <f>IFERROR(IF(F156&gt;0,(((G156-F156)/F156)*100),0), " ")</f>
        <v>3.9665970772442591</v>
      </c>
      <c r="I156" s="20">
        <f>IFERROR(GETPIVOTDATA("[Measures].[mOldGIS]",'Pivot Table Cats'!$A$3,"[Range 1].[State]","[Range 1].[State].&amp;[MS]","[Range 1].[Type]","[Range 1].[Type].&amp;[1]")," ")</f>
        <v>8896</v>
      </c>
      <c r="J156" s="20">
        <f>IFERROR(GETPIVOTDATA("[Measures].[mNewGIS]",'Pivot Table Cats'!$A$3,"[Range 1].[State]","[Range 1].[State].&amp;[MS]","[Range 1].[Type]","[Range 1].[Type].&amp;[1]")," ")</f>
        <v>9204</v>
      </c>
      <c r="K156" s="21">
        <f>IFERROR(IF(I156&gt;0,(((J156-I156)/I156)*100),0), " ")</f>
        <v>3.4622302158273381</v>
      </c>
      <c r="L156" s="20">
        <f>IFERROR(GETPIVOTDATA("[Measures].[mOldGOS]",'Pivot Table Cats'!$A$3,"[Range 1].[State]","[Range 1].[State].&amp;[MS]","[Range 1].[Type]","[Range 1].[Type].&amp;[1]")," ")</f>
        <v>23950</v>
      </c>
      <c r="M156" s="20">
        <f>IFERROR(GETPIVOTDATA("[Measures].[mNewGOS]",'Pivot Table Cats'!$A$3,"[Range 1].[State]","[Range 1].[State].&amp;[MS]","[Range 1].[Type]","[Range 1].[Type].&amp;[1]")," ")</f>
        <v>24900</v>
      </c>
      <c r="N156" s="21">
        <f>IFERROR(IF(L156&gt;0,(((M156-L156)/L156)*100),0), " ")</f>
        <v>3.9665970772442591</v>
      </c>
      <c r="O156" s="25"/>
      <c r="P156" s="26"/>
      <c r="Q156" s="27"/>
      <c r="R156" s="25"/>
      <c r="S156" s="26"/>
      <c r="T156" s="27"/>
      <c r="U156" s="25"/>
      <c r="V156" s="26"/>
      <c r="W156" s="27"/>
      <c r="X156" s="25"/>
      <c r="Y156" s="26"/>
      <c r="Z156" s="27"/>
      <c r="AA156" s="25"/>
      <c r="AB156" s="26"/>
      <c r="AC156" s="27"/>
      <c r="AD156" s="25"/>
      <c r="AE156" s="26"/>
      <c r="AF156" s="27"/>
      <c r="AG156" s="25"/>
      <c r="AH156" s="26"/>
      <c r="AI156" s="27"/>
      <c r="AJ156" s="25"/>
      <c r="AK156" s="26"/>
      <c r="AL156" s="27"/>
      <c r="AM156" s="25"/>
      <c r="AN156" s="26"/>
      <c r="AO156" s="27"/>
      <c r="AP156" s="25"/>
      <c r="AQ156" s="26"/>
      <c r="AR156" s="27"/>
      <c r="AS156" s="25"/>
      <c r="AT156" s="26"/>
      <c r="AU156" s="27"/>
      <c r="AV156" s="25"/>
      <c r="AW156" s="26"/>
      <c r="AX156" s="27"/>
      <c r="AY156" s="25"/>
      <c r="AZ156" s="26"/>
      <c r="BA156" s="27"/>
      <c r="BB156" s="25"/>
      <c r="BC156" s="26"/>
      <c r="BD156" s="27"/>
    </row>
    <row r="157" spans="1:56">
      <c r="A157" s="28"/>
      <c r="B157" s="19" t="s">
        <v>545</v>
      </c>
      <c r="C157" s="20">
        <f>IFERROR(GETPIVOTDATA("[Measures].[mOldUGIS]",'Pivot Table Cats'!$A$3,"[Range 1].[State]","[Range 1].[State].&amp;[MS]","[Range 1].[Type]","[Range 1].[Type].&amp;[2]")," ")</f>
        <v>8445</v>
      </c>
      <c r="D157" s="20">
        <f>IFERROR(GETPIVOTDATA("[Measures].[mNewUGIS]",'Pivot Table Cats'!$A$3,"[Range 1].[State]","[Range 1].[State].&amp;[MS]","[Range 1].[Type]","[Range 1].[Type].&amp;[2]")," ")</f>
        <v>8445</v>
      </c>
      <c r="E157" s="21">
        <f t="shared" ref="E157:E171" si="36">IFERROR(IF(C157&gt;0,(((D157-C157)/C157)*100),0), " ")</f>
        <v>0</v>
      </c>
      <c r="F157" s="20">
        <f>IFERROR(GETPIVOTDATA("[Measures].[mOldUGOS]",'Pivot Table Cats'!$A$3,"[Range 1].[State]","[Range 1].[State].&amp;[MS]","[Range 1].[Type]","[Range 1].[Type].&amp;[2]")," ")</f>
        <v>9445</v>
      </c>
      <c r="G157" s="20">
        <f>IFERROR(GETPIVOTDATA("[Measures].[mNewUGOS]",'Pivot Table Cats'!$A$3,"[Range 1].[State]","[Range 1].[State].&amp;[MS]","[Range 1].[Type]","[Range 1].[Type].&amp;[2]")," ")</f>
        <v>9445</v>
      </c>
      <c r="H157" s="21">
        <f t="shared" ref="H157:H171" si="37">IFERROR(IF(F157&gt;0,(((G157-F157)/F157)*100),0), " ")</f>
        <v>0</v>
      </c>
      <c r="I157" s="20">
        <f>IFERROR(GETPIVOTDATA("[Measures].[mOldGIS]",'Pivot Table Cats'!$A$3,"[Range 1].[State]","[Range 1].[State].&amp;[MS]","[Range 1].[Type]","[Range 1].[Type].&amp;[2]")," ")</f>
        <v>8445</v>
      </c>
      <c r="J157" s="20">
        <f>IFERROR(GETPIVOTDATA("[Measures].[mNewGIS]",'Pivot Table Cats'!$A$3,"[Range 1].[State]","[Range 1].[State].&amp;[MS]","[Range 1].[Type]","[Range 1].[Type].&amp;[2]")," ")</f>
        <v>8445</v>
      </c>
      <c r="K157" s="21">
        <f t="shared" ref="K157:K171" si="38">IFERROR(IF(I157&gt;0,(((J157-I157)/I157)*100),0), " ")</f>
        <v>0</v>
      </c>
      <c r="L157" s="20">
        <f>IFERROR(GETPIVOTDATA("[Measures].[mOldGOS]",'Pivot Table Cats'!$A$3,"[Range 1].[State]","[Range 1].[State].&amp;[MS]","[Range 1].[Type]","[Range 1].[Type].&amp;[2]")," ")</f>
        <v>9445</v>
      </c>
      <c r="M157" s="20">
        <f>IFERROR(GETPIVOTDATA("[Measures].[mNewGOS]",'Pivot Table Cats'!$A$3,"[Range 1].[State]","[Range 1].[State].&amp;[MS]","[Range 1].[Type]","[Range 1].[Type].&amp;[2]")," ")</f>
        <v>9445</v>
      </c>
      <c r="N157" s="21">
        <f t="shared" ref="N157:N171" si="39">IFERROR(IF(L157&gt;0,(((M157-L157)/L157)*100),0), " ")</f>
        <v>0</v>
      </c>
      <c r="O157" s="25"/>
      <c r="P157" s="26"/>
      <c r="Q157" s="27"/>
      <c r="R157" s="25"/>
      <c r="S157" s="26"/>
      <c r="T157" s="27"/>
      <c r="U157" s="25"/>
      <c r="V157" s="26"/>
      <c r="W157" s="27"/>
      <c r="X157" s="25"/>
      <c r="Y157" s="26"/>
      <c r="Z157" s="27"/>
      <c r="AA157" s="25"/>
      <c r="AB157" s="26"/>
      <c r="AC157" s="27"/>
      <c r="AD157" s="25"/>
      <c r="AE157" s="26"/>
      <c r="AF157" s="27"/>
      <c r="AG157" s="25"/>
      <c r="AH157" s="26"/>
      <c r="AI157" s="27"/>
      <c r="AJ157" s="25"/>
      <c r="AK157" s="26"/>
      <c r="AL157" s="27"/>
      <c r="AM157" s="25"/>
      <c r="AN157" s="26"/>
      <c r="AO157" s="27"/>
      <c r="AP157" s="25"/>
      <c r="AQ157" s="26"/>
      <c r="AR157" s="27"/>
      <c r="AS157" s="25"/>
      <c r="AT157" s="26"/>
      <c r="AU157" s="27"/>
      <c r="AV157" s="25"/>
      <c r="AW157" s="26"/>
      <c r="AX157" s="27"/>
      <c r="AY157" s="25"/>
      <c r="AZ157" s="26"/>
      <c r="BA157" s="27"/>
      <c r="BB157" s="25"/>
      <c r="BC157" s="26"/>
      <c r="BD157" s="27"/>
    </row>
    <row r="158" spans="1:56">
      <c r="A158" s="28"/>
      <c r="B158" s="19" t="s">
        <v>546</v>
      </c>
      <c r="C158" s="20" t="str">
        <f>IFERROR(GETPIVOTDATA("[Measures].[mOldUGIS]",'Pivot Table Cats'!$A$3,"[Range 1].[State]","[Range 1].[State].&amp;[MS]","[Range 1].[Type]","[Range 1].[Type].&amp;[3]")," ")</f>
        <v xml:space="preserve"> </v>
      </c>
      <c r="D158" s="20" t="str">
        <f>IFERROR(GETPIVOTDATA("[Measures].[mNewUGIS]",'Pivot Table Cats'!$A$3,"[Range 1].[State]","[Range 1].[State].&amp;[MS]","[Range 1].[Type]","[Range 1].[Type].&amp;[3]")," ")</f>
        <v xml:space="preserve"> </v>
      </c>
      <c r="E158" s="21" t="str">
        <f t="shared" si="36"/>
        <v xml:space="preserve"> </v>
      </c>
      <c r="F158" s="20" t="str">
        <f>IFERROR(GETPIVOTDATA("[Measures].[mOldUGOS]",'Pivot Table Cats'!$A$3,"[Range 1].[State]","[Range 1].[State].&amp;[MS]","[Range 1].[Type]","[Range 1].[Type].&amp;[3]")," ")</f>
        <v xml:space="preserve"> </v>
      </c>
      <c r="G158" s="20" t="str">
        <f>IFERROR(GETPIVOTDATA("[Measures].[mNewUGOS]",'Pivot Table Cats'!$A$3,"[Range 1].[State]","[Range 1].[State].&amp;[MS]","[Range 1].[Type]","[Range 1].[Type].&amp;[3]")," ")</f>
        <v xml:space="preserve"> </v>
      </c>
      <c r="H158" s="21" t="str">
        <f t="shared" si="37"/>
        <v xml:space="preserve"> </v>
      </c>
      <c r="I158" s="20" t="str">
        <f>IFERROR(GETPIVOTDATA("[Measures].[mOldGIS]",'Pivot Table Cats'!$A$3,"[Range 1].[State]","[Range 1].[State].&amp;[MS]","[Range 1].[Type]","[Range 1].[Type].&amp;[3]")," ")</f>
        <v xml:space="preserve"> </v>
      </c>
      <c r="J158" s="20" t="str">
        <f>IFERROR(GETPIVOTDATA("[Measures].[mNewGIS]",'Pivot Table Cats'!$A$3,"[Range 1].[State]","[Range 1].[State].&amp;[MS]","[Range 1].[Type]","[Range 1].[Type].&amp;[3]")," ")</f>
        <v xml:space="preserve"> </v>
      </c>
      <c r="K158" s="21" t="str">
        <f t="shared" si="38"/>
        <v xml:space="preserve"> </v>
      </c>
      <c r="L158" s="20" t="str">
        <f>IFERROR(GETPIVOTDATA("[Measures].[mOldGOS]",'Pivot Table Cats'!$A$3,"[Range 1].[State]","[Range 1].[State].&amp;[MS]","[Range 1].[Type]","[Range 1].[Type].&amp;[3]")," ")</f>
        <v xml:space="preserve"> </v>
      </c>
      <c r="M158" s="20" t="str">
        <f>IFERROR(GETPIVOTDATA("[Measures].[mNewGOS]",'Pivot Table Cats'!$A$3,"[Range 1].[State]","[Range 1].[State].&amp;[MS]","[Range 1].[Type]","[Range 1].[Type].&amp;[3]")," ")</f>
        <v xml:space="preserve"> </v>
      </c>
      <c r="N158" s="21" t="str">
        <f t="shared" si="39"/>
        <v xml:space="preserve"> </v>
      </c>
      <c r="O158" s="25"/>
      <c r="P158" s="26"/>
      <c r="Q158" s="27"/>
      <c r="R158" s="25"/>
      <c r="S158" s="26"/>
      <c r="T158" s="27"/>
      <c r="U158" s="25"/>
      <c r="V158" s="26"/>
      <c r="W158" s="27"/>
      <c r="X158" s="25"/>
      <c r="Y158" s="26"/>
      <c r="Z158" s="27"/>
      <c r="AA158" s="25"/>
      <c r="AB158" s="26"/>
      <c r="AC158" s="27"/>
      <c r="AD158" s="25"/>
      <c r="AE158" s="26"/>
      <c r="AF158" s="27"/>
      <c r="AG158" s="25"/>
      <c r="AH158" s="26"/>
      <c r="AI158" s="27"/>
      <c r="AJ158" s="25"/>
      <c r="AK158" s="26"/>
      <c r="AL158" s="27"/>
      <c r="AM158" s="25"/>
      <c r="AN158" s="26"/>
      <c r="AO158" s="27"/>
      <c r="AP158" s="25"/>
      <c r="AQ158" s="26"/>
      <c r="AR158" s="27"/>
      <c r="AS158" s="25"/>
      <c r="AT158" s="26"/>
      <c r="AU158" s="27"/>
      <c r="AV158" s="25"/>
      <c r="AW158" s="26"/>
      <c r="AX158" s="27"/>
      <c r="AY158" s="25"/>
      <c r="AZ158" s="26"/>
      <c r="BA158" s="27"/>
      <c r="BB158" s="25"/>
      <c r="BC158" s="26"/>
      <c r="BD158" s="27"/>
    </row>
    <row r="159" spans="1:56">
      <c r="A159" s="28"/>
      <c r="B159" s="19" t="s">
        <v>547</v>
      </c>
      <c r="C159" s="20">
        <f>IFERROR(GETPIVOTDATA("[Measures].[mOldUGIS]",'Pivot Table Cats'!$A$3,"[Range 1].[State]","[Range 1].[State].&amp;[MS]","[Range 1].[Type]","[Range 1].[Type].&amp;[4]")," ")</f>
        <v>7716</v>
      </c>
      <c r="D159" s="20">
        <f>IFERROR(GETPIVOTDATA("[Measures].[mNewUGIS]",'Pivot Table Cats'!$A$3,"[Range 1].[State]","[Range 1].[State].&amp;[MS]","[Range 1].[Type]","[Range 1].[Type].&amp;[4]")," ")</f>
        <v>7966</v>
      </c>
      <c r="E159" s="21">
        <f t="shared" si="36"/>
        <v>3.2400207361327116</v>
      </c>
      <c r="F159" s="20">
        <f>IFERROR(GETPIVOTDATA("[Measures].[mOldUGOS]",'Pivot Table Cats'!$A$3,"[Range 1].[State]","[Range 1].[State].&amp;[MS]","[Range 1].[Type]","[Range 1].[Type].&amp;[4]")," ")</f>
        <v>7716</v>
      </c>
      <c r="G159" s="20">
        <f>IFERROR(GETPIVOTDATA("[Measures].[mNewUGOS]",'Pivot Table Cats'!$A$3,"[Range 1].[State]","[Range 1].[State].&amp;[MS]","[Range 1].[Type]","[Range 1].[Type].&amp;[4]")," ")</f>
        <v>7966</v>
      </c>
      <c r="H159" s="21">
        <f t="shared" si="37"/>
        <v>3.2400207361327116</v>
      </c>
      <c r="I159" s="20">
        <f>IFERROR(GETPIVOTDATA("[Measures].[mOldGIS]",'Pivot Table Cats'!$A$3,"[Range 1].[State]","[Range 1].[State].&amp;[MS]","[Range 1].[Type]","[Range 1].[Type].&amp;[4]")," ")</f>
        <v>7716</v>
      </c>
      <c r="J159" s="20">
        <f>IFERROR(GETPIVOTDATA("[Measures].[mNewGIS]",'Pivot Table Cats'!$A$3,"[Range 1].[State]","[Range 1].[State].&amp;[MS]","[Range 1].[Type]","[Range 1].[Type].&amp;[4]")," ")</f>
        <v>7966</v>
      </c>
      <c r="K159" s="21">
        <f t="shared" si="38"/>
        <v>3.2400207361327116</v>
      </c>
      <c r="L159" s="20">
        <f>IFERROR(GETPIVOTDATA("[Measures].[mOldGOS]",'Pivot Table Cats'!$A$3,"[Range 1].[State]","[Range 1].[State].&amp;[MS]","[Range 1].[Type]","[Range 1].[Type].&amp;[4]")," ")</f>
        <v>7716</v>
      </c>
      <c r="M159" s="20">
        <f>IFERROR(GETPIVOTDATA("[Measures].[mNewGOS]",'Pivot Table Cats'!$A$3,"[Range 1].[State]","[Range 1].[State].&amp;[MS]","[Range 1].[Type]","[Range 1].[Type].&amp;[4]")," ")</f>
        <v>7966</v>
      </c>
      <c r="N159" s="21">
        <f t="shared" si="39"/>
        <v>3.2400207361327116</v>
      </c>
      <c r="O159" s="25"/>
      <c r="P159" s="26"/>
      <c r="Q159" s="27"/>
      <c r="R159" s="25"/>
      <c r="S159" s="26"/>
      <c r="T159" s="27"/>
      <c r="U159" s="25"/>
      <c r="V159" s="26"/>
      <c r="W159" s="27"/>
      <c r="X159" s="25"/>
      <c r="Y159" s="26"/>
      <c r="Z159" s="27"/>
      <c r="AA159" s="25"/>
      <c r="AB159" s="26"/>
      <c r="AC159" s="27"/>
      <c r="AD159" s="25"/>
      <c r="AE159" s="26"/>
      <c r="AF159" s="27"/>
      <c r="AG159" s="25"/>
      <c r="AH159" s="26"/>
      <c r="AI159" s="27"/>
      <c r="AJ159" s="25"/>
      <c r="AK159" s="26"/>
      <c r="AL159" s="27"/>
      <c r="AM159" s="25"/>
      <c r="AN159" s="26"/>
      <c r="AO159" s="27"/>
      <c r="AP159" s="25"/>
      <c r="AQ159" s="26"/>
      <c r="AR159" s="27"/>
      <c r="AS159" s="25"/>
      <c r="AT159" s="26"/>
      <c r="AU159" s="27"/>
      <c r="AV159" s="25"/>
      <c r="AW159" s="26"/>
      <c r="AX159" s="27"/>
      <c r="AY159" s="25"/>
      <c r="AZ159" s="26"/>
      <c r="BA159" s="27"/>
      <c r="BB159" s="25"/>
      <c r="BC159" s="26"/>
      <c r="BD159" s="27"/>
    </row>
    <row r="160" spans="1:56">
      <c r="A160" s="28"/>
      <c r="B160" s="19" t="s">
        <v>548</v>
      </c>
      <c r="C160" s="20" t="str">
        <f>IFERROR(GETPIVOTDATA("[Measures].[mOldUGIS]",'Pivot Table Cats'!$A$3,"[Range 1].[State]","[Range 1].[State].&amp;[MS]","[Range 1].[Type]","[Range 1].[Type].&amp;[5]")," ")</f>
        <v xml:space="preserve"> </v>
      </c>
      <c r="D160" s="20" t="str">
        <f>IFERROR(GETPIVOTDATA("[Measures].[mNewUGIS]",'Pivot Table Cats'!$A$3,"[Range 1].[State]","[Range 1].[State].&amp;[MS]","[Range 1].[Type]","[Range 1].[Type].&amp;[5]")," ")</f>
        <v xml:space="preserve"> </v>
      </c>
      <c r="E160" s="21" t="str">
        <f t="shared" si="36"/>
        <v xml:space="preserve"> </v>
      </c>
      <c r="F160" s="20" t="str">
        <f>IFERROR(GETPIVOTDATA("[Measures].[mOldUGOS]",'Pivot Table Cats'!$A$3,"[Range 1].[State]","[Range 1].[State].&amp;[MS]","[Range 1].[Type]","[Range 1].[Type].&amp;[5]")," ")</f>
        <v xml:space="preserve"> </v>
      </c>
      <c r="G160" s="20" t="str">
        <f>IFERROR(GETPIVOTDATA("[Measures].[mNewUGOS]",'Pivot Table Cats'!$A$3,"[Range 1].[State]","[Range 1].[State].&amp;[MS]","[Range 1].[Type]","[Range 1].[Type].&amp;[5]")," ")</f>
        <v xml:space="preserve"> </v>
      </c>
      <c r="H160" s="21" t="str">
        <f t="shared" si="37"/>
        <v xml:space="preserve"> </v>
      </c>
      <c r="I160" s="20" t="str">
        <f>IFERROR(GETPIVOTDATA("[Measures].[mOldGIS]",'Pivot Table Cats'!$A$3,"[Range 1].[State]","[Range 1].[State].&amp;[MS]","[Range 1].[Type]","[Range 1].[Type].&amp;[5]")," ")</f>
        <v xml:space="preserve"> </v>
      </c>
      <c r="J160" s="20" t="str">
        <f>IFERROR(GETPIVOTDATA("[Measures].[mNewGIS]",'Pivot Table Cats'!$A$3,"[Range 1].[State]","[Range 1].[State].&amp;[MS]","[Range 1].[Type]","[Range 1].[Type].&amp;[5]")," ")</f>
        <v xml:space="preserve"> </v>
      </c>
      <c r="K160" s="21" t="str">
        <f t="shared" si="38"/>
        <v xml:space="preserve"> </v>
      </c>
      <c r="L160" s="20" t="str">
        <f>IFERROR(GETPIVOTDATA("[Measures].[mOldGOS]",'Pivot Table Cats'!$A$3,"[Range 1].[State]","[Range 1].[State].&amp;[MS]","[Range 1].[Type]","[Range 1].[Type].&amp;[5]")," ")</f>
        <v xml:space="preserve"> </v>
      </c>
      <c r="M160" s="20" t="str">
        <f>IFERROR(GETPIVOTDATA("[Measures].[mNewGOS]",'Pivot Table Cats'!$A$3,"[Range 1].[State]","[Range 1].[State].&amp;[MS]","[Range 1].[Type]","[Range 1].[Type].&amp;[5]")," ")</f>
        <v xml:space="preserve"> </v>
      </c>
      <c r="N160" s="21" t="str">
        <f t="shared" si="39"/>
        <v xml:space="preserve"> </v>
      </c>
      <c r="O160" s="25"/>
      <c r="P160" s="26"/>
      <c r="Q160" s="27"/>
      <c r="R160" s="25"/>
      <c r="S160" s="26"/>
      <c r="T160" s="27"/>
      <c r="U160" s="25"/>
      <c r="V160" s="26"/>
      <c r="W160" s="27"/>
      <c r="X160" s="25"/>
      <c r="Y160" s="26"/>
      <c r="Z160" s="27"/>
      <c r="AA160" s="25"/>
      <c r="AB160" s="26"/>
      <c r="AC160" s="27"/>
      <c r="AD160" s="25"/>
      <c r="AE160" s="26"/>
      <c r="AF160" s="27"/>
      <c r="AG160" s="25"/>
      <c r="AH160" s="26"/>
      <c r="AI160" s="27"/>
      <c r="AJ160" s="25"/>
      <c r="AK160" s="26"/>
      <c r="AL160" s="27"/>
      <c r="AM160" s="25"/>
      <c r="AN160" s="26"/>
      <c r="AO160" s="27"/>
      <c r="AP160" s="25"/>
      <c r="AQ160" s="26"/>
      <c r="AR160" s="27"/>
      <c r="AS160" s="25"/>
      <c r="AT160" s="26"/>
      <c r="AU160" s="27"/>
      <c r="AV160" s="25"/>
      <c r="AW160" s="26"/>
      <c r="AX160" s="27"/>
      <c r="AY160" s="25"/>
      <c r="AZ160" s="26"/>
      <c r="BA160" s="27"/>
      <c r="BB160" s="25"/>
      <c r="BC160" s="26"/>
      <c r="BD160" s="27"/>
    </row>
    <row r="161" spans="1:56">
      <c r="A161" s="28"/>
      <c r="B161" s="19" t="s">
        <v>549</v>
      </c>
      <c r="C161" s="20" t="str">
        <f>IFERROR(GETPIVOTDATA("[Measures].[mOldUGIS]",'Pivot Table Cats'!$A$3,"[Range 1].[State]","[Range 1].[State].&amp;[MS]","[Range 1].[Type]","[Range 1].[Type].&amp;[6]")," ")</f>
        <v xml:space="preserve"> </v>
      </c>
      <c r="D161" s="20" t="str">
        <f>IFERROR(GETPIVOTDATA("[Measures].[mNewUGIS]",'Pivot Table Cats'!$A$3,"[Range 1].[State]","[Range 1].[State].&amp;[MS]","[Range 1].[Type]","[Range 1].[Type].&amp;[6]")," ")</f>
        <v xml:space="preserve"> </v>
      </c>
      <c r="E161" s="21" t="str">
        <f t="shared" si="36"/>
        <v xml:space="preserve"> </v>
      </c>
      <c r="F161" s="20" t="str">
        <f>IFERROR(GETPIVOTDATA("[Measures].[mOldUGOS]",'Pivot Table Cats'!$A$3,"[Range 1].[State]","[Range 1].[State].&amp;[MS]","[Range 1].[Type]","[Range 1].[Type].&amp;[6]")," ")</f>
        <v xml:space="preserve"> </v>
      </c>
      <c r="G161" s="20" t="str">
        <f>IFERROR(GETPIVOTDATA("[Measures].[mNewUGOS]",'Pivot Table Cats'!$A$3,"[Range 1].[State]","[Range 1].[State].&amp;[MS]","[Range 1].[Type]","[Range 1].[Type].&amp;[6]")," ")</f>
        <v xml:space="preserve"> </v>
      </c>
      <c r="H161" s="21" t="str">
        <f t="shared" si="37"/>
        <v xml:space="preserve"> </v>
      </c>
      <c r="I161" s="20" t="str">
        <f>IFERROR(GETPIVOTDATA("[Measures].[mOldGIS]",'Pivot Table Cats'!$A$3,"[Range 1].[State]","[Range 1].[State].&amp;[MS]","[Range 1].[Type]","[Range 1].[Type].&amp;[6]")," ")</f>
        <v xml:space="preserve"> </v>
      </c>
      <c r="J161" s="20" t="str">
        <f>IFERROR(GETPIVOTDATA("[Measures].[mNewGIS]",'Pivot Table Cats'!$A$3,"[Range 1].[State]","[Range 1].[State].&amp;[MS]","[Range 1].[Type]","[Range 1].[Type].&amp;[6]")," ")</f>
        <v xml:space="preserve"> </v>
      </c>
      <c r="K161" s="21" t="str">
        <f t="shared" si="38"/>
        <v xml:space="preserve"> </v>
      </c>
      <c r="L161" s="20" t="str">
        <f>IFERROR(GETPIVOTDATA("[Measures].[mOldGOS]",'Pivot Table Cats'!$A$3,"[Range 1].[State]","[Range 1].[State].&amp;[MS]","[Range 1].[Type]","[Range 1].[Type].&amp;[6]")," ")</f>
        <v xml:space="preserve"> </v>
      </c>
      <c r="M161" s="20" t="str">
        <f>IFERROR(GETPIVOTDATA("[Measures].[mNewGOS]",'Pivot Table Cats'!$A$3,"[Range 1].[State]","[Range 1].[State].&amp;[MS]","[Range 1].[Type]","[Range 1].[Type].&amp;[6]")," ")</f>
        <v xml:space="preserve"> </v>
      </c>
      <c r="N161" s="21" t="str">
        <f t="shared" si="39"/>
        <v xml:space="preserve"> </v>
      </c>
      <c r="O161" s="25"/>
      <c r="P161" s="26"/>
      <c r="Q161" s="27"/>
      <c r="R161" s="25"/>
      <c r="S161" s="26"/>
      <c r="T161" s="27"/>
      <c r="U161" s="25"/>
      <c r="V161" s="26"/>
      <c r="W161" s="27"/>
      <c r="X161" s="25"/>
      <c r="Y161" s="26"/>
      <c r="Z161" s="27"/>
      <c r="AA161" s="25"/>
      <c r="AB161" s="26"/>
      <c r="AC161" s="27"/>
      <c r="AD161" s="25"/>
      <c r="AE161" s="26"/>
      <c r="AF161" s="27"/>
      <c r="AG161" s="25"/>
      <c r="AH161" s="26"/>
      <c r="AI161" s="27"/>
      <c r="AJ161" s="25"/>
      <c r="AK161" s="26"/>
      <c r="AL161" s="27"/>
      <c r="AM161" s="25"/>
      <c r="AN161" s="26"/>
      <c r="AO161" s="27"/>
      <c r="AP161" s="25"/>
      <c r="AQ161" s="26"/>
      <c r="AR161" s="27"/>
      <c r="AS161" s="25"/>
      <c r="AT161" s="26"/>
      <c r="AU161" s="27"/>
      <c r="AV161" s="25"/>
      <c r="AW161" s="26"/>
      <c r="AX161" s="27"/>
      <c r="AY161" s="25"/>
      <c r="AZ161" s="26"/>
      <c r="BA161" s="27"/>
      <c r="BB161" s="25"/>
      <c r="BC161" s="26"/>
      <c r="BD161" s="27"/>
    </row>
    <row r="162" spans="1:56" s="49" customFormat="1" ht="15.75" customHeight="1">
      <c r="A162" s="48"/>
      <c r="B162" s="30" t="s">
        <v>550</v>
      </c>
      <c r="C162" s="31">
        <f>IFERROR(GETPIVOTDATA("[Measures].[mOldUGIS]",'Pivot Table Totals'!$A$4,"[Range 1].[State]","[Range 1].[State].&amp;[MS]"), " ")</f>
        <v>8283</v>
      </c>
      <c r="D162" s="31">
        <f>IFERROR(GETPIVOTDATA("[Measures].[mNewUGIS]",'Pivot Table Totals'!$A$4,"[Range 1].[State]","[Range 1].[State].&amp;[MS]"), " ")</f>
        <v>8402.5</v>
      </c>
      <c r="E162" s="21">
        <f t="shared" si="36"/>
        <v>1.4427139925147892</v>
      </c>
      <c r="F162" s="31">
        <f>IFERROR(GETPIVOTDATA("[Measures].[mOldUGOS]",'Pivot Table Totals'!$A$4,"[Range 1].[State]","[Range 1].[State].&amp;[MS]"), " ")</f>
        <v>8783</v>
      </c>
      <c r="G162" s="31">
        <f>IFERROR(GETPIVOTDATA("[Measures].[mNewUGOS]",'Pivot Table Totals'!$A$4,"[Range 1].[State]","[Range 1].[State].&amp;[MS]"), " ")</f>
        <v>8902.5</v>
      </c>
      <c r="H162" s="21">
        <f t="shared" si="37"/>
        <v>1.3605829443242627</v>
      </c>
      <c r="I162" s="31">
        <f>IFERROR(GETPIVOTDATA("[Measures].[mOldGIS]",'Pivot Table Totals'!$A$4,"[Range 1].[State]","[Range 1].[State].&amp;[MS]"), " ")</f>
        <v>8283</v>
      </c>
      <c r="J162" s="31">
        <f>IFERROR(GETPIVOTDATA("[Measures].[mNewGIS]",'Pivot Table Totals'!$A$4,"[Range 1].[State]","[Range 1].[State].&amp;[MS]"), " ")</f>
        <v>8402.5</v>
      </c>
      <c r="K162" s="21">
        <f t="shared" si="38"/>
        <v>1.4427139925147892</v>
      </c>
      <c r="L162" s="31">
        <f>IFERROR(GETPIVOTDATA("[Measures].[mOldGOS]",'Pivot Table Totals'!$A$4,"[Range 1].[State]","[Range 1].[State].&amp;[MS]"), " ")</f>
        <v>8783</v>
      </c>
      <c r="M162" s="31">
        <f>IFERROR(GETPIVOTDATA("[Measures].[mNewGOS]",'Pivot Table Totals'!$A$4,"[Range 1].[State]","[Range 1].[State].&amp;[MS]"), " ")</f>
        <v>8902.5</v>
      </c>
      <c r="N162" s="21">
        <f>IFERROR(IF(L162&gt;0,(((M162-L162)/L162)*100),0), "  ")</f>
        <v>1.3605829443242627</v>
      </c>
      <c r="O162" s="36"/>
      <c r="P162" s="37"/>
      <c r="Q162" s="38"/>
      <c r="R162" s="36"/>
      <c r="S162" s="37"/>
      <c r="T162" s="38"/>
      <c r="U162" s="36"/>
      <c r="V162" s="37"/>
      <c r="W162" s="38"/>
      <c r="X162" s="36"/>
      <c r="Y162" s="37"/>
      <c r="Z162" s="38"/>
      <c r="AA162" s="36"/>
      <c r="AB162" s="37"/>
      <c r="AC162" s="38"/>
      <c r="AD162" s="36"/>
      <c r="AE162" s="37"/>
      <c r="AF162" s="38"/>
      <c r="AG162" s="36"/>
      <c r="AH162" s="37"/>
      <c r="AI162" s="38"/>
      <c r="AJ162" s="36"/>
      <c r="AK162" s="37"/>
      <c r="AL162" s="38"/>
      <c r="AM162" s="36"/>
      <c r="AN162" s="37"/>
      <c r="AO162" s="38"/>
      <c r="AP162" s="36"/>
      <c r="AQ162" s="37"/>
      <c r="AR162" s="38"/>
      <c r="AS162" s="36"/>
      <c r="AT162" s="37"/>
      <c r="AU162" s="38"/>
      <c r="AV162" s="36"/>
      <c r="AW162" s="37"/>
      <c r="AX162" s="38"/>
      <c r="AY162" s="36"/>
      <c r="AZ162" s="37"/>
      <c r="BA162" s="38"/>
      <c r="BB162" s="36"/>
      <c r="BC162" s="37"/>
      <c r="BD162" s="38"/>
    </row>
    <row r="163" spans="1:56">
      <c r="A163" s="28"/>
      <c r="B163" s="19" t="s">
        <v>551</v>
      </c>
      <c r="C163" s="20" t="str">
        <f>IFERROR(GETPIVOTDATA("[Measures].[mOldUGIS]",'Pivot Table Cats'!$A$3,"[Range 1].[State]","[Range 1].[State].&amp;[MS]","[Range 1].[Type]","[Range 1].[Type].&amp;[7]")," ")</f>
        <v xml:space="preserve"> </v>
      </c>
      <c r="D163" s="20" t="str">
        <f>IFERROR(GETPIVOTDATA("[Measures].[mNewUGIS]",'Pivot Table Cats'!$A$3,"[Range 1].[State]","[Range 1].[State].&amp;[MS]","[Range 1].[Type]","[Range 1].[Type].&amp;[7]")," ")</f>
        <v xml:space="preserve"> </v>
      </c>
      <c r="E163" s="21" t="str">
        <f t="shared" si="36"/>
        <v xml:space="preserve"> </v>
      </c>
      <c r="F163" s="20" t="str">
        <f>IFERROR(GETPIVOTDATA("[Measures].[mOldUGOS]",'Pivot Table Cats'!$A$3,"[Range 1].[State]","[Range 1].[State].&amp;[MS]","[Range 1].[Type]","[Range 1].[Type].&amp;[7]")," ")</f>
        <v xml:space="preserve"> </v>
      </c>
      <c r="G163" s="20" t="str">
        <f>IFERROR(GETPIVOTDATA("[Measures].[mNewUGOS]",'Pivot Table Cats'!$A$3,"[Range 1].[State]","[Range 1].[State].&amp;[MS]","[Range 1].[Type]","[Range 1].[Type].&amp;[7]")," ")</f>
        <v xml:space="preserve"> </v>
      </c>
      <c r="H163" s="21" t="str">
        <f t="shared" si="37"/>
        <v xml:space="preserve"> </v>
      </c>
      <c r="I163" s="20" t="str">
        <f>IFERROR(GETPIVOTDATA("[Measures].[mOldGIS]",'Pivot Table Cats'!$A$3,"[Range 1].[State]","[Range 1].[State].&amp;[MS]","[Range 1].[Type]","[Range 1].[Type].&amp;[7]")," ")</f>
        <v xml:space="preserve"> </v>
      </c>
      <c r="J163" s="20" t="str">
        <f>IFERROR(GETPIVOTDATA("[Measures].[mNewGIS]",'Pivot Table Cats'!$A$3,"[Range 1].[State]","[Range 1].[State].&amp;[MS]","[Range 1].[Type]","[Range 1].[Type].&amp;[7]")," ")</f>
        <v xml:space="preserve"> </v>
      </c>
      <c r="K163" s="21" t="str">
        <f t="shared" si="38"/>
        <v xml:space="preserve"> </v>
      </c>
      <c r="L163" s="20" t="str">
        <f>IFERROR(GETPIVOTDATA("[Measures].[mOldGIS]",'Pivot Table Cats'!$A$3,"[Range 1].[State]","[Range 1].[State].&amp;[MS]","[Range 1].[Type]","[Range 1].[Type].&amp;[7]")," ")</f>
        <v xml:space="preserve"> </v>
      </c>
      <c r="M163" s="20" t="str">
        <f>IFERROR(GETPIVOTDATA("[Measures].[mNewGIS]",'Pivot Table Cats'!$A$3,"[Range 1].[State]","[Range 1].[State].&amp;[MS]","[Range 1].[Type]","[Range 1].[Type].&amp;[7]")," ")</f>
        <v xml:space="preserve"> </v>
      </c>
      <c r="N163" s="21" t="str">
        <f t="shared" si="39"/>
        <v xml:space="preserve"> </v>
      </c>
      <c r="O163" s="25"/>
      <c r="P163" s="26"/>
      <c r="Q163" s="27"/>
      <c r="R163" s="25"/>
      <c r="S163" s="26"/>
      <c r="T163" s="27"/>
      <c r="U163" s="25"/>
      <c r="V163" s="26"/>
      <c r="W163" s="27"/>
      <c r="X163" s="25"/>
      <c r="Y163" s="26"/>
      <c r="Z163" s="27"/>
      <c r="AA163" s="25"/>
      <c r="AB163" s="26"/>
      <c r="AC163" s="27"/>
      <c r="AD163" s="25"/>
      <c r="AE163" s="26"/>
      <c r="AF163" s="27"/>
      <c r="AG163" s="25"/>
      <c r="AH163" s="26"/>
      <c r="AI163" s="27"/>
      <c r="AJ163" s="25"/>
      <c r="AK163" s="26"/>
      <c r="AL163" s="27"/>
      <c r="AM163" s="25"/>
      <c r="AN163" s="26"/>
      <c r="AO163" s="27"/>
      <c r="AP163" s="25"/>
      <c r="AQ163" s="26"/>
      <c r="AR163" s="27"/>
      <c r="AS163" s="25"/>
      <c r="AT163" s="26"/>
      <c r="AU163" s="27"/>
      <c r="AV163" s="25"/>
      <c r="AW163" s="26"/>
      <c r="AX163" s="27"/>
      <c r="AY163" s="25"/>
      <c r="AZ163" s="26"/>
      <c r="BA163" s="27"/>
      <c r="BB163" s="25"/>
      <c r="BC163" s="26"/>
      <c r="BD163" s="27"/>
    </row>
    <row r="164" spans="1:56">
      <c r="A164" s="28"/>
      <c r="B164" s="19" t="s">
        <v>552</v>
      </c>
      <c r="C164" s="20">
        <f>IFERROR(GETPIVOTDATA("[Measures].[mOldUGIS]",'Pivot Table Cats'!$A$3,"[Range 1].[State]","[Range 1].[State].&amp;[MS]","[Range 1].[Type]","[Range 1].[Type].&amp;[8]")," ")</f>
        <v>3345</v>
      </c>
      <c r="D164" s="20">
        <f>IFERROR(GETPIVOTDATA("[Measures].[mNewUGIS]",'Pivot Table Cats'!$A$3,"[Range 1].[State]","[Range 1].[State].&amp;[MS]","[Range 1].[Type]","[Range 1].[Type].&amp;[8]")," ")</f>
        <v>3445</v>
      </c>
      <c r="E164" s="21">
        <f t="shared" si="36"/>
        <v>2.9895366218236172</v>
      </c>
      <c r="F164" s="20">
        <f>IFERROR(GETPIVOTDATA("[Measures].[mOldUGOS]",'Pivot Table Cats'!$A$3,"[Range 1].[State]","[Range 1].[State].&amp;[MS]","[Range 1].[Type]","[Range 1].[Type].&amp;[8]")," ")</f>
        <v>6095</v>
      </c>
      <c r="G164" s="20">
        <f>IFERROR(GETPIVOTDATA("[Measures].[mNewUGOS]",'Pivot Table Cats'!$A$3,"[Range 1].[State]","[Range 1].[State].&amp;[MS]","[Range 1].[Type]","[Range 1].[Type].&amp;[8]")," ")</f>
        <v>6355</v>
      </c>
      <c r="H164" s="21">
        <f t="shared" si="37"/>
        <v>4.2657916324856435</v>
      </c>
      <c r="I164" s="337">
        <f>IFERROR(GETPIVOTDATA("[Measures].[mOldGIS]",'Pivot Table Cats'!$A$3,"[Range 1].[State]","[Range 1].[State].&amp;[MS]","[Range 1].[Type]","[Range 1].[Type].&amp;[8]")," ")</f>
        <v>0</v>
      </c>
      <c r="J164" s="20">
        <f>IFERROR(GETPIVOTDATA("[Measures].[mNewGIS]",'Pivot Table Cats'!$A$3,"[Range 1].[State]","[Range 1].[State].&amp;[MS]","[Range 1].[Type]","[Range 1].[Type].&amp;[8]")," ")</f>
        <v>0</v>
      </c>
      <c r="K164" s="21">
        <f t="shared" si="38"/>
        <v>0</v>
      </c>
      <c r="L164" s="20">
        <f>IFERROR(GETPIVOTDATA("[Measures].[mOldGOS]",'Pivot Table Cats'!$A$3,"[Range 1].[State]","[Range 1].[State].&amp;[MS]","[Range 1].[Type]","[Range 1].[Type].&amp;[8]")," ")</f>
        <v>0</v>
      </c>
      <c r="M164" s="20">
        <f>IFERROR(GETPIVOTDATA("[Measures].[mNewGOS]",'Pivot Table Cats'!$A$3,"[Range 1].[State]","[Range 1].[State].&amp;[MS]","[Range 1].[Type]","[Range 1].[Type].&amp;[8]")," ")</f>
        <v>0</v>
      </c>
      <c r="N164" s="21">
        <f t="shared" si="39"/>
        <v>0</v>
      </c>
      <c r="O164" s="25"/>
      <c r="P164" s="26"/>
      <c r="Q164" s="27"/>
      <c r="R164" s="25"/>
      <c r="S164" s="26"/>
      <c r="T164" s="27"/>
      <c r="U164" s="25"/>
      <c r="V164" s="26"/>
      <c r="W164" s="27"/>
      <c r="X164" s="25"/>
      <c r="Y164" s="26"/>
      <c r="Z164" s="27"/>
      <c r="AA164" s="25"/>
      <c r="AB164" s="26"/>
      <c r="AC164" s="27"/>
      <c r="AD164" s="25"/>
      <c r="AE164" s="26"/>
      <c r="AF164" s="27"/>
      <c r="AG164" s="25"/>
      <c r="AH164" s="26"/>
      <c r="AI164" s="27"/>
      <c r="AJ164" s="25"/>
      <c r="AK164" s="26"/>
      <c r="AL164" s="27"/>
      <c r="AM164" s="25"/>
      <c r="AN164" s="26"/>
      <c r="AO164" s="27"/>
      <c r="AP164" s="25"/>
      <c r="AQ164" s="26"/>
      <c r="AR164" s="27"/>
      <c r="AS164" s="25"/>
      <c r="AT164" s="26"/>
      <c r="AU164" s="27"/>
      <c r="AV164" s="25"/>
      <c r="AW164" s="26"/>
      <c r="AX164" s="27"/>
      <c r="AY164" s="25"/>
      <c r="AZ164" s="26"/>
      <c r="BA164" s="27"/>
      <c r="BB164" s="25"/>
      <c r="BC164" s="26"/>
      <c r="BD164" s="27"/>
    </row>
    <row r="165" spans="1:56">
      <c r="A165" s="28"/>
      <c r="B165" s="19" t="s">
        <v>553</v>
      </c>
      <c r="C165" s="20">
        <f>IFERROR(GETPIVOTDATA("[Measures].[mOldUGIS]",'Pivot Table Cats'!$A$3,"[Range 1].[State]","[Range 1].[State].&amp;[MS]","[Range 1].[Type]","[Range 1].[Type].&amp;[9]")," ")</f>
        <v>3410</v>
      </c>
      <c r="D165" s="20">
        <f>IFERROR(GETPIVOTDATA("[Measures].[mNewUGIS]",'Pivot Table Cats'!$A$3,"[Range 1].[State]","[Range 1].[State].&amp;[MS]","[Range 1].[Type]","[Range 1].[Type].&amp;[9]")," ")</f>
        <v>3410</v>
      </c>
      <c r="E165" s="21">
        <f t="shared" si="36"/>
        <v>0</v>
      </c>
      <c r="F165" s="20">
        <f>IFERROR(GETPIVOTDATA("[Measures].[mOldUGOS]",'Pivot Table Cats'!$A$3,"[Range 1].[State]","[Range 1].[State].&amp;[MS]","[Range 1].[Type]","[Range 1].[Type].&amp;[9]")," ")</f>
        <v>5454</v>
      </c>
      <c r="G165" s="20">
        <f>IFERROR(GETPIVOTDATA("[Measures].[mNewUGOS]",'Pivot Table Cats'!$A$3,"[Range 1].[State]","[Range 1].[State].&amp;[MS]","[Range 1].[Type]","[Range 1].[Type].&amp;[9]")," ")</f>
        <v>5508</v>
      </c>
      <c r="H165" s="21">
        <f t="shared" si="37"/>
        <v>0.99009900990099009</v>
      </c>
      <c r="I165" s="20">
        <f>IFERROR(GETPIVOTDATA("[Measures].[mOldGIS]",'Pivot Table Cats'!$A$3,"[Range 1].[State]","[Range 1].[State].&amp;[MS]","[Range 1].[Type]","[Range 1].[Type].&amp;[9]")," ")</f>
        <v>0</v>
      </c>
      <c r="J165" s="20">
        <f>IFERROR(GETPIVOTDATA("[Measures].[mNewGIS]",'Pivot Table Cats'!$A$3,"[Range 1].[State]","[Range 1].[State].&amp;[MS]","[Range 1].[Type]","[Range 1].[Type].&amp;[9]")," ")</f>
        <v>0</v>
      </c>
      <c r="K165" s="21">
        <f t="shared" si="38"/>
        <v>0</v>
      </c>
      <c r="L165" s="20">
        <f>IFERROR(GETPIVOTDATA("[Measures].[mOldGOS]",'Pivot Table Cats'!$A$3,"[Range 1].[State]","[Range 1].[State].&amp;[MS]","[Range 1].[Type]","[Range 1].[Type].&amp;[9]")," ")</f>
        <v>0</v>
      </c>
      <c r="M165" s="20">
        <f>IFERROR(GETPIVOTDATA("[Measures].[mNewGOS]",'Pivot Table Cats'!$A$3,"[Range 1].[State]","[Range 1].[State].&amp;[MS]","[Range 1].[Type]","[Range 1].[Type].&amp;[9]")," ")</f>
        <v>0</v>
      </c>
      <c r="N165" s="21">
        <f t="shared" si="39"/>
        <v>0</v>
      </c>
      <c r="O165" s="25"/>
      <c r="P165" s="26"/>
      <c r="Q165" s="27"/>
      <c r="R165" s="25"/>
      <c r="S165" s="26"/>
      <c r="T165" s="27"/>
      <c r="U165" s="25"/>
      <c r="V165" s="26"/>
      <c r="W165" s="27"/>
      <c r="X165" s="25"/>
      <c r="Y165" s="26"/>
      <c r="Z165" s="27"/>
      <c r="AA165" s="25"/>
      <c r="AB165" s="26"/>
      <c r="AC165" s="27"/>
      <c r="AD165" s="25"/>
      <c r="AE165" s="26"/>
      <c r="AF165" s="27"/>
      <c r="AG165" s="25"/>
      <c r="AH165" s="26"/>
      <c r="AI165" s="27"/>
      <c r="AJ165" s="25"/>
      <c r="AK165" s="26"/>
      <c r="AL165" s="27"/>
      <c r="AM165" s="25"/>
      <c r="AN165" s="26"/>
      <c r="AO165" s="27"/>
      <c r="AP165" s="25"/>
      <c r="AQ165" s="26"/>
      <c r="AR165" s="27"/>
      <c r="AS165" s="25"/>
      <c r="AT165" s="26"/>
      <c r="AU165" s="27"/>
      <c r="AV165" s="25"/>
      <c r="AW165" s="26"/>
      <c r="AX165" s="27"/>
      <c r="AY165" s="25"/>
      <c r="AZ165" s="26"/>
      <c r="BA165" s="27"/>
      <c r="BB165" s="25"/>
      <c r="BC165" s="26"/>
      <c r="BD165" s="27"/>
    </row>
    <row r="166" spans="1:56">
      <c r="A166" s="28"/>
      <c r="B166" s="19" t="s">
        <v>554</v>
      </c>
      <c r="C166" s="20">
        <f>IFERROR(GETPIVOTDATA("[Measures].[mOldUGIS]",'Pivot Table Cats'!$A$3,"[Range 1].[State]","[Range 1].[State].&amp;[MS]","[Range 1].[Type]","[Range 1].[Type].&amp;[10]")," ")</f>
        <v>3225</v>
      </c>
      <c r="D166" s="20">
        <f>IFERROR(GETPIVOTDATA("[Measures].[mNewUGIS]",'Pivot Table Cats'!$A$3,"[Range 1].[State]","[Range 1].[State].&amp;[MS]","[Range 1].[Type]","[Range 1].[Type].&amp;[10]")," ")</f>
        <v>3325</v>
      </c>
      <c r="E166" s="21">
        <f t="shared" si="36"/>
        <v>3.1007751937984498</v>
      </c>
      <c r="F166" s="20">
        <f>IFERROR(GETPIVOTDATA("[Measures].[mOldUGOS]",'Pivot Table Cats'!$A$3,"[Range 1].[State]","[Range 1].[State].&amp;[MS]","[Range 1].[Type]","[Range 1].[Type].&amp;[10]")," ")</f>
        <v>6125</v>
      </c>
      <c r="G166" s="20">
        <f>IFERROR(GETPIVOTDATA("[Measures].[mNewUGOS]",'Pivot Table Cats'!$A$3,"[Range 1].[State]","[Range 1].[State].&amp;[MS]","[Range 1].[Type]","[Range 1].[Type].&amp;[10]")," ")</f>
        <v>6225</v>
      </c>
      <c r="H166" s="21">
        <f t="shared" si="37"/>
        <v>1.6326530612244898</v>
      </c>
      <c r="I166" s="20">
        <f>IFERROR(GETPIVOTDATA("[Measures].[mOldGIS]",'Pivot Table Cats'!$A$3,"[Range 1].[State]","[Range 1].[State].&amp;[MS]","[Range 1].[Type]","[Range 1].[Type].&amp;[10]")," ")</f>
        <v>0</v>
      </c>
      <c r="J166" s="20">
        <f>IFERROR(GETPIVOTDATA("[Measures].[mNewGIS]",'Pivot Table Cats'!$A$3,"[Range 1].[State]","[Range 1].[State].&amp;[MS]","[Range 1].[Type]","[Range 1].[Type].&amp;[10]")," ")</f>
        <v>0</v>
      </c>
      <c r="K166" s="21">
        <f t="shared" si="38"/>
        <v>0</v>
      </c>
      <c r="L166" s="20">
        <f>IFERROR(GETPIVOTDATA("[Measures].[mOldGOS]",'Pivot Table Cats'!$A$3,"[Range 1].[State]","[Range 1].[State].&amp;[MS]","[Range 1].[Type]","[Range 1].[Type].&amp;[10]")," ")</f>
        <v>0</v>
      </c>
      <c r="M166" s="20">
        <f>IFERROR(GETPIVOTDATA("[Measures].[mNewGOS]",'Pivot Table Cats'!$A$3,"[Range 1].[State]","[Range 1].[State].&amp;[MS]","[Range 1].[Type]","[Range 1].[Type].&amp;[10]")," ")</f>
        <v>0</v>
      </c>
      <c r="N166" s="21">
        <f t="shared" si="39"/>
        <v>0</v>
      </c>
      <c r="O166" s="25"/>
      <c r="P166" s="26"/>
      <c r="Q166" s="27"/>
      <c r="R166" s="25"/>
      <c r="S166" s="26"/>
      <c r="T166" s="27"/>
      <c r="U166" s="25"/>
      <c r="V166" s="26"/>
      <c r="W166" s="27"/>
      <c r="X166" s="25"/>
      <c r="Y166" s="26"/>
      <c r="Z166" s="27"/>
      <c r="AA166" s="25"/>
      <c r="AB166" s="26"/>
      <c r="AC166" s="27"/>
      <c r="AD166" s="25"/>
      <c r="AE166" s="26"/>
      <c r="AF166" s="27"/>
      <c r="AG166" s="25"/>
      <c r="AH166" s="26"/>
      <c r="AI166" s="27"/>
      <c r="AJ166" s="25"/>
      <c r="AK166" s="26"/>
      <c r="AL166" s="27"/>
      <c r="AM166" s="25"/>
      <c r="AN166" s="26"/>
      <c r="AO166" s="27"/>
      <c r="AP166" s="25"/>
      <c r="AQ166" s="26"/>
      <c r="AR166" s="27"/>
      <c r="AS166" s="25"/>
      <c r="AT166" s="26"/>
      <c r="AU166" s="27"/>
      <c r="AV166" s="25"/>
      <c r="AW166" s="26"/>
      <c r="AX166" s="27"/>
      <c r="AY166" s="25"/>
      <c r="AZ166" s="26"/>
      <c r="BA166" s="27"/>
      <c r="BB166" s="25"/>
      <c r="BC166" s="26"/>
      <c r="BD166" s="27"/>
    </row>
    <row r="167" spans="1:56" s="49" customFormat="1" ht="20.25" customHeight="1">
      <c r="A167" s="48"/>
      <c r="B167" s="50" t="s">
        <v>555</v>
      </c>
      <c r="C167" s="31">
        <f>IFERROR(GETPIVOTDATA("[Measures].[mOldUGIS]",'Pivot Table Totals'!$A$31,"[Range 1].[State]","[Range 1].[State].&amp;[MS]"), " ")</f>
        <v>3380</v>
      </c>
      <c r="D167" s="31">
        <f>IFERROR(GETPIVOTDATA("[Measures].[mNewUGIS]",'Pivot Table Totals'!$A$31,"[Range 1].[State]","[Range 1].[State].&amp;[MS]"), " ")</f>
        <v>3390</v>
      </c>
      <c r="E167" s="21">
        <f t="shared" si="36"/>
        <v>0.29585798816568049</v>
      </c>
      <c r="F167" s="31">
        <f>IFERROR(GETPIVOTDATA("[Measures].[mOldUGOS]",'Pivot Table Totals'!$A$31,"[Range 1].[State]","[Range 1].[State].&amp;[MS]"), " ")</f>
        <v>5870</v>
      </c>
      <c r="G167" s="31">
        <f>IFERROR(GETPIVOTDATA("[Measures].[mNewUGOS]",'Pivot Table Totals'!$A$31,"[Range 1].[State]","[Range 1].[State].&amp;[MS]")," ")</f>
        <v>5910</v>
      </c>
      <c r="H167" s="21">
        <f t="shared" si="37"/>
        <v>0.68143100511073251</v>
      </c>
      <c r="I167" s="31">
        <f>IFERROR(GETPIVOTDATA("[Measures].[mOldGIS]",'Pivot Table Totals'!$A$31,"[Range 1].[State]","[Range 1].[State].&amp;[MS]"), " ")</f>
        <v>0</v>
      </c>
      <c r="J167" s="31">
        <f>IFERROR(GETPIVOTDATA("[Measures].[mNewGIS]",'Pivot Table Totals'!$A$31,"[Range 1].[State]","[Range 1].[State].&amp;[MS]"), " ")</f>
        <v>0</v>
      </c>
      <c r="K167" s="21">
        <f t="shared" si="38"/>
        <v>0</v>
      </c>
      <c r="L167" s="31">
        <f>IFERROR(GETPIVOTDATA("[Measures].[mOldGOS]",'Pivot Table Totals'!$A$31,"[Range 1].[State]","[Range 1].[State].&amp;[MS]"), " ")</f>
        <v>0</v>
      </c>
      <c r="M167" s="31">
        <f>IFERROR(GETPIVOTDATA("[Measures].[mNewGOS]",'Pivot Table Totals'!$A$31,"[Range 1].[State]","[Range 1].[State].&amp;[MS]"), " ")</f>
        <v>0</v>
      </c>
      <c r="N167" s="21">
        <f t="shared" si="39"/>
        <v>0</v>
      </c>
      <c r="O167" s="36"/>
      <c r="P167" s="37"/>
      <c r="Q167" s="38"/>
      <c r="R167" s="36"/>
      <c r="S167" s="37"/>
      <c r="T167" s="38"/>
      <c r="U167" s="36"/>
      <c r="V167" s="37"/>
      <c r="W167" s="38"/>
      <c r="X167" s="36"/>
      <c r="Y167" s="37"/>
      <c r="Z167" s="38"/>
      <c r="AA167" s="36"/>
      <c r="AB167" s="37"/>
      <c r="AC167" s="38"/>
      <c r="AD167" s="36"/>
      <c r="AE167" s="37"/>
      <c r="AF167" s="38"/>
      <c r="AG167" s="36"/>
      <c r="AH167" s="37"/>
      <c r="AI167" s="38"/>
      <c r="AJ167" s="36"/>
      <c r="AK167" s="37"/>
      <c r="AL167" s="38"/>
      <c r="AM167" s="36"/>
      <c r="AN167" s="37"/>
      <c r="AO167" s="38"/>
      <c r="AP167" s="36"/>
      <c r="AQ167" s="37"/>
      <c r="AR167" s="38"/>
      <c r="AS167" s="36"/>
      <c r="AT167" s="37"/>
      <c r="AU167" s="38"/>
      <c r="AV167" s="36"/>
      <c r="AW167" s="37"/>
      <c r="AX167" s="38"/>
      <c r="AY167" s="36"/>
      <c r="AZ167" s="37"/>
      <c r="BA167" s="38"/>
      <c r="BB167" s="36"/>
      <c r="BC167" s="37"/>
      <c r="BD167" s="38"/>
    </row>
    <row r="168" spans="1:56">
      <c r="A168" s="28"/>
      <c r="B168" s="19" t="s">
        <v>556</v>
      </c>
      <c r="C168" s="20" t="str">
        <f>IFERROR(GETPIVOTDATA("[Measures].[mOldUGIS]",'Pivot Table Cats'!$A$3,"[Range 1].[State]","[Range 1].[State].&amp;[MS]","[Range 1].[Type]","[Range 1].[Type].&amp;[12]")," ")</f>
        <v xml:space="preserve"> </v>
      </c>
      <c r="D168" s="20" t="str">
        <f>IFERROR(GETPIVOTDATA("[Measures].[mNewUGIS]",'Pivot Table Cats'!$A$3,"[Range 1].[State]","[Range 1].[State].&amp;[MS]","[Range 1].[Type]","[Range 1].[Type].&amp;[12]")," ")</f>
        <v xml:space="preserve"> </v>
      </c>
      <c r="E168" s="21" t="str">
        <f t="shared" si="36"/>
        <v xml:space="preserve"> </v>
      </c>
      <c r="F168" s="20" t="str">
        <f>IFERROR(GETPIVOTDATA("[Measures].[mOldUGOS]",'Pivot Table Cats'!$A$3,"[Range 1].[State]","[Range 1].[State].&amp;[MS]","[Range 1].[Type]","[Range 1].[Type].&amp;[12]")," ")</f>
        <v xml:space="preserve"> </v>
      </c>
      <c r="G168" s="20" t="str">
        <f>IFERROR(GETPIVOTDATA("[Measures].[mNewUGOS]",'Pivot Table Cats'!$A$3,"[Range 1].[State]","[Range 1].[State].&amp;[MS]","[Range 1].[Type]","[Range 1].[Type].&amp;[12]")," ")</f>
        <v xml:space="preserve"> </v>
      </c>
      <c r="H168" s="21" t="str">
        <f t="shared" si="37"/>
        <v xml:space="preserve"> </v>
      </c>
      <c r="I168" s="20" t="str">
        <f>IFERROR(GETPIVOTDATA("[Measures].[mOldGIS]",'Pivot Table Cats'!$A$3,"[Range 1].[State]","[Range 1].[State].&amp;[MS]","[Range 1].[Type]","[Range 1].[Type].&amp;[12]")," ")</f>
        <v xml:space="preserve"> </v>
      </c>
      <c r="J168" s="20" t="str">
        <f>IFERROR(GETPIVOTDATA("[Measures].[mNewGIS]",'Pivot Table Cats'!$A$3,"[Range 1].[State]","[Range 1].[State].&amp;[MS]","[Range 1].[Type]","[Range 1].[Type].&amp;[12]")," ")</f>
        <v xml:space="preserve"> </v>
      </c>
      <c r="K168" s="21" t="str">
        <f t="shared" si="38"/>
        <v xml:space="preserve"> </v>
      </c>
      <c r="L168" s="20" t="str">
        <f>IFERROR(GETPIVOTDATA("[Measures].[mOldGOS]",'Pivot Table Cats'!$A$3,"[Range 1].[State]","[Range 1].[State].&amp;[MS]","[Range 1].[Type]","[Range 1].[Type].&amp;[12]")," ")</f>
        <v xml:space="preserve"> </v>
      </c>
      <c r="M168" s="20" t="str">
        <f>IFERROR(GETPIVOTDATA("[Measures].[mNewGOS]",'Pivot Table Cats'!$A$3,"[Range 1].[State]","[Range 1].[State].&amp;[MS]","[Range 1].[Type]","[Range 1].[Type].&amp;[12]")," ")</f>
        <v xml:space="preserve"> </v>
      </c>
      <c r="N168" s="21" t="str">
        <f t="shared" si="39"/>
        <v xml:space="preserve"> </v>
      </c>
      <c r="O168" s="25"/>
      <c r="P168" s="26"/>
      <c r="Q168" s="27"/>
      <c r="R168" s="25"/>
      <c r="S168" s="26"/>
      <c r="T168" s="27"/>
      <c r="U168" s="25"/>
      <c r="V168" s="26"/>
      <c r="W168" s="27"/>
      <c r="X168" s="25"/>
      <c r="Y168" s="26"/>
      <c r="Z168" s="27"/>
      <c r="AA168" s="25"/>
      <c r="AB168" s="26"/>
      <c r="AC168" s="27"/>
      <c r="AD168" s="25"/>
      <c r="AE168" s="26"/>
      <c r="AF168" s="27"/>
      <c r="AG168" s="25"/>
      <c r="AH168" s="26"/>
      <c r="AI168" s="27"/>
      <c r="AJ168" s="25"/>
      <c r="AK168" s="26"/>
      <c r="AL168" s="27"/>
      <c r="AM168" s="25"/>
      <c r="AN168" s="26"/>
      <c r="AO168" s="27"/>
      <c r="AP168" s="25"/>
      <c r="AQ168" s="26"/>
      <c r="AR168" s="27"/>
      <c r="AS168" s="25"/>
      <c r="AT168" s="26"/>
      <c r="AU168" s="27"/>
      <c r="AV168" s="25"/>
      <c r="AW168" s="26"/>
      <c r="AX168" s="27"/>
      <c r="AY168" s="25"/>
      <c r="AZ168" s="26"/>
      <c r="BA168" s="27"/>
      <c r="BB168" s="25"/>
      <c r="BC168" s="26"/>
      <c r="BD168" s="27"/>
    </row>
    <row r="169" spans="1:56">
      <c r="A169" s="28"/>
      <c r="B169" s="19" t="s">
        <v>557</v>
      </c>
      <c r="C169" s="20" t="str">
        <f>IFERROR(GETPIVOTDATA("[Measures].[mOldUGIS]",'Pivot Table Cats'!$A$3,"[Range 1].[State]","[Range 1].[State].&amp;[MS]","[Range 1].[Type]","[Range 1].[Type].&amp;[13]")," ")</f>
        <v xml:space="preserve"> </v>
      </c>
      <c r="D169" s="20" t="str">
        <f>IFERROR(GETPIVOTDATA("[Measures].[mNewUGIS]",'Pivot Table Cats'!$A$3,"[Range 1].[State]","[Range 1].[State].&amp;[MS]","[Range 1].[Type]","[Range 1].[Type].&amp;[13]")," ")</f>
        <v xml:space="preserve"> </v>
      </c>
      <c r="E169" s="21" t="str">
        <f t="shared" si="36"/>
        <v xml:space="preserve"> </v>
      </c>
      <c r="F169" s="20" t="str">
        <f>IFERROR(GETPIVOTDATA("[Measures].[mOldUGOS]",'Pivot Table Cats'!$A$3,"[Range 1].[State]","[Range 1].[State].&amp;[MS]","[Range 1].[Type]","[Range 1].[Type].&amp;[13]")," ")</f>
        <v xml:space="preserve"> </v>
      </c>
      <c r="G169" s="20" t="str">
        <f>IFERROR(GETPIVOTDATA("[Measures].[mNewUGOS]",'Pivot Table Cats'!$A$3,"[Range 1].[State]","[Range 1].[State].&amp;[MS]","[Range 1].[Type]","[Range 1].[Type].&amp;[13]")," ")</f>
        <v xml:space="preserve"> </v>
      </c>
      <c r="H169" s="21" t="str">
        <f t="shared" si="37"/>
        <v xml:space="preserve"> </v>
      </c>
      <c r="I169" s="20" t="str">
        <f>IFERROR(GETPIVOTDATA("[Measures].[mOldGIS]",'Pivot Table Cats'!$A$3,"[Range 1].[State]","[Range 1].[State].&amp;[MS]","[Range 1].[Type]","[Range 1].[Type].&amp;[13]")," ")</f>
        <v xml:space="preserve"> </v>
      </c>
      <c r="J169" s="20" t="str">
        <f>IFERROR(GETPIVOTDATA("[Measures].[mNewGIS]",'Pivot Table Cats'!$A$3,"[Range 1].[State]","[Range 1].[State].&amp;[MS]","[Range 1].[Type]","[Range 1].[Type].&amp;[13]")," ")</f>
        <v xml:space="preserve"> </v>
      </c>
      <c r="K169" s="21" t="str">
        <f t="shared" si="38"/>
        <v xml:space="preserve"> </v>
      </c>
      <c r="L169" s="20" t="str">
        <f>IFERROR(GETPIVOTDATA("[Measures].[mOldGOS]",'Pivot Table Cats'!$A$3,"[Range 1].[State]","[Range 1].[State].&amp;[MS]","[Range 1].[Type]","[Range 1].[Type].&amp;[13]")," ")</f>
        <v xml:space="preserve"> </v>
      </c>
      <c r="M169" s="20" t="str">
        <f>IFERROR(GETPIVOTDATA("[Measures].[mNewGOS]",'Pivot Table Cats'!$A$3,"[Range 1].[State]","[Range 1].[State].&amp;[MS]","[Range 1].[Type]","[Range 1].[Type].&amp;[13]")," ")</f>
        <v xml:space="preserve"> </v>
      </c>
      <c r="N169" s="21" t="str">
        <f t="shared" si="39"/>
        <v xml:space="preserve"> </v>
      </c>
      <c r="O169" s="25"/>
      <c r="P169" s="26"/>
      <c r="Q169" s="27"/>
      <c r="R169" s="25"/>
      <c r="S169" s="26"/>
      <c r="T169" s="27"/>
      <c r="U169" s="25"/>
      <c r="V169" s="26"/>
      <c r="W169" s="27"/>
      <c r="X169" s="25"/>
      <c r="Y169" s="26"/>
      <c r="Z169" s="27"/>
      <c r="AA169" s="25"/>
      <c r="AB169" s="26"/>
      <c r="AC169" s="27"/>
      <c r="AD169" s="25"/>
      <c r="AE169" s="26"/>
      <c r="AF169" s="27"/>
      <c r="AG169" s="25"/>
      <c r="AH169" s="26"/>
      <c r="AI169" s="27"/>
      <c r="AJ169" s="25"/>
      <c r="AK169" s="26"/>
      <c r="AL169" s="27"/>
      <c r="AM169" s="25"/>
      <c r="AN169" s="26"/>
      <c r="AO169" s="27"/>
      <c r="AP169" s="25"/>
      <c r="AQ169" s="26"/>
      <c r="AR169" s="27"/>
      <c r="AS169" s="25"/>
      <c r="AT169" s="26"/>
      <c r="AU169" s="27"/>
      <c r="AV169" s="25"/>
      <c r="AW169" s="26"/>
      <c r="AX169" s="27"/>
      <c r="AY169" s="25"/>
      <c r="AZ169" s="26"/>
      <c r="BA169" s="27"/>
      <c r="BB169" s="25"/>
      <c r="BC169" s="26"/>
      <c r="BD169" s="27"/>
    </row>
    <row r="170" spans="1:56">
      <c r="A170" s="28"/>
      <c r="B170" s="19" t="s">
        <v>558</v>
      </c>
      <c r="C170" s="20" t="str">
        <f>IFERROR(GETPIVOTDATA("[Measures].[mOldUGIS]",'Pivot Table Cats'!$A$3,"[Range 1].[State]","[Range 1].[State].&amp;[MS]","[Range 1].[Type]","[Range 1].[Type].&amp;[14]")," ")</f>
        <v xml:space="preserve"> </v>
      </c>
      <c r="D170" s="20" t="str">
        <f>IFERROR(GETPIVOTDATA("[Measures].[mNewUGIS]",'Pivot Table Cats'!$A$3,"[Range 1].[State]","[Range 1].[State].&amp;[MS]","[Range 1].[Type]","[Range 1].[Type].&amp;[14]")," ")</f>
        <v xml:space="preserve"> </v>
      </c>
      <c r="E170" s="21" t="str">
        <f t="shared" si="36"/>
        <v xml:space="preserve"> </v>
      </c>
      <c r="F170" s="20" t="str">
        <f>IFERROR(GETPIVOTDATA("[Measures].[mOldUGOS]",'Pivot Table Cats'!$A$3,"[Range 1].[State]","[Range 1].[State].&amp;[MS]","[Range 1].[Type]","[Range 1].[Type].&amp;[14]")," ")</f>
        <v xml:space="preserve"> </v>
      </c>
      <c r="G170" s="20" t="str">
        <f>IFERROR(GETPIVOTDATA("[Measures].[mNewUGOS]",'Pivot Table Cats'!$A$3,"[Range 1].[State]","[Range 1].[State].&amp;[MS]","[Range 1].[Type]","[Range 1].[Type].&amp;[14]")," ")</f>
        <v xml:space="preserve"> </v>
      </c>
      <c r="H170" s="21" t="str">
        <f t="shared" si="37"/>
        <v xml:space="preserve"> </v>
      </c>
      <c r="I170" s="20" t="str">
        <f>IFERROR(GETPIVOTDATA("[Measures].[mOldGIS]",'Pivot Table Cats'!$A$3,"[Range 1].[State]","[Range 1].[State].&amp;[MS]","[Range 1].[Type]","[Range 1].[Type].&amp;[14]")," ")</f>
        <v xml:space="preserve"> </v>
      </c>
      <c r="J170" s="20" t="str">
        <f>IFERROR(GETPIVOTDATA("[Measures].[mNewGIS]",'Pivot Table Cats'!$A$3,"[Range 1].[State]","[Range 1].[State].&amp;[MS]","[Range 1].[Type]","[Range 1].[Type].&amp;[14]")," ")</f>
        <v xml:space="preserve"> </v>
      </c>
      <c r="K170" s="21" t="str">
        <f t="shared" si="38"/>
        <v xml:space="preserve"> </v>
      </c>
      <c r="L170" s="20" t="str">
        <f>IFERROR(GETPIVOTDATA("[Measures].[mOldGOS]",'Pivot Table Cats'!$A$3,"[Range 1].[State]","[Range 1].[State].&amp;[MS]","[Range 1].[Type]","[Range 1].[Type].&amp;[14]")," ")</f>
        <v xml:space="preserve"> </v>
      </c>
      <c r="M170" s="20" t="str">
        <f>IFERROR(GETPIVOTDATA("[Measures].[mNewGOS]",'Pivot Table Cats'!$A$3,"[Range 1].[State]","[Range 1].[State].&amp;[MS]","[Range 1].[Type]","[Range 1].[Type].&amp;[14]")," ")</f>
        <v xml:space="preserve"> </v>
      </c>
      <c r="N170" s="21" t="str">
        <f t="shared" si="39"/>
        <v xml:space="preserve"> </v>
      </c>
      <c r="O170" s="25"/>
      <c r="P170" s="26"/>
      <c r="Q170" s="27"/>
      <c r="R170" s="25"/>
      <c r="S170" s="26"/>
      <c r="T170" s="27"/>
      <c r="U170" s="25"/>
      <c r="V170" s="26"/>
      <c r="W170" s="27"/>
      <c r="X170" s="25"/>
      <c r="Y170" s="26"/>
      <c r="Z170" s="27"/>
      <c r="AA170" s="25"/>
      <c r="AB170" s="26"/>
      <c r="AC170" s="27"/>
      <c r="AD170" s="25"/>
      <c r="AE170" s="26"/>
      <c r="AF170" s="27"/>
      <c r="AG170" s="25"/>
      <c r="AH170" s="26"/>
      <c r="AI170" s="27"/>
      <c r="AJ170" s="25"/>
      <c r="AK170" s="26"/>
      <c r="AL170" s="27"/>
      <c r="AM170" s="25"/>
      <c r="AN170" s="26"/>
      <c r="AO170" s="27"/>
      <c r="AP170" s="25"/>
      <c r="AQ170" s="26"/>
      <c r="AR170" s="27"/>
      <c r="AS170" s="25"/>
      <c r="AT170" s="26"/>
      <c r="AU170" s="27"/>
      <c r="AV170" s="25"/>
      <c r="AW170" s="26"/>
      <c r="AX170" s="27"/>
      <c r="AY170" s="25"/>
      <c r="AZ170" s="26"/>
      <c r="BA170" s="27"/>
      <c r="BB170" s="25"/>
      <c r="BC170" s="26"/>
      <c r="BD170" s="27"/>
    </row>
    <row r="171" spans="1:56" s="49" customFormat="1" ht="21.75" customHeight="1">
      <c r="A171" s="48"/>
      <c r="B171" s="50" t="s">
        <v>559</v>
      </c>
      <c r="C171" s="31" t="str">
        <f>IFERROR(GETPIVOTDATA("[Measures].[mOldUGIS]",'Pivot Table Totals'!$A$59,"[Range 1].[State]","[Range 1].[State].&amp;[MS]"), " ")</f>
        <v xml:space="preserve"> </v>
      </c>
      <c r="D171" s="31" t="str">
        <f>IFERROR(GETPIVOTDATA("[Measures].[mNewUGIS]",'Pivot Table Totals'!$A$59,"[Range 1].[State]","[Range 1].[State].&amp;[MS]"), " ")</f>
        <v xml:space="preserve"> </v>
      </c>
      <c r="E171" s="21" t="str">
        <f t="shared" si="36"/>
        <v xml:space="preserve"> </v>
      </c>
      <c r="F171" s="31" t="str">
        <f>IFERROR(GETPIVOTDATA("[Measures].[mOldUGOS]",'Pivot Table Totals'!$A$59,"[Range 1].[State]","[Range 1].[State].&amp;[MS]"), " " )</f>
        <v xml:space="preserve"> </v>
      </c>
      <c r="G171" s="31" t="str">
        <f>IFERROR(GETPIVOTDATA("[Measures].[mNewUGOS]",'Pivot Table Totals'!$A$59,"[Range 1].[State]","[Range 1].[State].&amp;[MS]"), " ")</f>
        <v xml:space="preserve"> </v>
      </c>
      <c r="H171" s="21" t="str">
        <f t="shared" si="37"/>
        <v xml:space="preserve"> </v>
      </c>
      <c r="I171" s="31" t="str">
        <f>IFERROR(GETPIVOTDATA("[Measures].[mOldGIS]",'Pivot Table Totals'!$A$59,"[Range 1].[State]","[Range 1].[State].&amp;[MS]"), " ")</f>
        <v xml:space="preserve"> </v>
      </c>
      <c r="J171" s="31" t="str">
        <f>IFERROR(GETPIVOTDATA("[Measures].[mNewGIS]",'Pivot Table Totals'!$A$59,"[Range 1].[State]","[Range 1].[State].&amp;[MS]"), " ")</f>
        <v xml:space="preserve"> </v>
      </c>
      <c r="K171" s="21" t="str">
        <f t="shared" si="38"/>
        <v xml:space="preserve"> </v>
      </c>
      <c r="L171" s="31" t="str">
        <f>IFERROR(GETPIVOTDATA("[Measures].[mOldGOS]",'Pivot Table Totals'!$A$59,"[Range 1].[State]","[Range 1].[State].&amp;[MS]"), " ")</f>
        <v xml:space="preserve"> </v>
      </c>
      <c r="M171" s="31" t="str">
        <f>IFERROR(GETPIVOTDATA("[Measures].[mNewGOS]",'Pivot Table Totals'!$A$59,"[Range 1].[State]","[Range 1].[State].&amp;[MS]"), " ")</f>
        <v xml:space="preserve"> </v>
      </c>
      <c r="N171" s="21" t="str">
        <f t="shared" si="39"/>
        <v xml:space="preserve"> </v>
      </c>
      <c r="O171" s="36"/>
      <c r="P171" s="37"/>
      <c r="Q171" s="38"/>
      <c r="R171" s="36"/>
      <c r="S171" s="37"/>
      <c r="T171" s="38"/>
      <c r="U171" s="36"/>
      <c r="V171" s="37"/>
      <c r="W171" s="38"/>
      <c r="X171" s="36"/>
      <c r="Y171" s="37"/>
      <c r="Z171" s="38"/>
      <c r="AA171" s="36"/>
      <c r="AB171" s="37"/>
      <c r="AC171" s="38"/>
      <c r="AD171" s="36"/>
      <c r="AE171" s="37"/>
      <c r="AF171" s="38"/>
      <c r="AG171" s="36"/>
      <c r="AH171" s="37"/>
      <c r="AI171" s="38"/>
      <c r="AJ171" s="36"/>
      <c r="AK171" s="37"/>
      <c r="AL171" s="38"/>
      <c r="AM171" s="36"/>
      <c r="AN171" s="37"/>
      <c r="AO171" s="38"/>
      <c r="AP171" s="36"/>
      <c r="AQ171" s="37"/>
      <c r="AR171" s="38"/>
      <c r="AS171" s="36"/>
      <c r="AT171" s="37"/>
      <c r="AU171" s="38"/>
      <c r="AV171" s="36"/>
      <c r="AW171" s="37"/>
      <c r="AX171" s="38"/>
      <c r="AY171" s="36"/>
      <c r="AZ171" s="37"/>
      <c r="BA171" s="38"/>
      <c r="BB171" s="36"/>
      <c r="BC171" s="37"/>
      <c r="BD171" s="38"/>
    </row>
    <row r="172" spans="1:56">
      <c r="A172" s="40"/>
      <c r="B172" s="41" t="s">
        <v>560</v>
      </c>
      <c r="C172" s="42"/>
      <c r="D172" s="42"/>
      <c r="E172" s="335"/>
      <c r="F172" s="42"/>
      <c r="G172" s="42"/>
      <c r="H172" s="44"/>
      <c r="I172" s="45"/>
      <c r="J172" s="42"/>
      <c r="K172" s="44"/>
      <c r="L172" s="45"/>
      <c r="M172" s="42"/>
      <c r="N172" s="44"/>
      <c r="O172" s="336">
        <f>IFERROR(GETPIVOTDATA("[Measures].[mOldLawIS]",'Pivot Table Totals'!$A$79,"[Range 1].[State]","[Range 1].[State].&amp;[MS]"), " ")</f>
        <v>16980</v>
      </c>
      <c r="P172" s="42">
        <f>IFERROR(GETPIVOTDATA("[Measures].[mNewLawIS]",'Pivot Table Totals'!$A$79,"[Range 1].[State]","[Range 1].[State].&amp;[MS]"), " ")</f>
        <v>17450</v>
      </c>
      <c r="Q172" s="46">
        <f>IFERROR(IF(O172&gt;0,(((P172-O172)/O172)*100),0), " ")</f>
        <v>2.7679623085983507</v>
      </c>
      <c r="R172" s="336">
        <f>IFERROR(GETPIVOTDATA("[Measures].[mOldLawOS]",'Pivot Table Totals'!$A$79,"[Range 1].[State]","[Range 1].[State].&amp;[MS]"), " ")</f>
        <v>37045</v>
      </c>
      <c r="S172" s="336">
        <f>IFERROR(GETPIVOTDATA("[Measures].[mNewLawOS]",'Pivot Table Totals'!$A$79,"[Range 1].[State]","[Range 1].[State].&amp;[MS]"), " ")</f>
        <v>37515</v>
      </c>
      <c r="T172" s="46">
        <f>IFERROR(IF(R172&gt;0,(((S172-R172)/R172)*100),0), " ")</f>
        <v>1.268727223646916</v>
      </c>
      <c r="U172" s="336">
        <f>IFERROR(GETPIVOTDATA("[Measures].[mOldMedIS]",'Pivot Table Totals'!$A$79,"[Range 1].[State]","[Range 1].[State].&amp;[MS]"), " ")</f>
        <v>31197</v>
      </c>
      <c r="V172" s="336">
        <f>IFERROR(GETPIVOTDATA("[Measures].[mNewMedIS]",'Pivot Table Totals'!$A$79,"[Range 1].[State]","[Range 1].[State].&amp;[MS]"), " ")</f>
        <v>32133</v>
      </c>
      <c r="W172" s="46">
        <f>IFERROR(IF(U172&gt;0,(((V172-U172)/U172)*100),0), " ")</f>
        <v>3.000288489277815</v>
      </c>
      <c r="X172" s="336">
        <f>IFERROR(GETPIVOTDATA("[Measures].[mOldMedOS]",'Pivot Table Totals'!$A$79,"[Range 1].[State]","[Range 1].[State].&amp;[MS]"), " ")</f>
        <v>73460</v>
      </c>
      <c r="Y172" s="336">
        <f>IFERROR(GETPIVOTDATA("[Measures].[mNewMedOS]",'Pivot Table Totals'!$A$79,"[Range 1].[State]","[Range 1].[State].&amp;[MS]"), " ")</f>
        <v>75664</v>
      </c>
      <c r="Z172" s="46">
        <f>IFERROR(IF(X172&gt;0,(((Y172-X172)/X172)*100),0), " ")</f>
        <v>3.0002722570106179</v>
      </c>
      <c r="AA172" s="336">
        <f>IFERROR(GETPIVOTDATA("[Measures].[mOldDenIS]",'Pivot Table Totals'!$A$79,"[Range 1].[State]","[Range 1].[State].&amp;[MS]"), " ")</f>
        <v>31167</v>
      </c>
      <c r="AB172" s="336">
        <f>IFERROR(GETPIVOTDATA("[Measures].[mNewDenIS]",'Pivot Table Totals'!$A$79,"[Range 1].[State]","[Range 1].[State].&amp;[MS]"), " ")</f>
        <v>32102</v>
      </c>
      <c r="AC172" s="46">
        <f>IFERROR(IF(AA172&gt;0,(((AB172-AA172)/AA172)*100),0), " ")</f>
        <v>2.99996791478166</v>
      </c>
      <c r="AD172" s="336">
        <f>IFERROR(GETPIVOTDATA("[Measures].[mOldDenOS]",'Pivot Table Totals'!$A$79,"[Range 1].[State]","[Range 1].[State].&amp;[MS]"), " ")</f>
        <v>73220</v>
      </c>
      <c r="AE172" s="336">
        <f>IFERROR(GETPIVOTDATA("[Measures].[mNewDEnOS]",'Pivot Table Totals'!$A$79,"[Range 1].[State]","[Range 1].[State].&amp;[MS]"), " ")</f>
        <v>75417</v>
      </c>
      <c r="AF172" s="46">
        <f>IFERROR(IF(AD172&gt;0,(((AE172-AD172)/AD172)*100),0), " ")</f>
        <v>3.0005462988254576</v>
      </c>
      <c r="AG172" s="336">
        <f>IFERROR(GETPIVOTDATA("[Measures].[mOldPhrIS]",'Pivot Table Totals'!$A$79,"[Range 1].[State]","[Range 1].[State].&amp;[MS]"), " ")</f>
        <v>26582</v>
      </c>
      <c r="AH172" s="336">
        <f>IFERROR(GETPIVOTDATA("[Measures].[mNewPhIS]",'Pivot Table Totals'!$A$79,"[Range 1].[State]","[Range 1].[State].&amp;[MS]"), " ")</f>
        <v>26798</v>
      </c>
      <c r="AI172" s="46">
        <f>IFERROR(IF(AG172&gt;0,(((AH172-AG172)/AG172)*100),0), " ")</f>
        <v>0.81257994131367084</v>
      </c>
      <c r="AJ172" s="336">
        <f>IFERROR(GETPIVOTDATA("[Measures].[mOldPhrOS]",'Pivot Table Totals'!$A$79,"[Range 1].[State]","[Range 1].[State].&amp;[MS]"), " ")</f>
        <v>53660</v>
      </c>
      <c r="AK172" s="336">
        <f>IFERROR(GETPIVOTDATA("[Measures].[mNewPhrOS]",'Pivot Table Totals'!$A$79,"[Range 1].[State]","[Range 1].[State].&amp;[MS]"), " ")</f>
        <v>54446</v>
      </c>
      <c r="AL172" s="46">
        <f>IFERROR(IF(AJ172&gt;0,(((AQ172-AJ172)/AJ172)*100),0), " ")</f>
        <v>-100</v>
      </c>
      <c r="AM172" s="336">
        <f>IFERROR(GETPIVOTDATA("[Measures].[mOldOptIS]",'Pivot Table Totals'!$A$79,"[Range 1].[State]","[Range 1].[State].&amp;[MS]"), " ")</f>
        <v>0</v>
      </c>
      <c r="AN172" s="336">
        <f>IFERROR(GETPIVOTDATA("[Measures].[mNewOptIS]",'Pivot Table Totals'!$A$79,"[Range 1].[State]","[Range 1].[State].&amp;[MS]"), " ")</f>
        <v>0</v>
      </c>
      <c r="AO172" s="46">
        <f>IFERROR(IF(AM172&gt;0,(((AN172-AM172)/AM172)*100),0), " ")</f>
        <v>0</v>
      </c>
      <c r="AP172" s="336">
        <f>IFERROR(GETPIVOTDATA("[Measures].[mOldOptoS]",'Pivot Table Totals'!$A$79,"[Range 1].[State]","[Range 1].[State].&amp;[MS]"), " ")</f>
        <v>0</v>
      </c>
      <c r="AQ172" s="336">
        <f>IFERROR(GETPIVOTDATA("[Measures].[mNewOptoS]",'Pivot Table Totals'!$A$79,"[Range 1].[State]","[Range 1].[State].&amp;[MS]"), " ")</f>
        <v>0</v>
      </c>
      <c r="AR172" s="46">
        <f>IFERROR(IF(AP172&gt;0,(((AQ172-AP172)/AP172)*100),0), " ")</f>
        <v>0</v>
      </c>
      <c r="AS172" s="336">
        <f>IFERROR(GETPIVOTDATA("[Measures].[mOldOstIS]",'Pivot Table Totals'!$A$79,"[Range 1].[State]","[Range 1].[State].&amp;[MS]"), " ")</f>
        <v>0</v>
      </c>
      <c r="AT172" s="336">
        <f>IFERROR(GETPIVOTDATA("[Measures].[mNewOstIS]",'Pivot Table Totals'!$A$79,"[Range 1].[State]","[Range 1].[State].&amp;[MS]"), " ")</f>
        <v>0</v>
      </c>
      <c r="AU172" s="46">
        <f>IFERROR(IF(AS172&gt;0,(((AT172-AS172)/AS172)*100),0), " ")</f>
        <v>0</v>
      </c>
      <c r="AV172" s="336">
        <f>IFERROR(GETPIVOTDATA("[Measures].[mOldOstOS]",'Pivot Table Totals'!$A$79,"[Range 1].[State]","[Range 1].[State].&amp;[MS]"), " ")</f>
        <v>0</v>
      </c>
      <c r="AW172" s="336">
        <f>IFERROR(GETPIVOTDATA("[Measures].[mNewOstOS]",'Pivot Table Totals'!$A$79,"[Range 1].[State]","[Range 1].[State].&amp;[MS]"), " ")</f>
        <v>0</v>
      </c>
      <c r="AX172" s="46">
        <f>IFERROR(IF(AV172&gt;0,(((AW172-AV172)/AV172)*100),0), " ")</f>
        <v>0</v>
      </c>
      <c r="AY172" s="336">
        <f>IFERROR(GETPIVOTDATA("[Measures].[m[OldVetIS]",'Pivot Table Totals'!$A$79,"[Range 1].[State]","[Range 1].[State].&amp;[MS]"), " ")</f>
        <v>27397</v>
      </c>
      <c r="AZ172" s="336">
        <f>IFERROR(GETPIVOTDATA("[Measures].[mNewVetIS]",'Pivot Table Totals'!$A$79,"[Range 1].[State]","[Range 1].[State].&amp;[MS]"), " ")</f>
        <v>28158</v>
      </c>
      <c r="BA172" s="46">
        <f>IFERROR(IF(AY172&gt;0,(((AZ172-AY172)/AY172)*100),0), " ")</f>
        <v>2.7776763879256854</v>
      </c>
      <c r="BB172" s="336">
        <f>IFERROR(GETPIVOTDATA("[Measures].[mOldVetOS]",'Pivot Table Totals'!$A$79,"[Range 1].[State]","[Range 1].[State].&amp;[MS]"), " ")</f>
        <v>48597</v>
      </c>
      <c r="BC172" s="336">
        <f>IFERROR(GETPIVOTDATA("[Measures].[mNewVetOS]",'Pivot Table Totals'!$A$79,"[Range 1].[State]","[Range 1].[State].&amp;[MS]"), " ")</f>
        <v>49358</v>
      </c>
      <c r="BD172" s="46">
        <f>IFERROR(IF(BB172&gt;0,(((BC172-BB172)/BB172)*100),0), " ")</f>
        <v>1.5659402843796941</v>
      </c>
    </row>
    <row r="173" spans="1:56">
      <c r="A173" s="18" t="s">
        <v>287</v>
      </c>
      <c r="B173" s="19" t="s">
        <v>544</v>
      </c>
      <c r="C173" s="20">
        <f>IFERROR(GETPIVOTDATA("[Measures].[mOldUGIS]",'Pivot Table Cats'!$A$3,"[Range 1].[State]","[Range 1].[State].&amp;[NC]","[Range 1].[Type]","[Range 1].[Type].&amp;[1]")," ")</f>
        <v>8191.5</v>
      </c>
      <c r="D173" s="20">
        <f>IFERROR(GETPIVOTDATA("[Measures].[mNewUGIS]",'Pivot Table Cats'!$A$3,"[Range 1].[State]","[Range 1].[State].&amp;[NC]","[Range 1].[Type]","[Range 1].[Type].&amp;[1]")," ")</f>
        <v>8248</v>
      </c>
      <c r="E173" s="21">
        <f>IFERROR(IF(C173&gt;0,(((D173-C173)/C173)*100),0), " ")</f>
        <v>0.68973936397485192</v>
      </c>
      <c r="F173" s="20">
        <f>IFERROR(GETPIVOTDATA("[Measures].[mOldUGOS]",'Pivot Table Cats'!$A$3,"[Range 1].[State]","[Range 1].[State].&amp;[NC]","[Range 1].[Type]","[Range 1].[Type].&amp;[1]")," ")</f>
        <v>25891</v>
      </c>
      <c r="G173" s="20">
        <f>IFERROR(GETPIVOTDATA("[Measures].[mNewUGOS]",'Pivot Table Cats'!$A$3,"[Range 1].[State]","[Range 1].[State].&amp;[NC]","[Range 1].[Type]","[Range 1].[Type].&amp;[1]")," ")</f>
        <v>26271.5</v>
      </c>
      <c r="H173" s="21">
        <f>IFERROR(IF(F173&gt;0,(((G173-F173)/F173)*100),0), " ")</f>
        <v>1.4696226487968791</v>
      </c>
      <c r="I173" s="20">
        <f>IFERROR(GETPIVOTDATA("[Measures].[mOldGIS]",'Pivot Table Cats'!$A$3,"[Range 1].[State]","[Range 1].[State].&amp;[NC]","[Range 1].[Type]","[Range 1].[Type].&amp;[1]")," ")</f>
        <v>9936.5</v>
      </c>
      <c r="J173" s="20">
        <f>IFERROR(GETPIVOTDATA("[Measures].[mNewGIS]",'Pivot Table Cats'!$A$3,"[Range 1].[State]","[Range 1].[State].&amp;[NC]","[Range 1].[Type]","[Range 1].[Type].&amp;[1]")," ")</f>
        <v>9984</v>
      </c>
      <c r="K173" s="21">
        <f>IFERROR(IF(I173&gt;0,(((J173-I173)/I173)*100),0), " ")</f>
        <v>0.47803552558748047</v>
      </c>
      <c r="L173" s="20">
        <f>IFERROR(GETPIVOTDATA("[Measures].[mOldGOS]",'Pivot Table Cats'!$A$3,"[Range 1].[State]","[Range 1].[State].&amp;[NC]","[Range 1].[Type]","[Range 1].[Type].&amp;[1]")," ")</f>
        <v>25458.5</v>
      </c>
      <c r="M173" s="20">
        <f>IFERROR(GETPIVOTDATA("[Measures].[mNewGOS]",'Pivot Table Cats'!$A$3,"[Range 1].[State]","[Range 1].[State].&amp;[NC]","[Range 1].[Type]","[Range 1].[Type].&amp;[1]")," ")</f>
        <v>25836.5</v>
      </c>
      <c r="N173" s="21">
        <f>IFERROR(IF(L173&gt;0,(((M173-L173)/L173)*100),0), " ")</f>
        <v>1.4847693304790148</v>
      </c>
      <c r="O173" s="25"/>
      <c r="P173" s="26"/>
      <c r="Q173" s="27"/>
      <c r="R173" s="25"/>
      <c r="S173" s="26"/>
      <c r="T173" s="27"/>
      <c r="U173" s="25"/>
      <c r="V173" s="26"/>
      <c r="W173" s="27"/>
      <c r="X173" s="25"/>
      <c r="Y173" s="26"/>
      <c r="Z173" s="27"/>
      <c r="AA173" s="25"/>
      <c r="AB173" s="26"/>
      <c r="AC173" s="27"/>
      <c r="AD173" s="25"/>
      <c r="AE173" s="26"/>
      <c r="AF173" s="27"/>
      <c r="AG173" s="25"/>
      <c r="AH173" s="26"/>
      <c r="AI173" s="27"/>
      <c r="AJ173" s="25"/>
      <c r="AK173" s="26"/>
      <c r="AL173" s="27"/>
      <c r="AM173" s="25"/>
      <c r="AN173" s="26"/>
      <c r="AO173" s="27"/>
      <c r="AP173" s="25"/>
      <c r="AQ173" s="26"/>
      <c r="AR173" s="27"/>
      <c r="AS173" s="25"/>
      <c r="AT173" s="26"/>
      <c r="AU173" s="27"/>
      <c r="AV173" s="25"/>
      <c r="AW173" s="26"/>
      <c r="AX173" s="27"/>
      <c r="AY173" s="25"/>
      <c r="AZ173" s="26"/>
      <c r="BA173" s="27"/>
      <c r="BB173" s="25"/>
      <c r="BC173" s="26"/>
      <c r="BD173" s="27"/>
    </row>
    <row r="174" spans="1:56">
      <c r="A174" s="28"/>
      <c r="B174" s="19" t="s">
        <v>545</v>
      </c>
      <c r="C174" s="20">
        <f>IFERROR(GETPIVOTDATA("[Measures].[mOldUGIS]",'Pivot Table Cats'!$A$3,"[Range 1].[State]","[Range 1].[State].&amp;[NC]","[Range 1].[Type]","[Range 1].[Type].&amp;[2]")," ")</f>
        <v>6948</v>
      </c>
      <c r="D174" s="20">
        <f>IFERROR(GETPIVOTDATA("[Measures].[mNewUGIS]",'Pivot Table Cats'!$A$3,"[Range 1].[State]","[Range 1].[State].&amp;[NC]","[Range 1].[Type]","[Range 1].[Type].&amp;[2]")," ")</f>
        <v>7015</v>
      </c>
      <c r="E174" s="21">
        <f t="shared" ref="E174:E188" si="40">IFERROR(IF(C174&gt;0,(((D174-C174)/C174)*100),0), " ")</f>
        <v>0.96430627518710421</v>
      </c>
      <c r="F174" s="20">
        <f>IFERROR(GETPIVOTDATA("[Measures].[mOldUGOS]",'Pivot Table Cats'!$A$3,"[Range 1].[State]","[Range 1].[State].&amp;[NC]","[Range 1].[Type]","[Range 1].[Type].&amp;[2]")," ")</f>
        <v>21841.5</v>
      </c>
      <c r="G174" s="20">
        <f>IFERROR(GETPIVOTDATA("[Measures].[mNewUGOS]",'Pivot Table Cats'!$A$3,"[Range 1].[State]","[Range 1].[State].&amp;[NC]","[Range 1].[Type]","[Range 1].[Type].&amp;[2]")," ")</f>
        <v>21908.5</v>
      </c>
      <c r="H174" s="21">
        <f t="shared" ref="H174:H188" si="41">IFERROR(IF(F174&gt;0,(((G174-F174)/F174)*100),0), " ")</f>
        <v>0.30675548840510042</v>
      </c>
      <c r="I174" s="20">
        <f>IFERROR(GETPIVOTDATA("[Measures].[mOldGIS]",'Pivot Table Cats'!$A$3,"[Range 1].[State]","[Range 1].[State].&amp;[NC]","[Range 1].[Type]","[Range 1].[Type].&amp;[2]")," ")</f>
        <v>7699</v>
      </c>
      <c r="J174" s="20">
        <f>IFERROR(GETPIVOTDATA("[Measures].[mNewGIS]",'Pivot Table Cats'!$A$3,"[Range 1].[State]","[Range 1].[State].&amp;[NC]","[Range 1].[Type]","[Range 1].[Type].&amp;[2]")," ")</f>
        <v>7766</v>
      </c>
      <c r="K174" s="21">
        <f t="shared" ref="K174:K188" si="42">IFERROR(IF(I174&gt;0,(((J174-I174)/I174)*100),0), " ")</f>
        <v>0.87024288868684241</v>
      </c>
      <c r="L174" s="20">
        <f>IFERROR(GETPIVOTDATA("[Measures].[mOldGOS]",'Pivot Table Cats'!$A$3,"[Range 1].[State]","[Range 1].[State].&amp;[NC]","[Range 1].[Type]","[Range 1].[Type].&amp;[2]")," ")</f>
        <v>20673.5</v>
      </c>
      <c r="M174" s="20">
        <f>IFERROR(GETPIVOTDATA("[Measures].[mNewGOS]",'Pivot Table Cats'!$A$3,"[Range 1].[State]","[Range 1].[State].&amp;[NC]","[Range 1].[Type]","[Range 1].[Type].&amp;[2]")," ")</f>
        <v>20740.5</v>
      </c>
      <c r="N174" s="21">
        <f t="shared" ref="N174:N188" si="43">IFERROR(IF(L174&gt;0,(((M174-L174)/L174)*100),0), " ")</f>
        <v>0.32408639079014195</v>
      </c>
      <c r="O174" s="25"/>
      <c r="P174" s="26"/>
      <c r="Q174" s="27"/>
      <c r="R174" s="25"/>
      <c r="S174" s="26"/>
      <c r="T174" s="27"/>
      <c r="U174" s="25"/>
      <c r="V174" s="26"/>
      <c r="W174" s="27"/>
      <c r="X174" s="25"/>
      <c r="Y174" s="26"/>
      <c r="Z174" s="27"/>
      <c r="AA174" s="25"/>
      <c r="AB174" s="26"/>
      <c r="AC174" s="27"/>
      <c r="AD174" s="25"/>
      <c r="AE174" s="26"/>
      <c r="AF174" s="27"/>
      <c r="AG174" s="25"/>
      <c r="AH174" s="26"/>
      <c r="AI174" s="27"/>
      <c r="AJ174" s="25"/>
      <c r="AK174" s="26"/>
      <c r="AL174" s="27"/>
      <c r="AM174" s="25"/>
      <c r="AN174" s="26"/>
      <c r="AO174" s="27"/>
      <c r="AP174" s="25"/>
      <c r="AQ174" s="26"/>
      <c r="AR174" s="27"/>
      <c r="AS174" s="25"/>
      <c r="AT174" s="26"/>
      <c r="AU174" s="27"/>
      <c r="AV174" s="25"/>
      <c r="AW174" s="26"/>
      <c r="AX174" s="27"/>
      <c r="AY174" s="25"/>
      <c r="AZ174" s="26"/>
      <c r="BA174" s="27"/>
      <c r="BB174" s="25"/>
      <c r="BC174" s="26"/>
      <c r="BD174" s="27"/>
    </row>
    <row r="175" spans="1:56">
      <c r="A175" s="28"/>
      <c r="B175" s="19" t="s">
        <v>546</v>
      </c>
      <c r="C175" s="20">
        <f>IFERROR(GETPIVOTDATA("[Measures].[mOldUGIS]",'Pivot Table Cats'!$A$3,"[Range 1].[State]","[Range 1].[State].&amp;[NC]","[Range 1].[Type]","[Range 1].[Type].&amp;[3]")," ")</f>
        <v>6905</v>
      </c>
      <c r="D175" s="20">
        <f>IFERROR(GETPIVOTDATA("[Measures].[mNewUGIS]",'Pivot Table Cats'!$A$3,"[Range 1].[State]","[Range 1].[State].&amp;[NC]","[Range 1].[Type]","[Range 1].[Type].&amp;[3]")," ")</f>
        <v>6941</v>
      </c>
      <c r="E175" s="21">
        <f t="shared" si="40"/>
        <v>0.52136133236784932</v>
      </c>
      <c r="F175" s="20">
        <f>IFERROR(GETPIVOTDATA("[Measures].[mOldUGOS]",'Pivot Table Cats'!$A$3,"[Range 1].[State]","[Range 1].[State].&amp;[NC]","[Range 1].[Type]","[Range 1].[Type].&amp;[3]")," ")</f>
        <v>20291</v>
      </c>
      <c r="G175" s="20">
        <f>IFERROR(GETPIVOTDATA("[Measures].[mNewUGOS]",'Pivot Table Cats'!$A$3,"[Range 1].[State]","[Range 1].[State].&amp;[NC]","[Range 1].[Type]","[Range 1].[Type].&amp;[3]")," ")</f>
        <v>20327</v>
      </c>
      <c r="H175" s="21">
        <f t="shared" si="41"/>
        <v>0.17741855995268838</v>
      </c>
      <c r="I175" s="20">
        <f>IFERROR(GETPIVOTDATA("[Measures].[mOldGIS]",'Pivot Table Cats'!$A$3,"[Range 1].[State]","[Range 1].[State].&amp;[NC]","[Range 1].[Type]","[Range 1].[Type].&amp;[3]")," ")</f>
        <v>7549</v>
      </c>
      <c r="J175" s="20">
        <f>IFERROR(GETPIVOTDATA("[Measures].[mNewGIS]",'Pivot Table Cats'!$A$3,"[Range 1].[State]","[Range 1].[State].&amp;[NC]","[Range 1].[Type]","[Range 1].[Type].&amp;[3]")," ")</f>
        <v>7577.5</v>
      </c>
      <c r="K175" s="21">
        <f t="shared" si="42"/>
        <v>0.37753344813882633</v>
      </c>
      <c r="L175" s="20">
        <f>IFERROR(GETPIVOTDATA("[Measures].[mOldGOS]",'Pivot Table Cats'!$A$3,"[Range 1].[State]","[Range 1].[State].&amp;[NC]","[Range 1].[Type]","[Range 1].[Type].&amp;[3]")," ")</f>
        <v>20940.5</v>
      </c>
      <c r="M175" s="20">
        <f>IFERROR(GETPIVOTDATA("[Measures].[mNewGOS]",'Pivot Table Cats'!$A$3,"[Range 1].[State]","[Range 1].[State].&amp;[NC]","[Range 1].[Type]","[Range 1].[Type].&amp;[3]")," ")</f>
        <v>20969</v>
      </c>
      <c r="N175" s="21">
        <f t="shared" si="43"/>
        <v>0.1360999021035792</v>
      </c>
      <c r="O175" s="25"/>
      <c r="P175" s="26"/>
      <c r="Q175" s="27"/>
      <c r="R175" s="25"/>
      <c r="S175" s="26"/>
      <c r="T175" s="27"/>
      <c r="U175" s="25"/>
      <c r="V175" s="26"/>
      <c r="W175" s="27"/>
      <c r="X175" s="25"/>
      <c r="Y175" s="26"/>
      <c r="Z175" s="27"/>
      <c r="AA175" s="25"/>
      <c r="AB175" s="26"/>
      <c r="AC175" s="27"/>
      <c r="AD175" s="25"/>
      <c r="AE175" s="26"/>
      <c r="AF175" s="27"/>
      <c r="AG175" s="25"/>
      <c r="AH175" s="26"/>
      <c r="AI175" s="27"/>
      <c r="AJ175" s="25"/>
      <c r="AK175" s="26"/>
      <c r="AL175" s="27"/>
      <c r="AM175" s="25"/>
      <c r="AN175" s="26"/>
      <c r="AO175" s="27"/>
      <c r="AP175" s="25"/>
      <c r="AQ175" s="26"/>
      <c r="AR175" s="27"/>
      <c r="AS175" s="25"/>
      <c r="AT175" s="26"/>
      <c r="AU175" s="27"/>
      <c r="AV175" s="25"/>
      <c r="AW175" s="26"/>
      <c r="AX175" s="27"/>
      <c r="AY175" s="25"/>
      <c r="AZ175" s="26"/>
      <c r="BA175" s="27"/>
      <c r="BB175" s="25"/>
      <c r="BC175" s="26"/>
      <c r="BD175" s="27"/>
    </row>
    <row r="176" spans="1:56">
      <c r="A176" s="28"/>
      <c r="B176" s="19" t="s">
        <v>547</v>
      </c>
      <c r="C176" s="20">
        <f>IFERROR(GETPIVOTDATA("[Measures].[mOldUGIS]",'Pivot Table Cats'!$A$3,"[Range 1].[State]","[Range 1].[State].&amp;[NC]","[Range 1].[Type]","[Range 1].[Type].&amp;[4]")," ")</f>
        <v>5309</v>
      </c>
      <c r="D176" s="20">
        <f>IFERROR(GETPIVOTDATA("[Measures].[mNewUGIS]",'Pivot Table Cats'!$A$3,"[Range 1].[State]","[Range 1].[State].&amp;[NC]","[Range 1].[Type]","[Range 1].[Type].&amp;[4]")," ")</f>
        <v>5379</v>
      </c>
      <c r="E176" s="21">
        <f t="shared" si="40"/>
        <v>1.3185157280090412</v>
      </c>
      <c r="F176" s="20">
        <f>IFERROR(GETPIVOTDATA("[Measures].[mOldUGOS]",'Pivot Table Cats'!$A$3,"[Range 1].[State]","[Range 1].[State].&amp;[NC]","[Range 1].[Type]","[Range 1].[Type].&amp;[4]")," ")</f>
        <v>16917</v>
      </c>
      <c r="G176" s="20">
        <f>IFERROR(GETPIVOTDATA("[Measures].[mNewUGOS]",'Pivot Table Cats'!$A$3,"[Range 1].[State]","[Range 1].[State].&amp;[NC]","[Range 1].[Type]","[Range 1].[Type].&amp;[4]")," ")</f>
        <v>16987</v>
      </c>
      <c r="H176" s="21">
        <f t="shared" si="41"/>
        <v>0.41378495005024535</v>
      </c>
      <c r="I176" s="20">
        <f>IFERROR(GETPIVOTDATA("[Measures].[mOldGIS]",'Pivot Table Cats'!$A$3,"[Range 1].[State]","[Range 1].[State].&amp;[NC]","[Range 1].[Type]","[Range 1].[Type].&amp;[4]")," ")</f>
        <v>5765</v>
      </c>
      <c r="J176" s="20">
        <f>IFERROR(GETPIVOTDATA("[Measures].[mNewGIS]",'Pivot Table Cats'!$A$3,"[Range 1].[State]","[Range 1].[State].&amp;[NC]","[Range 1].[Type]","[Range 1].[Type].&amp;[4]")," ")</f>
        <v>5835</v>
      </c>
      <c r="K176" s="21">
        <f t="shared" si="42"/>
        <v>1.2142237640936688</v>
      </c>
      <c r="L176" s="20">
        <f>IFERROR(GETPIVOTDATA("[Measures].[mOldGOS]",'Pivot Table Cats'!$A$3,"[Range 1].[State]","[Range 1].[State].&amp;[NC]","[Range 1].[Type]","[Range 1].[Type].&amp;[4]")," ")</f>
        <v>16830</v>
      </c>
      <c r="M176" s="20">
        <f>IFERROR(GETPIVOTDATA("[Measures].[mNewGOS]",'Pivot Table Cats'!$A$3,"[Range 1].[State]","[Range 1].[State].&amp;[NC]","[Range 1].[Type]","[Range 1].[Type].&amp;[4]")," ")</f>
        <v>16900</v>
      </c>
      <c r="N176" s="21">
        <f t="shared" si="43"/>
        <v>0.41592394533571003</v>
      </c>
      <c r="O176" s="25"/>
      <c r="P176" s="26"/>
      <c r="Q176" s="27"/>
      <c r="R176" s="25"/>
      <c r="S176" s="26"/>
      <c r="T176" s="27"/>
      <c r="U176" s="25"/>
      <c r="V176" s="26"/>
      <c r="W176" s="27"/>
      <c r="X176" s="25"/>
      <c r="Y176" s="26"/>
      <c r="Z176" s="27"/>
      <c r="AA176" s="25"/>
      <c r="AB176" s="26"/>
      <c r="AC176" s="27"/>
      <c r="AD176" s="25"/>
      <c r="AE176" s="26"/>
      <c r="AF176" s="27"/>
      <c r="AG176" s="25"/>
      <c r="AH176" s="26"/>
      <c r="AI176" s="27"/>
      <c r="AJ176" s="25"/>
      <c r="AK176" s="26"/>
      <c r="AL176" s="27"/>
      <c r="AM176" s="25"/>
      <c r="AN176" s="26"/>
      <c r="AO176" s="27"/>
      <c r="AP176" s="25"/>
      <c r="AQ176" s="26"/>
      <c r="AR176" s="27"/>
      <c r="AS176" s="25"/>
      <c r="AT176" s="26"/>
      <c r="AU176" s="27"/>
      <c r="AV176" s="25"/>
      <c r="AW176" s="26"/>
      <c r="AX176" s="27"/>
      <c r="AY176" s="25"/>
      <c r="AZ176" s="26"/>
      <c r="BA176" s="27"/>
      <c r="BB176" s="25"/>
      <c r="BC176" s="26"/>
      <c r="BD176" s="27"/>
    </row>
    <row r="177" spans="1:56">
      <c r="A177" s="28"/>
      <c r="B177" s="19" t="s">
        <v>548</v>
      </c>
      <c r="C177" s="20">
        <f>IFERROR(GETPIVOTDATA("[Measures].[mOldUGIS]",'Pivot Table Cats'!$A$3,"[Range 1].[State]","[Range 1].[State].&amp;[NC]","[Range 1].[Type]","[Range 1].[Type].&amp;[5]")," ")</f>
        <v>4698.5</v>
      </c>
      <c r="D177" s="20">
        <f>IFERROR(GETPIVOTDATA("[Measures].[mNewUGIS]",'Pivot Table Cats'!$A$3,"[Range 1].[State]","[Range 1].[State].&amp;[NC]","[Range 1].[Type]","[Range 1].[Type].&amp;[5]")," ")</f>
        <v>4871</v>
      </c>
      <c r="E177" s="21">
        <f t="shared" si="40"/>
        <v>3.6713844844099182</v>
      </c>
      <c r="F177" s="20">
        <f>IFERROR(GETPIVOTDATA("[Measures].[mOldUGOS]",'Pivot Table Cats'!$A$3,"[Range 1].[State]","[Range 1].[State].&amp;[NC]","[Range 1].[Type]","[Range 1].[Type].&amp;[5]")," ")</f>
        <v>11822</v>
      </c>
      <c r="G177" s="20">
        <f>IFERROR(GETPIVOTDATA("[Measures].[mNewUGOS]",'Pivot Table Cats'!$A$3,"[Range 1].[State]","[Range 1].[State].&amp;[NC]","[Range 1].[Type]","[Range 1].[Type].&amp;[5]")," ")</f>
        <v>12199</v>
      </c>
      <c r="H177" s="21">
        <f t="shared" si="41"/>
        <v>3.1889697174758922</v>
      </c>
      <c r="I177" s="20">
        <f>IFERROR(GETPIVOTDATA("[Measures].[mOldGIS]",'Pivot Table Cats'!$A$3,"[Range 1].[State]","[Range 1].[State].&amp;[NC]","[Range 1].[Type]","[Range 1].[Type].&amp;[5]")," ")</f>
        <v>6574</v>
      </c>
      <c r="J177" s="20">
        <f>IFERROR(GETPIVOTDATA("[Measures].[mNewGIS]",'Pivot Table Cats'!$A$3,"[Range 1].[State]","[Range 1].[State].&amp;[NC]","[Range 1].[Type]","[Range 1].[Type].&amp;[5]")," ")</f>
        <v>6746.5</v>
      </c>
      <c r="K177" s="21">
        <f t="shared" si="42"/>
        <v>2.623973227867356</v>
      </c>
      <c r="L177" s="20">
        <f>IFERROR(GETPIVOTDATA("[Measures].[mOldGOS]",'Pivot Table Cats'!$A$3,"[Range 1].[State]","[Range 1].[State].&amp;[NC]","[Range 1].[Type]","[Range 1].[Type].&amp;[5]")," ")</f>
        <v>17663.5</v>
      </c>
      <c r="M177" s="20">
        <f>IFERROR(GETPIVOTDATA("[Measures].[mNewGOS]",'Pivot Table Cats'!$A$3,"[Range 1].[State]","[Range 1].[State].&amp;[NC]","[Range 1].[Type]","[Range 1].[Type].&amp;[5]")," ")</f>
        <v>18291</v>
      </c>
      <c r="N177" s="21">
        <f t="shared" si="43"/>
        <v>3.5525235655447678</v>
      </c>
      <c r="O177" s="25"/>
      <c r="P177" s="26"/>
      <c r="Q177" s="27"/>
      <c r="R177" s="25"/>
      <c r="S177" s="26"/>
      <c r="T177" s="27"/>
      <c r="U177" s="25"/>
      <c r="V177" s="26"/>
      <c r="W177" s="27"/>
      <c r="X177" s="25"/>
      <c r="Y177" s="26"/>
      <c r="Z177" s="27"/>
      <c r="AA177" s="25"/>
      <c r="AB177" s="26"/>
      <c r="AC177" s="27"/>
      <c r="AD177" s="25"/>
      <c r="AE177" s="26"/>
      <c r="AF177" s="27"/>
      <c r="AG177" s="25"/>
      <c r="AH177" s="26"/>
      <c r="AI177" s="27"/>
      <c r="AJ177" s="25"/>
      <c r="AK177" s="26"/>
      <c r="AL177" s="27"/>
      <c r="AM177" s="25"/>
      <c r="AN177" s="26"/>
      <c r="AO177" s="27"/>
      <c r="AP177" s="25"/>
      <c r="AQ177" s="26"/>
      <c r="AR177" s="27"/>
      <c r="AS177" s="25"/>
      <c r="AT177" s="26"/>
      <c r="AU177" s="27"/>
      <c r="AV177" s="25"/>
      <c r="AW177" s="26"/>
      <c r="AX177" s="27"/>
      <c r="AY177" s="25"/>
      <c r="AZ177" s="26"/>
      <c r="BA177" s="27"/>
      <c r="BB177" s="25"/>
      <c r="BC177" s="26"/>
      <c r="BD177" s="27"/>
    </row>
    <row r="178" spans="1:56">
      <c r="A178" s="28"/>
      <c r="B178" s="19" t="s">
        <v>549</v>
      </c>
      <c r="C178" s="20">
        <f>IFERROR(GETPIVOTDATA("[Measures].[mOldUGIS]",'Pivot Table Cats'!$A$3,"[Range 1].[State]","[Range 1].[State].&amp;[NC]","[Range 1].[Type]","[Range 1].[Type].&amp;[6]")," ")</f>
        <v>5252</v>
      </c>
      <c r="D178" s="20">
        <f>IFERROR(GETPIVOTDATA("[Measures].[mNewUGIS]",'Pivot Table Cats'!$A$3,"[Range 1].[State]","[Range 1].[State].&amp;[NC]","[Range 1].[Type]","[Range 1].[Type].&amp;[6]")," ")</f>
        <v>5322.5</v>
      </c>
      <c r="E178" s="21">
        <f t="shared" si="40"/>
        <v>1.3423457730388424</v>
      </c>
      <c r="F178" s="20">
        <f>IFERROR(GETPIVOTDATA("[Measures].[mOldUGOS]",'Pivot Table Cats'!$A$3,"[Range 1].[State]","[Range 1].[State].&amp;[NC]","[Range 1].[Type]","[Range 1].[Type].&amp;[6]")," ")</f>
        <v>15926</v>
      </c>
      <c r="G178" s="20">
        <f>IFERROR(GETPIVOTDATA("[Measures].[mNewUGOS]",'Pivot Table Cats'!$A$3,"[Range 1].[State]","[Range 1].[State].&amp;[NC]","[Range 1].[Type]","[Range 1].[Type].&amp;[6]")," ")</f>
        <v>15996.5</v>
      </c>
      <c r="H178" s="21">
        <f t="shared" si="41"/>
        <v>0.44267235966344343</v>
      </c>
      <c r="I178" s="20">
        <f>IFERROR(GETPIVOTDATA("[Measures].[mOldGIS]",'Pivot Table Cats'!$A$3,"[Range 1].[State]","[Range 1].[State].&amp;[NC]","[Range 1].[Type]","[Range 1].[Type].&amp;[6]")," ")</f>
        <v>6835.5</v>
      </c>
      <c r="J178" s="20">
        <f>IFERROR(GETPIVOTDATA("[Measures].[mNewGIS]",'Pivot Table Cats'!$A$3,"[Range 1].[State]","[Range 1].[State].&amp;[NC]","[Range 1].[Type]","[Range 1].[Type].&amp;[6]")," ")</f>
        <v>6868.5</v>
      </c>
      <c r="K178" s="21">
        <f t="shared" si="42"/>
        <v>0.48277375466315553</v>
      </c>
      <c r="L178" s="20">
        <f>IFERROR(GETPIVOTDATA("[Measures].[mOldGOS]",'Pivot Table Cats'!$A$3,"[Range 1].[State]","[Range 1].[State].&amp;[NC]","[Range 1].[Type]","[Range 1].[Type].&amp;[6]")," ")</f>
        <v>21527.5</v>
      </c>
      <c r="M178" s="20">
        <f>IFERROR(GETPIVOTDATA("[Measures].[mNewGOS]",'Pivot Table Cats'!$A$3,"[Range 1].[State]","[Range 1].[State].&amp;[NC]","[Range 1].[Type]","[Range 1].[Type].&amp;[6]")," ")</f>
        <v>21561</v>
      </c>
      <c r="N178" s="21">
        <f t="shared" si="43"/>
        <v>0.155614911160144</v>
      </c>
      <c r="O178" s="25"/>
      <c r="P178" s="26"/>
      <c r="Q178" s="27"/>
      <c r="R178" s="25"/>
      <c r="S178" s="26"/>
      <c r="T178" s="27"/>
      <c r="U178" s="25"/>
      <c r="V178" s="26"/>
      <c r="W178" s="27"/>
      <c r="X178" s="25"/>
      <c r="Y178" s="26"/>
      <c r="Z178" s="27"/>
      <c r="AA178" s="25"/>
      <c r="AB178" s="26"/>
      <c r="AC178" s="27"/>
      <c r="AD178" s="25"/>
      <c r="AE178" s="26"/>
      <c r="AF178" s="27"/>
      <c r="AG178" s="25"/>
      <c r="AH178" s="26"/>
      <c r="AI178" s="27"/>
      <c r="AJ178" s="25"/>
      <c r="AK178" s="26"/>
      <c r="AL178" s="27"/>
      <c r="AM178" s="25"/>
      <c r="AN178" s="26"/>
      <c r="AO178" s="27"/>
      <c r="AP178" s="25"/>
      <c r="AQ178" s="26"/>
      <c r="AR178" s="27"/>
      <c r="AS178" s="25"/>
      <c r="AT178" s="26"/>
      <c r="AU178" s="27"/>
      <c r="AV178" s="25"/>
      <c r="AW178" s="26"/>
      <c r="AX178" s="27"/>
      <c r="AY178" s="25"/>
      <c r="AZ178" s="26"/>
      <c r="BA178" s="27"/>
      <c r="BB178" s="25"/>
      <c r="BC178" s="26"/>
      <c r="BD178" s="27"/>
    </row>
    <row r="179" spans="1:56" s="49" customFormat="1" ht="19.5" customHeight="1">
      <c r="A179" s="48"/>
      <c r="B179" s="30" t="s">
        <v>550</v>
      </c>
      <c r="C179" s="31">
        <f>IFERROR(GETPIVOTDATA("[Measures].[mOldUGIS]",'Pivot Table Totals'!$A$4,"[Range 1].[State]","[Range 1].[State].&amp;[NC]"), " ")</f>
        <v>6941</v>
      </c>
      <c r="D179" s="31">
        <f>IFERROR(GETPIVOTDATA("[Measures].[mNewUGIS]",'Pivot Table Totals'!$A$4,"[Range 1].[State]","[Range 1].[State].&amp;[NC]"), " ")</f>
        <v>7188</v>
      </c>
      <c r="E179" s="21">
        <f t="shared" si="40"/>
        <v>3.5585650482639388</v>
      </c>
      <c r="F179" s="31">
        <f>IFERROR(GETPIVOTDATA("[Measures].[mOldUGOS]",'Pivot Table Totals'!$A$4,"[Range 1].[State]","[Range 1].[State].&amp;[NC]"), " ")</f>
        <v>20375</v>
      </c>
      <c r="G179" s="31">
        <f>IFERROR(GETPIVOTDATA("[Measures].[mNewUGOS]",'Pivot Table Totals'!$A$4,"[Range 1].[State]","[Range 1].[State].&amp;[NC]"), " ")</f>
        <v>20622</v>
      </c>
      <c r="H179" s="21">
        <f t="shared" si="41"/>
        <v>1.2122699386503069</v>
      </c>
      <c r="I179" s="31">
        <f>IFERROR(GETPIVOTDATA("[Measures].[mOldGIS]",'Pivot Table Totals'!$A$4,"[Range 1].[State]","[Range 1].[State].&amp;[NC]"), " ")</f>
        <v>7536</v>
      </c>
      <c r="J179" s="31">
        <f>IFERROR(GETPIVOTDATA("[Measures].[mNewGIS]",'Pivot Table Totals'!$A$4,"[Range 1].[State]","[Range 1].[State].&amp;[NC]"), " ")</f>
        <v>7641</v>
      </c>
      <c r="K179" s="21">
        <f t="shared" si="42"/>
        <v>1.3933121019108281</v>
      </c>
      <c r="L179" s="31">
        <f>IFERROR(GETPIVOTDATA("[Measures].[mOldGOS]",'Pivot Table Totals'!$A$4,"[Range 1].[State]","[Range 1].[State].&amp;[NC]"), " ")</f>
        <v>20685</v>
      </c>
      <c r="M179" s="31">
        <f>IFERROR(GETPIVOTDATA("[Measures].[mNewGOS]",'Pivot Table Totals'!$A$4,"[Range 1].[State]","[Range 1].[State].&amp;[NC]"), " ")</f>
        <v>20743</v>
      </c>
      <c r="N179" s="21">
        <f>IFERROR(IF(L179&gt;0,(((M179-L179)/L179)*100),0), "  ")</f>
        <v>0.28039642252840224</v>
      </c>
      <c r="O179" s="36"/>
      <c r="P179" s="37"/>
      <c r="Q179" s="38"/>
      <c r="R179" s="36"/>
      <c r="S179" s="37"/>
      <c r="T179" s="38"/>
      <c r="U179" s="36"/>
      <c r="V179" s="37"/>
      <c r="W179" s="38"/>
      <c r="X179" s="36"/>
      <c r="Y179" s="37"/>
      <c r="Z179" s="38"/>
      <c r="AA179" s="36"/>
      <c r="AB179" s="37"/>
      <c r="AC179" s="38"/>
      <c r="AD179" s="36"/>
      <c r="AE179" s="37"/>
      <c r="AF179" s="38"/>
      <c r="AG179" s="36"/>
      <c r="AH179" s="37"/>
      <c r="AI179" s="38"/>
      <c r="AJ179" s="36"/>
      <c r="AK179" s="37"/>
      <c r="AL179" s="38"/>
      <c r="AM179" s="36"/>
      <c r="AN179" s="37"/>
      <c r="AO179" s="38"/>
      <c r="AP179" s="36"/>
      <c r="AQ179" s="37"/>
      <c r="AR179" s="38"/>
      <c r="AS179" s="36"/>
      <c r="AT179" s="37"/>
      <c r="AU179" s="38"/>
      <c r="AV179" s="36"/>
      <c r="AW179" s="37"/>
      <c r="AX179" s="38"/>
      <c r="AY179" s="36"/>
      <c r="AZ179" s="37"/>
      <c r="BA179" s="38"/>
      <c r="BB179" s="36"/>
      <c r="BC179" s="37"/>
      <c r="BD179" s="38"/>
    </row>
    <row r="180" spans="1:56">
      <c r="A180" s="28"/>
      <c r="B180" s="19" t="s">
        <v>551</v>
      </c>
      <c r="C180" s="20" t="str">
        <f>IFERROR(GETPIVOTDATA("[Measures].[mOldUGIS]",'Pivot Table Cats'!$A$3,"[Range 1].[State]","[Range 1].[State].&amp;[NC]","[Range 1].[Type]","[Range 1].[Type].&amp;[7]")," ")</f>
        <v xml:space="preserve"> </v>
      </c>
      <c r="D180" s="20" t="str">
        <f>IFERROR(GETPIVOTDATA("[Measures].[mNewUGIS]",'Pivot Table Cats'!$A$3,"[Range 1].[State]","[Range 1].[State].&amp;[NC]","[Range 1].[Type]","[Range 1].[Type].&amp;[7]")," ")</f>
        <v xml:space="preserve"> </v>
      </c>
      <c r="E180" s="21" t="str">
        <f t="shared" si="40"/>
        <v xml:space="preserve"> </v>
      </c>
      <c r="F180" s="20" t="str">
        <f>IFERROR(GETPIVOTDATA("[Measures].[mOldUGOS]",'Pivot Table Cats'!$A$3,"[Range 1].[State]","[Range 1].[State].&amp;[NC]","[Range 1].[Type]","[Range 1].[Type].&amp;[7]")," ")</f>
        <v xml:space="preserve"> </v>
      </c>
      <c r="G180" s="20" t="str">
        <f>IFERROR(GETPIVOTDATA("[Measures].[mNewUGOS]",'Pivot Table Cats'!$A$3,"[Range 1].[State]","[Range 1].[State].&amp;[NC]","[Range 1].[Type]","[Range 1].[Type].&amp;[7]")," ")</f>
        <v xml:space="preserve"> </v>
      </c>
      <c r="H180" s="21" t="str">
        <f t="shared" si="41"/>
        <v xml:space="preserve"> </v>
      </c>
      <c r="I180" s="20" t="str">
        <f>IFERROR(GETPIVOTDATA("[Measures].[mOldGIS]",'Pivot Table Cats'!$A$3,"[Range 1].[State]","[Range 1].[State].&amp;[NC]","[Range 1].[Type]","[Range 1].[Type].&amp;[7]")," ")</f>
        <v xml:space="preserve"> </v>
      </c>
      <c r="J180" s="20" t="str">
        <f>IFERROR(GETPIVOTDATA("[Measures].[mNewGIS]",'Pivot Table Cats'!$A$3,"[Range 1].[State]","[Range 1].[State].&amp;[NC]","[Range 1].[Type]","[Range 1].[Type].&amp;[7]")," ")</f>
        <v xml:space="preserve"> </v>
      </c>
      <c r="K180" s="21" t="str">
        <f t="shared" si="42"/>
        <v xml:space="preserve"> </v>
      </c>
      <c r="L180" s="20" t="str">
        <f>IFERROR(GETPIVOTDATA("[Measures].[mOldGIS]",'Pivot Table Cats'!$A$3,"[Range 1].[State]","[Range 1].[State].&amp;[NC]","[Range 1].[Type]","[Range 1].[Type].&amp;[7]")," ")</f>
        <v xml:space="preserve"> </v>
      </c>
      <c r="M180" s="20" t="str">
        <f>IFERROR(GETPIVOTDATA("[Measures].[mNewGIS]",'Pivot Table Cats'!$A$3,"[Range 1].[State]","[Range 1].[State].&amp;[NC]","[Range 1].[Type]","[Range 1].[Type].&amp;[7]")," ")</f>
        <v xml:space="preserve"> </v>
      </c>
      <c r="N180" s="21" t="str">
        <f t="shared" si="43"/>
        <v xml:space="preserve"> </v>
      </c>
      <c r="O180" s="25"/>
      <c r="P180" s="26"/>
      <c r="Q180" s="27"/>
      <c r="R180" s="25"/>
      <c r="S180" s="26"/>
      <c r="T180" s="27"/>
      <c r="U180" s="25"/>
      <c r="V180" s="26"/>
      <c r="W180" s="27"/>
      <c r="X180" s="25"/>
      <c r="Y180" s="26"/>
      <c r="Z180" s="27"/>
      <c r="AA180" s="25"/>
      <c r="AB180" s="26"/>
      <c r="AC180" s="27"/>
      <c r="AD180" s="25"/>
      <c r="AE180" s="26"/>
      <c r="AF180" s="27"/>
      <c r="AG180" s="25"/>
      <c r="AH180" s="26"/>
      <c r="AI180" s="27"/>
      <c r="AJ180" s="25"/>
      <c r="AK180" s="26"/>
      <c r="AL180" s="27"/>
      <c r="AM180" s="25"/>
      <c r="AN180" s="26"/>
      <c r="AO180" s="27"/>
      <c r="AP180" s="25"/>
      <c r="AQ180" s="26"/>
      <c r="AR180" s="27"/>
      <c r="AS180" s="25"/>
      <c r="AT180" s="26"/>
      <c r="AU180" s="27"/>
      <c r="AV180" s="25"/>
      <c r="AW180" s="26"/>
      <c r="AX180" s="27"/>
      <c r="AY180" s="25"/>
      <c r="AZ180" s="26"/>
      <c r="BA180" s="27"/>
      <c r="BB180" s="25"/>
      <c r="BC180" s="26"/>
      <c r="BD180" s="27"/>
    </row>
    <row r="181" spans="1:56">
      <c r="A181" s="28"/>
      <c r="B181" s="19" t="s">
        <v>552</v>
      </c>
      <c r="C181" s="20">
        <f>IFERROR(GETPIVOTDATA("[Measures].[mOldUGIS]",'Pivot Table Cats'!$A$3,"[Range 1].[State]","[Range 1].[State].&amp;[NC]","[Range 1].[Type]","[Range 1].[Type].&amp;[8]")," ")</f>
        <v>2544</v>
      </c>
      <c r="D181" s="20">
        <f>IFERROR(GETPIVOTDATA("[Measures].[mNewUGIS]",'Pivot Table Cats'!$A$3,"[Range 1].[State]","[Range 1].[State].&amp;[NC]","[Range 1].[Type]","[Range 1].[Type].&amp;[8]")," ")</f>
        <v>2626</v>
      </c>
      <c r="E181" s="21">
        <f t="shared" si="40"/>
        <v>3.2232704402515724</v>
      </c>
      <c r="F181" s="20">
        <f>IFERROR(GETPIVOTDATA("[Measures].[mOldUGOS]",'Pivot Table Cats'!$A$3,"[Range 1].[State]","[Range 1].[State].&amp;[NC]","[Range 1].[Type]","[Range 1].[Type].&amp;[8]")," ")</f>
        <v>8688</v>
      </c>
      <c r="G181" s="20">
        <f>IFERROR(GETPIVOTDATA("[Measures].[mNewUGOS]",'Pivot Table Cats'!$A$3,"[Range 1].[State]","[Range 1].[State].&amp;[NC]","[Range 1].[Type]","[Range 1].[Type].&amp;[8]")," ")</f>
        <v>8770</v>
      </c>
      <c r="H181" s="21">
        <f t="shared" si="41"/>
        <v>0.94383057090239408</v>
      </c>
      <c r="I181" s="337">
        <f>IFERROR(GETPIVOTDATA("[Measures].[mOldGIS]",'Pivot Table Cats'!$A$3,"[Range 1].[State]","[Range 1].[State].&amp;[NC]","[Range 1].[Type]","[Range 1].[Type].&amp;[8]")," ")</f>
        <v>0</v>
      </c>
      <c r="J181" s="20">
        <f>IFERROR(GETPIVOTDATA("[Measures].[mNewGIS]",'Pivot Table Cats'!$A$3,"[Range 1].[State]","[Range 1].[State].&amp;[NC]","[Range 1].[Type]","[Range 1].[Type].&amp;[8]")," ")</f>
        <v>0</v>
      </c>
      <c r="K181" s="21">
        <f t="shared" si="42"/>
        <v>0</v>
      </c>
      <c r="L181" s="20">
        <f>IFERROR(GETPIVOTDATA("[Measures].[mOldGOS]",'Pivot Table Cats'!$A$3,"[Range 1].[State]","[Range 1].[State].&amp;[NC]","[Range 1].[Type]","[Range 1].[Type].&amp;[8]")," ")</f>
        <v>0</v>
      </c>
      <c r="M181" s="20">
        <f>IFERROR(GETPIVOTDATA("[Measures].[mNewGOS]",'Pivot Table Cats'!$A$3,"[Range 1].[State]","[Range 1].[State].&amp;[NC]","[Range 1].[Type]","[Range 1].[Type].&amp;[8]")," ")</f>
        <v>0</v>
      </c>
      <c r="N181" s="21">
        <f t="shared" si="43"/>
        <v>0</v>
      </c>
      <c r="O181" s="25"/>
      <c r="P181" s="26"/>
      <c r="Q181" s="27"/>
      <c r="R181" s="25"/>
      <c r="S181" s="26"/>
      <c r="T181" s="27"/>
      <c r="U181" s="25"/>
      <c r="V181" s="26"/>
      <c r="W181" s="27"/>
      <c r="X181" s="25"/>
      <c r="Y181" s="26"/>
      <c r="Z181" s="27"/>
      <c r="AA181" s="25"/>
      <c r="AB181" s="26"/>
      <c r="AC181" s="27"/>
      <c r="AD181" s="25"/>
      <c r="AE181" s="26"/>
      <c r="AF181" s="27"/>
      <c r="AG181" s="25"/>
      <c r="AH181" s="26"/>
      <c r="AI181" s="27"/>
      <c r="AJ181" s="25"/>
      <c r="AK181" s="26"/>
      <c r="AL181" s="27"/>
      <c r="AM181" s="25"/>
      <c r="AN181" s="26"/>
      <c r="AO181" s="27"/>
      <c r="AP181" s="25"/>
      <c r="AQ181" s="26"/>
      <c r="AR181" s="27"/>
      <c r="AS181" s="25"/>
      <c r="AT181" s="26"/>
      <c r="AU181" s="27"/>
      <c r="AV181" s="25"/>
      <c r="AW181" s="26"/>
      <c r="AX181" s="27"/>
      <c r="AY181" s="25"/>
      <c r="AZ181" s="26"/>
      <c r="BA181" s="27"/>
      <c r="BB181" s="25"/>
      <c r="BC181" s="26"/>
      <c r="BD181" s="27"/>
    </row>
    <row r="182" spans="1:56">
      <c r="A182" s="28"/>
      <c r="B182" s="19" t="s">
        <v>553</v>
      </c>
      <c r="C182" s="20">
        <f>IFERROR(GETPIVOTDATA("[Measures].[mOldUGIS]",'Pivot Table Cats'!$A$3,"[Range 1].[State]","[Range 1].[State].&amp;[NC]","[Range 1].[Type]","[Range 1].[Type].&amp;[9]")," ")</f>
        <v>2554</v>
      </c>
      <c r="D182" s="20">
        <f>IFERROR(GETPIVOTDATA("[Measures].[mNewUGIS]",'Pivot Table Cats'!$A$3,"[Range 1].[State]","[Range 1].[State].&amp;[NC]","[Range 1].[Type]","[Range 1].[Type].&amp;[9]")," ")</f>
        <v>2537</v>
      </c>
      <c r="E182" s="21">
        <f t="shared" si="40"/>
        <v>-0.66562255285826155</v>
      </c>
      <c r="F182" s="20">
        <f>IFERROR(GETPIVOTDATA("[Measures].[mOldUGOS]",'Pivot Table Cats'!$A$3,"[Range 1].[State]","[Range 1].[State].&amp;[NC]","[Range 1].[Type]","[Range 1].[Type].&amp;[9]")," ")</f>
        <v>8698</v>
      </c>
      <c r="G182" s="20">
        <f>IFERROR(GETPIVOTDATA("[Measures].[mNewUGOS]",'Pivot Table Cats'!$A$3,"[Range 1].[State]","[Range 1].[State].&amp;[NC]","[Range 1].[Type]","[Range 1].[Type].&amp;[9]")," ")</f>
        <v>8681</v>
      </c>
      <c r="H182" s="21">
        <f t="shared" si="41"/>
        <v>-0.19544722924810298</v>
      </c>
      <c r="I182" s="20">
        <f>IFERROR(GETPIVOTDATA("[Measures].[mOldGIS]",'Pivot Table Cats'!$A$3,"[Range 1].[State]","[Range 1].[State].&amp;[NC]","[Range 1].[Type]","[Range 1].[Type].&amp;[9]")," ")</f>
        <v>0</v>
      </c>
      <c r="J182" s="20">
        <f>IFERROR(GETPIVOTDATA("[Measures].[mNewGIS]",'Pivot Table Cats'!$A$3,"[Range 1].[State]","[Range 1].[State].&amp;[NC]","[Range 1].[Type]","[Range 1].[Type].&amp;[9]")," ")</f>
        <v>0</v>
      </c>
      <c r="K182" s="21">
        <f t="shared" si="42"/>
        <v>0</v>
      </c>
      <c r="L182" s="20">
        <f>IFERROR(GETPIVOTDATA("[Measures].[mOldGOS]",'Pivot Table Cats'!$A$3,"[Range 1].[State]","[Range 1].[State].&amp;[NC]","[Range 1].[Type]","[Range 1].[Type].&amp;[9]")," ")</f>
        <v>0</v>
      </c>
      <c r="M182" s="20">
        <f>IFERROR(GETPIVOTDATA("[Measures].[mNewGOS]",'Pivot Table Cats'!$A$3,"[Range 1].[State]","[Range 1].[State].&amp;[NC]","[Range 1].[Type]","[Range 1].[Type].&amp;[9]")," ")</f>
        <v>0</v>
      </c>
      <c r="N182" s="21">
        <f t="shared" si="43"/>
        <v>0</v>
      </c>
      <c r="O182" s="25"/>
      <c r="P182" s="26"/>
      <c r="Q182" s="27"/>
      <c r="R182" s="25"/>
      <c r="S182" s="26"/>
      <c r="T182" s="27"/>
      <c r="U182" s="25"/>
      <c r="V182" s="26"/>
      <c r="W182" s="27"/>
      <c r="X182" s="25"/>
      <c r="Y182" s="26"/>
      <c r="Z182" s="27"/>
      <c r="AA182" s="25"/>
      <c r="AB182" s="26"/>
      <c r="AC182" s="27"/>
      <c r="AD182" s="25"/>
      <c r="AE182" s="26"/>
      <c r="AF182" s="27"/>
      <c r="AG182" s="25"/>
      <c r="AH182" s="26"/>
      <c r="AI182" s="27"/>
      <c r="AJ182" s="25"/>
      <c r="AK182" s="26"/>
      <c r="AL182" s="27"/>
      <c r="AM182" s="25"/>
      <c r="AN182" s="26"/>
      <c r="AO182" s="27"/>
      <c r="AP182" s="25"/>
      <c r="AQ182" s="26"/>
      <c r="AR182" s="27"/>
      <c r="AS182" s="25"/>
      <c r="AT182" s="26"/>
      <c r="AU182" s="27"/>
      <c r="AV182" s="25"/>
      <c r="AW182" s="26"/>
      <c r="AX182" s="27"/>
      <c r="AY182" s="25"/>
      <c r="AZ182" s="26"/>
      <c r="BA182" s="27"/>
      <c r="BB182" s="25"/>
      <c r="BC182" s="26"/>
      <c r="BD182" s="27"/>
    </row>
    <row r="183" spans="1:56">
      <c r="A183" s="28"/>
      <c r="B183" s="19" t="s">
        <v>554</v>
      </c>
      <c r="C183" s="20">
        <f>IFERROR(GETPIVOTDATA("[Measures].[mOldUGIS]",'Pivot Table Cats'!$A$3,"[Range 1].[State]","[Range 1].[State].&amp;[NC]","[Range 1].[Type]","[Range 1].[Type].&amp;[10]")," ")</f>
        <v>2558</v>
      </c>
      <c r="D183" s="20">
        <f>IFERROR(GETPIVOTDATA("[Measures].[mNewUGIS]",'Pivot Table Cats'!$A$3,"[Range 1].[State]","[Range 1].[State].&amp;[NC]","[Range 1].[Type]","[Range 1].[Type].&amp;[10]")," ")</f>
        <v>2562</v>
      </c>
      <c r="E183" s="21">
        <f t="shared" si="40"/>
        <v>0.1563721657544957</v>
      </c>
      <c r="F183" s="20">
        <f>IFERROR(GETPIVOTDATA("[Measures].[mOldUGOS]",'Pivot Table Cats'!$A$3,"[Range 1].[State]","[Range 1].[State].&amp;[NC]","[Range 1].[Type]","[Range 1].[Type].&amp;[10]")," ")</f>
        <v>8696</v>
      </c>
      <c r="G183" s="20">
        <f>IFERROR(GETPIVOTDATA("[Measures].[mNewUGOS]",'Pivot Table Cats'!$A$3,"[Range 1].[State]","[Range 1].[State].&amp;[NC]","[Range 1].[Type]","[Range 1].[Type].&amp;[10]")," ")</f>
        <v>8703.5</v>
      </c>
      <c r="H183" s="21">
        <f t="shared" si="41"/>
        <v>8.6246550137994482E-2</v>
      </c>
      <c r="I183" s="20">
        <f>IFERROR(GETPIVOTDATA("[Measures].[mOldGIS]",'Pivot Table Cats'!$A$3,"[Range 1].[State]","[Range 1].[State].&amp;[NC]","[Range 1].[Type]","[Range 1].[Type].&amp;[10]")," ")</f>
        <v>0</v>
      </c>
      <c r="J183" s="20">
        <f>IFERROR(GETPIVOTDATA("[Measures].[mNewGIS]",'Pivot Table Cats'!$A$3,"[Range 1].[State]","[Range 1].[State].&amp;[NC]","[Range 1].[Type]","[Range 1].[Type].&amp;[10]")," ")</f>
        <v>0</v>
      </c>
      <c r="K183" s="21">
        <f t="shared" si="42"/>
        <v>0</v>
      </c>
      <c r="L183" s="20">
        <f>IFERROR(GETPIVOTDATA("[Measures].[mOldGOS]",'Pivot Table Cats'!$A$3,"[Range 1].[State]","[Range 1].[State].&amp;[NC]","[Range 1].[Type]","[Range 1].[Type].&amp;[10]")," ")</f>
        <v>0</v>
      </c>
      <c r="M183" s="20">
        <f>IFERROR(GETPIVOTDATA("[Measures].[mNewGOS]",'Pivot Table Cats'!$A$3,"[Range 1].[State]","[Range 1].[State].&amp;[NC]","[Range 1].[Type]","[Range 1].[Type].&amp;[10]")," ")</f>
        <v>0</v>
      </c>
      <c r="N183" s="21">
        <f t="shared" si="43"/>
        <v>0</v>
      </c>
      <c r="O183" s="25"/>
      <c r="P183" s="26"/>
      <c r="Q183" s="27"/>
      <c r="R183" s="25"/>
      <c r="S183" s="26"/>
      <c r="T183" s="27"/>
      <c r="U183" s="25"/>
      <c r="V183" s="26"/>
      <c r="W183" s="27"/>
      <c r="X183" s="25"/>
      <c r="Y183" s="26"/>
      <c r="Z183" s="27"/>
      <c r="AA183" s="25"/>
      <c r="AB183" s="26"/>
      <c r="AC183" s="27"/>
      <c r="AD183" s="25"/>
      <c r="AE183" s="26"/>
      <c r="AF183" s="27"/>
      <c r="AG183" s="25"/>
      <c r="AH183" s="26"/>
      <c r="AI183" s="27"/>
      <c r="AJ183" s="25"/>
      <c r="AK183" s="26"/>
      <c r="AL183" s="27"/>
      <c r="AM183" s="25"/>
      <c r="AN183" s="26"/>
      <c r="AO183" s="27"/>
      <c r="AP183" s="25"/>
      <c r="AQ183" s="26"/>
      <c r="AR183" s="27"/>
      <c r="AS183" s="25"/>
      <c r="AT183" s="26"/>
      <c r="AU183" s="27"/>
      <c r="AV183" s="25"/>
      <c r="AW183" s="26"/>
      <c r="AX183" s="27"/>
      <c r="AY183" s="25"/>
      <c r="AZ183" s="26"/>
      <c r="BA183" s="27"/>
      <c r="BB183" s="25"/>
      <c r="BC183" s="26"/>
      <c r="BD183" s="27"/>
    </row>
    <row r="184" spans="1:56" s="49" customFormat="1" ht="20.25" customHeight="1">
      <c r="A184" s="48"/>
      <c r="B184" s="30" t="s">
        <v>555</v>
      </c>
      <c r="C184" s="31">
        <f>GETPIVOTDATA("[Measures].[mOldUGIS]",'Pivot Table Totals'!$A$31,"[Range 1].[State]","[Range 1].[State].&amp;[NC]")</f>
        <v>2556</v>
      </c>
      <c r="D184" s="31">
        <f>GETPIVOTDATA("[Measures].[mNewUGIS]",'Pivot Table Totals'!$A$31,"[Range 1].[State]","[Range 1].[State].&amp;[NC]")</f>
        <v>2559.5</v>
      </c>
      <c r="E184" s="21">
        <f t="shared" si="40"/>
        <v>0.13693270735524257</v>
      </c>
      <c r="F184" s="31">
        <f>GETPIVOTDATA("[Measures].[mOldUGOS]",'Pivot Table Totals'!$A$31,"[Range 1].[State]","[Range 1].[State].&amp;[NC]")</f>
        <v>8694</v>
      </c>
      <c r="G184" s="31">
        <f>GETPIVOTDATA("[Measures].[mNewUGOS]",'Pivot Table Totals'!$A$31,"[Range 1].[State]","[Range 1].[State].&amp;[NC]")</f>
        <v>8700</v>
      </c>
      <c r="H184" s="21">
        <f t="shared" si="41"/>
        <v>6.901311249137336E-2</v>
      </c>
      <c r="I184" s="31">
        <f>GETPIVOTDATA("[Measures].[mOldGIS]",'Pivot Table Totals'!$A$31,"[Range 1].[State]","[Range 1].[State].&amp;[NC]")</f>
        <v>0</v>
      </c>
      <c r="J184" s="31">
        <f>GETPIVOTDATA("[Measures].[mNewGIS]",'Pivot Table Totals'!$A$31,"[Range 1].[State]","[Range 1].[State].&amp;[NC]")</f>
        <v>0</v>
      </c>
      <c r="K184" s="21">
        <f t="shared" si="42"/>
        <v>0</v>
      </c>
      <c r="L184" s="31">
        <f>GETPIVOTDATA("[Measures].[mOldGOS]",'Pivot Table Totals'!$A$31,"[Range 1].[State]","[Range 1].[State].&amp;[NC]")</f>
        <v>0</v>
      </c>
      <c r="M184" s="31">
        <f>GETPIVOTDATA("[Measures].[mNewGOS]",'Pivot Table Totals'!$A$31,"[Range 1].[State]","[Range 1].[State].&amp;[NC]")</f>
        <v>0</v>
      </c>
      <c r="N184" s="21">
        <f t="shared" si="43"/>
        <v>0</v>
      </c>
      <c r="O184" s="36"/>
      <c r="P184" s="37"/>
      <c r="Q184" s="38"/>
      <c r="R184" s="36"/>
      <c r="S184" s="37"/>
      <c r="T184" s="38"/>
      <c r="U184" s="36"/>
      <c r="V184" s="37"/>
      <c r="W184" s="38"/>
      <c r="X184" s="36"/>
      <c r="Y184" s="37"/>
      <c r="Z184" s="38"/>
      <c r="AA184" s="36"/>
      <c r="AB184" s="37"/>
      <c r="AC184" s="38"/>
      <c r="AD184" s="36"/>
      <c r="AE184" s="37"/>
      <c r="AF184" s="38"/>
      <c r="AG184" s="36"/>
      <c r="AH184" s="37"/>
      <c r="AI184" s="38"/>
      <c r="AJ184" s="36"/>
      <c r="AK184" s="37"/>
      <c r="AL184" s="38"/>
      <c r="AM184" s="36"/>
      <c r="AN184" s="37"/>
      <c r="AO184" s="38"/>
      <c r="AP184" s="36"/>
      <c r="AQ184" s="37"/>
      <c r="AR184" s="38"/>
      <c r="AS184" s="36"/>
      <c r="AT184" s="37"/>
      <c r="AU184" s="38"/>
      <c r="AV184" s="36"/>
      <c r="AW184" s="37"/>
      <c r="AX184" s="38"/>
      <c r="AY184" s="36"/>
      <c r="AZ184" s="37"/>
      <c r="BA184" s="38"/>
      <c r="BB184" s="36"/>
      <c r="BC184" s="37"/>
      <c r="BD184" s="38"/>
    </row>
    <row r="185" spans="1:56">
      <c r="A185" s="28"/>
      <c r="B185" s="19" t="s">
        <v>556</v>
      </c>
      <c r="C185" s="20" t="str">
        <f>IFERROR(GETPIVOTDATA("[Measures].[mOldUGIS]",'Pivot Table Cats'!$A$3,"[Range 1].[State]","[Range 1].[State].&amp;[NC]","[Range 1].[Type]","[Range 1].[Type].&amp;[12]")," ")</f>
        <v xml:space="preserve"> </v>
      </c>
      <c r="D185" s="20" t="str">
        <f>IFERROR(GETPIVOTDATA("[Measures].[mNewUGIS]",'Pivot Table Cats'!$A$3,"[Range 1].[State]","[Range 1].[State].&amp;[NC]","[Range 1].[Type]","[Range 1].[Type].&amp;[12]")," ")</f>
        <v xml:space="preserve"> </v>
      </c>
      <c r="E185" s="21" t="str">
        <f t="shared" si="40"/>
        <v xml:space="preserve"> </v>
      </c>
      <c r="F185" s="20" t="str">
        <f>IFERROR(GETPIVOTDATA("[Measures].[mOldUGOS]",'Pivot Table Cats'!$A$3,"[Range 1].[State]","[Range 1].[State].&amp;[NC]","[Range 1].[Type]","[Range 1].[Type].&amp;[12]")," ")</f>
        <v xml:space="preserve"> </v>
      </c>
      <c r="G185" s="20" t="str">
        <f>IFERROR(GETPIVOTDATA("[Measures].[mNewUGOS]",'Pivot Table Cats'!$A$3,"[Range 1].[State]","[Range 1].[State].&amp;[NC]","[Range 1].[Type]","[Range 1].[Type].&amp;[12]")," ")</f>
        <v xml:space="preserve"> </v>
      </c>
      <c r="H185" s="21" t="str">
        <f t="shared" si="41"/>
        <v xml:space="preserve"> </v>
      </c>
      <c r="I185" s="20" t="str">
        <f>IFERROR(GETPIVOTDATA("[Measures].[mOldGIS]",'Pivot Table Cats'!$A$3,"[Range 1].[State]","[Range 1].[State].&amp;[NC]","[Range 1].[Type]","[Range 1].[Type].&amp;[12]")," ")</f>
        <v xml:space="preserve"> </v>
      </c>
      <c r="J185" s="20" t="str">
        <f>IFERROR(GETPIVOTDATA("[Measures].[mNewGIS]",'Pivot Table Cats'!$A$3,"[Range 1].[State]","[Range 1].[State].&amp;[NC]","[Range 1].[Type]","[Range 1].[Type].&amp;[12]")," ")</f>
        <v xml:space="preserve"> </v>
      </c>
      <c r="K185" s="21" t="str">
        <f t="shared" si="42"/>
        <v xml:space="preserve"> </v>
      </c>
      <c r="L185" s="20" t="str">
        <f>IFERROR(GETPIVOTDATA("[Measures].[mOldGOS]",'Pivot Table Cats'!$A$3,"[Range 1].[State]","[Range 1].[State].&amp;[NC]","[Range 1].[Type]","[Range 1].[Type].&amp;[12]")," ")</f>
        <v xml:space="preserve"> </v>
      </c>
      <c r="M185" s="20" t="str">
        <f>IFERROR(GETPIVOTDATA("[Measures].[mNewGOS]",'Pivot Table Cats'!$A$3,"[Range 1].[State]","[Range 1].[State].&amp;[NC]","[Range 1].[Type]","[Range 1].[Type].&amp;[12]")," ")</f>
        <v xml:space="preserve"> </v>
      </c>
      <c r="N185" s="21" t="str">
        <f t="shared" si="43"/>
        <v xml:space="preserve"> </v>
      </c>
      <c r="O185" s="25"/>
      <c r="P185" s="26"/>
      <c r="Q185" s="27"/>
      <c r="R185" s="25"/>
      <c r="S185" s="26"/>
      <c r="T185" s="27"/>
      <c r="U185" s="25"/>
      <c r="V185" s="26"/>
      <c r="W185" s="27"/>
      <c r="X185" s="25"/>
      <c r="Y185" s="26"/>
      <c r="Z185" s="27"/>
      <c r="AA185" s="25"/>
      <c r="AB185" s="26"/>
      <c r="AC185" s="27"/>
      <c r="AD185" s="25"/>
      <c r="AE185" s="26"/>
      <c r="AF185" s="27"/>
      <c r="AG185" s="25"/>
      <c r="AH185" s="26"/>
      <c r="AI185" s="27"/>
      <c r="AJ185" s="25"/>
      <c r="AK185" s="26"/>
      <c r="AL185" s="27"/>
      <c r="AM185" s="25"/>
      <c r="AN185" s="26"/>
      <c r="AO185" s="27"/>
      <c r="AP185" s="25"/>
      <c r="AQ185" s="26"/>
      <c r="AR185" s="27"/>
      <c r="AS185" s="25"/>
      <c r="AT185" s="26"/>
      <c r="AU185" s="27"/>
      <c r="AV185" s="25"/>
      <c r="AW185" s="26"/>
      <c r="AX185" s="27"/>
      <c r="AY185" s="25"/>
      <c r="AZ185" s="26"/>
      <c r="BA185" s="27"/>
      <c r="BB185" s="25"/>
      <c r="BC185" s="26"/>
      <c r="BD185" s="27"/>
    </row>
    <row r="186" spans="1:56">
      <c r="A186" s="28"/>
      <c r="B186" s="19" t="s">
        <v>557</v>
      </c>
      <c r="C186" s="20" t="str">
        <f>IFERROR(GETPIVOTDATA("[Measures].[mOldUGIS]",'Pivot Table Cats'!$A$3,"[Range 1].[State]","[Range 1].[State].&amp;[NC]","[Range 1].[Type]","[Range 1].[Type].&amp;[13]")," ")</f>
        <v xml:space="preserve"> </v>
      </c>
      <c r="D186" s="20" t="str">
        <f>IFERROR(GETPIVOTDATA("[Measures].[mNewUGIS]",'Pivot Table Cats'!$A$3,"[Range 1].[State]","[Range 1].[State].&amp;[NC]","[Range 1].[Type]","[Range 1].[Type].&amp;[13]")," ")</f>
        <v xml:space="preserve"> </v>
      </c>
      <c r="E186" s="21" t="str">
        <f t="shared" si="40"/>
        <v xml:space="preserve"> </v>
      </c>
      <c r="F186" s="20" t="str">
        <f>IFERROR(GETPIVOTDATA("[Measures].[mOldUGOS]",'Pivot Table Cats'!$A$3,"[Range 1].[State]","[Range 1].[State].&amp;[NC]","[Range 1].[Type]","[Range 1].[Type].&amp;[13]")," ")</f>
        <v xml:space="preserve"> </v>
      </c>
      <c r="G186" s="20" t="str">
        <f>IFERROR(GETPIVOTDATA("[Measures].[mNewUGOS]",'Pivot Table Cats'!$A$3,"[Range 1].[State]","[Range 1].[State].&amp;[NC]","[Range 1].[Type]","[Range 1].[Type].&amp;[13]")," ")</f>
        <v xml:space="preserve"> </v>
      </c>
      <c r="H186" s="21" t="str">
        <f t="shared" si="41"/>
        <v xml:space="preserve"> </v>
      </c>
      <c r="I186" s="20" t="str">
        <f>IFERROR(GETPIVOTDATA("[Measures].[mOldGIS]",'Pivot Table Cats'!$A$3,"[Range 1].[State]","[Range 1].[State].&amp;[NC]","[Range 1].[Type]","[Range 1].[Type].&amp;[13]")," ")</f>
        <v xml:space="preserve"> </v>
      </c>
      <c r="J186" s="20" t="str">
        <f>IFERROR(GETPIVOTDATA("[Measures].[mNewGIS]",'Pivot Table Cats'!$A$3,"[Range 1].[State]","[Range 1].[State].&amp;[NC]","[Range 1].[Type]","[Range 1].[Type].&amp;[13]")," ")</f>
        <v xml:space="preserve"> </v>
      </c>
      <c r="K186" s="21" t="str">
        <f t="shared" si="42"/>
        <v xml:space="preserve"> </v>
      </c>
      <c r="L186" s="20" t="str">
        <f>IFERROR(GETPIVOTDATA("[Measures].[mOldGOS]",'Pivot Table Cats'!$A$3,"[Range 1].[State]","[Range 1].[State].&amp;[NC]","[Range 1].[Type]","[Range 1].[Type].&amp;[13]")," ")</f>
        <v xml:space="preserve"> </v>
      </c>
      <c r="M186" s="20" t="str">
        <f>IFERROR(GETPIVOTDATA("[Measures].[mNewGOS]",'Pivot Table Cats'!$A$3,"[Range 1].[State]","[Range 1].[State].&amp;[NC]","[Range 1].[Type]","[Range 1].[Type].&amp;[13]")," ")</f>
        <v xml:space="preserve"> </v>
      </c>
      <c r="N186" s="21" t="str">
        <f t="shared" si="43"/>
        <v xml:space="preserve"> </v>
      </c>
      <c r="O186" s="25"/>
      <c r="P186" s="26"/>
      <c r="Q186" s="27"/>
      <c r="R186" s="25"/>
      <c r="S186" s="26"/>
      <c r="T186" s="27"/>
      <c r="U186" s="25"/>
      <c r="V186" s="26"/>
      <c r="W186" s="27"/>
      <c r="X186" s="25"/>
      <c r="Y186" s="26"/>
      <c r="Z186" s="27"/>
      <c r="AA186" s="25"/>
      <c r="AB186" s="26"/>
      <c r="AC186" s="27"/>
      <c r="AD186" s="25"/>
      <c r="AE186" s="26"/>
      <c r="AF186" s="27"/>
      <c r="AG186" s="25"/>
      <c r="AH186" s="26"/>
      <c r="AI186" s="27"/>
      <c r="AJ186" s="25"/>
      <c r="AK186" s="26"/>
      <c r="AL186" s="27"/>
      <c r="AM186" s="25"/>
      <c r="AN186" s="26"/>
      <c r="AO186" s="27"/>
      <c r="AP186" s="25"/>
      <c r="AQ186" s="26"/>
      <c r="AR186" s="27"/>
      <c r="AS186" s="25"/>
      <c r="AT186" s="26"/>
      <c r="AU186" s="27"/>
      <c r="AV186" s="25"/>
      <c r="AW186" s="26"/>
      <c r="AX186" s="27"/>
      <c r="AY186" s="25"/>
      <c r="AZ186" s="26"/>
      <c r="BA186" s="27"/>
      <c r="BB186" s="25"/>
      <c r="BC186" s="26"/>
      <c r="BD186" s="27"/>
    </row>
    <row r="187" spans="1:56">
      <c r="A187" s="28"/>
      <c r="B187" s="19" t="s">
        <v>558</v>
      </c>
      <c r="C187" s="20" t="str">
        <f>IFERROR(GETPIVOTDATA("[Measures].[mOldUGIS]",'Pivot Table Cats'!$A$3,"[Range 1].[State]","[Range 1].[State].&amp;[NC]","[Range 1].[Type]","[Range 1].[Type].&amp;[14]")," ")</f>
        <v xml:space="preserve"> </v>
      </c>
      <c r="D187" s="20" t="str">
        <f>IFERROR(GETPIVOTDATA("[Measures].[mNewUGIS]",'Pivot Table Cats'!$A$3,"[Range 1].[State]","[Range 1].[State].&amp;[NC]","[Range 1].[Type]","[Range 1].[Type].&amp;[14]")," ")</f>
        <v xml:space="preserve"> </v>
      </c>
      <c r="E187" s="21" t="str">
        <f t="shared" si="40"/>
        <v xml:space="preserve"> </v>
      </c>
      <c r="F187" s="20" t="str">
        <f>IFERROR(GETPIVOTDATA("[Measures].[mOldUGOS]",'Pivot Table Cats'!$A$3,"[Range 1].[State]","[Range 1].[State].&amp;[NC]","[Range 1].[Type]","[Range 1].[Type].&amp;[14]")," ")</f>
        <v xml:space="preserve"> </v>
      </c>
      <c r="G187" s="20" t="str">
        <f>IFERROR(GETPIVOTDATA("[Measures].[mNewUGOS]",'Pivot Table Cats'!$A$3,"[Range 1].[State]","[Range 1].[State].&amp;[NC]","[Range 1].[Type]","[Range 1].[Type].&amp;[14]")," ")</f>
        <v xml:space="preserve"> </v>
      </c>
      <c r="H187" s="21" t="str">
        <f t="shared" si="41"/>
        <v xml:space="preserve"> </v>
      </c>
      <c r="I187" s="20" t="str">
        <f>IFERROR(GETPIVOTDATA("[Measures].[mOldGIS]",'Pivot Table Cats'!$A$3,"[Range 1].[State]","[Range 1].[State].&amp;[NC]","[Range 1].[Type]","[Range 1].[Type].&amp;[14]")," ")</f>
        <v xml:space="preserve"> </v>
      </c>
      <c r="J187" s="20" t="str">
        <f>IFERROR(GETPIVOTDATA("[Measures].[mNewGIS]",'Pivot Table Cats'!$A$3,"[Range 1].[State]","[Range 1].[State].&amp;[NC]","[Range 1].[Type]","[Range 1].[Type].&amp;[14]")," ")</f>
        <v xml:space="preserve"> </v>
      </c>
      <c r="K187" s="21" t="str">
        <f t="shared" si="42"/>
        <v xml:space="preserve"> </v>
      </c>
      <c r="L187" s="20" t="str">
        <f>IFERROR(GETPIVOTDATA("[Measures].[mOldGOS]",'Pivot Table Cats'!$A$3,"[Range 1].[State]","[Range 1].[State].&amp;[NC]","[Range 1].[Type]","[Range 1].[Type].&amp;[14]")," ")</f>
        <v xml:space="preserve"> </v>
      </c>
      <c r="M187" s="20" t="str">
        <f>IFERROR(GETPIVOTDATA("[Measures].[mNewGOS]",'Pivot Table Cats'!$A$3,"[Range 1].[State]","[Range 1].[State].&amp;[NC]","[Range 1].[Type]","[Range 1].[Type].&amp;[14]")," ")</f>
        <v xml:space="preserve"> </v>
      </c>
      <c r="N187" s="21" t="str">
        <f t="shared" si="43"/>
        <v xml:space="preserve"> </v>
      </c>
      <c r="O187" s="25"/>
      <c r="P187" s="26"/>
      <c r="Q187" s="27"/>
      <c r="R187" s="25"/>
      <c r="S187" s="26"/>
      <c r="T187" s="27"/>
      <c r="U187" s="25"/>
      <c r="V187" s="26"/>
      <c r="W187" s="27"/>
      <c r="X187" s="25"/>
      <c r="Y187" s="26"/>
      <c r="Z187" s="27"/>
      <c r="AA187" s="25"/>
      <c r="AB187" s="26"/>
      <c r="AC187" s="27"/>
      <c r="AD187" s="25"/>
      <c r="AE187" s="26"/>
      <c r="AF187" s="27"/>
      <c r="AG187" s="25"/>
      <c r="AH187" s="26"/>
      <c r="AI187" s="27"/>
      <c r="AJ187" s="25"/>
      <c r="AK187" s="26"/>
      <c r="AL187" s="27"/>
      <c r="AM187" s="25"/>
      <c r="AN187" s="26"/>
      <c r="AO187" s="27"/>
      <c r="AP187" s="25"/>
      <c r="AQ187" s="26"/>
      <c r="AR187" s="27"/>
      <c r="AS187" s="25"/>
      <c r="AT187" s="26"/>
      <c r="AU187" s="27"/>
      <c r="AV187" s="25"/>
      <c r="AW187" s="26"/>
      <c r="AX187" s="27"/>
      <c r="AY187" s="25"/>
      <c r="AZ187" s="26"/>
      <c r="BA187" s="27"/>
      <c r="BB187" s="25"/>
      <c r="BC187" s="26"/>
      <c r="BD187" s="27"/>
    </row>
    <row r="188" spans="1:56" s="49" customFormat="1" ht="21.75" customHeight="1">
      <c r="A188" s="48"/>
      <c r="B188" s="50" t="s">
        <v>559</v>
      </c>
      <c r="C188" s="31" t="str">
        <f>IFERROR(GETPIVOTDATA("[Measures].[mOldUGIS]",'Pivot Table Totals'!$A$59,"[Range 1].[State]","[Range 1].[State].&amp;[NC]"), " ")</f>
        <v xml:space="preserve"> </v>
      </c>
      <c r="D188" s="31" t="str">
        <f>IFERROR(GETPIVOTDATA("[Measures].[mNewUGIS]",'Pivot Table Totals'!$A$59,"[Range 1].[State]","[Range 1].[State].&amp;[NC]"), " ")</f>
        <v xml:space="preserve"> </v>
      </c>
      <c r="E188" s="21" t="str">
        <f t="shared" si="40"/>
        <v xml:space="preserve"> </v>
      </c>
      <c r="F188" s="31" t="str">
        <f>IFERROR(GETPIVOTDATA("[Measures].[mOldUGOS]",'Pivot Table Totals'!$A$59,"[Range 1].[State]","[Range 1].[State].&amp;[NC]"), " " )</f>
        <v xml:space="preserve"> </v>
      </c>
      <c r="G188" s="31" t="str">
        <f>IFERROR(GETPIVOTDATA("[Measures].[mNewUGOS]",'Pivot Table Totals'!$A$59,"[Range 1].[State]","[Range 1].[State].&amp;[NC]"), " ")</f>
        <v xml:space="preserve"> </v>
      </c>
      <c r="H188" s="21" t="str">
        <f t="shared" si="41"/>
        <v xml:space="preserve"> </v>
      </c>
      <c r="I188" s="31" t="str">
        <f>IFERROR(GETPIVOTDATA("[Measures].[mOldGIS]",'Pivot Table Totals'!$A$59,"[Range 1].[State]","[Range 1].[State].&amp;[NC]"), " ")</f>
        <v xml:space="preserve"> </v>
      </c>
      <c r="J188" s="31" t="str">
        <f>IFERROR(GETPIVOTDATA("[Measures].[mNewGIS]",'Pivot Table Totals'!$A$59,"[Range 1].[State]","[Range 1].[State].&amp;[NC]"), " ")</f>
        <v xml:space="preserve"> </v>
      </c>
      <c r="K188" s="21" t="str">
        <f t="shared" si="42"/>
        <v xml:space="preserve"> </v>
      </c>
      <c r="L188" s="31" t="str">
        <f>IFERROR(GETPIVOTDATA("[Measures].[mOldGOS]",'Pivot Table Totals'!$A$59,"[Range 1].[State]","[Range 1].[State].&amp;[NC]"), " ")</f>
        <v xml:space="preserve"> </v>
      </c>
      <c r="M188" s="31" t="str">
        <f>IFERROR(GETPIVOTDATA("[Measures].[mNewGOS]",'Pivot Table Totals'!$A$59,"[Range 1].[State]","[Range 1].[State].&amp;[NC]"), " ")</f>
        <v xml:space="preserve"> </v>
      </c>
      <c r="N188" s="21" t="str">
        <f t="shared" si="43"/>
        <v xml:space="preserve"> </v>
      </c>
      <c r="O188" s="36"/>
      <c r="P188" s="37"/>
      <c r="Q188" s="38"/>
      <c r="R188" s="36"/>
      <c r="S188" s="37"/>
      <c r="T188" s="38"/>
      <c r="U188" s="36"/>
      <c r="V188" s="37"/>
      <c r="W188" s="38"/>
      <c r="X188" s="36"/>
      <c r="Y188" s="37"/>
      <c r="Z188" s="38"/>
      <c r="AA188" s="36"/>
      <c r="AB188" s="37"/>
      <c r="AC188" s="38"/>
      <c r="AD188" s="36"/>
      <c r="AE188" s="37"/>
      <c r="AF188" s="38"/>
      <c r="AG188" s="36"/>
      <c r="AH188" s="37"/>
      <c r="AI188" s="38"/>
      <c r="AJ188" s="36"/>
      <c r="AK188" s="37"/>
      <c r="AL188" s="38"/>
      <c r="AM188" s="36"/>
      <c r="AN188" s="37"/>
      <c r="AO188" s="38"/>
      <c r="AP188" s="36"/>
      <c r="AQ188" s="37"/>
      <c r="AR188" s="38"/>
      <c r="AS188" s="36"/>
      <c r="AT188" s="37"/>
      <c r="AU188" s="38"/>
      <c r="AV188" s="36"/>
      <c r="AW188" s="37"/>
      <c r="AX188" s="38"/>
      <c r="AY188" s="36"/>
      <c r="AZ188" s="37"/>
      <c r="BA188" s="38"/>
      <c r="BB188" s="36"/>
      <c r="BC188" s="37"/>
      <c r="BD188" s="38"/>
    </row>
    <row r="189" spans="1:56">
      <c r="A189" s="40"/>
      <c r="B189" s="41" t="s">
        <v>560</v>
      </c>
      <c r="C189" s="42"/>
      <c r="D189" s="42"/>
      <c r="E189" s="335"/>
      <c r="F189" s="42"/>
      <c r="G189" s="42"/>
      <c r="H189" s="44"/>
      <c r="I189" s="45"/>
      <c r="J189" s="42"/>
      <c r="K189" s="44"/>
      <c r="L189" s="45"/>
      <c r="M189" s="42"/>
      <c r="N189" s="44"/>
      <c r="O189" s="336">
        <f>IFERROR(GETPIVOTDATA("[Measures].[mOldLawIS]",'Pivot Table Totals'!$A$79,"[Range 1].[State]","[Range 1].[State].&amp;[NC]"), " ")</f>
        <v>20412.5</v>
      </c>
      <c r="P189" s="42">
        <f>IFERROR(GETPIVOTDATA("[Measures].[mNewLawIS]",'Pivot Table Totals'!$A$79,"[Range 1].[State]","[Range 1].[State].&amp;[NC]"), " ")</f>
        <v>20437.5</v>
      </c>
      <c r="Q189" s="46">
        <f>IFERROR(IF(O189&gt;0,(((P189-O189)/O189)*100),0), " ")</f>
        <v>0.1224739742804654</v>
      </c>
      <c r="R189" s="336">
        <f>IFERROR(GETPIVOTDATA("[Measures].[mOldLawOS]",'Pivot Table Totals'!$A$79,"[Range 1].[State]","[Range 1].[State].&amp;[NC]"), " ")</f>
        <v>40321.5</v>
      </c>
      <c r="S189" s="336">
        <f>IFERROR(GETPIVOTDATA("[Measures].[mNewLawOS]",'Pivot Table Totals'!$A$79,"[Range 1].[State]","[Range 1].[State].&amp;[NC]"), " ")</f>
        <v>41879.5</v>
      </c>
      <c r="T189" s="46">
        <f>IFERROR(IF(R189&gt;0,(((S189-R189)/R189)*100),0), " ")</f>
        <v>3.8639435536872386</v>
      </c>
      <c r="U189" s="336">
        <f>IFERROR(GETPIVOTDATA("[Measures].[mOldMedIS]",'Pivot Table Totals'!$A$79,"[Range 1].[State]","[Range 1].[State].&amp;[NC]"), " ")</f>
        <v>28924.5</v>
      </c>
      <c r="V189" s="336">
        <f>IFERROR(GETPIVOTDATA("[Measures].[mNewMedIS]",'Pivot Table Totals'!$A$79,"[Range 1].[State]","[Range 1].[State].&amp;[NC]"), " ")</f>
        <v>28930.5</v>
      </c>
      <c r="W189" s="46">
        <f>IFERROR(IF(U189&gt;0,(((V189-U189)/U189)*100),0), " ")</f>
        <v>2.0743660218845616E-2</v>
      </c>
      <c r="X189" s="336">
        <f>IFERROR(GETPIVOTDATA("[Measures].[mOldMedOS]",'Pivot Table Totals'!$A$79,"[Range 1].[State]","[Range 1].[State].&amp;[NC]"), " ")</f>
        <v>42621.5</v>
      </c>
      <c r="Y189" s="336">
        <f>IFERROR(GETPIVOTDATA("[Measures].[mNewMedOS]",'Pivot Table Totals'!$A$79,"[Range 1].[State]","[Range 1].[State].&amp;[NC]"), " ")</f>
        <v>42910.5</v>
      </c>
      <c r="Z189" s="46">
        <f>IFERROR(IF(X189&gt;0,(((Y189-X189)/X189)*100),0), " ")</f>
        <v>0.67806154171016975</v>
      </c>
      <c r="AA189" s="336">
        <f>IFERROR(GETPIVOTDATA("[Measures].[mOldDenIS]",'Pivot Table Totals'!$A$79,"[Range 1].[State]","[Range 1].[State].&amp;[NC]"), " ")</f>
        <v>36849.5</v>
      </c>
      <c r="AB189" s="336">
        <f>IFERROR(GETPIVOTDATA("[Measures].[mNewDenIS]",'Pivot Table Totals'!$A$79,"[Range 1].[State]","[Range 1].[State].&amp;[NC]"), " ")</f>
        <v>24860</v>
      </c>
      <c r="AC189" s="46">
        <f>IFERROR(IF(AA189&gt;0,(((AB189-AA189)/AA189)*100),0), " ")</f>
        <v>-32.536398051533943</v>
      </c>
      <c r="AD189" s="336">
        <f>IFERROR(GETPIVOTDATA("[Measures].[mOldDenOS]",'Pivot Table Totals'!$A$79,"[Range 1].[State]","[Range 1].[State].&amp;[NC]"), " ")</f>
        <v>50107</v>
      </c>
      <c r="AE189" s="336">
        <f>IFERROR(GETPIVOTDATA("[Measures].[mNewDenOS]",'Pivot Table Totals'!$A$79,"[Range 1].[State]","[Range 1].[State].&amp;[NC]"), " ")</f>
        <v>34066.5</v>
      </c>
      <c r="AF189" s="46">
        <f>IFERROR(IF(AD189&gt;0,(((AE189-AD189)/AD189)*100),0), " ")</f>
        <v>-32.012493264414154</v>
      </c>
      <c r="AG189" s="336">
        <f>IFERROR(GETPIVOTDATA("[Measures].[mOldPhrIS]",'Pivot Table Totals'!$A$79,"[Range 1].[State]","[Range 1].[State].&amp;[NC]"), " ")</f>
        <v>24335</v>
      </c>
      <c r="AH189" s="336">
        <f>IFERROR(GETPIVOTDATA("[Measures].[mNewPhIS]",'Pivot Table Totals'!$A$79,"[Range 1].[State]","[Range 1].[State].&amp;[NC]"), " ")</f>
        <v>24385</v>
      </c>
      <c r="AI189" s="46">
        <f>IFERROR(IF(AG189&gt;0,(((AH189-AG189)/AG189)*100),0), " ")</f>
        <v>0.20546537908362442</v>
      </c>
      <c r="AJ189" s="336">
        <f>IFERROR(GETPIVOTDATA("[Measures].[mOldPhrOS]",'Pivot Table Totals'!$A$79,"[Range 1].[State]","[Range 1].[State].&amp;[NC]"), " ")</f>
        <v>46896</v>
      </c>
      <c r="AK189" s="336">
        <f>IFERROR(GETPIVOTDATA("[Measures].[mNewPhrOS]",'Pivot Table Totals'!$A$79,"[Range 1].[State]","[Range 1].[State].&amp;[NC]"), " ")</f>
        <v>47512</v>
      </c>
      <c r="AL189" s="46">
        <f>IFERROR(IF(AJ189&gt;0,(((AQ189-AJ189)/AJ189)*100),0), " ")</f>
        <v>-100</v>
      </c>
      <c r="AM189" s="336">
        <f>IFERROR(GETPIVOTDATA("[Measures].[mOldOptIS]",'Pivot Table Totals'!$A$79,"[Range 1].[State]","[Range 1].[State].&amp;[NC]"), " ")</f>
        <v>0</v>
      </c>
      <c r="AN189" s="336">
        <f>IFERROR(GETPIVOTDATA("[Measures].[mNewOptIS]",'Pivot Table Totals'!$A$79,"[Range 1].[State]","[Range 1].[State].&amp;[NC]"), " ")</f>
        <v>0</v>
      </c>
      <c r="AO189" s="46">
        <f>IFERROR(IF(AM189&gt;0,(((AN189-AM189)/AM189)*100),0), " ")</f>
        <v>0</v>
      </c>
      <c r="AP189" s="336">
        <f>IFERROR(GETPIVOTDATA("[Measures].[mOldOptoS]",'Pivot Table Totals'!$A$79,"[Range 1].[State]","[Range 1].[State].&amp;[NC]"), " ")</f>
        <v>0</v>
      </c>
      <c r="AQ189" s="336">
        <f>IFERROR(GETPIVOTDATA("[Measures].[mNewOptoS]",'Pivot Table Totals'!$A$79,"[Range 1].[State]","[Range 1].[State].&amp;[NC]"), " ")</f>
        <v>0</v>
      </c>
      <c r="AR189" s="46">
        <f>IFERROR(IF(AP189&gt;0,(((AQ189-AP189)/AP189)*100),0), " ")</f>
        <v>0</v>
      </c>
      <c r="AS189" s="336">
        <f>IFERROR(GETPIVOTDATA("[Measures].[mOldOstIS]",'Pivot Table Totals'!$A$79,"[Range 1].[State]","[Range 1].[State].&amp;[NC]"), " ")</f>
        <v>0</v>
      </c>
      <c r="AT189" s="336">
        <f>IFERROR(GETPIVOTDATA("[Measures].[mNewOstIS]",'Pivot Table Totals'!$A$79,"[Range 1].[State]","[Range 1].[State].&amp;[NC]"), " ")</f>
        <v>0</v>
      </c>
      <c r="AU189" s="46">
        <f>IFERROR(IF(AS189&gt;0,(((AT189-AS189)/AS189)*100),0), " ")</f>
        <v>0</v>
      </c>
      <c r="AV189" s="336">
        <f>IFERROR(GETPIVOTDATA("[Measures].[mOldOstOS]",'Pivot Table Totals'!$A$79,"[Range 1].[State]","[Range 1].[State].&amp;[NC]"), " ")</f>
        <v>0</v>
      </c>
      <c r="AW189" s="336">
        <f>IFERROR(GETPIVOTDATA("[Measures].[mNewOstOS]",'Pivot Table Totals'!$A$79,"[Range 1].[State]","[Range 1].[State].&amp;[NC]"), " ")</f>
        <v>0</v>
      </c>
      <c r="AX189" s="46">
        <f>IFERROR(IF(AV189&gt;0,(((AW189-AV189)/AV189)*100),0), " ")</f>
        <v>0</v>
      </c>
      <c r="AY189" s="336">
        <f>IFERROR(GETPIVOTDATA("[Measures].[m[OldVetIS]",'Pivot Table Totals'!$A$79,"[Range 1].[State]","[Range 1].[State].&amp;[NC]"), " ")</f>
        <v>19617</v>
      </c>
      <c r="AZ189" s="336">
        <f>IFERROR(GETPIVOTDATA("[Measures].[mNewVetIS]",'Pivot Table Totals'!$A$79,"[Range 1].[State]","[Range 1].[State].&amp;[NC]"), " ")</f>
        <v>19647</v>
      </c>
      <c r="BA189" s="46">
        <f>IFERROR(IF(AY189&gt;0,(((AZ189-AY189)/AY189)*100),0), " ")</f>
        <v>0.1529285823520416</v>
      </c>
      <c r="BB189" s="336">
        <f>IFERROR(GETPIVOTDATA("[Measures].[mOldVetOS]",'Pivot Table Totals'!$A$79,"[Range 1].[State]","[Range 1].[State].&amp;[NC]"), " ")</f>
        <v>47658</v>
      </c>
      <c r="BC189" s="336">
        <f>IFERROR(GETPIVOTDATA("[Measures].[mNewVetOS]",'Pivot Table Totals'!$A$79,"[Range 1].[State]","[Range 1].[State].&amp;[NC]"), " ")</f>
        <v>48348</v>
      </c>
      <c r="BD189" s="46">
        <f>IFERROR(IF(BB189&gt;0,(((BC189-BB189)/BB189)*100),0), " ")</f>
        <v>1.4478156867682235</v>
      </c>
    </row>
    <row r="190" spans="1:56">
      <c r="A190" s="18" t="s">
        <v>359</v>
      </c>
      <c r="B190" s="19" t="s">
        <v>544</v>
      </c>
      <c r="C190" s="20" t="str">
        <f>IFERROR(GETPIVOTDATA("[Measures].[mOldUGIS]",'Pivot Table Cats'!$A$3,"[Range 1].[State]","[Range 1].[State].&amp;[OK]","[Range 1].[Type]","[Range 1].[Type].&amp;[1]")," ")</f>
        <v xml:space="preserve"> </v>
      </c>
      <c r="D190" s="20" t="str">
        <f>IFERROR(GETPIVOTDATA("[Measures].[mNewUGIS]",'Pivot Table Cats'!$A$3,"[Range 1].[State]","[Range 1].[State].&amp;[OK]","[Range 1].[Type]","[Range 1].[Type].&amp;[1]")," ")</f>
        <v xml:space="preserve"> </v>
      </c>
      <c r="E190" s="21" t="str">
        <f>IFERROR(IF(C190&gt;0,(((D190-C190)/C190)*100),0), " ")</f>
        <v xml:space="preserve"> </v>
      </c>
      <c r="F190" s="20" t="str">
        <f>IFERROR(GETPIVOTDATA("[Measures].[mOldUGOS]",'Pivot Table Cats'!$A$3,"[Range 1].[State]","[Range 1].[State].&amp;[OK]","[Range 1].[Type]","[Range 1].[Type].&amp;[1]")," ")</f>
        <v xml:space="preserve"> </v>
      </c>
      <c r="G190" s="20" t="str">
        <f>IFERROR(GETPIVOTDATA("[Measures].[mNewUGOS]",'Pivot Table Cats'!$A$3,"[Range 1].[State]","[Range 1].[State].&amp;[OK]","[Range 1].[Type]","[Range 1].[Type].&amp;[1]")," ")</f>
        <v xml:space="preserve"> </v>
      </c>
      <c r="H190" s="21" t="str">
        <f>IFERROR(IF(F190&gt;0,(((G190-F190)/F190)*100),0), " ")</f>
        <v xml:space="preserve"> </v>
      </c>
      <c r="I190" s="20" t="str">
        <f>IFERROR(GETPIVOTDATA("[Measures].[mOldGIS]",'Pivot Table Cats'!$A$3,"[Range 1].[State]","[Range 1].[State].&amp;[OK]","[Range 1].[Type]","[Range 1].[Type].&amp;[1]")," ")</f>
        <v xml:space="preserve"> </v>
      </c>
      <c r="J190" s="20" t="str">
        <f>IFERROR(GETPIVOTDATA("[Measures].[mNewGIS]",'Pivot Table Cats'!$A$3,"[Range 1].[State]","[Range 1].[State].&amp;[OK]","[Range 1].[Type]","[Range 1].[Type].&amp;[1]")," ")</f>
        <v xml:space="preserve"> </v>
      </c>
      <c r="K190" s="21" t="str">
        <f>IFERROR(IF(I190&gt;0,(((J190-I190)/I190)*100),0), " ")</f>
        <v xml:space="preserve"> </v>
      </c>
      <c r="L190" s="20" t="str">
        <f>IFERROR(GETPIVOTDATA("[Measures].[mOldGOS]",'Pivot Table Cats'!$A$3,"[Range 1].[State]","[Range 1].[State].&amp;[OK]","[Range 1].[Type]","[Range 1].[Type].&amp;[1]")," ")</f>
        <v xml:space="preserve"> </v>
      </c>
      <c r="M190" s="20" t="str">
        <f>IFERROR(GETPIVOTDATA("[Measures].[mNewGOS]",'Pivot Table Cats'!$A$3,"[Range 1].[State]","[Range 1].[State].&amp;[OK]","[Range 1].[Type]","[Range 1].[Type].&amp;[1]")," ")</f>
        <v xml:space="preserve"> </v>
      </c>
      <c r="N190" s="21" t="str">
        <f>IFERROR(IF(L190&gt;0,(((M190-L190)/L190)*100),0), " ")</f>
        <v xml:space="preserve"> </v>
      </c>
      <c r="O190" s="25"/>
      <c r="P190" s="26"/>
      <c r="Q190" s="27"/>
      <c r="R190" s="25"/>
      <c r="S190" s="26"/>
      <c r="T190" s="27"/>
      <c r="U190" s="25"/>
      <c r="V190" s="26"/>
      <c r="W190" s="27"/>
      <c r="X190" s="25"/>
      <c r="Y190" s="26"/>
      <c r="Z190" s="27"/>
      <c r="AA190" s="25"/>
      <c r="AB190" s="26"/>
      <c r="AC190" s="27"/>
      <c r="AD190" s="25"/>
      <c r="AE190" s="26"/>
      <c r="AF190" s="27"/>
      <c r="AG190" s="25"/>
      <c r="AH190" s="26"/>
      <c r="AI190" s="27"/>
      <c r="AJ190" s="25"/>
      <c r="AK190" s="26"/>
      <c r="AL190" s="27"/>
      <c r="AM190" s="25"/>
      <c r="AN190" s="26"/>
      <c r="AO190" s="27"/>
      <c r="AP190" s="25"/>
      <c r="AQ190" s="26"/>
      <c r="AR190" s="27"/>
      <c r="AS190" s="25"/>
      <c r="AT190" s="26"/>
      <c r="AU190" s="27"/>
      <c r="AV190" s="25"/>
      <c r="AW190" s="26"/>
      <c r="AX190" s="27"/>
      <c r="AY190" s="25"/>
      <c r="AZ190" s="26"/>
      <c r="BA190" s="27"/>
      <c r="BB190" s="25"/>
      <c r="BC190" s="26"/>
      <c r="BD190" s="27"/>
    </row>
    <row r="191" spans="1:56">
      <c r="A191" s="28"/>
      <c r="B191" s="19" t="s">
        <v>545</v>
      </c>
      <c r="C191" s="20" t="str">
        <f>IFERROR(GETPIVOTDATA("[Measures].[mOldUGIS]",'Pivot Table Cats'!$A$3,"[Range 1].[State]","[Range 1].[State].&amp;[OK]","[Range 1].[Type]","[Range 1].[Type].&amp;[2]")," ")</f>
        <v xml:space="preserve"> </v>
      </c>
      <c r="D191" s="20" t="str">
        <f>IFERROR(GETPIVOTDATA("[Measures].[mNewUGIS]",'Pivot Table Cats'!$A$3,"[Range 1].[State]","[Range 1].[State].&amp;[OK]","[Range 1].[Type]","[Range 1].[Type].&amp;[2]")," ")</f>
        <v xml:space="preserve"> </v>
      </c>
      <c r="E191" s="21" t="str">
        <f t="shared" ref="E191:E205" si="44">IFERROR(IF(C191&gt;0,(((D191-C191)/C191)*100),0), " ")</f>
        <v xml:space="preserve"> </v>
      </c>
      <c r="F191" s="20" t="str">
        <f>IFERROR(GETPIVOTDATA("[Measures].[mOldUGOS]",'Pivot Table Cats'!$A$3,"[Range 1].[State]","[Range 1].[State].&amp;[OK]","[Range 1].[Type]","[Range 1].[Type].&amp;[2]")," ")</f>
        <v xml:space="preserve"> </v>
      </c>
      <c r="G191" s="20" t="str">
        <f>IFERROR(GETPIVOTDATA("[Measures].[mNewUGOS]",'Pivot Table Cats'!$A$3,"[Range 1].[State]","[Range 1].[State].&amp;[OK]","[Range 1].[Type]","[Range 1].[Type].&amp;[2]")," ")</f>
        <v xml:space="preserve"> </v>
      </c>
      <c r="H191" s="21" t="str">
        <f t="shared" ref="H191:H205" si="45">IFERROR(IF(F191&gt;0,(((G191-F191)/F191)*100),0), " ")</f>
        <v xml:space="preserve"> </v>
      </c>
      <c r="I191" s="20" t="str">
        <f>IFERROR(GETPIVOTDATA("[Measures].[mOldGIS]",'Pivot Table Cats'!$A$3,"[Range 1].[State]","[Range 1].[State].&amp;[OK]","[Range 1].[Type]","[Range 1].[Type].&amp;[2]")," ")</f>
        <v xml:space="preserve"> </v>
      </c>
      <c r="J191" s="20" t="str">
        <f>IFERROR(GETPIVOTDATA("[Measures].[mNewGIS]",'Pivot Table Cats'!$A$3,"[Range 1].[State]","[Range 1].[State].&amp;[OK]","[Range 1].[Type]","[Range 1].[Type].&amp;[2]")," ")</f>
        <v xml:space="preserve"> </v>
      </c>
      <c r="K191" s="21" t="str">
        <f t="shared" ref="K191:K205" si="46">IFERROR(IF(I191&gt;0,(((J191-I191)/I191)*100),0), " ")</f>
        <v xml:space="preserve"> </v>
      </c>
      <c r="L191" s="20" t="str">
        <f>IFERROR(GETPIVOTDATA("[Measures].[mOldGOS]",'Pivot Table Cats'!$A$3,"[Range 1].[State]","[Range 1].[State].&amp;[OK]","[Range 1].[Type]","[Range 1].[Type].&amp;[2]")," ")</f>
        <v xml:space="preserve"> </v>
      </c>
      <c r="M191" s="20" t="str">
        <f>IFERROR(GETPIVOTDATA("[Measures].[mNewGOS]",'Pivot Table Cats'!$A$3,"[Range 1].[State]","[Range 1].[State].&amp;[OK]","[Range 1].[Type]","[Range 1].[Type].&amp;[2]")," ")</f>
        <v xml:space="preserve"> </v>
      </c>
      <c r="N191" s="21" t="str">
        <f t="shared" ref="N191:N205" si="47">IFERROR(IF(L191&gt;0,(((M191-L191)/L191)*100),0), " ")</f>
        <v xml:space="preserve"> </v>
      </c>
      <c r="O191" s="25"/>
      <c r="P191" s="26"/>
      <c r="Q191" s="27"/>
      <c r="R191" s="25"/>
      <c r="S191" s="26"/>
      <c r="T191" s="27"/>
      <c r="U191" s="25"/>
      <c r="V191" s="26"/>
      <c r="W191" s="27"/>
      <c r="X191" s="25"/>
      <c r="Y191" s="26"/>
      <c r="Z191" s="27"/>
      <c r="AA191" s="25"/>
      <c r="AB191" s="26"/>
      <c r="AC191" s="27"/>
      <c r="AD191" s="25"/>
      <c r="AE191" s="26"/>
      <c r="AF191" s="27"/>
      <c r="AG191" s="25"/>
      <c r="AH191" s="26"/>
      <c r="AI191" s="27"/>
      <c r="AJ191" s="25"/>
      <c r="AK191" s="26"/>
      <c r="AL191" s="27"/>
      <c r="AM191" s="25"/>
      <c r="AN191" s="26"/>
      <c r="AO191" s="27"/>
      <c r="AP191" s="25"/>
      <c r="AQ191" s="26"/>
      <c r="AR191" s="27"/>
      <c r="AS191" s="25"/>
      <c r="AT191" s="26"/>
      <c r="AU191" s="27"/>
      <c r="AV191" s="25"/>
      <c r="AW191" s="26"/>
      <c r="AX191" s="27"/>
      <c r="AY191" s="25"/>
      <c r="AZ191" s="26"/>
      <c r="BA191" s="27"/>
      <c r="BB191" s="25"/>
      <c r="BC191" s="26"/>
      <c r="BD191" s="27"/>
    </row>
    <row r="192" spans="1:56">
      <c r="A192" s="28"/>
      <c r="B192" s="19" t="s">
        <v>546</v>
      </c>
      <c r="C192" s="20" t="str">
        <f>IFERROR(GETPIVOTDATA("[Measures].[mOldUGIS]",'Pivot Table Cats'!$A$3,"[Range 1].[State]","[Range 1].[State].&amp;[OK]","[Range 1].[Type]","[Range 1].[Type].&amp;[3]")," ")</f>
        <v xml:space="preserve"> </v>
      </c>
      <c r="D192" s="20" t="str">
        <f>IFERROR(GETPIVOTDATA("[Measures].[mNewUGIS]",'Pivot Table Cats'!$A$3,"[Range 1].[State]","[Range 1].[State].&amp;[OK]","[Range 1].[Type]","[Range 1].[Type].&amp;[3]")," ")</f>
        <v xml:space="preserve"> </v>
      </c>
      <c r="E192" s="21" t="str">
        <f t="shared" si="44"/>
        <v xml:space="preserve"> </v>
      </c>
      <c r="F192" s="20" t="str">
        <f>IFERROR(GETPIVOTDATA("[Measures].[mOldUGOS]",'Pivot Table Cats'!$A$3,"[Range 1].[State]","[Range 1].[State].&amp;[OK]","[Range 1].[Type]","[Range 1].[Type].&amp;[3]")," ")</f>
        <v xml:space="preserve"> </v>
      </c>
      <c r="G192" s="20" t="str">
        <f>IFERROR(GETPIVOTDATA("[Measures].[mNewUGOS]",'Pivot Table Cats'!$A$3,"[Range 1].[State]","[Range 1].[State].&amp;[OK]","[Range 1].[Type]","[Range 1].[Type].&amp;[3]")," ")</f>
        <v xml:space="preserve"> </v>
      </c>
      <c r="H192" s="21" t="str">
        <f t="shared" si="45"/>
        <v xml:space="preserve"> </v>
      </c>
      <c r="I192" s="20" t="str">
        <f>IFERROR(GETPIVOTDATA("[Measures].[mOldGIS]",'Pivot Table Cats'!$A$3,"[Range 1].[State]","[Range 1].[State].&amp;[OK]","[Range 1].[Type]","[Range 1].[Type].&amp;[3]")," ")</f>
        <v xml:space="preserve"> </v>
      </c>
      <c r="J192" s="20" t="str">
        <f>IFERROR(GETPIVOTDATA("[Measures].[mNewGIS]",'Pivot Table Cats'!$A$3,"[Range 1].[State]","[Range 1].[State].&amp;[OK]","[Range 1].[Type]","[Range 1].[Type].&amp;[3]")," ")</f>
        <v xml:space="preserve"> </v>
      </c>
      <c r="K192" s="21" t="str">
        <f t="shared" si="46"/>
        <v xml:space="preserve"> </v>
      </c>
      <c r="L192" s="20" t="str">
        <f>IFERROR(GETPIVOTDATA("[Measures].[mOldGOS]",'Pivot Table Cats'!$A$3,"[Range 1].[State]","[Range 1].[State].&amp;[OK]","[Range 1].[Type]","[Range 1].[Type].&amp;[3]")," ")</f>
        <v xml:space="preserve"> </v>
      </c>
      <c r="M192" s="20" t="str">
        <f>IFERROR(GETPIVOTDATA("[Measures].[mNewGOS]",'Pivot Table Cats'!$A$3,"[Range 1].[State]","[Range 1].[State].&amp;[OK]","[Range 1].[Type]","[Range 1].[Type].&amp;[3]")," ")</f>
        <v xml:space="preserve"> </v>
      </c>
      <c r="N192" s="21" t="str">
        <f t="shared" si="47"/>
        <v xml:space="preserve"> </v>
      </c>
      <c r="O192" s="25"/>
      <c r="P192" s="26"/>
      <c r="Q192" s="27"/>
      <c r="R192" s="25"/>
      <c r="S192" s="26"/>
      <c r="T192" s="27"/>
      <c r="U192" s="25"/>
      <c r="V192" s="26"/>
      <c r="W192" s="27"/>
      <c r="X192" s="25"/>
      <c r="Y192" s="26"/>
      <c r="Z192" s="27"/>
      <c r="AA192" s="25"/>
      <c r="AB192" s="26"/>
      <c r="AC192" s="27"/>
      <c r="AD192" s="25"/>
      <c r="AE192" s="26"/>
      <c r="AF192" s="27"/>
      <c r="AG192" s="25"/>
      <c r="AH192" s="26"/>
      <c r="AI192" s="27"/>
      <c r="AJ192" s="25"/>
      <c r="AK192" s="26"/>
      <c r="AL192" s="27"/>
      <c r="AM192" s="25"/>
      <c r="AN192" s="26"/>
      <c r="AO192" s="27"/>
      <c r="AP192" s="25"/>
      <c r="AQ192" s="26"/>
      <c r="AR192" s="27"/>
      <c r="AS192" s="25"/>
      <c r="AT192" s="26"/>
      <c r="AU192" s="27"/>
      <c r="AV192" s="25"/>
      <c r="AW192" s="26"/>
      <c r="AX192" s="27"/>
      <c r="AY192" s="25"/>
      <c r="AZ192" s="26"/>
      <c r="BA192" s="27"/>
      <c r="BB192" s="25"/>
      <c r="BC192" s="26"/>
      <c r="BD192" s="27"/>
    </row>
    <row r="193" spans="1:56">
      <c r="A193" s="28"/>
      <c r="B193" s="19" t="s">
        <v>547</v>
      </c>
      <c r="C193" s="20" t="str">
        <f>IFERROR(GETPIVOTDATA("[Measures].[mOldUGIS]",'Pivot Table Cats'!$A$3,"[Range 1].[State]","[Range 1].[State].&amp;[OK]","[Range 1].[Type]","[Range 1].[Type].&amp;[4]")," ")</f>
        <v xml:space="preserve"> </v>
      </c>
      <c r="D193" s="20" t="str">
        <f>IFERROR(GETPIVOTDATA("[Measures].[mNewUGIS]",'Pivot Table Cats'!$A$3,"[Range 1].[State]","[Range 1].[State].&amp;[OK]","[Range 1].[Type]","[Range 1].[Type].&amp;[4]")," ")</f>
        <v xml:space="preserve"> </v>
      </c>
      <c r="E193" s="21" t="str">
        <f t="shared" si="44"/>
        <v xml:space="preserve"> </v>
      </c>
      <c r="F193" s="20" t="str">
        <f>IFERROR(GETPIVOTDATA("[Measures].[mOldUGOS]",'Pivot Table Cats'!$A$3,"[Range 1].[State]","[Range 1].[State].&amp;[OK]","[Range 1].[Type]","[Range 1].[Type].&amp;[4]")," ")</f>
        <v xml:space="preserve"> </v>
      </c>
      <c r="G193" s="20" t="str">
        <f>IFERROR(GETPIVOTDATA("[Measures].[mNewUGOS]",'Pivot Table Cats'!$A$3,"[Range 1].[State]","[Range 1].[State].&amp;[OK]","[Range 1].[Type]","[Range 1].[Type].&amp;[4]")," ")</f>
        <v xml:space="preserve"> </v>
      </c>
      <c r="H193" s="21" t="str">
        <f t="shared" si="45"/>
        <v xml:space="preserve"> </v>
      </c>
      <c r="I193" s="20" t="str">
        <f>IFERROR(GETPIVOTDATA("[Measures].[mOldGIS]",'Pivot Table Cats'!$A$3,"[Range 1].[State]","[Range 1].[State].&amp;[OK]","[Range 1].[Type]","[Range 1].[Type].&amp;[4]")," ")</f>
        <v xml:space="preserve"> </v>
      </c>
      <c r="J193" s="20" t="str">
        <f>IFERROR(GETPIVOTDATA("[Measures].[mNewGIS]",'Pivot Table Cats'!$A$3,"[Range 1].[State]","[Range 1].[State].&amp;[OK]","[Range 1].[Type]","[Range 1].[Type].&amp;[4]")," ")</f>
        <v xml:space="preserve"> </v>
      </c>
      <c r="K193" s="21" t="str">
        <f t="shared" si="46"/>
        <v xml:space="preserve"> </v>
      </c>
      <c r="L193" s="20" t="str">
        <f>IFERROR(GETPIVOTDATA("[Measures].[mOldGOS]",'Pivot Table Cats'!$A$3,"[Range 1].[State]","[Range 1].[State].&amp;[OK]","[Range 1].[Type]","[Range 1].[Type].&amp;[4]")," ")</f>
        <v xml:space="preserve"> </v>
      </c>
      <c r="M193" s="20" t="str">
        <f>IFERROR(GETPIVOTDATA("[Measures].[mNewGOS]",'Pivot Table Cats'!$A$3,"[Range 1].[State]","[Range 1].[State].&amp;[OK]","[Range 1].[Type]","[Range 1].[Type].&amp;[4]")," ")</f>
        <v xml:space="preserve"> </v>
      </c>
      <c r="N193" s="21" t="str">
        <f t="shared" si="47"/>
        <v xml:space="preserve"> </v>
      </c>
      <c r="O193" s="25"/>
      <c r="P193" s="26"/>
      <c r="Q193" s="27"/>
      <c r="R193" s="25"/>
      <c r="S193" s="26"/>
      <c r="T193" s="27"/>
      <c r="U193" s="25"/>
      <c r="V193" s="26"/>
      <c r="W193" s="27"/>
      <c r="X193" s="25"/>
      <c r="Y193" s="26"/>
      <c r="Z193" s="27"/>
      <c r="AA193" s="25"/>
      <c r="AB193" s="26"/>
      <c r="AC193" s="27"/>
      <c r="AD193" s="25"/>
      <c r="AE193" s="26"/>
      <c r="AF193" s="27"/>
      <c r="AG193" s="25"/>
      <c r="AH193" s="26"/>
      <c r="AI193" s="27"/>
      <c r="AJ193" s="25"/>
      <c r="AK193" s="26"/>
      <c r="AL193" s="27"/>
      <c r="AM193" s="25"/>
      <c r="AN193" s="26"/>
      <c r="AO193" s="27"/>
      <c r="AP193" s="25"/>
      <c r="AQ193" s="26"/>
      <c r="AR193" s="27"/>
      <c r="AS193" s="25"/>
      <c r="AT193" s="26"/>
      <c r="AU193" s="27"/>
      <c r="AV193" s="25"/>
      <c r="AW193" s="26"/>
      <c r="AX193" s="27"/>
      <c r="AY193" s="25"/>
      <c r="AZ193" s="26"/>
      <c r="BA193" s="27"/>
      <c r="BB193" s="25"/>
      <c r="BC193" s="26"/>
      <c r="BD193" s="27"/>
    </row>
    <row r="194" spans="1:56">
      <c r="A194" s="28"/>
      <c r="B194" s="19" t="s">
        <v>548</v>
      </c>
      <c r="C194" s="20" t="str">
        <f>IFERROR(GETPIVOTDATA("[Measures].[mOldUGIS]",'Pivot Table Cats'!$A$3,"[Range 1].[State]","[Range 1].[State].&amp;[OK]","[Range 1].[Type]","[Range 1].[Type].&amp;[5]")," ")</f>
        <v xml:space="preserve"> </v>
      </c>
      <c r="D194" s="20" t="str">
        <f>IFERROR(GETPIVOTDATA("[Measures].[mNewUGIS]",'Pivot Table Cats'!$A$3,"[Range 1].[State]","[Range 1].[State].&amp;[OK]","[Range 1].[Type]","[Range 1].[Type].&amp;[5]")," ")</f>
        <v xml:space="preserve"> </v>
      </c>
      <c r="E194" s="21" t="str">
        <f t="shared" si="44"/>
        <v xml:space="preserve"> </v>
      </c>
      <c r="F194" s="20" t="str">
        <f>IFERROR(GETPIVOTDATA("[Measures].[mOldUGOS]",'Pivot Table Cats'!$A$3,"[Range 1].[State]","[Range 1].[State].&amp;[OK]","[Range 1].[Type]","[Range 1].[Type].&amp;[5]")," ")</f>
        <v xml:space="preserve"> </v>
      </c>
      <c r="G194" s="20" t="str">
        <f>IFERROR(GETPIVOTDATA("[Measures].[mNewUGOS]",'Pivot Table Cats'!$A$3,"[Range 1].[State]","[Range 1].[State].&amp;[OK]","[Range 1].[Type]","[Range 1].[Type].&amp;[5]")," ")</f>
        <v xml:space="preserve"> </v>
      </c>
      <c r="H194" s="21" t="str">
        <f t="shared" si="45"/>
        <v xml:space="preserve"> </v>
      </c>
      <c r="I194" s="20" t="str">
        <f>IFERROR(GETPIVOTDATA("[Measures].[mOldGIS]",'Pivot Table Cats'!$A$3,"[Range 1].[State]","[Range 1].[State].&amp;[OK]","[Range 1].[Type]","[Range 1].[Type].&amp;[5]")," ")</f>
        <v xml:space="preserve"> </v>
      </c>
      <c r="J194" s="20" t="str">
        <f>IFERROR(GETPIVOTDATA("[Measures].[mNewGIS]",'Pivot Table Cats'!$A$3,"[Range 1].[State]","[Range 1].[State].&amp;[OK]","[Range 1].[Type]","[Range 1].[Type].&amp;[5]")," ")</f>
        <v xml:space="preserve"> </v>
      </c>
      <c r="K194" s="21" t="str">
        <f t="shared" si="46"/>
        <v xml:space="preserve"> </v>
      </c>
      <c r="L194" s="20" t="str">
        <f>IFERROR(GETPIVOTDATA("[Measures].[mOldGOS]",'Pivot Table Cats'!$A$3,"[Range 1].[State]","[Range 1].[State].&amp;[OK]","[Range 1].[Type]","[Range 1].[Type].&amp;[5]")," ")</f>
        <v xml:space="preserve"> </v>
      </c>
      <c r="M194" s="20" t="str">
        <f>IFERROR(GETPIVOTDATA("[Measures].[mNewGOS]",'Pivot Table Cats'!$A$3,"[Range 1].[State]","[Range 1].[State].&amp;[OK]","[Range 1].[Type]","[Range 1].[Type].&amp;[5]")," ")</f>
        <v xml:space="preserve"> </v>
      </c>
      <c r="N194" s="21" t="str">
        <f t="shared" si="47"/>
        <v xml:space="preserve"> </v>
      </c>
      <c r="O194" s="25"/>
      <c r="P194" s="26"/>
      <c r="Q194" s="27"/>
      <c r="R194" s="25"/>
      <c r="S194" s="26"/>
      <c r="T194" s="27"/>
      <c r="U194" s="25"/>
      <c r="V194" s="26"/>
      <c r="W194" s="27"/>
      <c r="X194" s="25"/>
      <c r="Y194" s="26"/>
      <c r="Z194" s="27"/>
      <c r="AA194" s="25"/>
      <c r="AB194" s="26"/>
      <c r="AC194" s="27"/>
      <c r="AD194" s="25"/>
      <c r="AE194" s="26"/>
      <c r="AF194" s="27"/>
      <c r="AG194" s="25"/>
      <c r="AH194" s="26"/>
      <c r="AI194" s="27"/>
      <c r="AJ194" s="25"/>
      <c r="AK194" s="26"/>
      <c r="AL194" s="27"/>
      <c r="AM194" s="25"/>
      <c r="AN194" s="26"/>
      <c r="AO194" s="27"/>
      <c r="AP194" s="25"/>
      <c r="AQ194" s="26"/>
      <c r="AR194" s="27"/>
      <c r="AS194" s="25"/>
      <c r="AT194" s="26"/>
      <c r="AU194" s="27"/>
      <c r="AV194" s="25"/>
      <c r="AW194" s="26"/>
      <c r="AX194" s="27"/>
      <c r="AY194" s="25"/>
      <c r="AZ194" s="26"/>
      <c r="BA194" s="27"/>
      <c r="BB194" s="25"/>
      <c r="BC194" s="26"/>
      <c r="BD194" s="27"/>
    </row>
    <row r="195" spans="1:56">
      <c r="A195" s="28"/>
      <c r="B195" s="19" t="s">
        <v>549</v>
      </c>
      <c r="C195" s="20" t="str">
        <f>IFERROR(GETPIVOTDATA("[Measures].[mOldUGIS]",'Pivot Table Cats'!$A$3,"[Range 1].[State]","[Range 1].[State].&amp;[OK]","[Range 1].[Type]","[Range 1].[Type].&amp;[6]")," ")</f>
        <v xml:space="preserve"> </v>
      </c>
      <c r="D195" s="20" t="str">
        <f>IFERROR(GETPIVOTDATA("[Measures].[mNewUGIS]",'Pivot Table Cats'!$A$3,"[Range 1].[State]","[Range 1].[State].&amp;[OK]","[Range 1].[Type]","[Range 1].[Type].&amp;[6]")," ")</f>
        <v xml:space="preserve"> </v>
      </c>
      <c r="E195" s="21" t="str">
        <f t="shared" si="44"/>
        <v xml:space="preserve"> </v>
      </c>
      <c r="F195" s="20" t="str">
        <f>IFERROR(GETPIVOTDATA("[Measures].[mOldUGOS]",'Pivot Table Cats'!$A$3,"[Range 1].[State]","[Range 1].[State].&amp;[OK]","[Range 1].[Type]","[Range 1].[Type].&amp;[6]")," ")</f>
        <v xml:space="preserve"> </v>
      </c>
      <c r="G195" s="20" t="str">
        <f>IFERROR(GETPIVOTDATA("[Measures].[mNewUGOS]",'Pivot Table Cats'!$A$3,"[Range 1].[State]","[Range 1].[State].&amp;[OK]","[Range 1].[Type]","[Range 1].[Type].&amp;[6]")," ")</f>
        <v xml:space="preserve"> </v>
      </c>
      <c r="H195" s="21" t="str">
        <f t="shared" si="45"/>
        <v xml:space="preserve"> </v>
      </c>
      <c r="I195" s="20" t="str">
        <f>IFERROR(GETPIVOTDATA("[Measures].[mOldGIS]",'Pivot Table Cats'!$A$3,"[Range 1].[State]","[Range 1].[State].&amp;[OK]","[Range 1].[Type]","[Range 1].[Type].&amp;[6]")," ")</f>
        <v xml:space="preserve"> </v>
      </c>
      <c r="J195" s="20" t="str">
        <f>IFERROR(GETPIVOTDATA("[Measures].[mNewGIS]",'Pivot Table Cats'!$A$3,"[Range 1].[State]","[Range 1].[State].&amp;[OK]","[Range 1].[Type]","[Range 1].[Type].&amp;[6]")," ")</f>
        <v xml:space="preserve"> </v>
      </c>
      <c r="K195" s="21" t="str">
        <f t="shared" si="46"/>
        <v xml:space="preserve"> </v>
      </c>
      <c r="L195" s="20" t="str">
        <f>IFERROR(GETPIVOTDATA("[Measures].[mOldGOS]",'Pivot Table Cats'!$A$3,"[Range 1].[State]","[Range 1].[State].&amp;[OK]","[Range 1].[Type]","[Range 1].[Type].&amp;[6]")," ")</f>
        <v xml:space="preserve"> </v>
      </c>
      <c r="M195" s="20" t="str">
        <f>IFERROR(GETPIVOTDATA("[Measures].[mNewGOS]",'Pivot Table Cats'!$A$3,"[Range 1].[State]","[Range 1].[State].&amp;[OK]","[Range 1].[Type]","[Range 1].[Type].&amp;[6]")," ")</f>
        <v xml:space="preserve"> </v>
      </c>
      <c r="N195" s="21" t="str">
        <f t="shared" si="47"/>
        <v xml:space="preserve"> </v>
      </c>
      <c r="O195" s="25"/>
      <c r="P195" s="26"/>
      <c r="Q195" s="27"/>
      <c r="R195" s="25"/>
      <c r="S195" s="26"/>
      <c r="T195" s="27"/>
      <c r="U195" s="25"/>
      <c r="V195" s="26"/>
      <c r="W195" s="27"/>
      <c r="X195" s="25"/>
      <c r="Y195" s="26"/>
      <c r="Z195" s="27"/>
      <c r="AA195" s="25"/>
      <c r="AB195" s="26"/>
      <c r="AC195" s="27"/>
      <c r="AD195" s="25"/>
      <c r="AE195" s="26"/>
      <c r="AF195" s="27"/>
      <c r="AG195" s="25"/>
      <c r="AH195" s="26"/>
      <c r="AI195" s="27"/>
      <c r="AJ195" s="25"/>
      <c r="AK195" s="26"/>
      <c r="AL195" s="27"/>
      <c r="AM195" s="25"/>
      <c r="AN195" s="26"/>
      <c r="AO195" s="27"/>
      <c r="AP195" s="25"/>
      <c r="AQ195" s="26"/>
      <c r="AR195" s="27"/>
      <c r="AS195" s="25"/>
      <c r="AT195" s="26"/>
      <c r="AU195" s="27"/>
      <c r="AV195" s="25"/>
      <c r="AW195" s="26"/>
      <c r="AX195" s="27"/>
      <c r="AY195" s="25"/>
      <c r="AZ195" s="26"/>
      <c r="BA195" s="27"/>
      <c r="BB195" s="25"/>
      <c r="BC195" s="26"/>
      <c r="BD195" s="27"/>
    </row>
    <row r="196" spans="1:56" s="49" customFormat="1" ht="19.5" customHeight="1">
      <c r="A196" s="48"/>
      <c r="B196" s="30" t="s">
        <v>550</v>
      </c>
      <c r="C196" s="31" t="str">
        <f>IFERROR(GETPIVOTDATA("[Measures].[mOldUGIS]",'Pivot Table Totals'!$A$4,"[Range 1].[State]","[Range 1].[State].&amp;[OK]"), " ")</f>
        <v xml:space="preserve"> </v>
      </c>
      <c r="D196" s="31" t="str">
        <f>IFERROR(GETPIVOTDATA("[Measures].[mNewUGIS]",'Pivot Table Totals'!$A$4,"[Range 1].[State]","[Range 1].[State].&amp;[OK]"), " ")</f>
        <v xml:space="preserve"> </v>
      </c>
      <c r="E196" s="21" t="str">
        <f t="shared" si="44"/>
        <v xml:space="preserve"> </v>
      </c>
      <c r="F196" s="31" t="str">
        <f>IFERROR(GETPIVOTDATA("[Measures].[mOldUGOS]",'Pivot Table Totals'!$A$4,"[Range 1].[State]","[Range 1].[State].&amp;[OK]"), " ")</f>
        <v xml:space="preserve"> </v>
      </c>
      <c r="G196" s="31" t="str">
        <f>IFERROR(GETPIVOTDATA("[Measures].[mNewUGOS]",'Pivot Table Totals'!$A$4,"[Range 1].[State]","[Range 1].[State].&amp;[OK]"), " ")</f>
        <v xml:space="preserve"> </v>
      </c>
      <c r="H196" s="21" t="str">
        <f t="shared" si="45"/>
        <v xml:space="preserve"> </v>
      </c>
      <c r="I196" s="31" t="str">
        <f>IFERROR(GETPIVOTDATA("[Measures].[mOldGIS]",'Pivot Table Totals'!$A$4,"[Range 1].[State]","[Range 1].[State].&amp;[OK]"), " ")</f>
        <v xml:space="preserve"> </v>
      </c>
      <c r="J196" s="31" t="str">
        <f>IFERROR(GETPIVOTDATA("[Measures].[mNewGIS]",'Pivot Table Totals'!$A$4,"[Range 1].[State]","[Range 1].[State].&amp;[OK]"), " ")</f>
        <v xml:space="preserve"> </v>
      </c>
      <c r="K196" s="21" t="str">
        <f t="shared" si="46"/>
        <v xml:space="preserve"> </v>
      </c>
      <c r="L196" s="31" t="str">
        <f>IFERROR(GETPIVOTDATA("[Measures].[mOldGOS]",'Pivot Table Totals'!$A$4,"[Range 1].[State]","[Range 1].[State].&amp;[OK]"), " ")</f>
        <v xml:space="preserve"> </v>
      </c>
      <c r="M196" s="31" t="str">
        <f>IFERROR(GETPIVOTDATA("[Measures].[mNewGOS]",'Pivot Table Totals'!$A$4,"[Range 1].[State]","[Range 1].[State].&amp;[OK]"), " ")</f>
        <v xml:space="preserve"> </v>
      </c>
      <c r="N196" s="21" t="str">
        <f>IFERROR(IF(L196&gt;0,(((M196-L196)/L196)*100),0), "  ")</f>
        <v xml:space="preserve">  </v>
      </c>
      <c r="O196" s="36"/>
      <c r="P196" s="37"/>
      <c r="Q196" s="38"/>
      <c r="R196" s="36"/>
      <c r="S196" s="37"/>
      <c r="T196" s="38"/>
      <c r="U196" s="36"/>
      <c r="V196" s="37"/>
      <c r="W196" s="38"/>
      <c r="X196" s="36"/>
      <c r="Y196" s="37"/>
      <c r="Z196" s="38"/>
      <c r="AA196" s="36"/>
      <c r="AB196" s="37"/>
      <c r="AC196" s="38"/>
      <c r="AD196" s="36"/>
      <c r="AE196" s="37"/>
      <c r="AF196" s="38"/>
      <c r="AG196" s="36"/>
      <c r="AH196" s="37"/>
      <c r="AI196" s="38"/>
      <c r="AJ196" s="36"/>
      <c r="AK196" s="37"/>
      <c r="AL196" s="38"/>
      <c r="AM196" s="36"/>
      <c r="AN196" s="37"/>
      <c r="AO196" s="38"/>
      <c r="AP196" s="36"/>
      <c r="AQ196" s="37"/>
      <c r="AR196" s="38"/>
      <c r="AS196" s="36"/>
      <c r="AT196" s="37"/>
      <c r="AU196" s="38"/>
      <c r="AV196" s="36"/>
      <c r="AW196" s="37"/>
      <c r="AX196" s="38"/>
      <c r="AY196" s="36"/>
      <c r="AZ196" s="37"/>
      <c r="BA196" s="38"/>
      <c r="BB196" s="36"/>
      <c r="BC196" s="37"/>
      <c r="BD196" s="38"/>
    </row>
    <row r="197" spans="1:56">
      <c r="A197" s="28"/>
      <c r="B197" s="19" t="s">
        <v>551</v>
      </c>
      <c r="C197" s="20" t="str">
        <f>IFERROR(GETPIVOTDATA("[Measures].[mOldUGIS]",'Pivot Table Cats'!$A$3,"[Range 1].[State]","[Range 1].[State].&amp;[OK]","[Range 1].[Type]","[Range 1].[Type].&amp;[7]")," ")</f>
        <v xml:space="preserve"> </v>
      </c>
      <c r="D197" s="20" t="str">
        <f>IFERROR(GETPIVOTDATA("[Measures].[mNewUGIS]",'Pivot Table Cats'!$A$3,"[Range 1].[State]","[Range 1].[State].&amp;[OK]","[Range 1].[Type]","[Range 1].[Type].&amp;[7]")," ")</f>
        <v xml:space="preserve"> </v>
      </c>
      <c r="E197" s="21" t="str">
        <f t="shared" si="44"/>
        <v xml:space="preserve"> </v>
      </c>
      <c r="F197" s="20" t="str">
        <f>IFERROR(GETPIVOTDATA("[Measures].[mOldUGOS]",'Pivot Table Cats'!$A$3,"[Range 1].[State]","[Range 1].[State].&amp;[OK]","[Range 1].[Type]","[Range 1].[Type].&amp;[7]")," ")</f>
        <v xml:space="preserve"> </v>
      </c>
      <c r="G197" s="20" t="str">
        <f>IFERROR(GETPIVOTDATA("[Measures].[mNewUGOS]",'Pivot Table Cats'!$A$3,"[Range 1].[State]","[Range 1].[State].&amp;[OK]","[Range 1].[Type]","[Range 1].[Type].&amp;[7]")," ")</f>
        <v xml:space="preserve"> </v>
      </c>
      <c r="H197" s="21" t="str">
        <f t="shared" si="45"/>
        <v xml:space="preserve"> </v>
      </c>
      <c r="I197" s="20" t="str">
        <f>IFERROR(GETPIVOTDATA("[Measures].[mOldGIS]",'Pivot Table Cats'!$A$3,"[Range 1].[State]","[Range 1].[State].&amp;[OK]","[Range 1].[Type]","[Range 1].[Type].&amp;[7]")," ")</f>
        <v xml:space="preserve"> </v>
      </c>
      <c r="J197" s="20" t="str">
        <f>IFERROR(GETPIVOTDATA("[Measures].[mNewGIS]",'Pivot Table Cats'!$A$3,"[Range 1].[State]","[Range 1].[State].&amp;[OK]","[Range 1].[Type]","[Range 1].[Type].&amp;[7]")," ")</f>
        <v xml:space="preserve"> </v>
      </c>
      <c r="K197" s="21" t="str">
        <f t="shared" si="46"/>
        <v xml:space="preserve"> </v>
      </c>
      <c r="L197" s="20" t="str">
        <f>IFERROR(GETPIVOTDATA("[Measures].[mOldGIS]",'Pivot Table Cats'!$A$3,"[Range 1].[State]","[Range 1].[State].&amp;[OK]","[Range 1].[Type]","[Range 1].[Type].&amp;[7]")," ")</f>
        <v xml:space="preserve"> </v>
      </c>
      <c r="M197" s="20" t="str">
        <f>IFERROR(GETPIVOTDATA("[Measures].[mNewGIS]",'Pivot Table Cats'!$A$3,"[Range 1].[State]","[Range 1].[State].&amp;[OK]","[Range 1].[Type]","[Range 1].[Type].&amp;[7]")," ")</f>
        <v xml:space="preserve"> </v>
      </c>
      <c r="N197" s="21" t="str">
        <f t="shared" si="47"/>
        <v xml:space="preserve"> </v>
      </c>
      <c r="O197" s="25"/>
      <c r="P197" s="26"/>
      <c r="Q197" s="27"/>
      <c r="R197" s="25"/>
      <c r="S197" s="26"/>
      <c r="T197" s="27"/>
      <c r="U197" s="25"/>
      <c r="V197" s="26"/>
      <c r="W197" s="27"/>
      <c r="X197" s="25"/>
      <c r="Y197" s="26"/>
      <c r="Z197" s="27"/>
      <c r="AA197" s="25"/>
      <c r="AB197" s="26"/>
      <c r="AC197" s="27"/>
      <c r="AD197" s="25"/>
      <c r="AE197" s="26"/>
      <c r="AF197" s="27"/>
      <c r="AG197" s="25"/>
      <c r="AH197" s="26"/>
      <c r="AI197" s="27"/>
      <c r="AJ197" s="25"/>
      <c r="AK197" s="26"/>
      <c r="AL197" s="27"/>
      <c r="AM197" s="25"/>
      <c r="AN197" s="26"/>
      <c r="AO197" s="27"/>
      <c r="AP197" s="25"/>
      <c r="AQ197" s="26"/>
      <c r="AR197" s="27"/>
      <c r="AS197" s="25"/>
      <c r="AT197" s="26"/>
      <c r="AU197" s="27"/>
      <c r="AV197" s="25"/>
      <c r="AW197" s="26"/>
      <c r="AX197" s="27"/>
      <c r="AY197" s="25"/>
      <c r="AZ197" s="26"/>
      <c r="BA197" s="27"/>
      <c r="BB197" s="25"/>
      <c r="BC197" s="26"/>
      <c r="BD197" s="27"/>
    </row>
    <row r="198" spans="1:56">
      <c r="A198" s="28"/>
      <c r="B198" s="19" t="s">
        <v>552</v>
      </c>
      <c r="C198" s="20" t="str">
        <f>IFERROR(GETPIVOTDATA("[Measures].[mOldUGIS]",'Pivot Table Cats'!$A$3,"[Range 1].[State]","[Range 1].[State].&amp;[OK]","[Range 1].[Type]","[Range 1].[Type].&amp;[8]")," ")</f>
        <v xml:space="preserve"> </v>
      </c>
      <c r="D198" s="20" t="str">
        <f>IFERROR(GETPIVOTDATA("[Measures].[mNewUGIS]",'Pivot Table Cats'!$A$3,"[Range 1].[State]","[Range 1].[State].&amp;[OK]","[Range 1].[Type]","[Range 1].[Type].&amp;[8]")," ")</f>
        <v xml:space="preserve"> </v>
      </c>
      <c r="E198" s="21" t="str">
        <f t="shared" si="44"/>
        <v xml:space="preserve"> </v>
      </c>
      <c r="F198" s="20" t="str">
        <f>IFERROR(GETPIVOTDATA("[Measures].[mOldUGOS]",'Pivot Table Cats'!$A$3,"[Range 1].[State]","[Range 1].[State].&amp;[OK]","[Range 1].[Type]","[Range 1].[Type].&amp;[8]")," ")</f>
        <v xml:space="preserve"> </v>
      </c>
      <c r="G198" s="20" t="str">
        <f>IFERROR(GETPIVOTDATA("[Measures].[mNewUGOS]",'Pivot Table Cats'!$A$3,"[Range 1].[State]","[Range 1].[State].&amp;[OK]","[Range 1].[Type]","[Range 1].[Type].&amp;[8]")," ")</f>
        <v xml:space="preserve"> </v>
      </c>
      <c r="H198" s="21" t="str">
        <f t="shared" si="45"/>
        <v xml:space="preserve"> </v>
      </c>
      <c r="I198" s="337" t="str">
        <f>IFERROR(GETPIVOTDATA("[Measures].[mOldGIS]",'Pivot Table Cats'!$A$3,"[Range 1].[State]","[Range 1].[State].&amp;[OK]","[Range 1].[Type]","[Range 1].[Type].&amp;[8]")," ")</f>
        <v xml:space="preserve"> </v>
      </c>
      <c r="J198" s="20" t="str">
        <f>IFERROR(GETPIVOTDATA("[Measures].[mNewGIS]",'Pivot Table Cats'!$A$3,"[Range 1].[State]","[Range 1].[State].&amp;[OK]","[Range 1].[Type]","[Range 1].[Type].&amp;[8]")," ")</f>
        <v xml:space="preserve"> </v>
      </c>
      <c r="K198" s="21" t="str">
        <f t="shared" si="46"/>
        <v xml:space="preserve"> </v>
      </c>
      <c r="L198" s="20" t="str">
        <f>IFERROR(GETPIVOTDATA("[Measures].[mOldGOS]",'Pivot Table Cats'!$A$3,"[Range 1].[State]","[Range 1].[State].&amp;[OK]","[Range 1].[Type]","[Range 1].[Type].&amp;[8]")," ")</f>
        <v xml:space="preserve"> </v>
      </c>
      <c r="M198" s="20" t="str">
        <f>IFERROR(GETPIVOTDATA("[Measures].[mNewGOS]",'Pivot Table Cats'!$A$3,"[Range 1].[State]","[Range 1].[State].&amp;[OK]","[Range 1].[Type]","[Range 1].[Type].&amp;[8]")," ")</f>
        <v xml:space="preserve"> </v>
      </c>
      <c r="N198" s="21" t="str">
        <f t="shared" si="47"/>
        <v xml:space="preserve"> </v>
      </c>
      <c r="O198" s="25"/>
      <c r="P198" s="26"/>
      <c r="Q198" s="27"/>
      <c r="R198" s="25"/>
      <c r="S198" s="26"/>
      <c r="T198" s="27"/>
      <c r="U198" s="25"/>
      <c r="V198" s="26"/>
      <c r="W198" s="27"/>
      <c r="X198" s="25"/>
      <c r="Y198" s="26"/>
      <c r="Z198" s="27"/>
      <c r="AA198" s="25"/>
      <c r="AB198" s="26"/>
      <c r="AC198" s="27"/>
      <c r="AD198" s="25"/>
      <c r="AE198" s="26"/>
      <c r="AF198" s="27"/>
      <c r="AG198" s="25"/>
      <c r="AH198" s="26"/>
      <c r="AI198" s="27"/>
      <c r="AJ198" s="25"/>
      <c r="AK198" s="26"/>
      <c r="AL198" s="27"/>
      <c r="AM198" s="25"/>
      <c r="AN198" s="26"/>
      <c r="AO198" s="27"/>
      <c r="AP198" s="25"/>
      <c r="AQ198" s="26"/>
      <c r="AR198" s="27"/>
      <c r="AS198" s="25"/>
      <c r="AT198" s="26"/>
      <c r="AU198" s="27"/>
      <c r="AV198" s="25"/>
      <c r="AW198" s="26"/>
      <c r="AX198" s="27"/>
      <c r="AY198" s="25"/>
      <c r="AZ198" s="26"/>
      <c r="BA198" s="27"/>
      <c r="BB198" s="25"/>
      <c r="BC198" s="26"/>
      <c r="BD198" s="27"/>
    </row>
    <row r="199" spans="1:56">
      <c r="A199" s="28"/>
      <c r="B199" s="19" t="s">
        <v>553</v>
      </c>
      <c r="C199" s="20" t="str">
        <f>IFERROR(GETPIVOTDATA("[Measures].[mOldUGIS]",'Pivot Table Cats'!$A$3,"[Range 1].[State]","[Range 1].[State].&amp;[OK]","[Range 1].[Type]","[Range 1].[Type].&amp;[9]")," ")</f>
        <v xml:space="preserve"> </v>
      </c>
      <c r="D199" s="20" t="str">
        <f>IFERROR(GETPIVOTDATA("[Measures].[mNewUGIS]",'Pivot Table Cats'!$A$3,"[Range 1].[State]","[Range 1].[State].&amp;[OK]","[Range 1].[Type]","[Range 1].[Type].&amp;[9]")," ")</f>
        <v xml:space="preserve"> </v>
      </c>
      <c r="E199" s="21" t="str">
        <f t="shared" si="44"/>
        <v xml:space="preserve"> </v>
      </c>
      <c r="F199" s="20" t="str">
        <f>IFERROR(GETPIVOTDATA("[Measures].[mOldUGOS]",'Pivot Table Cats'!$A$3,"[Range 1].[State]","[Range 1].[State].&amp;[OK]","[Range 1].[Type]","[Range 1].[Type].&amp;[9]")," ")</f>
        <v xml:space="preserve"> </v>
      </c>
      <c r="G199" s="20" t="str">
        <f>IFERROR(GETPIVOTDATA("[Measures].[mNewUGOS]",'Pivot Table Cats'!$A$3,"[Range 1].[State]","[Range 1].[State].&amp;[OK]","[Range 1].[Type]","[Range 1].[Type].&amp;[9]")," ")</f>
        <v xml:space="preserve"> </v>
      </c>
      <c r="H199" s="21" t="str">
        <f t="shared" si="45"/>
        <v xml:space="preserve"> </v>
      </c>
      <c r="I199" s="20" t="str">
        <f>IFERROR(GETPIVOTDATA("[Measures].[mOldGIS]",'Pivot Table Cats'!$A$3,"[Range 1].[State]","[Range 1].[State].&amp;[OK]","[Range 1].[Type]","[Range 1].[Type].&amp;[9]")," ")</f>
        <v xml:space="preserve"> </v>
      </c>
      <c r="J199" s="20" t="str">
        <f>IFERROR(GETPIVOTDATA("[Measures].[mNewGIS]",'Pivot Table Cats'!$A$3,"[Range 1].[State]","[Range 1].[State].&amp;[OK]","[Range 1].[Type]","[Range 1].[Type].&amp;[9]")," ")</f>
        <v xml:space="preserve"> </v>
      </c>
      <c r="K199" s="21" t="str">
        <f t="shared" si="46"/>
        <v xml:space="preserve"> </v>
      </c>
      <c r="L199" s="20" t="str">
        <f>IFERROR(GETPIVOTDATA("[Measures].[mOldGOS]",'Pivot Table Cats'!$A$3,"[Range 1].[State]","[Range 1].[State].&amp;[OK]","[Range 1].[Type]","[Range 1].[Type].&amp;[9]")," ")</f>
        <v xml:space="preserve"> </v>
      </c>
      <c r="M199" s="20" t="str">
        <f>IFERROR(GETPIVOTDATA("[Measures].[mNewGOS]",'Pivot Table Cats'!$A$3,"[Range 1].[State]","[Range 1].[State].&amp;[OK]","[Range 1].[Type]","[Range 1].[Type].&amp;[9]")," ")</f>
        <v xml:space="preserve"> </v>
      </c>
      <c r="N199" s="21" t="str">
        <f t="shared" si="47"/>
        <v xml:space="preserve"> </v>
      </c>
      <c r="O199" s="25"/>
      <c r="P199" s="26"/>
      <c r="Q199" s="27"/>
      <c r="R199" s="25"/>
      <c r="S199" s="26"/>
      <c r="T199" s="27"/>
      <c r="U199" s="25"/>
      <c r="V199" s="26"/>
      <c r="W199" s="27"/>
      <c r="X199" s="25"/>
      <c r="Y199" s="26"/>
      <c r="Z199" s="27"/>
      <c r="AA199" s="25"/>
      <c r="AB199" s="26"/>
      <c r="AC199" s="27"/>
      <c r="AD199" s="25"/>
      <c r="AE199" s="26"/>
      <c r="AF199" s="27"/>
      <c r="AG199" s="25"/>
      <c r="AH199" s="26"/>
      <c r="AI199" s="27"/>
      <c r="AJ199" s="25"/>
      <c r="AK199" s="26"/>
      <c r="AL199" s="27"/>
      <c r="AM199" s="25"/>
      <c r="AN199" s="26"/>
      <c r="AO199" s="27"/>
      <c r="AP199" s="25"/>
      <c r="AQ199" s="26"/>
      <c r="AR199" s="27"/>
      <c r="AS199" s="25"/>
      <c r="AT199" s="26"/>
      <c r="AU199" s="27"/>
      <c r="AV199" s="25"/>
      <c r="AW199" s="26"/>
      <c r="AX199" s="27"/>
      <c r="AY199" s="25"/>
      <c r="AZ199" s="26"/>
      <c r="BA199" s="27"/>
      <c r="BB199" s="25"/>
      <c r="BC199" s="26"/>
      <c r="BD199" s="27"/>
    </row>
    <row r="200" spans="1:56">
      <c r="A200" s="28"/>
      <c r="B200" s="19" t="s">
        <v>554</v>
      </c>
      <c r="C200" s="20" t="str">
        <f>IFERROR(GETPIVOTDATA("[Measures].[mOldUGIS]",'Pivot Table Cats'!$A$3,"[Range 1].[State]","[Range 1].[State].&amp;[OK]","[Range 1].[Type]","[Range 1].[Type].&amp;[10]")," ")</f>
        <v xml:space="preserve"> </v>
      </c>
      <c r="D200" s="20" t="str">
        <f>IFERROR(GETPIVOTDATA("[Measures].[mNewUGIS]",'Pivot Table Cats'!$A$3,"[Range 1].[State]","[Range 1].[State].&amp;[OK]","[Range 1].[Type]","[Range 1].[Type].&amp;[10]")," ")</f>
        <v xml:space="preserve"> </v>
      </c>
      <c r="E200" s="21" t="str">
        <f t="shared" si="44"/>
        <v xml:space="preserve"> </v>
      </c>
      <c r="F200" s="20" t="str">
        <f>IFERROR(GETPIVOTDATA("[Measures].[mOldUGOS]",'Pivot Table Cats'!$A$3,"[Range 1].[State]","[Range 1].[State].&amp;[OK]","[Range 1].[Type]","[Range 1].[Type].&amp;[10]")," ")</f>
        <v xml:space="preserve"> </v>
      </c>
      <c r="G200" s="20" t="str">
        <f>IFERROR(GETPIVOTDATA("[Measures].[mNewUGOS]",'Pivot Table Cats'!$A$3,"[Range 1].[State]","[Range 1].[State].&amp;[OK]","[Range 1].[Type]","[Range 1].[Type].&amp;[10]")," ")</f>
        <v xml:space="preserve"> </v>
      </c>
      <c r="H200" s="21" t="str">
        <f t="shared" si="45"/>
        <v xml:space="preserve"> </v>
      </c>
      <c r="I200" s="20" t="str">
        <f>IFERROR(GETPIVOTDATA("[Measures].[mOldGIS]",'Pivot Table Cats'!$A$3,"[Range 1].[State]","[Range 1].[State].&amp;[OK]","[Range 1].[Type]","[Range 1].[Type].&amp;[10]")," ")</f>
        <v xml:space="preserve"> </v>
      </c>
      <c r="J200" s="20" t="str">
        <f>IFERROR(GETPIVOTDATA("[Measures].[mNewGIS]",'Pivot Table Cats'!$A$3,"[Range 1].[State]","[Range 1].[State].&amp;[OK]","[Range 1].[Type]","[Range 1].[Type].&amp;[10]")," ")</f>
        <v xml:space="preserve"> </v>
      </c>
      <c r="K200" s="21" t="str">
        <f t="shared" si="46"/>
        <v xml:space="preserve"> </v>
      </c>
      <c r="L200" s="20" t="str">
        <f>IFERROR(GETPIVOTDATA("[Measures].[mOldGOS]",'Pivot Table Cats'!$A$3,"[Range 1].[State]","[Range 1].[State].&amp;[OK]","[Range 1].[Type]","[Range 1].[Type].&amp;[10]")," ")</f>
        <v xml:space="preserve"> </v>
      </c>
      <c r="M200" s="20" t="str">
        <f>IFERROR(GETPIVOTDATA("[Measures].[mNewGOS]",'Pivot Table Cats'!$A$3,"[Range 1].[State]","[Range 1].[State].&amp;[OK]","[Range 1].[Type]","[Range 1].[Type].&amp;[10]")," ")</f>
        <v xml:space="preserve"> </v>
      </c>
      <c r="N200" s="21" t="str">
        <f t="shared" si="47"/>
        <v xml:space="preserve"> </v>
      </c>
      <c r="O200" s="25"/>
      <c r="P200" s="26"/>
      <c r="Q200" s="27"/>
      <c r="R200" s="25"/>
      <c r="S200" s="26"/>
      <c r="T200" s="27"/>
      <c r="U200" s="25"/>
      <c r="V200" s="26"/>
      <c r="W200" s="27"/>
      <c r="X200" s="25"/>
      <c r="Y200" s="26"/>
      <c r="Z200" s="27"/>
      <c r="AA200" s="25"/>
      <c r="AB200" s="26"/>
      <c r="AC200" s="27"/>
      <c r="AD200" s="25"/>
      <c r="AE200" s="26"/>
      <c r="AF200" s="27"/>
      <c r="AG200" s="25"/>
      <c r="AH200" s="26"/>
      <c r="AI200" s="27"/>
      <c r="AJ200" s="25"/>
      <c r="AK200" s="26"/>
      <c r="AL200" s="27"/>
      <c r="AM200" s="25"/>
      <c r="AN200" s="26"/>
      <c r="AO200" s="27"/>
      <c r="AP200" s="25"/>
      <c r="AQ200" s="26"/>
      <c r="AR200" s="27"/>
      <c r="AS200" s="25"/>
      <c r="AT200" s="26"/>
      <c r="AU200" s="27"/>
      <c r="AV200" s="25"/>
      <c r="AW200" s="26"/>
      <c r="AX200" s="27"/>
      <c r="AY200" s="25"/>
      <c r="AZ200" s="26"/>
      <c r="BA200" s="27"/>
      <c r="BB200" s="25"/>
      <c r="BC200" s="26"/>
      <c r="BD200" s="27"/>
    </row>
    <row r="201" spans="1:56" s="49" customFormat="1" ht="20.25" customHeight="1">
      <c r="A201" s="48"/>
      <c r="B201" s="30" t="s">
        <v>555</v>
      </c>
      <c r="C201" s="31" t="str">
        <f>IFERROR(GETPIVOTDATA("[Measures].[mOldUGIS]",'Pivot Table Totals'!$A$31,"[Range 1].[State]","[Range 1].[State].&amp;[OK]"), " ")</f>
        <v xml:space="preserve"> </v>
      </c>
      <c r="D201" s="31" t="str">
        <f>IFERROR(GETPIVOTDATA("[Measures].[mNewUGIS]",'Pivot Table Totals'!$A$31,"[Range 1].[State]","[Range 1].[State].&amp;[OK]"), " ")</f>
        <v xml:space="preserve"> </v>
      </c>
      <c r="E201" s="21" t="str">
        <f t="shared" si="44"/>
        <v xml:space="preserve"> </v>
      </c>
      <c r="F201" s="31" t="str">
        <f>IFERROR(GETPIVOTDATA("[Measures].[mOldUGOS]",'Pivot Table Totals'!$A$31,"[Range 1].[State]","[Range 1].[State].&amp;[OK]")," ")</f>
        <v xml:space="preserve"> </v>
      </c>
      <c r="G201" s="31" t="str">
        <f>IFERROR(GETPIVOTDATA("[Measures].[mNewUGOS]",'Pivot Table Totals'!$A$31,"[Range 1].[State]","[Range 1].[State].&amp;[OK]"), " ")</f>
        <v xml:space="preserve"> </v>
      </c>
      <c r="H201" s="21" t="str">
        <f t="shared" si="45"/>
        <v xml:space="preserve"> </v>
      </c>
      <c r="I201" s="31" t="str">
        <f>IFERROR(GETPIVOTDATA("[Measures].[mOldGIS]",'Pivot Table Totals'!$A$31,"[Range 1].[State]","[Range 1].[State].&amp;[OK]")," ")</f>
        <v xml:space="preserve"> </v>
      </c>
      <c r="J201" s="31" t="str">
        <f>IFERROR(GETPIVOTDATA("[Measures].[mNewGIS]",'Pivot Table Totals'!$A$31,"[Range 1].[State]","[Range 1].[State].&amp;[OK]"), " ")</f>
        <v xml:space="preserve"> </v>
      </c>
      <c r="K201" s="21" t="str">
        <f t="shared" si="46"/>
        <v xml:space="preserve"> </v>
      </c>
      <c r="L201" s="31" t="str">
        <f>IFERROR(GETPIVOTDATA("[Measures].[mOldGOS]",'Pivot Table Totals'!$A$31,"[Range 1].[State]","[Range 1].[State].&amp;[OK]"), " ")</f>
        <v xml:space="preserve"> </v>
      </c>
      <c r="M201" s="31" t="str">
        <f>IFERROR(GETPIVOTDATA("[Measures].[mNewGOS]",'Pivot Table Totals'!$A$31,"[Range 1].[State]","[Range 1].[State].&amp;[OK]"), " ")</f>
        <v xml:space="preserve"> </v>
      </c>
      <c r="N201" s="21" t="str">
        <f t="shared" si="47"/>
        <v xml:space="preserve"> </v>
      </c>
      <c r="O201" s="36"/>
      <c r="P201" s="37"/>
      <c r="Q201" s="38"/>
      <c r="R201" s="36"/>
      <c r="S201" s="37"/>
      <c r="T201" s="38"/>
      <c r="U201" s="36"/>
      <c r="V201" s="37"/>
      <c r="W201" s="38"/>
      <c r="X201" s="36"/>
      <c r="Y201" s="37"/>
      <c r="Z201" s="38"/>
      <c r="AA201" s="36"/>
      <c r="AB201" s="37"/>
      <c r="AC201" s="38"/>
      <c r="AD201" s="36"/>
      <c r="AE201" s="37"/>
      <c r="AF201" s="38"/>
      <c r="AG201" s="36"/>
      <c r="AH201" s="37"/>
      <c r="AI201" s="38"/>
      <c r="AJ201" s="36"/>
      <c r="AK201" s="37"/>
      <c r="AL201" s="38"/>
      <c r="AM201" s="36"/>
      <c r="AN201" s="37"/>
      <c r="AO201" s="38"/>
      <c r="AP201" s="36"/>
      <c r="AQ201" s="37"/>
      <c r="AR201" s="38"/>
      <c r="AS201" s="36"/>
      <c r="AT201" s="37"/>
      <c r="AU201" s="38"/>
      <c r="AV201" s="36"/>
      <c r="AW201" s="37"/>
      <c r="AX201" s="38"/>
      <c r="AY201" s="36"/>
      <c r="AZ201" s="37"/>
      <c r="BA201" s="38"/>
      <c r="BB201" s="36"/>
      <c r="BC201" s="37"/>
      <c r="BD201" s="38"/>
    </row>
    <row r="202" spans="1:56">
      <c r="A202" s="28"/>
      <c r="B202" s="19" t="s">
        <v>556</v>
      </c>
      <c r="C202" s="20">
        <f>IFERROR(GETPIVOTDATA("[Measures].[mOldUGIS]",'Pivot Table Cats'!$A$3,"[Range 1].[State]","[Range 1].[State].&amp;[OK]","[Range 1].[Type]","[Range 1].[Type].&amp;[12]")," ")</f>
        <v>1980</v>
      </c>
      <c r="D202" s="20">
        <f>IFERROR(GETPIVOTDATA("[Measures].[mNewUGIS]",'Pivot Table Cats'!$A$3,"[Range 1].[State]","[Range 1].[State].&amp;[OK]","[Range 1].[Type]","[Range 1].[Type].&amp;[12]")," ")</f>
        <v>1980</v>
      </c>
      <c r="E202" s="21">
        <f t="shared" si="44"/>
        <v>0</v>
      </c>
      <c r="F202" s="20">
        <f>IFERROR(GETPIVOTDATA("[Measures].[mOldUGOS]",'Pivot Table Cats'!$A$3,"[Range 1].[State]","[Range 1].[State].&amp;[OK]","[Range 1].[Type]","[Range 1].[Type].&amp;[12]")," ")</f>
        <v>3960</v>
      </c>
      <c r="G202" s="20">
        <f>IFERROR(GETPIVOTDATA("[Measures].[mNewUGOS]",'Pivot Table Cats'!$A$3,"[Range 1].[State]","[Range 1].[State].&amp;[OK]","[Range 1].[Type]","[Range 1].[Type].&amp;[12]")," ")</f>
        <v>3960</v>
      </c>
      <c r="H202" s="21">
        <f t="shared" si="45"/>
        <v>0</v>
      </c>
      <c r="I202" s="20">
        <f>IFERROR(GETPIVOTDATA("[Measures].[mOldGIS]",'Pivot Table Cats'!$A$3,"[Range 1].[State]","[Range 1].[State].&amp;[OK]","[Range 1].[Type]","[Range 1].[Type].&amp;[12]")," ")</f>
        <v>0</v>
      </c>
      <c r="J202" s="20">
        <f>IFERROR(GETPIVOTDATA("[Measures].[mNewGIS]",'Pivot Table Cats'!$A$3,"[Range 1].[State]","[Range 1].[State].&amp;[OK]","[Range 1].[Type]","[Range 1].[Type].&amp;[12]")," ")</f>
        <v>0</v>
      </c>
      <c r="K202" s="21">
        <f t="shared" si="46"/>
        <v>0</v>
      </c>
      <c r="L202" s="20">
        <f>IFERROR(GETPIVOTDATA("[Measures].[mOldGOS]",'Pivot Table Cats'!$A$3,"[Range 1].[State]","[Range 1].[State].&amp;[OK]","[Range 1].[Type]","[Range 1].[Type].&amp;[12]")," ")</f>
        <v>0</v>
      </c>
      <c r="M202" s="20">
        <f>IFERROR(GETPIVOTDATA("[Measures].[mNewGOS]",'Pivot Table Cats'!$A$3,"[Range 1].[State]","[Range 1].[State].&amp;[OK]","[Range 1].[Type]","[Range 1].[Type].&amp;[12]")," ")</f>
        <v>0</v>
      </c>
      <c r="N202" s="21">
        <f t="shared" si="47"/>
        <v>0</v>
      </c>
      <c r="O202" s="25"/>
      <c r="P202" s="26"/>
      <c r="Q202" s="27"/>
      <c r="R202" s="25"/>
      <c r="S202" s="26"/>
      <c r="T202" s="27"/>
      <c r="U202" s="25"/>
      <c r="V202" s="26"/>
      <c r="W202" s="27"/>
      <c r="X202" s="25"/>
      <c r="Y202" s="26"/>
      <c r="Z202" s="27"/>
      <c r="AA202" s="25"/>
      <c r="AB202" s="26"/>
      <c r="AC202" s="27"/>
      <c r="AD202" s="25"/>
      <c r="AE202" s="26"/>
      <c r="AF202" s="27"/>
      <c r="AG202" s="25"/>
      <c r="AH202" s="26"/>
      <c r="AI202" s="27"/>
      <c r="AJ202" s="25"/>
      <c r="AK202" s="26"/>
      <c r="AL202" s="27"/>
      <c r="AM202" s="25"/>
      <c r="AN202" s="26"/>
      <c r="AO202" s="27"/>
      <c r="AP202" s="25"/>
      <c r="AQ202" s="26"/>
      <c r="AR202" s="27"/>
      <c r="AS202" s="25"/>
      <c r="AT202" s="26"/>
      <c r="AU202" s="27"/>
      <c r="AV202" s="25"/>
      <c r="AW202" s="26"/>
      <c r="AX202" s="27"/>
      <c r="AY202" s="25"/>
      <c r="AZ202" s="26"/>
      <c r="BA202" s="27"/>
      <c r="BB202" s="25"/>
      <c r="BC202" s="26"/>
      <c r="BD202" s="27"/>
    </row>
    <row r="203" spans="1:56">
      <c r="A203" s="28"/>
      <c r="B203" s="19" t="s">
        <v>557</v>
      </c>
      <c r="C203" s="20">
        <f>IFERROR(GETPIVOTDATA("[Measures].[mOldUGIS]",'Pivot Table Cats'!$A$3,"[Range 1].[State]","[Range 1].[State].&amp;[OK]","[Range 1].[Type]","[Range 1].[Type].&amp;[13]")," ")</f>
        <v>1800</v>
      </c>
      <c r="D203" s="20">
        <f>IFERROR(GETPIVOTDATA("[Measures].[mNewUGIS]",'Pivot Table Cats'!$A$3,"[Range 1].[State]","[Range 1].[State].&amp;[OK]","[Range 1].[Type]","[Range 1].[Type].&amp;[13]")," ")</f>
        <v>1890</v>
      </c>
      <c r="E203" s="21">
        <f t="shared" si="44"/>
        <v>5</v>
      </c>
      <c r="F203" s="20">
        <f>IFERROR(GETPIVOTDATA("[Measures].[mOldUGOS]",'Pivot Table Cats'!$A$3,"[Range 1].[State]","[Range 1].[State].&amp;[OK]","[Range 1].[Type]","[Range 1].[Type].&amp;[13]")," ")</f>
        <v>3600</v>
      </c>
      <c r="G203" s="20">
        <f>IFERROR(GETPIVOTDATA("[Measures].[mNewUGOS]",'Pivot Table Cats'!$A$3,"[Range 1].[State]","[Range 1].[State].&amp;[OK]","[Range 1].[Type]","[Range 1].[Type].&amp;[13]")," ")</f>
        <v>3960</v>
      </c>
      <c r="H203" s="21">
        <f t="shared" si="45"/>
        <v>10</v>
      </c>
      <c r="I203" s="20">
        <f>IFERROR(GETPIVOTDATA("[Measures].[mOldGIS]",'Pivot Table Cats'!$A$3,"[Range 1].[State]","[Range 1].[State].&amp;[OK]","[Range 1].[Type]","[Range 1].[Type].&amp;[13]")," ")</f>
        <v>0</v>
      </c>
      <c r="J203" s="20">
        <f>IFERROR(GETPIVOTDATA("[Measures].[mNewGIS]",'Pivot Table Cats'!$A$3,"[Range 1].[State]","[Range 1].[State].&amp;[OK]","[Range 1].[Type]","[Range 1].[Type].&amp;[13]")," ")</f>
        <v>0</v>
      </c>
      <c r="K203" s="21">
        <f t="shared" si="46"/>
        <v>0</v>
      </c>
      <c r="L203" s="20">
        <f>IFERROR(GETPIVOTDATA("[Measures].[mOldGOS]",'Pivot Table Cats'!$A$3,"[Range 1].[State]","[Range 1].[State].&amp;[OK]","[Range 1].[Type]","[Range 1].[Type].&amp;[13]")," ")</f>
        <v>0</v>
      </c>
      <c r="M203" s="20">
        <f>IFERROR(GETPIVOTDATA("[Measures].[mNewGOS]",'Pivot Table Cats'!$A$3,"[Range 1].[State]","[Range 1].[State].&amp;[OK]","[Range 1].[Type]","[Range 1].[Type].&amp;[13]")," ")</f>
        <v>0</v>
      </c>
      <c r="N203" s="21">
        <f t="shared" si="47"/>
        <v>0</v>
      </c>
      <c r="O203" s="25"/>
      <c r="P203" s="26"/>
      <c r="Q203" s="27"/>
      <c r="R203" s="25"/>
      <c r="S203" s="26"/>
      <c r="T203" s="27"/>
      <c r="U203" s="25"/>
      <c r="V203" s="26"/>
      <c r="W203" s="27"/>
      <c r="X203" s="25"/>
      <c r="Y203" s="26"/>
      <c r="Z203" s="27"/>
      <c r="AA203" s="25"/>
      <c r="AB203" s="26"/>
      <c r="AC203" s="27"/>
      <c r="AD203" s="25"/>
      <c r="AE203" s="26"/>
      <c r="AF203" s="27"/>
      <c r="AG203" s="25"/>
      <c r="AH203" s="26"/>
      <c r="AI203" s="27"/>
      <c r="AJ203" s="25"/>
      <c r="AK203" s="26"/>
      <c r="AL203" s="27"/>
      <c r="AM203" s="25"/>
      <c r="AN203" s="26"/>
      <c r="AO203" s="27"/>
      <c r="AP203" s="25"/>
      <c r="AQ203" s="26"/>
      <c r="AR203" s="27"/>
      <c r="AS203" s="25"/>
      <c r="AT203" s="26"/>
      <c r="AU203" s="27"/>
      <c r="AV203" s="25"/>
      <c r="AW203" s="26"/>
      <c r="AX203" s="27"/>
      <c r="AY203" s="25"/>
      <c r="AZ203" s="26"/>
      <c r="BA203" s="27"/>
      <c r="BB203" s="25"/>
      <c r="BC203" s="26"/>
      <c r="BD203" s="27"/>
    </row>
    <row r="204" spans="1:56">
      <c r="A204" s="28"/>
      <c r="B204" s="19" t="s">
        <v>558</v>
      </c>
      <c r="C204" s="20" t="str">
        <f>IFERROR(GETPIVOTDATA("[Measures].[mOldUGIS]",'Pivot Table Cats'!$A$3,"[Range 1].[State]","[Range 1].[State].&amp;[OK]","[Range 1].[Type]","[Range 1].[Type].&amp;[14]")," ")</f>
        <v xml:space="preserve"> </v>
      </c>
      <c r="D204" s="20" t="str">
        <f>IFERROR(GETPIVOTDATA("[Measures].[mNewUGIS]",'Pivot Table Cats'!$A$3,"[Range 1].[State]","[Range 1].[State].&amp;[OK]","[Range 1].[Type]","[Range 1].[Type].&amp;[14]")," ")</f>
        <v xml:space="preserve"> </v>
      </c>
      <c r="E204" s="21" t="str">
        <f t="shared" si="44"/>
        <v xml:space="preserve"> </v>
      </c>
      <c r="F204" s="20" t="str">
        <f>IFERROR(GETPIVOTDATA("[Measures].[mOldUGOS]",'Pivot Table Cats'!$A$3,"[Range 1].[State]","[Range 1].[State].&amp;[OK]","[Range 1].[Type]","[Range 1].[Type].&amp;[14]")," ")</f>
        <v xml:space="preserve"> </v>
      </c>
      <c r="G204" s="20" t="str">
        <f>IFERROR(GETPIVOTDATA("[Measures].[mNewUGOS]",'Pivot Table Cats'!$A$3,"[Range 1].[State]","[Range 1].[State].&amp;[OK]","[Range 1].[Type]","[Range 1].[Type].&amp;[14]")," ")</f>
        <v xml:space="preserve"> </v>
      </c>
      <c r="H204" s="21" t="str">
        <f t="shared" si="45"/>
        <v xml:space="preserve"> </v>
      </c>
      <c r="I204" s="20" t="str">
        <f>IFERROR(GETPIVOTDATA("[Measures].[mOldGIS]",'Pivot Table Cats'!$A$3,"[Range 1].[State]","[Range 1].[State].&amp;[OK]","[Range 1].[Type]","[Range 1].[Type].&amp;[14]")," ")</f>
        <v xml:space="preserve"> </v>
      </c>
      <c r="J204" s="20" t="str">
        <f>IFERROR(GETPIVOTDATA("[Measures].[mNewGIS]",'Pivot Table Cats'!$A$3,"[Range 1].[State]","[Range 1].[State].&amp;[OK]","[Range 1].[Type]","[Range 1].[Type].&amp;[14]")," ")</f>
        <v xml:space="preserve"> </v>
      </c>
      <c r="K204" s="21" t="str">
        <f t="shared" si="46"/>
        <v xml:space="preserve"> </v>
      </c>
      <c r="L204" s="20" t="str">
        <f>IFERROR(GETPIVOTDATA("[Measures].[mOldGOS]",'Pivot Table Cats'!$A$3,"[Range 1].[State]","[Range 1].[State].&amp;[OK]","[Range 1].[Type]","[Range 1].[Type].&amp;[14]")," ")</f>
        <v xml:space="preserve"> </v>
      </c>
      <c r="M204" s="20" t="str">
        <f>IFERROR(GETPIVOTDATA("[Measures].[mNewGOS]",'Pivot Table Cats'!$A$3,"[Range 1].[State]","[Range 1].[State].&amp;[OK]","[Range 1].[Type]","[Range 1].[Type].&amp;[14]")," ")</f>
        <v xml:space="preserve"> </v>
      </c>
      <c r="N204" s="21" t="str">
        <f t="shared" si="47"/>
        <v xml:space="preserve"> </v>
      </c>
      <c r="O204" s="25"/>
      <c r="P204" s="26"/>
      <c r="Q204" s="27"/>
      <c r="R204" s="25"/>
      <c r="S204" s="26"/>
      <c r="T204" s="27"/>
      <c r="U204" s="25"/>
      <c r="V204" s="26"/>
      <c r="W204" s="27"/>
      <c r="X204" s="25"/>
      <c r="Y204" s="26"/>
      <c r="Z204" s="27"/>
      <c r="AA204" s="25"/>
      <c r="AB204" s="26"/>
      <c r="AC204" s="27"/>
      <c r="AD204" s="25"/>
      <c r="AE204" s="26"/>
      <c r="AF204" s="27"/>
      <c r="AG204" s="25"/>
      <c r="AH204" s="26"/>
      <c r="AI204" s="27"/>
      <c r="AJ204" s="25"/>
      <c r="AK204" s="26"/>
      <c r="AL204" s="27"/>
      <c r="AM204" s="25"/>
      <c r="AN204" s="26"/>
      <c r="AO204" s="27"/>
      <c r="AP204" s="25"/>
      <c r="AQ204" s="26"/>
      <c r="AR204" s="27"/>
      <c r="AS204" s="25"/>
      <c r="AT204" s="26"/>
      <c r="AU204" s="27"/>
      <c r="AV204" s="25"/>
      <c r="AW204" s="26"/>
      <c r="AX204" s="27"/>
      <c r="AY204" s="25"/>
      <c r="AZ204" s="26"/>
      <c r="BA204" s="27"/>
      <c r="BB204" s="25"/>
      <c r="BC204" s="26"/>
      <c r="BD204" s="27"/>
    </row>
    <row r="205" spans="1:56" s="56" customFormat="1" ht="21.75" customHeight="1">
      <c r="A205" s="54"/>
      <c r="B205" s="55" t="s">
        <v>559</v>
      </c>
      <c r="C205" s="31">
        <f>IFERROR(GETPIVOTDATA("[Measures].[mOldUGIS]",'Pivot Table Totals'!$A$59,"[Range 1].[State]","[Range 1].[State].&amp;[OK]"), " ")</f>
        <v>1800</v>
      </c>
      <c r="D205" s="31">
        <f>IFERROR(GETPIVOTDATA("[Measures].[mNewUGIS]",'Pivot Table Totals'!$A$59,"[Range 1].[State]","[Range 1].[State].&amp;[OK]"), " ")</f>
        <v>1935</v>
      </c>
      <c r="E205" s="21">
        <f t="shared" si="44"/>
        <v>7.5</v>
      </c>
      <c r="F205" s="31">
        <f>IFERROR(GETPIVOTDATA("[Measures].[mOldUGOS]",'Pivot Table Totals'!$A$59,"[Range 1].[State]","[Range 1].[State].&amp;[OK]"), " " )</f>
        <v>3600</v>
      </c>
      <c r="G205" s="31">
        <f>IFERROR(GETPIVOTDATA("[Measures].[mNewUGOS]",'Pivot Table Totals'!$A$59,"[Range 1].[State]","[Range 1].[State].&amp;[OK]"), " ")</f>
        <v>3960</v>
      </c>
      <c r="H205" s="21">
        <f t="shared" si="45"/>
        <v>10</v>
      </c>
      <c r="I205" s="31">
        <f>IFERROR(GETPIVOTDATA("[Measures].[mOldGIS]",'Pivot Table Totals'!$A$59,"[Range 1].[State]","[Range 1].[State].&amp;[OK]"), " ")</f>
        <v>0</v>
      </c>
      <c r="J205" s="31">
        <f>IFERROR(GETPIVOTDATA("[Measures].[mNewGIS]",'Pivot Table Totals'!$A$59,"[Range 1].[State]","[Range 1].[State].&amp;[OK]"), " ")</f>
        <v>0</v>
      </c>
      <c r="K205" s="21">
        <f t="shared" si="46"/>
        <v>0</v>
      </c>
      <c r="L205" s="31">
        <f>IFERROR(GETPIVOTDATA("[Measures].[mOldGOS]",'Pivot Table Totals'!$A$59,"[Range 1].[State]","[Range 1].[State].&amp;[OK]"), " ")</f>
        <v>0</v>
      </c>
      <c r="M205" s="31">
        <f>IFERROR(GETPIVOTDATA("[Measures].[mNewGOS]",'Pivot Table Totals'!$A$59,"[Range 1].[State]","[Range 1].[State].&amp;[OK]"), " ")</f>
        <v>0</v>
      </c>
      <c r="N205" s="21">
        <f t="shared" si="47"/>
        <v>0</v>
      </c>
      <c r="O205" s="36"/>
      <c r="P205" s="37"/>
      <c r="Q205" s="38"/>
      <c r="R205" s="36"/>
      <c r="S205" s="37"/>
      <c r="T205" s="38"/>
      <c r="U205" s="36"/>
      <c r="V205" s="37"/>
      <c r="W205" s="38"/>
      <c r="X205" s="36"/>
      <c r="Y205" s="37"/>
      <c r="Z205" s="38"/>
      <c r="AA205" s="36"/>
      <c r="AB205" s="37"/>
      <c r="AC205" s="38"/>
      <c r="AD205" s="36"/>
      <c r="AE205" s="37"/>
      <c r="AF205" s="38"/>
      <c r="AG205" s="36"/>
      <c r="AH205" s="37"/>
      <c r="AI205" s="38"/>
      <c r="AJ205" s="36"/>
      <c r="AK205" s="37"/>
      <c r="AL205" s="38"/>
      <c r="AM205" s="36"/>
      <c r="AN205" s="37"/>
      <c r="AO205" s="38"/>
      <c r="AP205" s="36"/>
      <c r="AQ205" s="37"/>
      <c r="AR205" s="38"/>
      <c r="AS205" s="36"/>
      <c r="AT205" s="37"/>
      <c r="AU205" s="38"/>
      <c r="AV205" s="36"/>
      <c r="AW205" s="37"/>
      <c r="AX205" s="38"/>
      <c r="AY205" s="36"/>
      <c r="AZ205" s="37"/>
      <c r="BA205" s="38"/>
      <c r="BB205" s="36"/>
      <c r="BC205" s="37"/>
      <c r="BD205" s="38"/>
    </row>
    <row r="206" spans="1:56">
      <c r="A206" s="40"/>
      <c r="B206" s="41" t="s">
        <v>560</v>
      </c>
      <c r="C206" s="42"/>
      <c r="D206" s="42"/>
      <c r="E206" s="335"/>
      <c r="F206" s="42"/>
      <c r="G206" s="42"/>
      <c r="H206" s="44"/>
      <c r="I206" s="45"/>
      <c r="J206" s="42"/>
      <c r="K206" s="44"/>
      <c r="L206" s="45"/>
      <c r="M206" s="42"/>
      <c r="N206" s="44"/>
      <c r="O206" s="336">
        <f>IFERROR(GETPIVOTDATA("[Measures].[mOldLawIS]",'Pivot Table Totals'!$A$79,"[Range 1].[State]","[Range 1].[State].&amp;[OK]"), " ")</f>
        <v>0</v>
      </c>
      <c r="P206" s="42">
        <f>IFERROR(GETPIVOTDATA("[Measures].[mNewLawIS]",'Pivot Table Totals'!$A$79,"[Range 1].[State]","[Range 1].[State].&amp;[OK]"), " ")</f>
        <v>0</v>
      </c>
      <c r="Q206" s="46">
        <f>IFERROR(IF(O206&gt;0,(((P206-O206)/O206)*100),0), " ")</f>
        <v>0</v>
      </c>
      <c r="R206" s="336">
        <f>IFERROR(GETPIVOTDATA("[Measures].[mOldLawOS]",'Pivot Table Totals'!$A$79,"[Range 1].[State]","[Range 1].[State].&amp;[OK]"), " ")</f>
        <v>0</v>
      </c>
      <c r="S206" s="336">
        <f>IFERROR(GETPIVOTDATA("[Measures].[mNewLawOS]",'Pivot Table Totals'!$A$79,"[Range 1].[State]","[Range 1].[State].&amp;[OK]"), " ")</f>
        <v>0</v>
      </c>
      <c r="T206" s="46">
        <f>IFERROR(IF(R206&gt;0,(((S206-R206)/R206)*100),0), " ")</f>
        <v>0</v>
      </c>
      <c r="U206" s="336">
        <f>IFERROR(GETPIVOTDATA("[Measures].[mOldMedIS]",'Pivot Table Totals'!$A$79,"[Range 1].[State]","[Range 1].[State].&amp;[OK]"), " ")</f>
        <v>0</v>
      </c>
      <c r="V206" s="336">
        <f>IFERROR(GETPIVOTDATA("[Measures].[mNewMedIS]",'Pivot Table Totals'!$A$79,"[Range 1].[State]","[Range 1].[State].&amp;[OK]"), " ")</f>
        <v>0</v>
      </c>
      <c r="W206" s="46">
        <f>IFERROR(IF(U206&gt;0,(((V206-U206)/U206)*100),0), " ")</f>
        <v>0</v>
      </c>
      <c r="X206" s="336">
        <f>IFERROR(GETPIVOTDATA("[Measures].[mOldMedOS]",'Pivot Table Totals'!$A$79,"[Range 1].[State]","[Range 1].[State].&amp;[OK]"), " ")</f>
        <v>0</v>
      </c>
      <c r="Y206" s="336">
        <f>IFERROR(GETPIVOTDATA("[Measures].[mNewMedOS]",'Pivot Table Totals'!$A$79,"[Range 1].[State]","[Range 1].[State].&amp;[OK]"), " ")</f>
        <v>0</v>
      </c>
      <c r="Z206" s="46">
        <f>IFERROR(IF(X206&gt;0,(((Y206-X206)/X206)*100),0), " ")</f>
        <v>0</v>
      </c>
      <c r="AA206" s="336">
        <f>IFERROR(GETPIVOTDATA("[Measures].[mOldDenIS]",'Pivot Table Totals'!$A$79,"[Range 1].[State]","[Range 1].[State].&amp;[OK]"), " ")</f>
        <v>0</v>
      </c>
      <c r="AB206" s="336">
        <f>IFERROR(GETPIVOTDATA("[Measures].[mNewDenIS]",'Pivot Table Totals'!$A$79,"[Range 1].[State]","[Range 1].[State].&amp;[OK]"), " ")</f>
        <v>0</v>
      </c>
      <c r="AC206" s="46">
        <f>IFERROR(IF(AA206&gt;0,(((AB206-AA206)/AA206)*100),0), " ")</f>
        <v>0</v>
      </c>
      <c r="AD206" s="336">
        <f>IFERROR(GETPIVOTDATA("[Measures].[mOldDenOS]",'Pivot Table Totals'!$A$79,"[Range 1].[State]","[Range 1].[State].&amp;[OK]"), " ")</f>
        <v>0</v>
      </c>
      <c r="AE206" s="336">
        <f>IFERROR(GETPIVOTDATA("[Measures].[mNewDenOS]",'Pivot Table Totals'!$A$79,"[Range 1].[State]","[Range 1].[State].&amp;[OK]"), " ")</f>
        <v>0</v>
      </c>
      <c r="AF206" s="46">
        <f>IFERROR(IF(AD206&gt;0,(((AE206-AD206)/AD206)*100),0), " ")</f>
        <v>0</v>
      </c>
      <c r="AG206" s="336">
        <f>IFERROR(GETPIVOTDATA("[Measures].[mOldPhrIS]",'Pivot Table Totals'!$A$79,"[Range 1].[State]","[Range 1].[State].&amp;[OK]"), " ")</f>
        <v>0</v>
      </c>
      <c r="AH206" s="336">
        <f>IFERROR(GETPIVOTDATA("[Measures].[mNewPhIS]",'Pivot Table Totals'!$A$79,"[Range 1].[State]","[Range 1].[State].&amp;[OK]"), " ")</f>
        <v>0</v>
      </c>
      <c r="AI206" s="46">
        <f>IFERROR(IF(AG206&gt;0,(((AH206-AG206)/AG206)*100),0), " ")</f>
        <v>0</v>
      </c>
      <c r="AJ206" s="336">
        <f>IFERROR(GETPIVOTDATA("[Measures].[mOldPhrOS]",'Pivot Table Totals'!$A$79,"[Range 1].[State]","[Range 1].[State].&amp;[OK]"), " ")</f>
        <v>0</v>
      </c>
      <c r="AK206" s="336">
        <f>IFERROR(GETPIVOTDATA("[Measures].[mNewPhrOS]",'Pivot Table Totals'!$A$79,"[Range 1].[State]","[Range 1].[State].&amp;[OK]"), " ")</f>
        <v>0</v>
      </c>
      <c r="AL206" s="46">
        <f>IFERROR(IF(AJ206&gt;0,(((AQ206-AJ206)/AJ206)*100),0), " ")</f>
        <v>0</v>
      </c>
      <c r="AM206" s="336">
        <f>IFERROR(GETPIVOTDATA("[Measures].[mOldOptIS]",'Pivot Table Totals'!$A$79,"[Range 1].[State]","[Range 1].[State].&amp;[OK]"), " ")</f>
        <v>0</v>
      </c>
      <c r="AN206" s="336">
        <f>IFERROR(GETPIVOTDATA("[Measures].[mNewOptIS]",'Pivot Table Totals'!$A$79,"[Range 1].[State]","[Range 1].[State].&amp;[OK]"), " ")</f>
        <v>0</v>
      </c>
      <c r="AO206" s="46">
        <f>IFERROR(IF(AM206&gt;0,(((AN206-AM206)/AM206)*100),0), " ")</f>
        <v>0</v>
      </c>
      <c r="AP206" s="336">
        <f>IFERROR(GETPIVOTDATA("[Measures].[mOldOptoS]",'Pivot Table Totals'!$A$79,"[Range 1].[State]","[Range 1].[State].&amp;[OK]"), " ")</f>
        <v>0</v>
      </c>
      <c r="AQ206" s="336">
        <f>IFERROR(GETPIVOTDATA("[Measures].[mNewOptoS]",'Pivot Table Totals'!$A$79,"[Range 1].[State]","[Range 1].[State].&amp;[OK]"), " ")</f>
        <v>0</v>
      </c>
      <c r="AR206" s="46">
        <f>IFERROR(IF(AP206&gt;0,(((AQ206-AP206)/AP206)*100),0), " ")</f>
        <v>0</v>
      </c>
      <c r="AS206" s="336">
        <f>IFERROR(GETPIVOTDATA("[Measures].[mOldOstIS]",'Pivot Table Totals'!$A$79,"[Range 1].[State]","[Range 1].[State].&amp;[OK]"), " ")</f>
        <v>0</v>
      </c>
      <c r="AT206" s="336">
        <f>IFERROR(GETPIVOTDATA("[Measures].[mNewOstIS]",'Pivot Table Totals'!$A$79,"[Range 1].[State]","[Range 1].[State].&amp;[OK]"), " ")</f>
        <v>0</v>
      </c>
      <c r="AU206" s="46">
        <f>IFERROR(IF(AS206&gt;0,(((AT206-AS206)/AS206)*100),0), " ")</f>
        <v>0</v>
      </c>
      <c r="AV206" s="336">
        <f>IFERROR(GETPIVOTDATA("[Measures].[mOldOstOS]",'Pivot Table Totals'!$A$79,"[Range 1].[State]","[Range 1].[State].&amp;[OK]"), " ")</f>
        <v>0</v>
      </c>
      <c r="AW206" s="336">
        <f>IFERROR(GETPIVOTDATA("[Measures].[mNewOstOS]",'Pivot Table Totals'!$A$79,"[Range 1].[State]","[Range 1].[State].&amp;[OK]"), " ")</f>
        <v>0</v>
      </c>
      <c r="AX206" s="46">
        <f>IFERROR(IF(AV206&gt;0,(((AW206-AV206)/AV206)*100),0), " ")</f>
        <v>0</v>
      </c>
      <c r="AY206" s="336">
        <f>IFERROR(GETPIVOTDATA("[Measures].[m[OldVetIS]",'Pivot Table Totals'!$A$79,"[Range 1].[State]","[Range 1].[State].&amp;[OK]"), " ")</f>
        <v>0</v>
      </c>
      <c r="AZ206" s="336">
        <f>IFERROR(GETPIVOTDATA("[Measures].[mNewVetIS]",'Pivot Table Totals'!$A$79,"[Range 1].[State]","[Range 1].[State].&amp;[OK]"), " ")</f>
        <v>0</v>
      </c>
      <c r="BA206" s="46">
        <f>IFERROR(IF(AY206&gt;0,(((AZ206-AY206)/AY206)*100),0), " ")</f>
        <v>0</v>
      </c>
      <c r="BB206" s="336">
        <f>IFERROR(GETPIVOTDATA("[Measures].[mOldVetOS]",'Pivot Table Totals'!$A$79,"[Range 1].[State]","[Range 1].[State].&amp;[OK]"), " ")</f>
        <v>0</v>
      </c>
      <c r="BC206" s="336">
        <f>IFERROR(GETPIVOTDATA("[Measures].[mNewVetOS]",'Pivot Table Totals'!$A$79,"[Range 1].[State]","[Range 1].[State].&amp;[OK]"), " ")</f>
        <v>0</v>
      </c>
      <c r="BD206" s="46">
        <f>IFERROR(IF(BB206&gt;0,(((BC206-BB206)/BB206)*100),0), " ")</f>
        <v>0</v>
      </c>
    </row>
    <row r="207" spans="1:56">
      <c r="A207" s="18" t="s">
        <v>360</v>
      </c>
      <c r="B207" s="19" t="s">
        <v>544</v>
      </c>
      <c r="C207" s="20">
        <f>IFERROR(GETPIVOTDATA("[Measures].[mOldUGIS]",'Pivot Table Cats'!$A$3,"[Range 1].[State]","[Range 1].[State].&amp;[SC]","[Range 1].[Type]","[Range 1].[Type].&amp;[1]")," ")</f>
        <v>13904</v>
      </c>
      <c r="D207" s="20">
        <f>IFERROR(GETPIVOTDATA("[Measures].[mNewUGIS]",'Pivot Table Cats'!$A$3,"[Range 1].[State]","[Range 1].[State].&amp;[SC]","[Range 1].[Type]","[Range 1].[Type].&amp;[1]")," ")</f>
        <v>13904</v>
      </c>
      <c r="E207" s="21">
        <f>IFERROR(IF(C207&gt;0,(((D207-C207)/C207)*100),0), " ")</f>
        <v>0</v>
      </c>
      <c r="F207" s="20">
        <f>IFERROR(GETPIVOTDATA("[Measures].[mOldUGOS]",'Pivot Table Cats'!$A$3,"[Range 1].[State]","[Range 1].[State].&amp;[SC]","[Range 1].[Type]","[Range 1].[Type].&amp;[1]")," ")</f>
        <v>36020</v>
      </c>
      <c r="G207" s="20">
        <f>IFERROR(GETPIVOTDATA("[Measures].[mNewUGOS]",'Pivot Table Cats'!$A$3,"[Range 1].[State]","[Range 1].[State].&amp;[SC]","[Range 1].[Type]","[Range 1].[Type].&amp;[1]")," ")</f>
        <v>36020</v>
      </c>
      <c r="H207" s="21">
        <f>IFERROR(IF(F207&gt;0,(((G207-F207)/F207)*100),0), " ")</f>
        <v>0</v>
      </c>
      <c r="I207" s="20">
        <f>IFERROR(GETPIVOTDATA("[Measures].[mOldGIS]",'Pivot Table Cats'!$A$3,"[Range 1].[State]","[Range 1].[State].&amp;[SC]","[Range 1].[Type]","[Range 1].[Type].&amp;[1]")," ")</f>
        <v>13039</v>
      </c>
      <c r="J207" s="20">
        <f>IFERROR(GETPIVOTDATA("[Measures].[mNewGIS]",'Pivot Table Cats'!$A$3,"[Range 1].[State]","[Range 1].[State].&amp;[SC]","[Range 1].[Type]","[Range 1].[Type].&amp;[1]")," ")</f>
        <v>13171</v>
      </c>
      <c r="K207" s="21">
        <f>IFERROR(IF(I207&gt;0,(((J207-I207)/I207)*100),0), " ")</f>
        <v>1.0123475726666156</v>
      </c>
      <c r="L207" s="20">
        <f>IFERROR(GETPIVOTDATA("[Measures].[mOldGOS]",'Pivot Table Cats'!$A$3,"[Range 1].[State]","[Range 1].[State].&amp;[SC]","[Range 1].[Type]","[Range 1].[Type].&amp;[1]")," ")</f>
        <v>27003</v>
      </c>
      <c r="M207" s="20">
        <f>IFERROR(GETPIVOTDATA("[Measures].[mNewGOS]",'Pivot Table Cats'!$A$3,"[Range 1].[State]","[Range 1].[State].&amp;[SC]","[Range 1].[Type]","[Range 1].[Type].&amp;[1]")," ")</f>
        <v>27270</v>
      </c>
      <c r="N207" s="21">
        <f>IFERROR(IF(L207&gt;0,(((M207-L207)/L207)*100),0), " ")</f>
        <v>0.98877902455282751</v>
      </c>
      <c r="O207" s="25"/>
      <c r="P207" s="26"/>
      <c r="Q207" s="27"/>
      <c r="R207" s="25"/>
      <c r="S207" s="26"/>
      <c r="T207" s="27"/>
      <c r="U207" s="25"/>
      <c r="V207" s="26"/>
      <c r="W207" s="27"/>
      <c r="X207" s="25"/>
      <c r="Y207" s="26"/>
      <c r="Z207" s="27"/>
      <c r="AA207" s="25"/>
      <c r="AB207" s="26"/>
      <c r="AC207" s="27"/>
      <c r="AD207" s="25"/>
      <c r="AE207" s="26"/>
      <c r="AF207" s="27"/>
      <c r="AG207" s="25"/>
      <c r="AH207" s="26"/>
      <c r="AI207" s="27"/>
      <c r="AJ207" s="25"/>
      <c r="AK207" s="26"/>
      <c r="AL207" s="27"/>
      <c r="AM207" s="25"/>
      <c r="AN207" s="26"/>
      <c r="AO207" s="27"/>
      <c r="AP207" s="25"/>
      <c r="AQ207" s="26"/>
      <c r="AR207" s="27"/>
      <c r="AS207" s="25"/>
      <c r="AT207" s="26"/>
      <c r="AU207" s="27"/>
      <c r="AV207" s="25"/>
      <c r="AW207" s="26"/>
      <c r="AX207" s="27"/>
      <c r="AY207" s="25"/>
      <c r="AZ207" s="26"/>
      <c r="BA207" s="27"/>
      <c r="BB207" s="25"/>
      <c r="BC207" s="26"/>
      <c r="BD207" s="27"/>
    </row>
    <row r="208" spans="1:56">
      <c r="A208" s="28"/>
      <c r="B208" s="19" t="s">
        <v>545</v>
      </c>
      <c r="C208" s="20" t="str">
        <f>IFERROR(GETPIVOTDATA("[Measures].[mOldUGIS]",'Pivot Table Cats'!$A$3,"[Range 1].[State]","[Range 1].[State].&amp;[SC]","[Range 1].[Type]","[Range 1].[Type].&amp;[2]")," ")</f>
        <v xml:space="preserve"> </v>
      </c>
      <c r="D208" s="20" t="str">
        <f>IFERROR(GETPIVOTDATA("[Measures].[mNewUGIS]",'Pivot Table Cats'!$A$3,"[Range 1].[State]","[Range 1].[State].&amp;[SC]","[Range 1].[Type]","[Range 1].[Type].&amp;[2]")," ")</f>
        <v xml:space="preserve"> </v>
      </c>
      <c r="E208" s="21" t="str">
        <f t="shared" ref="E208:E222" si="48">IFERROR(IF(C208&gt;0,(((D208-C208)/C208)*100),0), " ")</f>
        <v xml:space="preserve"> </v>
      </c>
      <c r="F208" s="20" t="str">
        <f>IFERROR(GETPIVOTDATA("[Measures].[mOldUGOS]",'Pivot Table Cats'!$A$3,"[Range 1].[State]","[Range 1].[State].&amp;[SC]","[Range 1].[Type]","[Range 1].[Type].&amp;[2]")," ")</f>
        <v xml:space="preserve"> </v>
      </c>
      <c r="G208" s="20" t="str">
        <f>IFERROR(GETPIVOTDATA("[Measures].[mNewUGOS]",'Pivot Table Cats'!$A$3,"[Range 1].[State]","[Range 1].[State].&amp;[SC]","[Range 1].[Type]","[Range 1].[Type].&amp;[2]")," ")</f>
        <v xml:space="preserve"> </v>
      </c>
      <c r="H208" s="21" t="str">
        <f t="shared" ref="H208:H222" si="49">IFERROR(IF(F208&gt;0,(((G208-F208)/F208)*100),0), " ")</f>
        <v xml:space="preserve"> </v>
      </c>
      <c r="I208" s="20" t="str">
        <f>IFERROR(GETPIVOTDATA("[Measures].[mOldGIS]",'Pivot Table Cats'!$A$3,"[Range 1].[State]","[Range 1].[State].&amp;[SC]","[Range 1].[Type]","[Range 1].[Type].&amp;[2]")," ")</f>
        <v xml:space="preserve"> </v>
      </c>
      <c r="J208" s="20" t="str">
        <f>IFERROR(GETPIVOTDATA("[Measures].[mNewGIS]",'Pivot Table Cats'!$A$3,"[Range 1].[State]","[Range 1].[State].&amp;[SC]","[Range 1].[Type]","[Range 1].[Type].&amp;[2]")," ")</f>
        <v xml:space="preserve"> </v>
      </c>
      <c r="K208" s="21" t="str">
        <f t="shared" ref="K208:K222" si="50">IFERROR(IF(I208&gt;0,(((J208-I208)/I208)*100),0), " ")</f>
        <v xml:space="preserve"> </v>
      </c>
      <c r="L208" s="20" t="str">
        <f>IFERROR(GETPIVOTDATA("[Measures].[mOldGOS]",'Pivot Table Cats'!$A$3,"[Range 1].[State]","[Range 1].[State].&amp;[SC]","[Range 1].[Type]","[Range 1].[Type].&amp;[2]")," ")</f>
        <v xml:space="preserve"> </v>
      </c>
      <c r="M208" s="20" t="str">
        <f>IFERROR(GETPIVOTDATA("[Measures].[mNewGOS]",'Pivot Table Cats'!$A$3,"[Range 1].[State]","[Range 1].[State].&amp;[SC]","[Range 1].[Type]","[Range 1].[Type].&amp;[2]")," ")</f>
        <v xml:space="preserve"> </v>
      </c>
      <c r="N208" s="21" t="str">
        <f t="shared" ref="N208:N222" si="51">IFERROR(IF(L208&gt;0,(((M208-L208)/L208)*100),0), " ")</f>
        <v xml:space="preserve"> </v>
      </c>
      <c r="O208" s="25"/>
      <c r="P208" s="26"/>
      <c r="Q208" s="27"/>
      <c r="R208" s="25"/>
      <c r="S208" s="26"/>
      <c r="T208" s="27"/>
      <c r="U208" s="25"/>
      <c r="V208" s="26"/>
      <c r="W208" s="27"/>
      <c r="X208" s="25"/>
      <c r="Y208" s="26"/>
      <c r="Z208" s="27"/>
      <c r="AA208" s="25"/>
      <c r="AB208" s="26"/>
      <c r="AC208" s="27"/>
      <c r="AD208" s="25"/>
      <c r="AE208" s="26"/>
      <c r="AF208" s="27"/>
      <c r="AG208" s="25"/>
      <c r="AH208" s="26"/>
      <c r="AI208" s="27"/>
      <c r="AJ208" s="25"/>
      <c r="AK208" s="26"/>
      <c r="AL208" s="27"/>
      <c r="AM208" s="25"/>
      <c r="AN208" s="26"/>
      <c r="AO208" s="27"/>
      <c r="AP208" s="25"/>
      <c r="AQ208" s="26"/>
      <c r="AR208" s="27"/>
      <c r="AS208" s="25"/>
      <c r="AT208" s="26"/>
      <c r="AU208" s="27"/>
      <c r="AV208" s="25"/>
      <c r="AW208" s="26"/>
      <c r="AX208" s="27"/>
      <c r="AY208" s="25"/>
      <c r="AZ208" s="26"/>
      <c r="BA208" s="27"/>
      <c r="BB208" s="25"/>
      <c r="BC208" s="26"/>
      <c r="BD208" s="27"/>
    </row>
    <row r="209" spans="1:56">
      <c r="A209" s="28"/>
      <c r="B209" s="19" t="s">
        <v>546</v>
      </c>
      <c r="C209" s="20">
        <f>IFERROR(GETPIVOTDATA("[Measures].[mOldUGIS]",'Pivot Table Cats'!$A$3,"[Range 1].[State]","[Range 1].[State].&amp;[SC]","[Range 1].[Type]","[Range 1].[Type].&amp;[3]")," ")</f>
        <v>13140</v>
      </c>
      <c r="D209" s="20">
        <f>IFERROR(GETPIVOTDATA("[Measures].[mNewUGIS]",'Pivot Table Cats'!$A$3,"[Range 1].[State]","[Range 1].[State].&amp;[SC]","[Range 1].[Type]","[Range 1].[Type].&amp;[3]")," ")</f>
        <v>13140</v>
      </c>
      <c r="E209" s="21">
        <f t="shared" si="48"/>
        <v>0</v>
      </c>
      <c r="F209" s="20">
        <f>IFERROR(GETPIVOTDATA("[Measures].[mOldUGOS]",'Pivot Table Cats'!$A$3,"[Range 1].[State]","[Range 1].[State].&amp;[SC]","[Range 1].[Type]","[Range 1].[Type].&amp;[3]")," ")</f>
        <v>32848</v>
      </c>
      <c r="G209" s="20">
        <f>IFERROR(GETPIVOTDATA("[Measures].[mNewUGOS]",'Pivot Table Cats'!$A$3,"[Range 1].[State]","[Range 1].[State].&amp;[SC]","[Range 1].[Type]","[Range 1].[Type].&amp;[3]")," ")</f>
        <v>33978</v>
      </c>
      <c r="H209" s="21">
        <f t="shared" si="49"/>
        <v>3.4400876765708714</v>
      </c>
      <c r="I209" s="20">
        <f>IFERROR(GETPIVOTDATA("[Measures].[mOldGIS]",'Pivot Table Cats'!$A$3,"[Range 1].[State]","[Range 1].[State].&amp;[SC]","[Range 1].[Type]","[Range 1].[Type].&amp;[3]")," ")</f>
        <v>11538</v>
      </c>
      <c r="J209" s="20">
        <f>IFERROR(GETPIVOTDATA("[Measures].[mNewGIS]",'Pivot Table Cats'!$A$3,"[Range 1].[State]","[Range 1].[State].&amp;[SC]","[Range 1].[Type]","[Range 1].[Type].&amp;[3]")," ")</f>
        <v>11604</v>
      </c>
      <c r="K209" s="21">
        <f t="shared" si="50"/>
        <v>0.57202288091523656</v>
      </c>
      <c r="L209" s="20">
        <f>IFERROR(GETPIVOTDATA("[Measures].[mOldGOS]",'Pivot Table Cats'!$A$3,"[Range 1].[State]","[Range 1].[State].&amp;[SC]","[Range 1].[Type]","[Range 1].[Type].&amp;[3]")," ")</f>
        <v>22212</v>
      </c>
      <c r="M209" s="20">
        <f>IFERROR(GETPIVOTDATA("[Measures].[mNewGOS]",'Pivot Table Cats'!$A$3,"[Range 1].[State]","[Range 1].[State].&amp;[SC]","[Range 1].[Type]","[Range 1].[Type].&amp;[3]")," ")</f>
        <v>22352</v>
      </c>
      <c r="N209" s="21">
        <f t="shared" si="51"/>
        <v>0.63028993336934991</v>
      </c>
      <c r="O209" s="25"/>
      <c r="P209" s="26"/>
      <c r="Q209" s="27"/>
      <c r="R209" s="25"/>
      <c r="S209" s="26"/>
      <c r="T209" s="27"/>
      <c r="U209" s="25"/>
      <c r="V209" s="26"/>
      <c r="W209" s="27"/>
      <c r="X209" s="25"/>
      <c r="Y209" s="26"/>
      <c r="Z209" s="27"/>
      <c r="AA209" s="25"/>
      <c r="AB209" s="26"/>
      <c r="AC209" s="27"/>
      <c r="AD209" s="25"/>
      <c r="AE209" s="26"/>
      <c r="AF209" s="27"/>
      <c r="AG209" s="25"/>
      <c r="AH209" s="26"/>
      <c r="AI209" s="27"/>
      <c r="AJ209" s="25"/>
      <c r="AK209" s="26"/>
      <c r="AL209" s="27"/>
      <c r="AM209" s="25"/>
      <c r="AN209" s="26"/>
      <c r="AO209" s="27"/>
      <c r="AP209" s="25"/>
      <c r="AQ209" s="26"/>
      <c r="AR209" s="27"/>
      <c r="AS209" s="25"/>
      <c r="AT209" s="26"/>
      <c r="AU209" s="27"/>
      <c r="AV209" s="25"/>
      <c r="AW209" s="26"/>
      <c r="AX209" s="27"/>
      <c r="AY209" s="25"/>
      <c r="AZ209" s="26"/>
      <c r="BA209" s="27"/>
      <c r="BB209" s="25"/>
      <c r="BC209" s="26"/>
      <c r="BD209" s="27"/>
    </row>
    <row r="210" spans="1:56">
      <c r="A210" s="28"/>
      <c r="B210" s="19" t="s">
        <v>547</v>
      </c>
      <c r="C210" s="20">
        <f>IFERROR(GETPIVOTDATA("[Measures].[mOldUGIS]",'Pivot Table Cats'!$A$3,"[Range 1].[State]","[Range 1].[State].&amp;[SC]","[Range 1].[Type]","[Range 1].[Type].&amp;[4]")," ")</f>
        <v>11640</v>
      </c>
      <c r="D210" s="20">
        <f>IFERROR(GETPIVOTDATA("[Measures].[mNewUGIS]",'Pivot Table Cats'!$A$3,"[Range 1].[State]","[Range 1].[State].&amp;[SC]","[Range 1].[Type]","[Range 1].[Type].&amp;[4]")," ")</f>
        <v>11640</v>
      </c>
      <c r="E210" s="21">
        <f t="shared" si="48"/>
        <v>0</v>
      </c>
      <c r="F210" s="20">
        <f>IFERROR(GETPIVOTDATA("[Measures].[mOldUGOS]",'Pivot Table Cats'!$A$3,"[Range 1].[State]","[Range 1].[State].&amp;[SC]","[Range 1].[Type]","[Range 1].[Type].&amp;[4]")," ")</f>
        <v>27394</v>
      </c>
      <c r="G210" s="20">
        <f>IFERROR(GETPIVOTDATA("[Measures].[mNewUGOS]",'Pivot Table Cats'!$A$3,"[Range 1].[State]","[Range 1].[State].&amp;[SC]","[Range 1].[Type]","[Range 1].[Type].&amp;[4]")," ")</f>
        <v>27394</v>
      </c>
      <c r="H210" s="21">
        <f t="shared" si="49"/>
        <v>0</v>
      </c>
      <c r="I210" s="20">
        <f>IFERROR(GETPIVOTDATA("[Measures].[mOldGIS]",'Pivot Table Cats'!$A$3,"[Range 1].[State]","[Range 1].[State].&amp;[SC]","[Range 1].[Type]","[Range 1].[Type].&amp;[4]")," ")</f>
        <v>10764</v>
      </c>
      <c r="J210" s="20">
        <f>IFERROR(GETPIVOTDATA("[Measures].[mNewGIS]",'Pivot Table Cats'!$A$3,"[Range 1].[State]","[Range 1].[State].&amp;[SC]","[Range 1].[Type]","[Range 1].[Type].&amp;[4]")," ")</f>
        <v>10764</v>
      </c>
      <c r="K210" s="21">
        <f t="shared" si="50"/>
        <v>0</v>
      </c>
      <c r="L210" s="20">
        <f>IFERROR(GETPIVOTDATA("[Measures].[mOldGOS]",'Pivot Table Cats'!$A$3,"[Range 1].[State]","[Range 1].[State].&amp;[SC]","[Range 1].[Type]","[Range 1].[Type].&amp;[4]")," ")</f>
        <v>19836</v>
      </c>
      <c r="M210" s="20">
        <f>IFERROR(GETPIVOTDATA("[Measures].[mNewGOS]",'Pivot Table Cats'!$A$3,"[Range 1].[State]","[Range 1].[State].&amp;[SC]","[Range 1].[Type]","[Range 1].[Type].&amp;[4]")," ")</f>
        <v>19836</v>
      </c>
      <c r="N210" s="21">
        <f t="shared" si="51"/>
        <v>0</v>
      </c>
      <c r="O210" s="25"/>
      <c r="P210" s="26"/>
      <c r="Q210" s="27"/>
      <c r="R210" s="25"/>
      <c r="S210" s="26"/>
      <c r="T210" s="27"/>
      <c r="U210" s="25"/>
      <c r="V210" s="26"/>
      <c r="W210" s="27"/>
      <c r="X210" s="25"/>
      <c r="Y210" s="26"/>
      <c r="Z210" s="27"/>
      <c r="AA210" s="25"/>
      <c r="AB210" s="26"/>
      <c r="AC210" s="27"/>
      <c r="AD210" s="25"/>
      <c r="AE210" s="26"/>
      <c r="AF210" s="27"/>
      <c r="AG210" s="25"/>
      <c r="AH210" s="26"/>
      <c r="AI210" s="27"/>
      <c r="AJ210" s="25"/>
      <c r="AK210" s="26"/>
      <c r="AL210" s="27"/>
      <c r="AM210" s="25"/>
      <c r="AN210" s="26"/>
      <c r="AO210" s="27"/>
      <c r="AP210" s="25"/>
      <c r="AQ210" s="26"/>
      <c r="AR210" s="27"/>
      <c r="AS210" s="25"/>
      <c r="AT210" s="26"/>
      <c r="AU210" s="27"/>
      <c r="AV210" s="25"/>
      <c r="AW210" s="26"/>
      <c r="AX210" s="27"/>
      <c r="AY210" s="25"/>
      <c r="AZ210" s="26"/>
      <c r="BA210" s="27"/>
      <c r="BB210" s="25"/>
      <c r="BC210" s="26"/>
      <c r="BD210" s="27"/>
    </row>
    <row r="211" spans="1:56">
      <c r="A211" s="28"/>
      <c r="B211" s="19" t="s">
        <v>548</v>
      </c>
      <c r="C211" s="20">
        <f>IFERROR(GETPIVOTDATA("[Measures].[mOldUGIS]",'Pivot Table Cats'!$A$3,"[Range 1].[State]","[Range 1].[State].&amp;[SC]","[Range 1].[Type]","[Range 1].[Type].&amp;[5]")," ")</f>
        <v>11060</v>
      </c>
      <c r="D211" s="20">
        <f>IFERROR(GETPIVOTDATA("[Measures].[mNewUGIS]",'Pivot Table Cats'!$A$3,"[Range 1].[State]","[Range 1].[State].&amp;[SC]","[Range 1].[Type]","[Range 1].[Type].&amp;[5]")," ")</f>
        <v>11060</v>
      </c>
      <c r="E211" s="21">
        <f t="shared" si="48"/>
        <v>0</v>
      </c>
      <c r="F211" s="20">
        <f>IFERROR(GETPIVOTDATA("[Measures].[mOldUGOS]",'Pivot Table Cats'!$A$3,"[Range 1].[State]","[Range 1].[State].&amp;[SC]","[Range 1].[Type]","[Range 1].[Type].&amp;[5]")," ")</f>
        <v>21544</v>
      </c>
      <c r="G211" s="20">
        <f>IFERROR(GETPIVOTDATA("[Measures].[mNewUGOS]",'Pivot Table Cats'!$A$3,"[Range 1].[State]","[Range 1].[State].&amp;[SC]","[Range 1].[Type]","[Range 1].[Type].&amp;[5]")," ")</f>
        <v>21544</v>
      </c>
      <c r="H211" s="21">
        <f t="shared" si="49"/>
        <v>0</v>
      </c>
      <c r="I211" s="20">
        <f>IFERROR(GETPIVOTDATA("[Measures].[mOldGIS]",'Pivot Table Cats'!$A$3,"[Range 1].[State]","[Range 1].[State].&amp;[SC]","[Range 1].[Type]","[Range 1].[Type].&amp;[5]")," ")</f>
        <v>11460</v>
      </c>
      <c r="J211" s="20">
        <f>IFERROR(GETPIVOTDATA("[Measures].[mNewGIS]",'Pivot Table Cats'!$A$3,"[Range 1].[State]","[Range 1].[State].&amp;[SC]","[Range 1].[Type]","[Range 1].[Type].&amp;[5]")," ")</f>
        <v>11460</v>
      </c>
      <c r="K211" s="21">
        <f t="shared" si="50"/>
        <v>0</v>
      </c>
      <c r="L211" s="20">
        <f>IFERROR(GETPIVOTDATA("[Measures].[mOldGOS]",'Pivot Table Cats'!$A$3,"[Range 1].[State]","[Range 1].[State].&amp;[SC]","[Range 1].[Type]","[Range 1].[Type].&amp;[5]")," ")</f>
        <v>22570</v>
      </c>
      <c r="M211" s="20">
        <f>IFERROR(GETPIVOTDATA("[Measures].[mNewGOS]",'Pivot Table Cats'!$A$3,"[Range 1].[State]","[Range 1].[State].&amp;[SC]","[Range 1].[Type]","[Range 1].[Type].&amp;[5]")," ")</f>
        <v>22570</v>
      </c>
      <c r="N211" s="21">
        <f t="shared" si="51"/>
        <v>0</v>
      </c>
      <c r="O211" s="25"/>
      <c r="P211" s="26"/>
      <c r="Q211" s="27"/>
      <c r="R211" s="25"/>
      <c r="S211" s="26"/>
      <c r="T211" s="27"/>
      <c r="U211" s="25"/>
      <c r="V211" s="26"/>
      <c r="W211" s="27"/>
      <c r="X211" s="25"/>
      <c r="Y211" s="26"/>
      <c r="Z211" s="27"/>
      <c r="AA211" s="25"/>
      <c r="AB211" s="26"/>
      <c r="AC211" s="27"/>
      <c r="AD211" s="25"/>
      <c r="AE211" s="26"/>
      <c r="AF211" s="27"/>
      <c r="AG211" s="25"/>
      <c r="AH211" s="26"/>
      <c r="AI211" s="27"/>
      <c r="AJ211" s="25"/>
      <c r="AK211" s="26"/>
      <c r="AL211" s="27"/>
      <c r="AM211" s="25"/>
      <c r="AN211" s="26"/>
      <c r="AO211" s="27"/>
      <c r="AP211" s="25"/>
      <c r="AQ211" s="26"/>
      <c r="AR211" s="27"/>
      <c r="AS211" s="25"/>
      <c r="AT211" s="26"/>
      <c r="AU211" s="27"/>
      <c r="AV211" s="25"/>
      <c r="AW211" s="26"/>
      <c r="AX211" s="27"/>
      <c r="AY211" s="25"/>
      <c r="AZ211" s="26"/>
      <c r="BA211" s="27"/>
      <c r="BB211" s="25"/>
      <c r="BC211" s="26"/>
      <c r="BD211" s="27"/>
    </row>
    <row r="212" spans="1:56">
      <c r="A212" s="28"/>
      <c r="B212" s="19" t="s">
        <v>549</v>
      </c>
      <c r="C212" s="20">
        <f>IFERROR(GETPIVOTDATA("[Measures].[mOldUGIS]",'Pivot Table Cats'!$A$3,"[Range 1].[State]","[Range 1].[State].&amp;[SC]","[Range 1].[Type]","[Range 1].[Type].&amp;[6]")," ")</f>
        <v>11488</v>
      </c>
      <c r="D212" s="20">
        <f>IFERROR(GETPIVOTDATA("[Measures].[mNewUGIS]",'Pivot Table Cats'!$A$3,"[Range 1].[State]","[Range 1].[State].&amp;[SC]","[Range 1].[Type]","[Range 1].[Type].&amp;[6]")," ")</f>
        <v>11488</v>
      </c>
      <c r="E212" s="21">
        <f t="shared" si="48"/>
        <v>0</v>
      </c>
      <c r="F212" s="20">
        <f>IFERROR(GETPIVOTDATA("[Measures].[mOldUGOS]",'Pivot Table Cats'!$A$3,"[Range 1].[State]","[Range 1].[State].&amp;[SC]","[Range 1].[Type]","[Range 1].[Type].&amp;[6]")," ")</f>
        <v>21726</v>
      </c>
      <c r="G212" s="20">
        <f>IFERROR(GETPIVOTDATA("[Measures].[mNewUGOS]",'Pivot Table Cats'!$A$3,"[Range 1].[State]","[Range 1].[State].&amp;[SC]","[Range 1].[Type]","[Range 1].[Type].&amp;[6]")," ")</f>
        <v>21726</v>
      </c>
      <c r="H212" s="21">
        <f t="shared" si="49"/>
        <v>0</v>
      </c>
      <c r="I212" s="20">
        <f>IFERROR(GETPIVOTDATA("[Measures].[mOldGIS]",'Pivot Table Cats'!$A$3,"[Range 1].[State]","[Range 1].[State].&amp;[SC]","[Range 1].[Type]","[Range 1].[Type].&amp;[6]")," ")</f>
        <v>11994</v>
      </c>
      <c r="J212" s="20">
        <f>IFERROR(GETPIVOTDATA("[Measures].[mNewGIS]",'Pivot Table Cats'!$A$3,"[Range 1].[State]","[Range 1].[State].&amp;[SC]","[Range 1].[Type]","[Range 1].[Type].&amp;[6]")," ")</f>
        <v>11972</v>
      </c>
      <c r="K212" s="21">
        <f t="shared" si="50"/>
        <v>-0.18342504585626146</v>
      </c>
      <c r="L212" s="20">
        <f>IFERROR(GETPIVOTDATA("[Measures].[mOldGOS]",'Pivot Table Cats'!$A$3,"[Range 1].[State]","[Range 1].[State].&amp;[SC]","[Range 1].[Type]","[Range 1].[Type].&amp;[6]")," ")</f>
        <v>24022</v>
      </c>
      <c r="M212" s="20">
        <f>IFERROR(GETPIVOTDATA("[Measures].[mNewGOS]",'Pivot Table Cats'!$A$3,"[Range 1].[State]","[Range 1].[State].&amp;[SC]","[Range 1].[Type]","[Range 1].[Type].&amp;[6]")," ")</f>
        <v>19985</v>
      </c>
      <c r="N212" s="21">
        <f t="shared" si="51"/>
        <v>-16.805428357339107</v>
      </c>
      <c r="O212" s="25"/>
      <c r="P212" s="26"/>
      <c r="Q212" s="27"/>
      <c r="R212" s="25"/>
      <c r="S212" s="26"/>
      <c r="T212" s="27"/>
      <c r="U212" s="25"/>
      <c r="V212" s="26"/>
      <c r="W212" s="27"/>
      <c r="X212" s="25"/>
      <c r="Y212" s="26"/>
      <c r="Z212" s="27"/>
      <c r="AA212" s="25"/>
      <c r="AB212" s="26"/>
      <c r="AC212" s="27"/>
      <c r="AD212" s="25"/>
      <c r="AE212" s="26"/>
      <c r="AF212" s="27"/>
      <c r="AG212" s="25"/>
      <c r="AH212" s="26"/>
      <c r="AI212" s="27"/>
      <c r="AJ212" s="25"/>
      <c r="AK212" s="26"/>
      <c r="AL212" s="27"/>
      <c r="AM212" s="25"/>
      <c r="AN212" s="26"/>
      <c r="AO212" s="27"/>
      <c r="AP212" s="25"/>
      <c r="AQ212" s="26"/>
      <c r="AR212" s="27"/>
      <c r="AS212" s="25"/>
      <c r="AT212" s="26"/>
      <c r="AU212" s="27"/>
      <c r="AV212" s="25"/>
      <c r="AW212" s="26"/>
      <c r="AX212" s="27"/>
      <c r="AY212" s="25"/>
      <c r="AZ212" s="26"/>
      <c r="BA212" s="27"/>
      <c r="BB212" s="25"/>
      <c r="BC212" s="26"/>
      <c r="BD212" s="27"/>
    </row>
    <row r="213" spans="1:56" s="49" customFormat="1" ht="19.5" customHeight="1">
      <c r="A213" s="48"/>
      <c r="B213" s="30" t="s">
        <v>550</v>
      </c>
      <c r="C213" s="31">
        <f>IFERROR(GETPIVOTDATA("[Measures].[mOldUGIS]",'Pivot Table Totals'!$A$4,"[Range 1].[State]","[Range 1].[State].&amp;[SC]"), " ")</f>
        <v>11670</v>
      </c>
      <c r="D213" s="31">
        <f>IFERROR(GETPIVOTDATA("[Measures].[mNewUGIS]",'Pivot Table Totals'!$A$4,"[Range 1].[State]","[Range 1].[State].&amp;[SC]"), " ")</f>
        <v>11670</v>
      </c>
      <c r="E213" s="21">
        <f t="shared" si="48"/>
        <v>0</v>
      </c>
      <c r="F213" s="31">
        <f>IFERROR(GETPIVOTDATA("[Measures].[mOldUGOS]",'Pivot Table Totals'!$A$4,"[Range 1].[State]","[Range 1].[State].&amp;[SC]"), " ")</f>
        <v>25192</v>
      </c>
      <c r="G213" s="31">
        <f>IFERROR(GETPIVOTDATA("[Measures].[mNewUGOS]",'Pivot Table Totals'!$A$4,"[Range 1].[State]","[Range 1].[State].&amp;[SC]"), " ")</f>
        <v>25192</v>
      </c>
      <c r="H213" s="21">
        <f t="shared" si="49"/>
        <v>0</v>
      </c>
      <c r="I213" s="31">
        <f>IFERROR(GETPIVOTDATA("[Measures].[mOldGIS]",'Pivot Table Totals'!$A$4,"[Range 1].[State]","[Range 1].[State].&amp;[SC]"), " ")</f>
        <v>11538</v>
      </c>
      <c r="J213" s="31">
        <f>IFERROR(GETPIVOTDATA("[Measures].[mNewGIS]",'Pivot Table Totals'!$A$4,"[Range 1].[State]","[Range 1].[State].&amp;[SC]"), " ")</f>
        <v>11604</v>
      </c>
      <c r="K213" s="21">
        <f t="shared" si="50"/>
        <v>0.57202288091523656</v>
      </c>
      <c r="L213" s="31">
        <f>IFERROR(GETPIVOTDATA("[Measures].[mOldGOS]",'Pivot Table Totals'!$A$4,"[Range 1].[State]","[Range 1].[State].&amp;[SC]"), " ")</f>
        <v>22570</v>
      </c>
      <c r="M213" s="31">
        <f>IFERROR(GETPIVOTDATA("[Measures].[mNewGOS]",'Pivot Table Totals'!$A$4,"[Range 1].[State]","[Range 1].[State].&amp;[SC]"), " ")</f>
        <v>22570</v>
      </c>
      <c r="N213" s="21">
        <f>IFERROR(IF(L213&gt;0,(((M213-L213)/L213)*100),0), "  ")</f>
        <v>0</v>
      </c>
      <c r="O213" s="36"/>
      <c r="P213" s="37"/>
      <c r="Q213" s="38"/>
      <c r="R213" s="36"/>
      <c r="S213" s="37"/>
      <c r="T213" s="38"/>
      <c r="U213" s="36"/>
      <c r="V213" s="37"/>
      <c r="W213" s="38"/>
      <c r="X213" s="36"/>
      <c r="Y213" s="37"/>
      <c r="Z213" s="38"/>
      <c r="AA213" s="36"/>
      <c r="AB213" s="37"/>
      <c r="AC213" s="38"/>
      <c r="AD213" s="36"/>
      <c r="AE213" s="37"/>
      <c r="AF213" s="38"/>
      <c r="AG213" s="36"/>
      <c r="AH213" s="37"/>
      <c r="AI213" s="38"/>
      <c r="AJ213" s="36"/>
      <c r="AK213" s="37"/>
      <c r="AL213" s="38"/>
      <c r="AM213" s="36"/>
      <c r="AN213" s="37"/>
      <c r="AO213" s="38"/>
      <c r="AP213" s="36"/>
      <c r="AQ213" s="37"/>
      <c r="AR213" s="38"/>
      <c r="AS213" s="36"/>
      <c r="AT213" s="37"/>
      <c r="AU213" s="38"/>
      <c r="AV213" s="36"/>
      <c r="AW213" s="37"/>
      <c r="AX213" s="38"/>
      <c r="AY213" s="36"/>
      <c r="AZ213" s="37"/>
      <c r="BA213" s="38"/>
      <c r="BB213" s="36"/>
      <c r="BC213" s="37"/>
      <c r="BD213" s="38"/>
    </row>
    <row r="214" spans="1:56">
      <c r="A214" s="28"/>
      <c r="B214" s="19" t="s">
        <v>551</v>
      </c>
      <c r="C214" s="20" t="str">
        <f>IFERROR(GETPIVOTDATA("[Measures].[mOldUGIS]",'Pivot Table Cats'!$A$3,"[Range 1].[State]","[Range 1].[State].&amp;[SC]","[Range 1].[Type]","[Range 1].[Type].&amp;[7]")," ")</f>
        <v xml:space="preserve"> </v>
      </c>
      <c r="D214" s="20" t="str">
        <f>IFERROR(GETPIVOTDATA("[Measures].[mNewUGIS]",'Pivot Table Cats'!$A$3,"[Range 1].[State]","[Range 1].[State].&amp;[SC]","[Range 1].[Type]","[Range 1].[Type].&amp;[7]")," ")</f>
        <v xml:space="preserve"> </v>
      </c>
      <c r="E214" s="21" t="str">
        <f t="shared" si="48"/>
        <v xml:space="preserve"> </v>
      </c>
      <c r="F214" s="20" t="str">
        <f>IFERROR(GETPIVOTDATA("[Measures].[mOldUGOS]",'Pivot Table Cats'!$A$3,"[Range 1].[State]","[Range 1].[State].&amp;[SC]","[Range 1].[Type]","[Range 1].[Type].&amp;[7]")," ")</f>
        <v xml:space="preserve"> </v>
      </c>
      <c r="G214" s="20" t="str">
        <f>IFERROR(GETPIVOTDATA("[Measures].[mNewUGOS]",'Pivot Table Cats'!$A$3,"[Range 1].[State]","[Range 1].[State].&amp;[SC]","[Range 1].[Type]","[Range 1].[Type].&amp;[7]")," ")</f>
        <v xml:space="preserve"> </v>
      </c>
      <c r="H214" s="21" t="str">
        <f t="shared" si="49"/>
        <v xml:space="preserve"> </v>
      </c>
      <c r="I214" s="20" t="str">
        <f>IFERROR(GETPIVOTDATA("[Measures].[mOldGIS]",'Pivot Table Cats'!$A$3,"[Range 1].[State]","[Range 1].[State].&amp;[SC]","[Range 1].[Type]","[Range 1].[Type].&amp;[7]")," ")</f>
        <v xml:space="preserve"> </v>
      </c>
      <c r="J214" s="20" t="str">
        <f>IFERROR(GETPIVOTDATA("[Measures].[mNewGIS]",'Pivot Table Cats'!$A$3,"[Range 1].[State]","[Range 1].[State].&amp;[SC]","[Range 1].[Type]","[Range 1].[Type].&amp;[7]")," ")</f>
        <v xml:space="preserve"> </v>
      </c>
      <c r="K214" s="21" t="str">
        <f t="shared" si="50"/>
        <v xml:space="preserve"> </v>
      </c>
      <c r="L214" s="20" t="str">
        <f>IFERROR(GETPIVOTDATA("[Measures].[mOldGIS]",'Pivot Table Cats'!$A$3,"[Range 1].[State]","[Range 1].[State].&amp;[SC]","[Range 1].[Type]","[Range 1].[Type].&amp;[7]")," ")</f>
        <v xml:space="preserve"> </v>
      </c>
      <c r="M214" s="20" t="str">
        <f>IFERROR(GETPIVOTDATA("[Measures].[mNewGIS]",'Pivot Table Cats'!$A$3,"[Range 1].[State]","[Range 1].[State].&amp;[SC]","[Range 1].[Type]","[Range 1].[Type].&amp;[7]")," ")</f>
        <v xml:space="preserve"> </v>
      </c>
      <c r="N214" s="21" t="str">
        <f t="shared" si="51"/>
        <v xml:space="preserve"> </v>
      </c>
      <c r="O214" s="25"/>
      <c r="P214" s="26"/>
      <c r="Q214" s="27"/>
      <c r="R214" s="25"/>
      <c r="S214" s="26"/>
      <c r="T214" s="27"/>
      <c r="U214" s="25"/>
      <c r="V214" s="26"/>
      <c r="W214" s="27"/>
      <c r="X214" s="25"/>
      <c r="Y214" s="26"/>
      <c r="Z214" s="27"/>
      <c r="AA214" s="25"/>
      <c r="AB214" s="26"/>
      <c r="AC214" s="27"/>
      <c r="AD214" s="25"/>
      <c r="AE214" s="26"/>
      <c r="AF214" s="27"/>
      <c r="AG214" s="25"/>
      <c r="AH214" s="26"/>
      <c r="AI214" s="27"/>
      <c r="AJ214" s="25"/>
      <c r="AK214" s="26"/>
      <c r="AL214" s="27"/>
      <c r="AM214" s="25"/>
      <c r="AN214" s="26"/>
      <c r="AO214" s="27"/>
      <c r="AP214" s="25"/>
      <c r="AQ214" s="26"/>
      <c r="AR214" s="27"/>
      <c r="AS214" s="25"/>
      <c r="AT214" s="26"/>
      <c r="AU214" s="27"/>
      <c r="AV214" s="25"/>
      <c r="AW214" s="26"/>
      <c r="AX214" s="27"/>
      <c r="AY214" s="25"/>
      <c r="AZ214" s="26"/>
      <c r="BA214" s="27"/>
      <c r="BB214" s="25"/>
      <c r="BC214" s="26"/>
      <c r="BD214" s="27"/>
    </row>
    <row r="215" spans="1:56">
      <c r="A215" s="28"/>
      <c r="B215" s="19" t="s">
        <v>552</v>
      </c>
      <c r="C215" s="20">
        <f>IFERROR(GETPIVOTDATA("[Measures].[mOldUGIS]",'Pivot Table Cats'!$A$3,"[Range 1].[State]","[Range 1].[State].&amp;[SC]","[Range 1].[Type]","[Range 1].[Type].&amp;[8]")," ")</f>
        <v>5806</v>
      </c>
      <c r="D215" s="20">
        <f>IFERROR(GETPIVOTDATA("[Measures].[mNewUGIS]",'Pivot Table Cats'!$A$3,"[Range 1].[State]","[Range 1].[State].&amp;[SC]","[Range 1].[Type]","[Range 1].[Type].&amp;[8]")," ")</f>
        <v>5806</v>
      </c>
      <c r="E215" s="21">
        <f t="shared" si="48"/>
        <v>0</v>
      </c>
      <c r="F215" s="20">
        <f>IFERROR(GETPIVOTDATA("[Measures].[mOldUGOS]",'Pivot Table Cats'!$A$3,"[Range 1].[State]","[Range 1].[State].&amp;[SC]","[Range 1].[Type]","[Range 1].[Type].&amp;[8]")," ")</f>
        <v>11234.5</v>
      </c>
      <c r="G215" s="20">
        <f>IFERROR(GETPIVOTDATA("[Measures].[mNewUGOS]",'Pivot Table Cats'!$A$3,"[Range 1].[State]","[Range 1].[State].&amp;[SC]","[Range 1].[Type]","[Range 1].[Type].&amp;[8]")," ")</f>
        <v>11234.5</v>
      </c>
      <c r="H215" s="21">
        <f t="shared" si="49"/>
        <v>0</v>
      </c>
      <c r="I215" s="337">
        <f>IFERROR(GETPIVOTDATA("[Measures].[mOldGIS]",'Pivot Table Cats'!$A$3,"[Range 1].[State]","[Range 1].[State].&amp;[SC]","[Range 1].[Type]","[Range 1].[Type].&amp;[8]")," ")</f>
        <v>0</v>
      </c>
      <c r="J215" s="20">
        <f>IFERROR(GETPIVOTDATA("[Measures].[mNewGIS]",'Pivot Table Cats'!$A$3,"[Range 1].[State]","[Range 1].[State].&amp;[SC]","[Range 1].[Type]","[Range 1].[Type].&amp;[8]")," ")</f>
        <v>0</v>
      </c>
      <c r="K215" s="21">
        <f t="shared" si="50"/>
        <v>0</v>
      </c>
      <c r="L215" s="20">
        <f>IFERROR(GETPIVOTDATA("[Measures].[mOldGOS]",'Pivot Table Cats'!$A$3,"[Range 1].[State]","[Range 1].[State].&amp;[SC]","[Range 1].[Type]","[Range 1].[Type].&amp;[8]")," ")</f>
        <v>0</v>
      </c>
      <c r="M215" s="20">
        <f>IFERROR(GETPIVOTDATA("[Measures].[mNewGOS]",'Pivot Table Cats'!$A$3,"[Range 1].[State]","[Range 1].[State].&amp;[SC]","[Range 1].[Type]","[Range 1].[Type].&amp;[8]")," ")</f>
        <v>0</v>
      </c>
      <c r="N215" s="21">
        <f t="shared" si="51"/>
        <v>0</v>
      </c>
      <c r="O215" s="25"/>
      <c r="P215" s="26"/>
      <c r="Q215" s="27"/>
      <c r="R215" s="25"/>
      <c r="S215" s="26"/>
      <c r="T215" s="27"/>
      <c r="U215" s="25"/>
      <c r="V215" s="26"/>
      <c r="W215" s="27"/>
      <c r="X215" s="25"/>
      <c r="Y215" s="26"/>
      <c r="Z215" s="27"/>
      <c r="AA215" s="25"/>
      <c r="AB215" s="26"/>
      <c r="AC215" s="27"/>
      <c r="AD215" s="25"/>
      <c r="AE215" s="26"/>
      <c r="AF215" s="27"/>
      <c r="AG215" s="25"/>
      <c r="AH215" s="26"/>
      <c r="AI215" s="27"/>
      <c r="AJ215" s="25"/>
      <c r="AK215" s="26"/>
      <c r="AL215" s="27"/>
      <c r="AM215" s="25"/>
      <c r="AN215" s="26"/>
      <c r="AO215" s="27"/>
      <c r="AP215" s="25"/>
      <c r="AQ215" s="26"/>
      <c r="AR215" s="27"/>
      <c r="AS215" s="25"/>
      <c r="AT215" s="26"/>
      <c r="AU215" s="27"/>
      <c r="AV215" s="25"/>
      <c r="AW215" s="26"/>
      <c r="AX215" s="27"/>
      <c r="AY215" s="25"/>
      <c r="AZ215" s="26"/>
      <c r="BA215" s="27"/>
      <c r="BB215" s="25"/>
      <c r="BC215" s="26"/>
      <c r="BD215" s="27"/>
    </row>
    <row r="216" spans="1:56">
      <c r="A216" s="28"/>
      <c r="B216" s="19" t="s">
        <v>553</v>
      </c>
      <c r="C216" s="20">
        <f>IFERROR(GETPIVOTDATA("[Measures].[mOldUGIS]",'Pivot Table Cats'!$A$3,"[Range 1].[State]","[Range 1].[State].&amp;[SC]","[Range 1].[Type]","[Range 1].[Type].&amp;[9]")," ")</f>
        <v>5705</v>
      </c>
      <c r="D216" s="20">
        <f>IFERROR(GETPIVOTDATA("[Measures].[mNewUGIS]",'Pivot Table Cats'!$A$3,"[Range 1].[State]","[Range 1].[State].&amp;[SC]","[Range 1].[Type]","[Range 1].[Type].&amp;[9]")," ")</f>
        <v>5705</v>
      </c>
      <c r="E216" s="21">
        <f t="shared" si="48"/>
        <v>0</v>
      </c>
      <c r="F216" s="20">
        <f>IFERROR(GETPIVOTDATA("[Measures].[mOldUGOS]",'Pivot Table Cats'!$A$3,"[Range 1].[State]","[Range 1].[State].&amp;[SC]","[Range 1].[Type]","[Range 1].[Type].&amp;[9]")," ")</f>
        <v>11235</v>
      </c>
      <c r="G216" s="20">
        <f>IFERROR(GETPIVOTDATA("[Measures].[mNewUGOS]",'Pivot Table Cats'!$A$3,"[Range 1].[State]","[Range 1].[State].&amp;[SC]","[Range 1].[Type]","[Range 1].[Type].&amp;[9]")," ")</f>
        <v>11235</v>
      </c>
      <c r="H216" s="21">
        <f t="shared" si="49"/>
        <v>0</v>
      </c>
      <c r="I216" s="20">
        <f>IFERROR(GETPIVOTDATA("[Measures].[mOldGIS]",'Pivot Table Cats'!$A$3,"[Range 1].[State]","[Range 1].[State].&amp;[SC]","[Range 1].[Type]","[Range 1].[Type].&amp;[9]")," ")</f>
        <v>0</v>
      </c>
      <c r="J216" s="20">
        <f>IFERROR(GETPIVOTDATA("[Measures].[mNewGIS]",'Pivot Table Cats'!$A$3,"[Range 1].[State]","[Range 1].[State].&amp;[SC]","[Range 1].[Type]","[Range 1].[Type].&amp;[9]")," ")</f>
        <v>0</v>
      </c>
      <c r="K216" s="21">
        <f t="shared" si="50"/>
        <v>0</v>
      </c>
      <c r="L216" s="20">
        <f>IFERROR(GETPIVOTDATA("[Measures].[mOldGOS]",'Pivot Table Cats'!$A$3,"[Range 1].[State]","[Range 1].[State].&amp;[SC]","[Range 1].[Type]","[Range 1].[Type].&amp;[9]")," ")</f>
        <v>0</v>
      </c>
      <c r="M216" s="20">
        <f>IFERROR(GETPIVOTDATA("[Measures].[mNewGOS]",'Pivot Table Cats'!$A$3,"[Range 1].[State]","[Range 1].[State].&amp;[SC]","[Range 1].[Type]","[Range 1].[Type].&amp;[9]")," ")</f>
        <v>0</v>
      </c>
      <c r="N216" s="21">
        <f t="shared" si="51"/>
        <v>0</v>
      </c>
      <c r="O216" s="25"/>
      <c r="P216" s="26"/>
      <c r="Q216" s="27"/>
      <c r="R216" s="25"/>
      <c r="S216" s="26"/>
      <c r="T216" s="27"/>
      <c r="U216" s="25"/>
      <c r="V216" s="26"/>
      <c r="W216" s="27"/>
      <c r="X216" s="25"/>
      <c r="Y216" s="26"/>
      <c r="Z216" s="27"/>
      <c r="AA216" s="25"/>
      <c r="AB216" s="26"/>
      <c r="AC216" s="27"/>
      <c r="AD216" s="25"/>
      <c r="AE216" s="26"/>
      <c r="AF216" s="27"/>
      <c r="AG216" s="25"/>
      <c r="AH216" s="26"/>
      <c r="AI216" s="27"/>
      <c r="AJ216" s="25"/>
      <c r="AK216" s="26"/>
      <c r="AL216" s="27"/>
      <c r="AM216" s="25"/>
      <c r="AN216" s="26"/>
      <c r="AO216" s="27"/>
      <c r="AP216" s="25"/>
      <c r="AQ216" s="26"/>
      <c r="AR216" s="27"/>
      <c r="AS216" s="25"/>
      <c r="AT216" s="26"/>
      <c r="AU216" s="27"/>
      <c r="AV216" s="25"/>
      <c r="AW216" s="26"/>
      <c r="AX216" s="27"/>
      <c r="AY216" s="25"/>
      <c r="AZ216" s="26"/>
      <c r="BA216" s="27"/>
      <c r="BB216" s="25"/>
      <c r="BC216" s="26"/>
      <c r="BD216" s="27"/>
    </row>
    <row r="217" spans="1:56">
      <c r="A217" s="28"/>
      <c r="B217" s="19" t="s">
        <v>554</v>
      </c>
      <c r="C217" s="20">
        <f>IFERROR(GETPIVOTDATA("[Measures].[mOldUGIS]",'Pivot Table Cats'!$A$3,"[Range 1].[State]","[Range 1].[State].&amp;[SC]","[Range 1].[Type]","[Range 1].[Type].&amp;[10]")," ")</f>
        <v>6260</v>
      </c>
      <c r="D217" s="20">
        <f>IFERROR(GETPIVOTDATA("[Measures].[mNewUGIS]",'Pivot Table Cats'!$A$3,"[Range 1].[State]","[Range 1].[State].&amp;[SC]","[Range 1].[Type]","[Range 1].[Type].&amp;[10]")," ")</f>
        <v>6283</v>
      </c>
      <c r="E217" s="21">
        <f t="shared" si="48"/>
        <v>0.36741214057507987</v>
      </c>
      <c r="F217" s="20">
        <f>IFERROR(GETPIVOTDATA("[Measures].[mOldUGOS]",'Pivot Table Cats'!$A$3,"[Range 1].[State]","[Range 1].[State].&amp;[SC]","[Range 1].[Type]","[Range 1].[Type].&amp;[10]")," ")</f>
        <v>12552.5</v>
      </c>
      <c r="G217" s="20">
        <f>IFERROR(GETPIVOTDATA("[Measures].[mNewUGOS]",'Pivot Table Cats'!$A$3,"[Range 1].[State]","[Range 1].[State].&amp;[SC]","[Range 1].[Type]","[Range 1].[Type].&amp;[10]")," ")</f>
        <v>12771</v>
      </c>
      <c r="H217" s="21">
        <f t="shared" si="49"/>
        <v>1.7406891057558254</v>
      </c>
      <c r="I217" s="20">
        <f>IFERROR(GETPIVOTDATA("[Measures].[mOldGIS]",'Pivot Table Cats'!$A$3,"[Range 1].[State]","[Range 1].[State].&amp;[SC]","[Range 1].[Type]","[Range 1].[Type].&amp;[10]")," ")</f>
        <v>0</v>
      </c>
      <c r="J217" s="20">
        <f>IFERROR(GETPIVOTDATA("[Measures].[mNewGIS]",'Pivot Table Cats'!$A$3,"[Range 1].[State]","[Range 1].[State].&amp;[SC]","[Range 1].[Type]","[Range 1].[Type].&amp;[10]")," ")</f>
        <v>0</v>
      </c>
      <c r="K217" s="21">
        <f t="shared" si="50"/>
        <v>0</v>
      </c>
      <c r="L217" s="20">
        <f>IFERROR(GETPIVOTDATA("[Measures].[mOldGOS]",'Pivot Table Cats'!$A$3,"[Range 1].[State]","[Range 1].[State].&amp;[SC]","[Range 1].[Type]","[Range 1].[Type].&amp;[10]")," ")</f>
        <v>0</v>
      </c>
      <c r="M217" s="20">
        <f>IFERROR(GETPIVOTDATA("[Measures].[mNewGOS]",'Pivot Table Cats'!$A$3,"[Range 1].[State]","[Range 1].[State].&amp;[SC]","[Range 1].[Type]","[Range 1].[Type].&amp;[10]")," ")</f>
        <v>0</v>
      </c>
      <c r="N217" s="21">
        <f t="shared" si="51"/>
        <v>0</v>
      </c>
      <c r="O217" s="25"/>
      <c r="P217" s="26"/>
      <c r="Q217" s="27"/>
      <c r="R217" s="25"/>
      <c r="S217" s="26"/>
      <c r="T217" s="27"/>
      <c r="U217" s="25"/>
      <c r="V217" s="26"/>
      <c r="W217" s="27"/>
      <c r="X217" s="25"/>
      <c r="Y217" s="26"/>
      <c r="Z217" s="27"/>
      <c r="AA217" s="25"/>
      <c r="AB217" s="26"/>
      <c r="AC217" s="27"/>
      <c r="AD217" s="25"/>
      <c r="AE217" s="26"/>
      <c r="AF217" s="27"/>
      <c r="AG217" s="25"/>
      <c r="AH217" s="26"/>
      <c r="AI217" s="27"/>
      <c r="AJ217" s="25"/>
      <c r="AK217" s="26"/>
      <c r="AL217" s="27"/>
      <c r="AM217" s="25"/>
      <c r="AN217" s="26"/>
      <c r="AO217" s="27"/>
      <c r="AP217" s="25"/>
      <c r="AQ217" s="26"/>
      <c r="AR217" s="27"/>
      <c r="AS217" s="25"/>
      <c r="AT217" s="26"/>
      <c r="AU217" s="27"/>
      <c r="AV217" s="25"/>
      <c r="AW217" s="26"/>
      <c r="AX217" s="27"/>
      <c r="AY217" s="25"/>
      <c r="AZ217" s="26"/>
      <c r="BA217" s="27"/>
      <c r="BB217" s="25"/>
      <c r="BC217" s="26"/>
      <c r="BD217" s="27"/>
    </row>
    <row r="218" spans="1:56" s="49" customFormat="1" ht="20.25" customHeight="1">
      <c r="A218" s="48"/>
      <c r="B218" s="50" t="s">
        <v>555</v>
      </c>
      <c r="C218" s="31">
        <f>IFERROR(GETPIVOTDATA("[Measures].[mOldUGIS]",'Pivot Table Totals'!$A$31,"[Range 1].[State]","[Range 1].[State].&amp;[SC]"), " ")</f>
        <v>5938.75</v>
      </c>
      <c r="D218" s="31">
        <f>IFERROR(GETPIVOTDATA("[Measures].[mNewUGIS]",'Pivot Table Totals'!$A$31,"[Range 1].[State]","[Range 1].[State].&amp;[SC]"), " ")</f>
        <v>5995</v>
      </c>
      <c r="E218" s="21">
        <f t="shared" si="48"/>
        <v>0.94716901704904233</v>
      </c>
      <c r="F218" s="31">
        <f>IFERROR(GETPIVOTDATA("[Measures].[mOldUGOS]",'Pivot Table Totals'!$A$31,"[Range 1].[State]","[Range 1].[State].&amp;[SC]")," ")</f>
        <v>11537.5</v>
      </c>
      <c r="G218" s="31">
        <f>IFERROR(GETPIVOTDATA("[Measures].[mNewUGOS]",'Pivot Table Totals'!$A$31,"[Range 1].[State]","[Range 1].[State].&amp;[SC]"), " ")</f>
        <v>11756</v>
      </c>
      <c r="H218" s="21">
        <f t="shared" si="49"/>
        <v>1.8938244853737813</v>
      </c>
      <c r="I218" s="31">
        <f>IFERROR(GETPIVOTDATA("[Measures].[mOldGIS]",'Pivot Table Totals'!$A$31,"[Range 1].[State]","[Range 1].[State].&amp;[SC]")," ")</f>
        <v>0</v>
      </c>
      <c r="J218" s="31">
        <f>IFERROR(GETPIVOTDATA("[Measures].[mNewGIS]",'Pivot Table Totals'!$A$31,"[Range 1].[State]","[Range 1].[State].&amp;[SC]"), " ")</f>
        <v>0</v>
      </c>
      <c r="K218" s="21">
        <f t="shared" si="50"/>
        <v>0</v>
      </c>
      <c r="L218" s="31">
        <f>IFERROR(GETPIVOTDATA("[Measures].[mOldGOS]",'Pivot Table Totals'!$A$31,"[Range 1].[State]","[Range 1].[State].&amp;[SC]"), " ")</f>
        <v>0</v>
      </c>
      <c r="M218" s="31">
        <f>IFERROR(GETPIVOTDATA("[Measures].[mNewGOS]",'Pivot Table Totals'!$A$31,"[Range 1].[State]","[Range 1].[State].&amp;[SC]"), " ")</f>
        <v>0</v>
      </c>
      <c r="N218" s="21">
        <f t="shared" si="51"/>
        <v>0</v>
      </c>
      <c r="O218" s="36"/>
      <c r="P218" s="37"/>
      <c r="Q218" s="38"/>
      <c r="R218" s="36"/>
      <c r="S218" s="37"/>
      <c r="T218" s="38"/>
      <c r="U218" s="36"/>
      <c r="V218" s="37"/>
      <c r="W218" s="38"/>
      <c r="X218" s="36"/>
      <c r="Y218" s="37"/>
      <c r="Z218" s="38"/>
      <c r="AA218" s="36"/>
      <c r="AB218" s="37"/>
      <c r="AC218" s="38"/>
      <c r="AD218" s="36"/>
      <c r="AE218" s="37"/>
      <c r="AF218" s="38"/>
      <c r="AG218" s="36"/>
      <c r="AH218" s="37"/>
      <c r="AI218" s="38"/>
      <c r="AJ218" s="36"/>
      <c r="AK218" s="37"/>
      <c r="AL218" s="38"/>
      <c r="AM218" s="36"/>
      <c r="AN218" s="37"/>
      <c r="AO218" s="38"/>
      <c r="AP218" s="36"/>
      <c r="AQ218" s="37"/>
      <c r="AR218" s="38"/>
      <c r="AS218" s="36"/>
      <c r="AT218" s="37"/>
      <c r="AU218" s="38"/>
      <c r="AV218" s="36"/>
      <c r="AW218" s="37"/>
      <c r="AX218" s="38"/>
      <c r="AY218" s="36"/>
      <c r="AZ218" s="37"/>
      <c r="BA218" s="38"/>
      <c r="BB218" s="36"/>
      <c r="BC218" s="37"/>
      <c r="BD218" s="38"/>
    </row>
    <row r="219" spans="1:56">
      <c r="A219" s="28"/>
      <c r="B219" s="19" t="s">
        <v>556</v>
      </c>
      <c r="C219" s="20" t="str">
        <f>IFERROR(GETPIVOTDATA("[Measures].[mOldUGIS]",'Pivot Table Cats'!$A$3,"[Range 1].[State]","[Range 1].[State].&amp;[SC]","[Range 1].[Type]","[Range 1].[Type].&amp;[12]")," ")</f>
        <v xml:space="preserve"> </v>
      </c>
      <c r="D219" s="20" t="str">
        <f>IFERROR(GETPIVOTDATA("[Measures].[mNewUGIS]",'Pivot Table Cats'!$A$3,"[Range 1].[State]","[Range 1].[State].&amp;[SC]","[Range 1].[Type]","[Range 1].[Type].&amp;[12]")," ")</f>
        <v xml:space="preserve"> </v>
      </c>
      <c r="E219" s="21" t="str">
        <f t="shared" si="48"/>
        <v xml:space="preserve"> </v>
      </c>
      <c r="F219" s="20" t="str">
        <f>IFERROR(GETPIVOTDATA("[Measures].[mOldUGOS]",'Pivot Table Cats'!$A$3,"[Range 1].[State]","[Range 1].[State].&amp;[SC]","[Range 1].[Type]","[Range 1].[Type].&amp;[12]")," ")</f>
        <v xml:space="preserve"> </v>
      </c>
      <c r="G219" s="20" t="str">
        <f>IFERROR(GETPIVOTDATA("[Measures].[mNewUGOS]",'Pivot Table Cats'!$A$3,"[Range 1].[State]","[Range 1].[State].&amp;[SC]","[Range 1].[Type]","[Range 1].[Type].&amp;[12]")," ")</f>
        <v xml:space="preserve"> </v>
      </c>
      <c r="H219" s="21" t="str">
        <f t="shared" si="49"/>
        <v xml:space="preserve"> </v>
      </c>
      <c r="I219" s="20" t="str">
        <f>IFERROR(GETPIVOTDATA("[Measures].[mOldGIS]",'Pivot Table Cats'!$A$3,"[Range 1].[State]","[Range 1].[State].&amp;[SC]","[Range 1].[Type]","[Range 1].[Type].&amp;[12]")," ")</f>
        <v xml:space="preserve"> </v>
      </c>
      <c r="J219" s="20" t="str">
        <f>IFERROR(GETPIVOTDATA("[Measures].[mNewGIS]",'Pivot Table Cats'!$A$3,"[Range 1].[State]","[Range 1].[State].&amp;[SC]","[Range 1].[Type]","[Range 1].[Type].&amp;[12]")," ")</f>
        <v xml:space="preserve"> </v>
      </c>
      <c r="K219" s="21" t="str">
        <f t="shared" si="50"/>
        <v xml:space="preserve"> </v>
      </c>
      <c r="L219" s="20" t="str">
        <f>IFERROR(GETPIVOTDATA("[Measures].[mOldGOS]",'Pivot Table Cats'!$A$3,"[Range 1].[State]","[Range 1].[State].&amp;[SC]","[Range 1].[Type]","[Range 1].[Type].&amp;[12]")," ")</f>
        <v xml:space="preserve"> </v>
      </c>
      <c r="M219" s="20" t="str">
        <f>IFERROR(GETPIVOTDATA("[Measures].[mNewGOS]",'Pivot Table Cats'!$A$3,"[Range 1].[State]","[Range 1].[State].&amp;[SC]","[Range 1].[Type]","[Range 1].[Type].&amp;[12]")," ")</f>
        <v xml:space="preserve"> </v>
      </c>
      <c r="N219" s="21" t="str">
        <f t="shared" si="51"/>
        <v xml:space="preserve"> </v>
      </c>
      <c r="O219" s="25"/>
      <c r="P219" s="26"/>
      <c r="Q219" s="27"/>
      <c r="R219" s="25"/>
      <c r="S219" s="26"/>
      <c r="T219" s="27"/>
      <c r="U219" s="25"/>
      <c r="V219" s="26"/>
      <c r="W219" s="27"/>
      <c r="X219" s="25"/>
      <c r="Y219" s="26"/>
      <c r="Z219" s="27"/>
      <c r="AA219" s="25"/>
      <c r="AB219" s="26"/>
      <c r="AC219" s="27"/>
      <c r="AD219" s="25"/>
      <c r="AE219" s="26"/>
      <c r="AF219" s="27"/>
      <c r="AG219" s="25"/>
      <c r="AH219" s="26"/>
      <c r="AI219" s="27"/>
      <c r="AJ219" s="25"/>
      <c r="AK219" s="26"/>
      <c r="AL219" s="27"/>
      <c r="AM219" s="25"/>
      <c r="AN219" s="26"/>
      <c r="AO219" s="27"/>
      <c r="AP219" s="25"/>
      <c r="AQ219" s="26"/>
      <c r="AR219" s="27"/>
      <c r="AS219" s="25"/>
      <c r="AT219" s="26"/>
      <c r="AU219" s="27"/>
      <c r="AV219" s="25"/>
      <c r="AW219" s="26"/>
      <c r="AX219" s="27"/>
      <c r="AY219" s="25"/>
      <c r="AZ219" s="26"/>
      <c r="BA219" s="27"/>
      <c r="BB219" s="25"/>
      <c r="BC219" s="26"/>
      <c r="BD219" s="27"/>
    </row>
    <row r="220" spans="1:56">
      <c r="A220" s="28"/>
      <c r="B220" s="19" t="s">
        <v>557</v>
      </c>
      <c r="C220" s="20" t="str">
        <f>IFERROR(GETPIVOTDATA("[Measures].[mOldUGIS]",'Pivot Table Cats'!$A$3,"[Range 1].[State]","[Range 1].[State].&amp;[SC]","[Range 1].[Type]","[Range 1].[Type].&amp;[13]")," ")</f>
        <v xml:space="preserve"> </v>
      </c>
      <c r="D220" s="20" t="str">
        <f>IFERROR(GETPIVOTDATA("[Measures].[mNewUGIS]",'Pivot Table Cats'!$A$3,"[Range 1].[State]","[Range 1].[State].&amp;[SC]","[Range 1].[Type]","[Range 1].[Type].&amp;[13]")," ")</f>
        <v xml:space="preserve"> </v>
      </c>
      <c r="E220" s="21" t="str">
        <f t="shared" si="48"/>
        <v xml:space="preserve"> </v>
      </c>
      <c r="F220" s="20" t="str">
        <f>IFERROR(GETPIVOTDATA("[Measures].[mOldUGOS]",'Pivot Table Cats'!$A$3,"[Range 1].[State]","[Range 1].[State].&amp;[SC]","[Range 1].[Type]","[Range 1].[Type].&amp;[13]")," ")</f>
        <v xml:space="preserve"> </v>
      </c>
      <c r="G220" s="20" t="str">
        <f>IFERROR(GETPIVOTDATA("[Measures].[mNewUGOS]",'Pivot Table Cats'!$A$3,"[Range 1].[State]","[Range 1].[State].&amp;[SC]","[Range 1].[Type]","[Range 1].[Type].&amp;[13]")," ")</f>
        <v xml:space="preserve"> </v>
      </c>
      <c r="H220" s="21" t="str">
        <f t="shared" si="49"/>
        <v xml:space="preserve"> </v>
      </c>
      <c r="I220" s="20" t="str">
        <f>IFERROR(GETPIVOTDATA("[Measures].[mOldGIS]",'Pivot Table Cats'!$A$3,"[Range 1].[State]","[Range 1].[State].&amp;[SC]","[Range 1].[Type]","[Range 1].[Type].&amp;[13]")," ")</f>
        <v xml:space="preserve"> </v>
      </c>
      <c r="J220" s="20" t="str">
        <f>IFERROR(GETPIVOTDATA("[Measures].[mNewGIS]",'Pivot Table Cats'!$A$3,"[Range 1].[State]","[Range 1].[State].&amp;[SC]","[Range 1].[Type]","[Range 1].[Type].&amp;[13]")," ")</f>
        <v xml:space="preserve"> </v>
      </c>
      <c r="K220" s="21" t="str">
        <f t="shared" si="50"/>
        <v xml:space="preserve"> </v>
      </c>
      <c r="L220" s="20" t="str">
        <f>IFERROR(GETPIVOTDATA("[Measures].[mOldGOS]",'Pivot Table Cats'!$A$3,"[Range 1].[State]","[Range 1].[State].&amp;[SC]","[Range 1].[Type]","[Range 1].[Type].&amp;[13]")," ")</f>
        <v xml:space="preserve"> </v>
      </c>
      <c r="M220" s="20" t="str">
        <f>IFERROR(GETPIVOTDATA("[Measures].[mNewGOS]",'Pivot Table Cats'!$A$3,"[Range 1].[State]","[Range 1].[State].&amp;[SC]","[Range 1].[Type]","[Range 1].[Type].&amp;[13]")," ")</f>
        <v xml:space="preserve"> </v>
      </c>
      <c r="N220" s="21" t="str">
        <f t="shared" si="51"/>
        <v xml:space="preserve"> </v>
      </c>
      <c r="O220" s="25"/>
      <c r="P220" s="26"/>
      <c r="Q220" s="27"/>
      <c r="R220" s="25"/>
      <c r="S220" s="26"/>
      <c r="T220" s="27"/>
      <c r="U220" s="25"/>
      <c r="V220" s="26"/>
      <c r="W220" s="27"/>
      <c r="X220" s="25"/>
      <c r="Y220" s="26"/>
      <c r="Z220" s="27"/>
      <c r="AA220" s="25"/>
      <c r="AB220" s="26"/>
      <c r="AC220" s="27"/>
      <c r="AD220" s="25"/>
      <c r="AE220" s="26"/>
      <c r="AF220" s="27"/>
      <c r="AG220" s="25"/>
      <c r="AH220" s="26"/>
      <c r="AI220" s="27"/>
      <c r="AJ220" s="25"/>
      <c r="AK220" s="26"/>
      <c r="AL220" s="27"/>
      <c r="AM220" s="25"/>
      <c r="AN220" s="26"/>
      <c r="AO220" s="27"/>
      <c r="AP220" s="25"/>
      <c r="AQ220" s="26"/>
      <c r="AR220" s="27"/>
      <c r="AS220" s="25"/>
      <c r="AT220" s="26"/>
      <c r="AU220" s="27"/>
      <c r="AV220" s="25"/>
      <c r="AW220" s="26"/>
      <c r="AX220" s="27"/>
      <c r="AY220" s="25"/>
      <c r="AZ220" s="26"/>
      <c r="BA220" s="27"/>
      <c r="BB220" s="25"/>
      <c r="BC220" s="26"/>
      <c r="BD220" s="27"/>
    </row>
    <row r="221" spans="1:56">
      <c r="A221" s="28"/>
      <c r="B221" s="19" t="s">
        <v>558</v>
      </c>
      <c r="C221" s="20" t="str">
        <f>IFERROR(GETPIVOTDATA("[Measures].[mOldUGIS]",'Pivot Table Cats'!$A$3,"[Range 1].[State]","[Range 1].[State].&amp;[SC]","[Range 1].[Type]","[Range 1].[Type].&amp;[14]")," ")</f>
        <v xml:space="preserve"> </v>
      </c>
      <c r="D221" s="20" t="str">
        <f>IFERROR(GETPIVOTDATA("[Measures].[mNewUGIS]",'Pivot Table Cats'!$A$3,"[Range 1].[State]","[Range 1].[State].&amp;[SC]","[Range 1].[Type]","[Range 1].[Type].&amp;[14]")," ")</f>
        <v xml:space="preserve"> </v>
      </c>
      <c r="E221" s="21" t="str">
        <f t="shared" si="48"/>
        <v xml:space="preserve"> </v>
      </c>
      <c r="F221" s="20" t="str">
        <f>IFERROR(GETPIVOTDATA("[Measures].[mOldUGOS]",'Pivot Table Cats'!$A$3,"[Range 1].[State]","[Range 1].[State].&amp;[SC]","[Range 1].[Type]","[Range 1].[Type].&amp;[14]")," ")</f>
        <v xml:space="preserve"> </v>
      </c>
      <c r="G221" s="20" t="str">
        <f>IFERROR(GETPIVOTDATA("[Measures].[mNewUGOS]",'Pivot Table Cats'!$A$3,"[Range 1].[State]","[Range 1].[State].&amp;[SC]","[Range 1].[Type]","[Range 1].[Type].&amp;[14]")," ")</f>
        <v xml:space="preserve"> </v>
      </c>
      <c r="H221" s="21" t="str">
        <f t="shared" si="49"/>
        <v xml:space="preserve"> </v>
      </c>
      <c r="I221" s="20" t="str">
        <f>IFERROR(GETPIVOTDATA("[Measures].[mOldGIS]",'Pivot Table Cats'!$A$3,"[Range 1].[State]","[Range 1].[State].&amp;[SC]","[Range 1].[Type]","[Range 1].[Type].&amp;[14]")," ")</f>
        <v xml:space="preserve"> </v>
      </c>
      <c r="J221" s="20" t="str">
        <f>IFERROR(GETPIVOTDATA("[Measures].[mNewGIS]",'Pivot Table Cats'!$A$3,"[Range 1].[State]","[Range 1].[State].&amp;[SC]","[Range 1].[Type]","[Range 1].[Type].&amp;[14]")," ")</f>
        <v xml:space="preserve"> </v>
      </c>
      <c r="K221" s="21" t="str">
        <f t="shared" si="50"/>
        <v xml:space="preserve"> </v>
      </c>
      <c r="L221" s="20" t="str">
        <f>IFERROR(GETPIVOTDATA("[Measures].[mOldGOS]",'Pivot Table Cats'!$A$3,"[Range 1].[State]","[Range 1].[State].&amp;[SC]","[Range 1].[Type]","[Range 1].[Type].&amp;[14]")," ")</f>
        <v xml:space="preserve"> </v>
      </c>
      <c r="M221" s="20" t="str">
        <f>IFERROR(GETPIVOTDATA("[Measures].[mNewGOS]",'Pivot Table Cats'!$A$3,"[Range 1].[State]","[Range 1].[State].&amp;[SC]","[Range 1].[Type]","[Range 1].[Type].&amp;[14]")," ")</f>
        <v xml:space="preserve"> </v>
      </c>
      <c r="N221" s="21" t="str">
        <f t="shared" si="51"/>
        <v xml:space="preserve"> </v>
      </c>
      <c r="O221" s="25"/>
      <c r="P221" s="26"/>
      <c r="Q221" s="27"/>
      <c r="R221" s="25"/>
      <c r="S221" s="26"/>
      <c r="T221" s="27"/>
      <c r="U221" s="25"/>
      <c r="V221" s="26"/>
      <c r="W221" s="27"/>
      <c r="X221" s="25"/>
      <c r="Y221" s="26"/>
      <c r="Z221" s="27"/>
      <c r="AA221" s="25"/>
      <c r="AB221" s="26"/>
      <c r="AC221" s="27"/>
      <c r="AD221" s="25"/>
      <c r="AE221" s="26"/>
      <c r="AF221" s="27"/>
      <c r="AG221" s="25"/>
      <c r="AH221" s="26"/>
      <c r="AI221" s="27"/>
      <c r="AJ221" s="25"/>
      <c r="AK221" s="26"/>
      <c r="AL221" s="27"/>
      <c r="AM221" s="25"/>
      <c r="AN221" s="26"/>
      <c r="AO221" s="27"/>
      <c r="AP221" s="25"/>
      <c r="AQ221" s="26"/>
      <c r="AR221" s="27"/>
      <c r="AS221" s="25"/>
      <c r="AT221" s="26"/>
      <c r="AU221" s="27"/>
      <c r="AV221" s="25"/>
      <c r="AW221" s="26"/>
      <c r="AX221" s="27"/>
      <c r="AY221" s="25"/>
      <c r="AZ221" s="26"/>
      <c r="BA221" s="27"/>
      <c r="BB221" s="25"/>
      <c r="BC221" s="26"/>
      <c r="BD221" s="27"/>
    </row>
    <row r="222" spans="1:56" s="49" customFormat="1" ht="21.75" customHeight="1">
      <c r="A222" s="48"/>
      <c r="B222" s="50" t="s">
        <v>559</v>
      </c>
      <c r="C222" s="31" t="str">
        <f>IFERROR(GETPIVOTDATA("[Measures].[mOldUGIS]",'Pivot Table Totals'!$A$59,"[Range 1].[State]","[Range 1].[State].&amp;[SC]"), " ")</f>
        <v xml:space="preserve"> </v>
      </c>
      <c r="D222" s="31" t="str">
        <f>IFERROR(GETPIVOTDATA("[Measures].[mNewUGIS]",'Pivot Table Totals'!$A$59,"[Range 1].[State]","[Range 1].[State].&amp;[SC]"), " ")</f>
        <v xml:space="preserve"> </v>
      </c>
      <c r="E222" s="21" t="str">
        <f t="shared" si="48"/>
        <v xml:space="preserve"> </v>
      </c>
      <c r="F222" s="31" t="str">
        <f>IFERROR(GETPIVOTDATA("[Measures].[mOldUGOS]",'Pivot Table Totals'!$A$59,"[Range 1].[State]","[Range 1].[State].&amp;[SC]"), " " )</f>
        <v xml:space="preserve"> </v>
      </c>
      <c r="G222" s="31" t="str">
        <f>IFERROR(GETPIVOTDATA("[Measures].[mNewUGOS]",'Pivot Table Totals'!$A$59,"[Range 1].[State]","[Range 1].[State].&amp;[SC]"), " ")</f>
        <v xml:space="preserve"> </v>
      </c>
      <c r="H222" s="21" t="str">
        <f t="shared" si="49"/>
        <v xml:space="preserve"> </v>
      </c>
      <c r="I222" s="31" t="str">
        <f>IFERROR(GETPIVOTDATA("[Measures].[mOldGIS]",'Pivot Table Totals'!$A$59,"[Range 1].[State]","[Range 1].[State].&amp;[SC]"), " ")</f>
        <v xml:space="preserve"> </v>
      </c>
      <c r="J222" s="31" t="str">
        <f>IFERROR(GETPIVOTDATA("[Measures].[mNewGIS]",'Pivot Table Totals'!$A$59,"[Range 1].[State]","[Range 1].[State].&amp;[SC]"), " ")</f>
        <v xml:space="preserve"> </v>
      </c>
      <c r="K222" s="21" t="str">
        <f t="shared" si="50"/>
        <v xml:space="preserve"> </v>
      </c>
      <c r="L222" s="31" t="str">
        <f>IFERROR(GETPIVOTDATA("[Measures].[mOldGOS]",'Pivot Table Totals'!$A$59,"[Range 1].[State]","[Range 1].[State].&amp;[SC]"), " ")</f>
        <v xml:space="preserve"> </v>
      </c>
      <c r="M222" s="31" t="str">
        <f>IFERROR(GETPIVOTDATA("[Measures].[mNewGOS]",'Pivot Table Totals'!$A$59,"[Range 1].[State]","[Range 1].[State].&amp;[SC]"), " ")</f>
        <v xml:space="preserve"> </v>
      </c>
      <c r="N222" s="21" t="str">
        <f t="shared" si="51"/>
        <v xml:space="preserve"> </v>
      </c>
      <c r="O222" s="36"/>
      <c r="P222" s="37"/>
      <c r="Q222" s="38"/>
      <c r="R222" s="36"/>
      <c r="S222" s="37"/>
      <c r="T222" s="38"/>
      <c r="U222" s="36"/>
      <c r="V222" s="37"/>
      <c r="W222" s="38"/>
      <c r="X222" s="36"/>
      <c r="Y222" s="37"/>
      <c r="Z222" s="38"/>
      <c r="AA222" s="36"/>
      <c r="AB222" s="37"/>
      <c r="AC222" s="38"/>
      <c r="AD222" s="36"/>
      <c r="AE222" s="37"/>
      <c r="AF222" s="38"/>
      <c r="AG222" s="36"/>
      <c r="AH222" s="37"/>
      <c r="AI222" s="38"/>
      <c r="AJ222" s="36"/>
      <c r="AK222" s="37"/>
      <c r="AL222" s="38"/>
      <c r="AM222" s="36"/>
      <c r="AN222" s="37"/>
      <c r="AO222" s="38"/>
      <c r="AP222" s="36"/>
      <c r="AQ222" s="37"/>
      <c r="AR222" s="38"/>
      <c r="AS222" s="36"/>
      <c r="AT222" s="37"/>
      <c r="AU222" s="38"/>
      <c r="AV222" s="36"/>
      <c r="AW222" s="37"/>
      <c r="AX222" s="38"/>
      <c r="AY222" s="36"/>
      <c r="AZ222" s="37"/>
      <c r="BA222" s="38"/>
      <c r="BB222" s="36"/>
      <c r="BC222" s="37"/>
      <c r="BD222" s="38"/>
    </row>
    <row r="223" spans="1:56">
      <c r="A223" s="40"/>
      <c r="B223" s="41" t="s">
        <v>560</v>
      </c>
      <c r="C223" s="42"/>
      <c r="D223" s="42"/>
      <c r="E223" s="335"/>
      <c r="F223" s="42"/>
      <c r="G223" s="42"/>
      <c r="H223" s="44"/>
      <c r="I223" s="45"/>
      <c r="J223" s="42"/>
      <c r="K223" s="44"/>
      <c r="L223" s="45"/>
      <c r="M223" s="42"/>
      <c r="N223" s="44"/>
      <c r="O223" s="336">
        <f>IFERROR(GETPIVOTDATA("[Measures].[mOldLawIS]",'Pivot Table Totals'!$A$79,"[Range 1].[State]","[Range 1].[State].&amp;[SC]"), " ")</f>
        <v>21472</v>
      </c>
      <c r="P223" s="42">
        <f>IFERROR(GETPIVOTDATA("[Measures].[mNewLawIS]",'Pivot Table Totals'!$A$79,"[Range 1].[State]","[Range 1].[State].&amp;[SC]"), " ")</f>
        <v>21472</v>
      </c>
      <c r="Q223" s="46">
        <f>IFERROR(IF(O223&gt;0,(((P223-O223)/O223)*100),0), " ")</f>
        <v>0</v>
      </c>
      <c r="R223" s="336">
        <f>IFERROR(GETPIVOTDATA("[Measures].[mOldLawOS]",'Pivot Table Totals'!$A$79,"[Range 1].[State]","[Range 1].[State].&amp;[SC]"), " ")</f>
        <v>52480</v>
      </c>
      <c r="S223" s="336">
        <f>IFERROR(GETPIVOTDATA("[Measures].[mNewLawOS]",'Pivot Table Totals'!$A$79,"[Range 1].[State]","[Range 1].[State].&amp;[SC]"), " ")</f>
        <v>52480</v>
      </c>
      <c r="T223" s="46">
        <f>IFERROR(IF(R223&gt;0,(((S223-R223)/R223)*100),0), " ")</f>
        <v>0</v>
      </c>
      <c r="U223" s="336">
        <f>IFERROR(GETPIVOTDATA("[Measures].[mOldMedIS]",'Pivot Table Totals'!$A$79,"[Range 1].[State]","[Range 1].[State].&amp;[SC]"), " ")</f>
        <v>40258.5</v>
      </c>
      <c r="V223" s="336">
        <f>IFERROR(GETPIVOTDATA("[Measures].[mNewMedIS]",'Pivot Table Totals'!$A$79,"[Range 1].[State]","[Range 1].[State].&amp;[SC]"), " ")</f>
        <v>40258.5</v>
      </c>
      <c r="W223" s="46">
        <f>IFERROR(IF(U223&gt;0,(((V223-U223)/U223)*100),0), " ")</f>
        <v>0</v>
      </c>
      <c r="X223" s="336">
        <f>IFERROR(GETPIVOTDATA("[Measures].[mOldMedOS]",'Pivot Table Totals'!$A$79,"[Range 1].[State]","[Range 1].[State].&amp;[SC]"), " ")</f>
        <v>76227</v>
      </c>
      <c r="Y223" s="336">
        <f>IFERROR(GETPIVOTDATA("[Measures].[mNewMedOS]",'Pivot Table Totals'!$A$79,"[Range 1].[State]","[Range 1].[State].&amp;[SC]"), " ")</f>
        <v>76227</v>
      </c>
      <c r="Z223" s="46">
        <f>IFERROR(IF(X223&gt;0,(((Y223-X223)/X223)*100),0), " ")</f>
        <v>0</v>
      </c>
      <c r="AA223" s="336">
        <f>IFERROR(GETPIVOTDATA("[Measures].[mOldDenIS]",'Pivot Table Totals'!$A$79,"[Range 1].[State]","[Range 1].[State].&amp;[SC]"), " ")</f>
        <v>34300</v>
      </c>
      <c r="AB223" s="336">
        <f>IFERROR(GETPIVOTDATA("[Measures].[mNewDenIS]",'Pivot Table Totals'!$A$79,"[Range 1].[State]","[Range 1].[State].&amp;[SC]"), " ")</f>
        <v>34300</v>
      </c>
      <c r="AC223" s="46">
        <f>IFERROR(IF(AA223&gt;0,(((AB223-AA223)/AA223)*100),0), " ")</f>
        <v>0</v>
      </c>
      <c r="AD223" s="336">
        <f>IFERROR(GETPIVOTDATA("[Measures].[mOldDenOS]",'Pivot Table Totals'!$A$79,"[Range 1].[State]","[Range 1].[State].&amp;[SC]"), " ")</f>
        <v>60000</v>
      </c>
      <c r="AE223" s="336">
        <f>IFERROR(GETPIVOTDATA("[Measures].[mNewDenOS]",'Pivot Table Totals'!$A$79,"[Range 1].[State]","[Range 1].[State].&amp;[SC]"), " ")</f>
        <v>60000</v>
      </c>
      <c r="AF223" s="46">
        <f>IFERROR(IF(AD223&gt;0,(((AE223-AD223)/AD223)*100),0), " ")</f>
        <v>0</v>
      </c>
      <c r="AG223" s="336">
        <f>IFERROR(GETPIVOTDATA("[Measures].[mOldPhrIS]",'Pivot Table Totals'!$A$79,"[Range 1].[State]","[Range 1].[State].&amp;[SC]"), " ")</f>
        <v>26725.5</v>
      </c>
      <c r="AH223" s="336">
        <f>IFERROR(GETPIVOTDATA("[Measures].[mNewPhIS]",'Pivot Table Totals'!$A$79,"[Range 1].[State]","[Range 1].[State].&amp;[SC]"), " ")</f>
        <v>26725.5</v>
      </c>
      <c r="AI223" s="46">
        <f>IFERROR(IF(AG223&gt;0,(((AH223-AG223)/AG223)*100),0), " ")</f>
        <v>0</v>
      </c>
      <c r="AJ223" s="336">
        <f>IFERROR(GETPIVOTDATA("[Measures].[mOldPhrOS]",'Pivot Table Totals'!$A$79,"[Range 1].[State]","[Range 1].[State].&amp;[SC]"), " ")</f>
        <v>39374.5</v>
      </c>
      <c r="AK223" s="336">
        <f>IFERROR(GETPIVOTDATA("[Measures].[mNewPhrOS]",'Pivot Table Totals'!$A$79,"[Range 1].[State]","[Range 1].[State].&amp;[SC]"), " ")</f>
        <v>39374.5</v>
      </c>
      <c r="AL223" s="46">
        <f>IFERROR(IF(AJ223&gt;0,(((AQ223-AJ223)/AJ223)*100),0), " ")</f>
        <v>-100</v>
      </c>
      <c r="AM223" s="336">
        <f>IFERROR(GETPIVOTDATA("[Measures].[mOldOptIS]",'Pivot Table Totals'!$A$79,"[Range 1].[State]","[Range 1].[State].&amp;[SC]"), " ")</f>
        <v>0</v>
      </c>
      <c r="AN223" s="336">
        <f>IFERROR(GETPIVOTDATA("[Measures].[mNewOptIS]",'Pivot Table Totals'!$A$79,"[Range 1].[State]","[Range 1].[State].&amp;[SC]"), " ")</f>
        <v>0</v>
      </c>
      <c r="AO223" s="46">
        <f>IFERROR(IF(AM223&gt;0,(((AN223-AM223)/AM223)*100),0), " ")</f>
        <v>0</v>
      </c>
      <c r="AP223" s="336">
        <f>IFERROR(GETPIVOTDATA("[Measures].[mOldOptoS]",'Pivot Table Totals'!$A$79,"[Range 1].[State]","[Range 1].[State].&amp;[SC]"), " ")</f>
        <v>0</v>
      </c>
      <c r="AQ223" s="336">
        <f>IFERROR(GETPIVOTDATA("[Measures].[mNewOptoS]",'Pivot Table Totals'!$A$79,"[Range 1].[State]","[Range 1].[State].&amp;[SC]"), " ")</f>
        <v>0</v>
      </c>
      <c r="AR223" s="46">
        <f>IFERROR(IF(AP223&gt;0,(((AQ223-AP223)/AP223)*100),0), " ")</f>
        <v>0</v>
      </c>
      <c r="AS223" s="336">
        <f>IFERROR(GETPIVOTDATA("[Measures].[mOldOstIS]",'Pivot Table Totals'!$A$79,"[Range 1].[State]","[Range 1].[State].&amp;[SC]"), " ")</f>
        <v>0</v>
      </c>
      <c r="AT223" s="336">
        <f>IFERROR(GETPIVOTDATA("[Measures].[mNewOstIS]",'Pivot Table Totals'!$A$79,"[Range 1].[State]","[Range 1].[State].&amp;[SC]"), " ")</f>
        <v>0</v>
      </c>
      <c r="AU223" s="46">
        <f>IFERROR(IF(AS223&gt;0,(((AT223-AS223)/AS223)*100),0), " ")</f>
        <v>0</v>
      </c>
      <c r="AV223" s="336">
        <f>IFERROR(GETPIVOTDATA("[Measures].[mOldOstOS]",'Pivot Table Totals'!$A$79,"[Range 1].[State]","[Range 1].[State].&amp;[SC]"), " ")</f>
        <v>0</v>
      </c>
      <c r="AW223" s="336">
        <f>IFERROR(GETPIVOTDATA("[Measures].[mNewOstOS]",'Pivot Table Totals'!$A$79,"[Range 1].[State]","[Range 1].[State].&amp;[SC]"), " ")</f>
        <v>0</v>
      </c>
      <c r="AX223" s="46">
        <f>IFERROR(IF(AV223&gt;0,(((AW223-AV223)/AV223)*100),0), " ")</f>
        <v>0</v>
      </c>
      <c r="AY223" s="336">
        <f>IFERROR(GETPIVOTDATA("[Measures].[m[OldVetIS]",'Pivot Table Totals'!$A$79,"[Range 1].[State]","[Range 1].[State].&amp;[SC]"), " ")</f>
        <v>0</v>
      </c>
      <c r="AZ223" s="336">
        <f>IFERROR(GETPIVOTDATA("[Measures].[mNewVetIS]",'Pivot Table Totals'!$A$79,"[Range 1].[State]","[Range 1].[State].&amp;[SC]"), " ")</f>
        <v>0</v>
      </c>
      <c r="BA223" s="46">
        <f>IFERROR(IF(AY223&gt;0,(((AZ223-AY223)/AY223)*100),0), " ")</f>
        <v>0</v>
      </c>
      <c r="BB223" s="336">
        <f>IFERROR(GETPIVOTDATA("[Measures].[mOldVetOS]",'Pivot Table Totals'!$A$79,"[Range 1].[State]","[Range 1].[State].&amp;[SC]"), " ")</f>
        <v>0</v>
      </c>
      <c r="BC223" s="336">
        <f>IFERROR(GETPIVOTDATA("[Measures].[mNewVetOS]",'Pivot Table Totals'!$A$79,"[Range 1].[State]","[Range 1].[State].&amp;[SC]"), " ")</f>
        <v>0</v>
      </c>
      <c r="BD223" s="46">
        <f>IFERROR(IF(BB223&gt;0,(((BC223-BB223)/BB223)*100),0), " ")</f>
        <v>0</v>
      </c>
    </row>
    <row r="224" spans="1:56">
      <c r="A224" s="18" t="s">
        <v>393</v>
      </c>
      <c r="B224" s="19" t="s">
        <v>544</v>
      </c>
      <c r="C224" s="20">
        <f>IFERROR(GETPIVOTDATA("[Measures].[mOldUGIS]",'Pivot Table Cats'!$A$3,"[Range 1].[State]","[Range 1].[State].&amp;[TN]","[Range 1].[Type]","[Range 1].[Type].&amp;[1]")," ")</f>
        <v>11600</v>
      </c>
      <c r="D224" s="20">
        <f>IFERROR(GETPIVOTDATA("[Measures].[mNewUGIS]",'Pivot Table Cats'!$A$3,"[Range 1].[State]","[Range 1].[State].&amp;[TN]","[Range 1].[Type]","[Range 1].[Type].&amp;[1]")," ")</f>
        <v>11650</v>
      </c>
      <c r="E224" s="21">
        <f>IFERROR(IF(C224&gt;0,(((D224-C224)/C224)*100),0), " ")</f>
        <v>0.43103448275862066</v>
      </c>
      <c r="F224" s="20">
        <f>IFERROR(GETPIVOTDATA("[Measures].[mOldUGOS]",'Pivot Table Cats'!$A$3,"[Range 1].[State]","[Range 1].[State].&amp;[TN]","[Range 1].[Type]","[Range 1].[Type].&amp;[1]")," ")</f>
        <v>24239</v>
      </c>
      <c r="G224" s="20">
        <f>IFERROR(GETPIVOTDATA("[Measures].[mNewUGOS]",'Pivot Table Cats'!$A$3,"[Range 1].[State]","[Range 1].[State].&amp;[TN]","[Range 1].[Type]","[Range 1].[Type].&amp;[1]")," ")</f>
        <v>24309</v>
      </c>
      <c r="H224" s="21">
        <f>IFERROR(IF(F224&gt;0,(((G224-F224)/F224)*100),0), " ")</f>
        <v>0.28879079169932753</v>
      </c>
      <c r="I224" s="20">
        <f>IFERROR(GETPIVOTDATA("[Measures].[mOldGIS]",'Pivot Table Cats'!$A$3,"[Range 1].[State]","[Range 1].[State].&amp;[TN]","[Range 1].[Type]","[Range 1].[Type].&amp;[1]")," ")</f>
        <v>12660</v>
      </c>
      <c r="J224" s="20">
        <f>IFERROR(GETPIVOTDATA("[Measures].[mNewGIS]",'Pivot Table Cats'!$A$3,"[Range 1].[State]","[Range 1].[State].&amp;[TN]","[Range 1].[Type]","[Range 1].[Type].&amp;[1]")," ")</f>
        <v>12750</v>
      </c>
      <c r="K224" s="21">
        <f>IFERROR(IF(I224&gt;0,(((J224-I224)/I224)*100),0), " ")</f>
        <v>0.7109004739336493</v>
      </c>
      <c r="L224" s="20">
        <f>IFERROR(GETPIVOTDATA("[Measures].[mOldGOS]",'Pivot Table Cats'!$A$3,"[Range 1].[State]","[Range 1].[State].&amp;[TN]","[Range 1].[Type]","[Range 1].[Type].&amp;[1]")," ")</f>
        <v>25197</v>
      </c>
      <c r="M224" s="20">
        <f>IFERROR(GETPIVOTDATA("[Measures].[mNewGOS]",'Pivot Table Cats'!$A$3,"[Range 1].[State]","[Range 1].[State].&amp;[TN]","[Range 1].[Type]","[Range 1].[Type].&amp;[1]")," ")</f>
        <v>25310</v>
      </c>
      <c r="N224" s="21">
        <f>IFERROR(IF(L224&gt;0,(((M224-L224)/L224)*100),0), " ")</f>
        <v>0.44846608723260706</v>
      </c>
      <c r="O224" s="25"/>
      <c r="P224" s="26"/>
      <c r="Q224" s="27"/>
      <c r="R224" s="25"/>
      <c r="S224" s="26"/>
      <c r="T224" s="27"/>
      <c r="U224" s="25"/>
      <c r="V224" s="26"/>
      <c r="W224" s="27"/>
      <c r="X224" s="25"/>
      <c r="Y224" s="26"/>
      <c r="Z224" s="27"/>
      <c r="AA224" s="25"/>
      <c r="AB224" s="26"/>
      <c r="AC224" s="27"/>
      <c r="AD224" s="25"/>
      <c r="AE224" s="26"/>
      <c r="AF224" s="27"/>
      <c r="AG224" s="25"/>
      <c r="AH224" s="26"/>
      <c r="AI224" s="27"/>
      <c r="AJ224" s="25"/>
      <c r="AK224" s="26"/>
      <c r="AL224" s="27"/>
      <c r="AM224" s="25"/>
      <c r="AN224" s="26"/>
      <c r="AO224" s="27"/>
      <c r="AP224" s="25"/>
      <c r="AQ224" s="26"/>
      <c r="AR224" s="27"/>
      <c r="AS224" s="25"/>
      <c r="AT224" s="26"/>
      <c r="AU224" s="27"/>
      <c r="AV224" s="25"/>
      <c r="AW224" s="26"/>
      <c r="AX224" s="27"/>
      <c r="AY224" s="25"/>
      <c r="AZ224" s="26"/>
      <c r="BA224" s="27"/>
      <c r="BB224" s="25"/>
      <c r="BC224" s="26"/>
      <c r="BD224" s="27"/>
    </row>
    <row r="225" spans="1:56">
      <c r="A225" s="28"/>
      <c r="B225" s="19" t="s">
        <v>545</v>
      </c>
      <c r="C225" s="20">
        <f>IFERROR(GETPIVOTDATA("[Measures].[mOldUGIS]",'Pivot Table Cats'!$A$3,"[Range 1].[State]","[Range 1].[State].&amp;[TN]","[Range 1].[Type]","[Range 1].[Type].&amp;[2]")," ")</f>
        <v>9424</v>
      </c>
      <c r="D225" s="20">
        <f>IFERROR(GETPIVOTDATA("[Measures].[mNewUGIS]",'Pivot Table Cats'!$A$3,"[Range 1].[State]","[Range 1].[State].&amp;[TN]","[Range 1].[Type]","[Range 1].[Type].&amp;[2]")," ")</f>
        <v>9592</v>
      </c>
      <c r="E225" s="21">
        <f t="shared" ref="E225:E239" si="52">IFERROR(IF(C225&gt;0,(((D225-C225)/C225)*100),0), " ")</f>
        <v>1.7826825127334467</v>
      </c>
      <c r="F225" s="20">
        <f>IFERROR(GETPIVOTDATA("[Measures].[mOldUGOS]",'Pivot Table Cats'!$A$3,"[Range 1].[State]","[Range 1].[State].&amp;[TN]","[Range 1].[Type]","[Range 1].[Type].&amp;[2]")," ")</f>
        <v>28673</v>
      </c>
      <c r="G225" s="20">
        <f>IFERROR(GETPIVOTDATA("[Measures].[mNewUGOS]",'Pivot Table Cats'!$A$3,"[Range 1].[State]","[Range 1].[State].&amp;[TN]","[Range 1].[Type]","[Range 1].[Type].&amp;[2]")," ")</f>
        <v>28856</v>
      </c>
      <c r="H225" s="21">
        <f t="shared" ref="H225:H239" si="53">IFERROR(IF(F225&gt;0,(((G225-F225)/F225)*100),0), " ")</f>
        <v>0.63823108848045196</v>
      </c>
      <c r="I225" s="20">
        <f>IFERROR(GETPIVOTDATA("[Measures].[mOldGIS]",'Pivot Table Cats'!$A$3,"[Range 1].[State]","[Range 1].[State].&amp;[TN]","[Range 1].[Type]","[Range 1].[Type].&amp;[2]")," ")</f>
        <v>11903</v>
      </c>
      <c r="J225" s="20">
        <f>IFERROR(GETPIVOTDATA("[Measures].[mNewGIS]",'Pivot Table Cats'!$A$3,"[Range 1].[State]","[Range 1].[State].&amp;[TN]","[Range 1].[Type]","[Range 1].[Type].&amp;[2]")," ")</f>
        <v>12104</v>
      </c>
      <c r="K225" s="21">
        <f t="shared" ref="K225:K239" si="54">IFERROR(IF(I225&gt;0,(((J225-I225)/I225)*100),0), " ")</f>
        <v>1.6886499201881879</v>
      </c>
      <c r="L225" s="20">
        <f>IFERROR(GETPIVOTDATA("[Measures].[mOldGOS]",'Pivot Table Cats'!$A$3,"[Range 1].[State]","[Range 1].[State].&amp;[TN]","[Range 1].[Type]","[Range 1].[Type].&amp;[2]")," ")</f>
        <v>27023</v>
      </c>
      <c r="M225" s="20">
        <f>IFERROR(GETPIVOTDATA("[Measures].[mNewGOS]",'Pivot Table Cats'!$A$3,"[Range 1].[State]","[Range 1].[State].&amp;[TN]","[Range 1].[Type]","[Range 1].[Type].&amp;[2]")," ")</f>
        <v>27242</v>
      </c>
      <c r="N225" s="21">
        <f t="shared" ref="N225:N239" si="55">IFERROR(IF(L225&gt;0,(((M225-L225)/L225)*100),0), " ")</f>
        <v>0.81042075269215119</v>
      </c>
      <c r="O225" s="25"/>
      <c r="P225" s="26"/>
      <c r="Q225" s="27"/>
      <c r="R225" s="25"/>
      <c r="S225" s="26"/>
      <c r="T225" s="27"/>
      <c r="U225" s="25"/>
      <c r="V225" s="26"/>
      <c r="W225" s="27"/>
      <c r="X225" s="25"/>
      <c r="Y225" s="26"/>
      <c r="Z225" s="27"/>
      <c r="AA225" s="25"/>
      <c r="AB225" s="26"/>
      <c r="AC225" s="27"/>
      <c r="AD225" s="25"/>
      <c r="AE225" s="26"/>
      <c r="AF225" s="27"/>
      <c r="AG225" s="25"/>
      <c r="AH225" s="26"/>
      <c r="AI225" s="27"/>
      <c r="AJ225" s="25"/>
      <c r="AK225" s="26"/>
      <c r="AL225" s="27"/>
      <c r="AM225" s="25"/>
      <c r="AN225" s="26"/>
      <c r="AO225" s="27"/>
      <c r="AP225" s="25"/>
      <c r="AQ225" s="26"/>
      <c r="AR225" s="27"/>
      <c r="AS225" s="25"/>
      <c r="AT225" s="26"/>
      <c r="AU225" s="27"/>
      <c r="AV225" s="25"/>
      <c r="AW225" s="26"/>
      <c r="AX225" s="27"/>
      <c r="AY225" s="25"/>
      <c r="AZ225" s="26"/>
      <c r="BA225" s="27"/>
      <c r="BB225" s="25"/>
      <c r="BC225" s="26"/>
      <c r="BD225" s="27"/>
    </row>
    <row r="226" spans="1:56">
      <c r="A226" s="28"/>
      <c r="B226" s="19" t="s">
        <v>546</v>
      </c>
      <c r="C226" s="20">
        <f>IFERROR(GETPIVOTDATA("[Measures].[mOldUGIS]",'Pivot Table Cats'!$A$3,"[Range 1].[State]","[Range 1].[State].&amp;[TN]","[Range 1].[Type]","[Range 1].[Type].&amp;[3]")," ")</f>
        <v>9656</v>
      </c>
      <c r="D226" s="20">
        <f>IFERROR(GETPIVOTDATA("[Measures].[mNewUGIS]",'Pivot Table Cats'!$A$3,"[Range 1].[State]","[Range 1].[State].&amp;[TN]","[Range 1].[Type]","[Range 1].[Type].&amp;[3]")," ")</f>
        <v>9848</v>
      </c>
      <c r="E226" s="21">
        <f t="shared" si="52"/>
        <v>1.9884009942004972</v>
      </c>
      <c r="F226" s="20">
        <f>IFERROR(GETPIVOTDATA("[Measures].[mOldUGOS]",'Pivot Table Cats'!$A$3,"[Range 1].[State]","[Range 1].[State].&amp;[TN]","[Range 1].[Type]","[Range 1].[Type].&amp;[3]")," ")</f>
        <v>14538</v>
      </c>
      <c r="G226" s="20">
        <f>IFERROR(GETPIVOTDATA("[Measures].[mNewUGOS]",'Pivot Table Cats'!$A$3,"[Range 1].[State]","[Range 1].[State].&amp;[TN]","[Range 1].[Type]","[Range 1].[Type].&amp;[3]")," ")</f>
        <v>14722</v>
      </c>
      <c r="H226" s="21">
        <f t="shared" si="53"/>
        <v>1.2656486449305269</v>
      </c>
      <c r="I226" s="20">
        <f>IFERROR(GETPIVOTDATA("[Measures].[mOldGIS]",'Pivot Table Cats'!$A$3,"[Range 1].[State]","[Range 1].[State].&amp;[TN]","[Range 1].[Type]","[Range 1].[Type].&amp;[3]")," ")</f>
        <v>10931</v>
      </c>
      <c r="J226" s="20">
        <f>IFERROR(GETPIVOTDATA("[Measures].[mNewGIS]",'Pivot Table Cats'!$A$3,"[Range 1].[State]","[Range 1].[State].&amp;[TN]","[Range 1].[Type]","[Range 1].[Type].&amp;[3]")," ")</f>
        <v>11107</v>
      </c>
      <c r="K226" s="21">
        <f t="shared" si="54"/>
        <v>1.6100997164028907</v>
      </c>
      <c r="L226" s="20">
        <f>IFERROR(GETPIVOTDATA("[Measures].[mOldGOS]",'Pivot Table Cats'!$A$3,"[Range 1].[State]","[Range 1].[State].&amp;[TN]","[Range 1].[Type]","[Range 1].[Type].&amp;[3]")," ")</f>
        <v>16471</v>
      </c>
      <c r="M226" s="20">
        <f>IFERROR(GETPIVOTDATA("[Measures].[mNewGOS]",'Pivot Table Cats'!$A$3,"[Range 1].[State]","[Range 1].[State].&amp;[TN]","[Range 1].[Type]","[Range 1].[Type].&amp;[3]")," ")</f>
        <v>16647</v>
      </c>
      <c r="N226" s="21">
        <f t="shared" si="55"/>
        <v>1.0685447149535547</v>
      </c>
      <c r="O226" s="25"/>
      <c r="P226" s="26"/>
      <c r="Q226" s="27"/>
      <c r="R226" s="25"/>
      <c r="S226" s="26"/>
      <c r="T226" s="27"/>
      <c r="U226" s="25"/>
      <c r="V226" s="26"/>
      <c r="W226" s="27"/>
      <c r="X226" s="25"/>
      <c r="Y226" s="26"/>
      <c r="Z226" s="27"/>
      <c r="AA226" s="25"/>
      <c r="AB226" s="26"/>
      <c r="AC226" s="27"/>
      <c r="AD226" s="25"/>
      <c r="AE226" s="26"/>
      <c r="AF226" s="27"/>
      <c r="AG226" s="25"/>
      <c r="AH226" s="26"/>
      <c r="AI226" s="27"/>
      <c r="AJ226" s="25"/>
      <c r="AK226" s="26"/>
      <c r="AL226" s="27"/>
      <c r="AM226" s="25"/>
      <c r="AN226" s="26"/>
      <c r="AO226" s="27"/>
      <c r="AP226" s="25"/>
      <c r="AQ226" s="26"/>
      <c r="AR226" s="27"/>
      <c r="AS226" s="25"/>
      <c r="AT226" s="26"/>
      <c r="AU226" s="27"/>
      <c r="AV226" s="25"/>
      <c r="AW226" s="26"/>
      <c r="AX226" s="27"/>
      <c r="AY226" s="25"/>
      <c r="AZ226" s="26"/>
      <c r="BA226" s="27"/>
      <c r="BB226" s="25"/>
      <c r="BC226" s="26"/>
      <c r="BD226" s="27"/>
    </row>
    <row r="227" spans="1:56">
      <c r="A227" s="28"/>
      <c r="B227" s="19" t="s">
        <v>547</v>
      </c>
      <c r="C227" s="20">
        <f>IFERROR(GETPIVOTDATA("[Measures].[mOldUGIS]",'Pivot Table Cats'!$A$3,"[Range 1].[State]","[Range 1].[State].&amp;[TN]","[Range 1].[Type]","[Range 1].[Type].&amp;[4]")," ")</f>
        <v>9748</v>
      </c>
      <c r="D227" s="20">
        <f>IFERROR(GETPIVOTDATA("[Measures].[mNewUGIS]",'Pivot Table Cats'!$A$3,"[Range 1].[State]","[Range 1].[State].&amp;[TN]","[Range 1].[Type]","[Range 1].[Type].&amp;[4]")," ")</f>
        <v>9912</v>
      </c>
      <c r="E227" s="21">
        <f t="shared" si="52"/>
        <v>1.6823963890028726</v>
      </c>
      <c r="F227" s="20">
        <f>IFERROR(GETPIVOTDATA("[Measures].[mOldUGOS]",'Pivot Table Cats'!$A$3,"[Range 1].[State]","[Range 1].[State].&amp;[TN]","[Range 1].[Type]","[Range 1].[Type].&amp;[4]")," ")</f>
        <v>15788</v>
      </c>
      <c r="G227" s="20">
        <f>IFERROR(GETPIVOTDATA("[Measures].[mNewUGOS]",'Pivot Table Cats'!$A$3,"[Range 1].[State]","[Range 1].[State].&amp;[TN]","[Range 1].[Type]","[Range 1].[Type].&amp;[4]")," ")</f>
        <v>15952</v>
      </c>
      <c r="H227" s="21">
        <f t="shared" si="53"/>
        <v>1.0387636179376742</v>
      </c>
      <c r="I227" s="20">
        <f>IFERROR(GETPIVOTDATA("[Measures].[mOldGIS]",'Pivot Table Cats'!$A$3,"[Range 1].[State]","[Range 1].[State].&amp;[TN]","[Range 1].[Type]","[Range 1].[Type].&amp;[4]")," ")</f>
        <v>10616</v>
      </c>
      <c r="J227" s="20">
        <f>IFERROR(GETPIVOTDATA("[Measures].[mNewGIS]",'Pivot Table Cats'!$A$3,"[Range 1].[State]","[Range 1].[State].&amp;[TN]","[Range 1].[Type]","[Range 1].[Type].&amp;[4]")," ")</f>
        <v>10798</v>
      </c>
      <c r="K227" s="21">
        <f t="shared" si="54"/>
        <v>1.7143933685003769</v>
      </c>
      <c r="L227" s="20">
        <f>IFERROR(GETPIVOTDATA("[Measures].[mOldGOS]",'Pivot Table Cats'!$A$3,"[Range 1].[State]","[Range 1].[State].&amp;[TN]","[Range 1].[Type]","[Range 1].[Type].&amp;[4]")," ")</f>
        <v>16656</v>
      </c>
      <c r="M227" s="20">
        <f>IFERROR(GETPIVOTDATA("[Measures].[mNewGOS]",'Pivot Table Cats'!$A$3,"[Range 1].[State]","[Range 1].[State].&amp;[TN]","[Range 1].[Type]","[Range 1].[Type].&amp;[4]")," ")</f>
        <v>16838</v>
      </c>
      <c r="N227" s="21">
        <f t="shared" si="55"/>
        <v>1.0926993275696446</v>
      </c>
      <c r="O227" s="25"/>
      <c r="P227" s="26"/>
      <c r="Q227" s="27"/>
      <c r="R227" s="25"/>
      <c r="S227" s="26"/>
      <c r="T227" s="27"/>
      <c r="U227" s="25"/>
      <c r="V227" s="26"/>
      <c r="W227" s="27"/>
      <c r="X227" s="25"/>
      <c r="Y227" s="26"/>
      <c r="Z227" s="27"/>
      <c r="AA227" s="25"/>
      <c r="AB227" s="26"/>
      <c r="AC227" s="27"/>
      <c r="AD227" s="25"/>
      <c r="AE227" s="26"/>
      <c r="AF227" s="27"/>
      <c r="AG227" s="25"/>
      <c r="AH227" s="26"/>
      <c r="AI227" s="27"/>
      <c r="AJ227" s="25"/>
      <c r="AK227" s="26"/>
      <c r="AL227" s="27"/>
      <c r="AM227" s="25"/>
      <c r="AN227" s="26"/>
      <c r="AO227" s="27"/>
      <c r="AP227" s="25"/>
      <c r="AQ227" s="26"/>
      <c r="AR227" s="27"/>
      <c r="AS227" s="25"/>
      <c r="AT227" s="26"/>
      <c r="AU227" s="27"/>
      <c r="AV227" s="25"/>
      <c r="AW227" s="26"/>
      <c r="AX227" s="27"/>
      <c r="AY227" s="25"/>
      <c r="AZ227" s="26"/>
      <c r="BA227" s="27"/>
      <c r="BB227" s="25"/>
      <c r="BC227" s="26"/>
      <c r="BD227" s="27"/>
    </row>
    <row r="228" spans="1:56">
      <c r="A228" s="28"/>
      <c r="B228" s="19" t="s">
        <v>548</v>
      </c>
      <c r="C228" s="20" t="str">
        <f>IFERROR(GETPIVOTDATA("[Measures].[mOldUGIS]",'Pivot Table Cats'!$A$3,"[Range 1].[State]","[Range 1].[State].&amp;[TN]","[Range 1].[Type]","[Range 1].[Type].&amp;[5]")," ")</f>
        <v xml:space="preserve"> </v>
      </c>
      <c r="D228" s="20" t="str">
        <f>IFERROR(GETPIVOTDATA("[Measures].[mNewUGIS]",'Pivot Table Cats'!$A$3,"[Range 1].[State]","[Range 1].[State].&amp;[TN]","[Range 1].[Type]","[Range 1].[Type].&amp;[5]")," ")</f>
        <v xml:space="preserve"> </v>
      </c>
      <c r="E228" s="21" t="str">
        <f t="shared" si="52"/>
        <v xml:space="preserve"> </v>
      </c>
      <c r="F228" s="20" t="str">
        <f>IFERROR(GETPIVOTDATA("[Measures].[mOldUGOS]",'Pivot Table Cats'!$A$3,"[Range 1].[State]","[Range 1].[State].&amp;[TN]","[Range 1].[Type]","[Range 1].[Type].&amp;[5]")," ")</f>
        <v xml:space="preserve"> </v>
      </c>
      <c r="G228" s="20" t="str">
        <f>IFERROR(GETPIVOTDATA("[Measures].[mNewUGOS]",'Pivot Table Cats'!$A$3,"[Range 1].[State]","[Range 1].[State].&amp;[TN]","[Range 1].[Type]","[Range 1].[Type].&amp;[5]")," ")</f>
        <v xml:space="preserve"> </v>
      </c>
      <c r="H228" s="21" t="str">
        <f t="shared" si="53"/>
        <v xml:space="preserve"> </v>
      </c>
      <c r="I228" s="20" t="str">
        <f>IFERROR(GETPIVOTDATA("[Measures].[mOldGIS]",'Pivot Table Cats'!$A$3,"[Range 1].[State]","[Range 1].[State].&amp;[TN]","[Range 1].[Type]","[Range 1].[Type].&amp;[5]")," ")</f>
        <v xml:space="preserve"> </v>
      </c>
      <c r="J228" s="20" t="str">
        <f>IFERROR(GETPIVOTDATA("[Measures].[mNewGIS]",'Pivot Table Cats'!$A$3,"[Range 1].[State]","[Range 1].[State].&amp;[TN]","[Range 1].[Type]","[Range 1].[Type].&amp;[5]")," ")</f>
        <v xml:space="preserve"> </v>
      </c>
      <c r="K228" s="21" t="str">
        <f t="shared" si="54"/>
        <v xml:space="preserve"> </v>
      </c>
      <c r="L228" s="20" t="str">
        <f>IFERROR(GETPIVOTDATA("[Measures].[mOldGOS]",'Pivot Table Cats'!$A$3,"[Range 1].[State]","[Range 1].[State].&amp;[TN]","[Range 1].[Type]","[Range 1].[Type].&amp;[5]")," ")</f>
        <v xml:space="preserve"> </v>
      </c>
      <c r="M228" s="20" t="str">
        <f>IFERROR(GETPIVOTDATA("[Measures].[mNewGOS]",'Pivot Table Cats'!$A$3,"[Range 1].[State]","[Range 1].[State].&amp;[TN]","[Range 1].[Type]","[Range 1].[Type].&amp;[5]")," ")</f>
        <v xml:space="preserve"> </v>
      </c>
      <c r="N228" s="21" t="str">
        <f t="shared" si="55"/>
        <v xml:space="preserve"> </v>
      </c>
      <c r="O228" s="25"/>
      <c r="P228" s="26"/>
      <c r="Q228" s="27"/>
      <c r="R228" s="25"/>
      <c r="S228" s="26"/>
      <c r="T228" s="27"/>
      <c r="U228" s="25"/>
      <c r="V228" s="26"/>
      <c r="W228" s="27"/>
      <c r="X228" s="25"/>
      <c r="Y228" s="26"/>
      <c r="Z228" s="27"/>
      <c r="AA228" s="25"/>
      <c r="AB228" s="26"/>
      <c r="AC228" s="27"/>
      <c r="AD228" s="25"/>
      <c r="AE228" s="26"/>
      <c r="AF228" s="27"/>
      <c r="AG228" s="25"/>
      <c r="AH228" s="26"/>
      <c r="AI228" s="27"/>
      <c r="AJ228" s="25"/>
      <c r="AK228" s="26"/>
      <c r="AL228" s="27"/>
      <c r="AM228" s="25"/>
      <c r="AN228" s="26"/>
      <c r="AO228" s="27"/>
      <c r="AP228" s="25"/>
      <c r="AQ228" s="26"/>
      <c r="AR228" s="27"/>
      <c r="AS228" s="25"/>
      <c r="AT228" s="26"/>
      <c r="AU228" s="27"/>
      <c r="AV228" s="25"/>
      <c r="AW228" s="26"/>
      <c r="AX228" s="27"/>
      <c r="AY228" s="25"/>
      <c r="AZ228" s="26"/>
      <c r="BA228" s="27"/>
      <c r="BB228" s="25"/>
      <c r="BC228" s="26"/>
      <c r="BD228" s="27"/>
    </row>
    <row r="229" spans="1:56">
      <c r="A229" s="28"/>
      <c r="B229" s="19" t="s">
        <v>549</v>
      </c>
      <c r="C229" s="20" t="str">
        <f>IFERROR(GETPIVOTDATA("[Measures].[mOldUGIS]",'Pivot Table Cats'!$A$3,"[Range 1].[State]","[Range 1].[State].&amp;[TN]","[Range 1].[Type]","[Range 1].[Type].&amp;[6]")," ")</f>
        <v xml:space="preserve"> </v>
      </c>
      <c r="D229" s="20" t="str">
        <f>IFERROR(GETPIVOTDATA("[Measures].[mNewUGIS]",'Pivot Table Cats'!$A$3,"[Range 1].[State]","[Range 1].[State].&amp;[TN]","[Range 1].[Type]","[Range 1].[Type].&amp;[6]")," ")</f>
        <v xml:space="preserve"> </v>
      </c>
      <c r="E229" s="21" t="str">
        <f t="shared" si="52"/>
        <v xml:space="preserve"> </v>
      </c>
      <c r="F229" s="20" t="str">
        <f>IFERROR(GETPIVOTDATA("[Measures].[mOldUGOS]",'Pivot Table Cats'!$A$3,"[Range 1].[State]","[Range 1].[State].&amp;[TN]","[Range 1].[Type]","[Range 1].[Type].&amp;[6]")," ")</f>
        <v xml:space="preserve"> </v>
      </c>
      <c r="G229" s="20" t="str">
        <f>IFERROR(GETPIVOTDATA("[Measures].[mNewUGOS]",'Pivot Table Cats'!$A$3,"[Range 1].[State]","[Range 1].[State].&amp;[TN]","[Range 1].[Type]","[Range 1].[Type].&amp;[6]")," ")</f>
        <v xml:space="preserve"> </v>
      </c>
      <c r="H229" s="21" t="str">
        <f t="shared" si="53"/>
        <v xml:space="preserve"> </v>
      </c>
      <c r="I229" s="20" t="str">
        <f>IFERROR(GETPIVOTDATA("[Measures].[mOldGIS]",'Pivot Table Cats'!$A$3,"[Range 1].[State]","[Range 1].[State].&amp;[TN]","[Range 1].[Type]","[Range 1].[Type].&amp;[6]")," ")</f>
        <v xml:space="preserve"> </v>
      </c>
      <c r="J229" s="20" t="str">
        <f>IFERROR(GETPIVOTDATA("[Measures].[mNewGIS]",'Pivot Table Cats'!$A$3,"[Range 1].[State]","[Range 1].[State].&amp;[TN]","[Range 1].[Type]","[Range 1].[Type].&amp;[6]")," ")</f>
        <v xml:space="preserve"> </v>
      </c>
      <c r="K229" s="21" t="str">
        <f t="shared" si="54"/>
        <v xml:space="preserve"> </v>
      </c>
      <c r="L229" s="20" t="str">
        <f>IFERROR(GETPIVOTDATA("[Measures].[mOldGOS]",'Pivot Table Cats'!$A$3,"[Range 1].[State]","[Range 1].[State].&amp;[TN]","[Range 1].[Type]","[Range 1].[Type].&amp;[6]")," ")</f>
        <v xml:space="preserve"> </v>
      </c>
      <c r="M229" s="20" t="str">
        <f>IFERROR(GETPIVOTDATA("[Measures].[mNewGOS]",'Pivot Table Cats'!$A$3,"[Range 1].[State]","[Range 1].[State].&amp;[TN]","[Range 1].[Type]","[Range 1].[Type].&amp;[6]")," ")</f>
        <v xml:space="preserve"> </v>
      </c>
      <c r="N229" s="21" t="str">
        <f t="shared" si="55"/>
        <v xml:space="preserve"> </v>
      </c>
      <c r="O229" s="25"/>
      <c r="P229" s="26"/>
      <c r="Q229" s="27"/>
      <c r="R229" s="25"/>
      <c r="S229" s="26"/>
      <c r="T229" s="27"/>
      <c r="U229" s="25"/>
      <c r="V229" s="26"/>
      <c r="W229" s="27"/>
      <c r="X229" s="25"/>
      <c r="Y229" s="26"/>
      <c r="Z229" s="27"/>
      <c r="AA229" s="25"/>
      <c r="AB229" s="26"/>
      <c r="AC229" s="27"/>
      <c r="AD229" s="25"/>
      <c r="AE229" s="26"/>
      <c r="AF229" s="27"/>
      <c r="AG229" s="25"/>
      <c r="AH229" s="26"/>
      <c r="AI229" s="27"/>
      <c r="AJ229" s="25"/>
      <c r="AK229" s="26"/>
      <c r="AL229" s="27"/>
      <c r="AM229" s="25"/>
      <c r="AN229" s="26"/>
      <c r="AO229" s="27"/>
      <c r="AP229" s="25"/>
      <c r="AQ229" s="26"/>
      <c r="AR229" s="27"/>
      <c r="AS229" s="25"/>
      <c r="AT229" s="26"/>
      <c r="AU229" s="27"/>
      <c r="AV229" s="25"/>
      <c r="AW229" s="26"/>
      <c r="AX229" s="27"/>
      <c r="AY229" s="25"/>
      <c r="AZ229" s="26"/>
      <c r="BA229" s="27"/>
      <c r="BB229" s="25"/>
      <c r="BC229" s="26"/>
      <c r="BD229" s="27"/>
    </row>
    <row r="230" spans="1:56" s="49" customFormat="1" ht="19.5" customHeight="1">
      <c r="A230" s="48"/>
      <c r="B230" s="30" t="s">
        <v>550</v>
      </c>
      <c r="C230" s="31">
        <f>IFERROR(GETPIVOTDATA("[Measures].[mOldUGIS]",'Pivot Table Totals'!$A$4,"[Range 1].[State]","[Range 1].[State].&amp;[TN]"), " ")</f>
        <v>9656</v>
      </c>
      <c r="D230" s="31">
        <f>IFERROR(GETPIVOTDATA("[Measures].[mNewUGIS]",'Pivot Table Totals'!$A$4,"[Range 1].[State]","[Range 1].[State].&amp;[TN]"), " ")</f>
        <v>9848</v>
      </c>
      <c r="E230" s="21">
        <f t="shared" si="52"/>
        <v>1.9884009942004972</v>
      </c>
      <c r="F230" s="31">
        <f>IFERROR(GETPIVOTDATA("[Measures].[mOldUGOS]",'Pivot Table Totals'!$A$4,"[Range 1].[State]","[Range 1].[State].&amp;[TN]"), " ")</f>
        <v>21539</v>
      </c>
      <c r="G230" s="31">
        <f>IFERROR(GETPIVOTDATA("[Measures].[mNewUGOS]",'Pivot Table Totals'!$A$4,"[Range 1].[State]","[Range 1].[State].&amp;[TN]"), " ")</f>
        <v>21691</v>
      </c>
      <c r="H230" s="21">
        <f t="shared" si="53"/>
        <v>0.70569664329820325</v>
      </c>
      <c r="I230" s="31">
        <f>IFERROR(GETPIVOTDATA("[Measures].[mOldGIS]",'Pivot Table Totals'!$A$4,"[Range 1].[State]","[Range 1].[State].&amp;[TN]"), " ")</f>
        <v>11903</v>
      </c>
      <c r="J230" s="31">
        <f>IFERROR(GETPIVOTDATA("[Measures].[mNewGIS]",'Pivot Table Totals'!$A$4,"[Range 1].[State]","[Range 1].[State].&amp;[TN]"), " ")</f>
        <v>12104</v>
      </c>
      <c r="K230" s="21">
        <f t="shared" si="54"/>
        <v>1.6886499201881879</v>
      </c>
      <c r="L230" s="31">
        <f>IFERROR(GETPIVOTDATA("[Measures].[mOldGOS]",'Pivot Table Totals'!$A$4,"[Range 1].[State]","[Range 1].[State].&amp;[TN]"), " ")</f>
        <v>18596</v>
      </c>
      <c r="M230" s="31">
        <f>IFERROR(GETPIVOTDATA("[Measures].[mNewGOS]",'Pivot Table Totals'!$A$4,"[Range 1].[State]","[Range 1].[State].&amp;[TN]"), " ")</f>
        <v>19052</v>
      </c>
      <c r="N230" s="21">
        <f>IFERROR(IF(L230&gt;0,(((M230-L230)/L230)*100),0), "  ")</f>
        <v>2.4521402452140246</v>
      </c>
      <c r="O230" s="36"/>
      <c r="P230" s="37"/>
      <c r="Q230" s="38"/>
      <c r="R230" s="36"/>
      <c r="S230" s="37"/>
      <c r="T230" s="38"/>
      <c r="U230" s="36"/>
      <c r="V230" s="37"/>
      <c r="W230" s="38"/>
      <c r="X230" s="36"/>
      <c r="Y230" s="37"/>
      <c r="Z230" s="38"/>
      <c r="AA230" s="36"/>
      <c r="AB230" s="37"/>
      <c r="AC230" s="38"/>
      <c r="AD230" s="36"/>
      <c r="AE230" s="37"/>
      <c r="AF230" s="38"/>
      <c r="AG230" s="36"/>
      <c r="AH230" s="37"/>
      <c r="AI230" s="38"/>
      <c r="AJ230" s="36"/>
      <c r="AK230" s="37"/>
      <c r="AL230" s="38"/>
      <c r="AM230" s="36"/>
      <c r="AN230" s="37"/>
      <c r="AO230" s="38"/>
      <c r="AP230" s="36"/>
      <c r="AQ230" s="37"/>
      <c r="AR230" s="38"/>
      <c r="AS230" s="36"/>
      <c r="AT230" s="37"/>
      <c r="AU230" s="38"/>
      <c r="AV230" s="36"/>
      <c r="AW230" s="37"/>
      <c r="AX230" s="38"/>
      <c r="AY230" s="36"/>
      <c r="AZ230" s="37"/>
      <c r="BA230" s="38"/>
      <c r="BB230" s="36"/>
      <c r="BC230" s="37"/>
      <c r="BD230" s="38"/>
    </row>
    <row r="231" spans="1:56">
      <c r="A231" s="28"/>
      <c r="B231" s="19" t="s">
        <v>551</v>
      </c>
      <c r="C231" s="20" t="str">
        <f>IFERROR(GETPIVOTDATA("[Measures].[mOldUGIS]",'Pivot Table Cats'!$A$3,"[Range 1].[State]","[Range 1].[State].&amp;[TN]","[Range 1].[Type]","[Range 1].[Type].&amp;[7]")," ")</f>
        <v xml:space="preserve"> </v>
      </c>
      <c r="D231" s="20" t="str">
        <f>IFERROR(GETPIVOTDATA("[Measures].[mNewUGIS]",'Pivot Table Cats'!$A$3,"[Range 1].[State]","[Range 1].[State].&amp;[TN]","[Range 1].[Type]","[Range 1].[Type].&amp;[7]")," ")</f>
        <v xml:space="preserve"> </v>
      </c>
      <c r="E231" s="21" t="str">
        <f t="shared" si="52"/>
        <v xml:space="preserve"> </v>
      </c>
      <c r="F231" s="20" t="str">
        <f>IFERROR(GETPIVOTDATA("[Measures].[mOldUGOS]",'Pivot Table Cats'!$A$3,"[Range 1].[State]","[Range 1].[State].&amp;[TN]","[Range 1].[Type]","[Range 1].[Type].&amp;[7]")," ")</f>
        <v xml:space="preserve"> </v>
      </c>
      <c r="G231" s="20" t="str">
        <f>IFERROR(GETPIVOTDATA("[Measures].[mNewUGOS]",'Pivot Table Cats'!$A$3,"[Range 1].[State]","[Range 1].[State].&amp;[TN]","[Range 1].[Type]","[Range 1].[Type].&amp;[7]")," ")</f>
        <v xml:space="preserve"> </v>
      </c>
      <c r="H231" s="21" t="str">
        <f t="shared" si="53"/>
        <v xml:space="preserve"> </v>
      </c>
      <c r="I231" s="20" t="str">
        <f>IFERROR(GETPIVOTDATA("[Measures].[mOldGIS]",'Pivot Table Cats'!$A$3,"[Range 1].[State]","[Range 1].[State].&amp;[TN]","[Range 1].[Type]","[Range 1].[Type].&amp;[7]")," ")</f>
        <v xml:space="preserve"> </v>
      </c>
      <c r="J231" s="20" t="str">
        <f>IFERROR(GETPIVOTDATA("[Measures].[mNewGIS]",'Pivot Table Cats'!$A$3,"[Range 1].[State]","[Range 1].[State].&amp;[TN]","[Range 1].[Type]","[Range 1].[Type].&amp;[7]")," ")</f>
        <v xml:space="preserve"> </v>
      </c>
      <c r="K231" s="21" t="str">
        <f t="shared" si="54"/>
        <v xml:space="preserve"> </v>
      </c>
      <c r="L231" s="20" t="str">
        <f>IFERROR(GETPIVOTDATA("[Measures].[mOldGIS]",'Pivot Table Cats'!$A$3,"[Range 1].[State]","[Range 1].[State].&amp;[TN]","[Range 1].[Type]","[Range 1].[Type].&amp;[7]")," ")</f>
        <v xml:space="preserve"> </v>
      </c>
      <c r="M231" s="20" t="str">
        <f>IFERROR(GETPIVOTDATA("[Measures].[mNewGIS]",'Pivot Table Cats'!$A$3,"[Range 1].[State]","[Range 1].[State].&amp;[TN]","[Range 1].[Type]","[Range 1].[Type].&amp;[7]")," ")</f>
        <v xml:space="preserve"> </v>
      </c>
      <c r="N231" s="21" t="str">
        <f t="shared" si="55"/>
        <v xml:space="preserve"> </v>
      </c>
      <c r="O231" s="25"/>
      <c r="P231" s="26"/>
      <c r="Q231" s="27"/>
      <c r="R231" s="25"/>
      <c r="S231" s="26"/>
      <c r="T231" s="27"/>
      <c r="U231" s="25"/>
      <c r="V231" s="26"/>
      <c r="W231" s="27"/>
      <c r="X231" s="25"/>
      <c r="Y231" s="26"/>
      <c r="Z231" s="27"/>
      <c r="AA231" s="25"/>
      <c r="AB231" s="26"/>
      <c r="AC231" s="27"/>
      <c r="AD231" s="25"/>
      <c r="AE231" s="26"/>
      <c r="AF231" s="27"/>
      <c r="AG231" s="25"/>
      <c r="AH231" s="26"/>
      <c r="AI231" s="27"/>
      <c r="AJ231" s="25"/>
      <c r="AK231" s="26"/>
      <c r="AL231" s="27"/>
      <c r="AM231" s="25"/>
      <c r="AN231" s="26"/>
      <c r="AO231" s="27"/>
      <c r="AP231" s="25"/>
      <c r="AQ231" s="26"/>
      <c r="AR231" s="27"/>
      <c r="AS231" s="25"/>
      <c r="AT231" s="26"/>
      <c r="AU231" s="27"/>
      <c r="AV231" s="25"/>
      <c r="AW231" s="26"/>
      <c r="AX231" s="27"/>
      <c r="AY231" s="25"/>
      <c r="AZ231" s="26"/>
      <c r="BA231" s="27"/>
      <c r="BB231" s="25"/>
      <c r="BC231" s="26"/>
      <c r="BD231" s="27"/>
    </row>
    <row r="232" spans="1:56">
      <c r="A232" s="28"/>
      <c r="B232" s="19" t="s">
        <v>552</v>
      </c>
      <c r="C232" s="20">
        <f>IFERROR(GETPIVOTDATA("[Measures].[mOldUGIS]",'Pivot Table Cats'!$A$3,"[Range 1].[State]","[Range 1].[State].&amp;[TN]","[Range 1].[Type]","[Range 1].[Type].&amp;[8]")," ")</f>
        <v>4568</v>
      </c>
      <c r="D232" s="20">
        <f>IFERROR(GETPIVOTDATA("[Measures].[mNewUGIS]",'Pivot Table Cats'!$A$3,"[Range 1].[State]","[Range 1].[State].&amp;[TN]","[Range 1].[Type]","[Range 1].[Type].&amp;[8]")," ")</f>
        <v>4652</v>
      </c>
      <c r="E232" s="21">
        <f t="shared" si="52"/>
        <v>1.8388791593695271</v>
      </c>
      <c r="F232" s="20">
        <f>IFERROR(GETPIVOTDATA("[Measures].[mOldUGOS]",'Pivot Table Cats'!$A$3,"[Range 1].[State]","[Range 1].[State].&amp;[TN]","[Range 1].[Type]","[Range 1].[Type].&amp;[8]")," ")</f>
        <v>17774</v>
      </c>
      <c r="G232" s="20">
        <f>IFERROR(GETPIVOTDATA("[Measures].[mNewUGOS]",'Pivot Table Cats'!$A$3,"[Range 1].[State]","[Range 1].[State].&amp;[TN]","[Range 1].[Type]","[Range 1].[Type].&amp;[8]")," ")</f>
        <v>18110</v>
      </c>
      <c r="H232" s="21">
        <f t="shared" si="53"/>
        <v>1.8904017103634523</v>
      </c>
      <c r="I232" s="337">
        <f>IFERROR(GETPIVOTDATA("[Measures].[mOldGIS]",'Pivot Table Cats'!$A$3,"[Range 1].[State]","[Range 1].[State].&amp;[TN]","[Range 1].[Type]","[Range 1].[Type].&amp;[8]")," ")</f>
        <v>0</v>
      </c>
      <c r="J232" s="20">
        <f>IFERROR(GETPIVOTDATA("[Measures].[mNewGIS]",'Pivot Table Cats'!$A$3,"[Range 1].[State]","[Range 1].[State].&amp;[TN]","[Range 1].[Type]","[Range 1].[Type].&amp;[8]")," ")</f>
        <v>0</v>
      </c>
      <c r="K232" s="21">
        <f t="shared" si="54"/>
        <v>0</v>
      </c>
      <c r="L232" s="20">
        <f>IFERROR(GETPIVOTDATA("[Measures].[mOldGOS]",'Pivot Table Cats'!$A$3,"[Range 1].[State]","[Range 1].[State].&amp;[TN]","[Range 1].[Type]","[Range 1].[Type].&amp;[8]")," ")</f>
        <v>0</v>
      </c>
      <c r="M232" s="20">
        <f>IFERROR(GETPIVOTDATA("[Measures].[mNewGOS]",'Pivot Table Cats'!$A$3,"[Range 1].[State]","[Range 1].[State].&amp;[TN]","[Range 1].[Type]","[Range 1].[Type].&amp;[8]")," ")</f>
        <v>0</v>
      </c>
      <c r="N232" s="21">
        <f t="shared" si="55"/>
        <v>0</v>
      </c>
      <c r="O232" s="25"/>
      <c r="P232" s="26"/>
      <c r="Q232" s="27"/>
      <c r="R232" s="25"/>
      <c r="S232" s="26"/>
      <c r="T232" s="27"/>
      <c r="U232" s="25"/>
      <c r="V232" s="26"/>
      <c r="W232" s="27"/>
      <c r="X232" s="25"/>
      <c r="Y232" s="26"/>
      <c r="Z232" s="27"/>
      <c r="AA232" s="25"/>
      <c r="AB232" s="26"/>
      <c r="AC232" s="27"/>
      <c r="AD232" s="25"/>
      <c r="AE232" s="26"/>
      <c r="AF232" s="27"/>
      <c r="AG232" s="25"/>
      <c r="AH232" s="26"/>
      <c r="AI232" s="27"/>
      <c r="AJ232" s="25"/>
      <c r="AK232" s="26"/>
      <c r="AL232" s="27"/>
      <c r="AM232" s="25"/>
      <c r="AN232" s="26"/>
      <c r="AO232" s="27"/>
      <c r="AP232" s="25"/>
      <c r="AQ232" s="26"/>
      <c r="AR232" s="27"/>
      <c r="AS232" s="25"/>
      <c r="AT232" s="26"/>
      <c r="AU232" s="27"/>
      <c r="AV232" s="25"/>
      <c r="AW232" s="26"/>
      <c r="AX232" s="27"/>
      <c r="AY232" s="25"/>
      <c r="AZ232" s="26"/>
      <c r="BA232" s="27"/>
      <c r="BB232" s="25"/>
      <c r="BC232" s="26"/>
      <c r="BD232" s="27"/>
    </row>
    <row r="233" spans="1:56">
      <c r="A233" s="28"/>
      <c r="B233" s="19" t="s">
        <v>553</v>
      </c>
      <c r="C233" s="20">
        <f>IFERROR(GETPIVOTDATA("[Measures].[mOldUGIS]",'Pivot Table Cats'!$A$3,"[Range 1].[State]","[Range 1].[State].&amp;[TN]","[Range 1].[Type]","[Range 1].[Type].&amp;[9]")," ")</f>
        <v>4552</v>
      </c>
      <c r="D233" s="20">
        <f>IFERROR(GETPIVOTDATA("[Measures].[mNewUGIS]",'Pivot Table Cats'!$A$3,"[Range 1].[State]","[Range 1].[State].&amp;[TN]","[Range 1].[Type]","[Range 1].[Type].&amp;[9]")," ")</f>
        <v>4636</v>
      </c>
      <c r="E233" s="21">
        <f t="shared" si="52"/>
        <v>1.845342706502636</v>
      </c>
      <c r="F233" s="20">
        <f>IFERROR(GETPIVOTDATA("[Measures].[mOldUGOS]",'Pivot Table Cats'!$A$3,"[Range 1].[State]","[Range 1].[State].&amp;[TN]","[Range 1].[Type]","[Range 1].[Type].&amp;[9]")," ")</f>
        <v>17758</v>
      </c>
      <c r="G233" s="20">
        <f>IFERROR(GETPIVOTDATA("[Measures].[mNewUGOS]",'Pivot Table Cats'!$A$3,"[Range 1].[State]","[Range 1].[State].&amp;[TN]","[Range 1].[Type]","[Range 1].[Type].&amp;[9]")," ")</f>
        <v>18094</v>
      </c>
      <c r="H233" s="21">
        <f t="shared" si="53"/>
        <v>1.8921049667755379</v>
      </c>
      <c r="I233" s="20">
        <f>IFERROR(GETPIVOTDATA("[Measures].[mOldGIS]",'Pivot Table Cats'!$A$3,"[Range 1].[State]","[Range 1].[State].&amp;[TN]","[Range 1].[Type]","[Range 1].[Type].&amp;[9]")," ")</f>
        <v>0</v>
      </c>
      <c r="J233" s="20">
        <f>IFERROR(GETPIVOTDATA("[Measures].[mNewGIS]",'Pivot Table Cats'!$A$3,"[Range 1].[State]","[Range 1].[State].&amp;[TN]","[Range 1].[Type]","[Range 1].[Type].&amp;[9]")," ")</f>
        <v>0</v>
      </c>
      <c r="K233" s="21">
        <f t="shared" si="54"/>
        <v>0</v>
      </c>
      <c r="L233" s="20">
        <f>IFERROR(GETPIVOTDATA("[Measures].[mOldGOS]",'Pivot Table Cats'!$A$3,"[Range 1].[State]","[Range 1].[State].&amp;[TN]","[Range 1].[Type]","[Range 1].[Type].&amp;[9]")," ")</f>
        <v>0</v>
      </c>
      <c r="M233" s="20">
        <f>IFERROR(GETPIVOTDATA("[Measures].[mNewGOS]",'Pivot Table Cats'!$A$3,"[Range 1].[State]","[Range 1].[State].&amp;[TN]","[Range 1].[Type]","[Range 1].[Type].&amp;[9]")," ")</f>
        <v>0</v>
      </c>
      <c r="N233" s="21">
        <f t="shared" si="55"/>
        <v>0</v>
      </c>
      <c r="O233" s="25"/>
      <c r="P233" s="26"/>
      <c r="Q233" s="27"/>
      <c r="R233" s="25"/>
      <c r="S233" s="26"/>
      <c r="T233" s="27"/>
      <c r="U233" s="25"/>
      <c r="V233" s="26"/>
      <c r="W233" s="27"/>
      <c r="X233" s="25"/>
      <c r="Y233" s="26"/>
      <c r="Z233" s="27"/>
      <c r="AA233" s="25"/>
      <c r="AB233" s="26"/>
      <c r="AC233" s="27"/>
      <c r="AD233" s="25"/>
      <c r="AE233" s="26"/>
      <c r="AF233" s="27"/>
      <c r="AG233" s="25"/>
      <c r="AH233" s="26"/>
      <c r="AI233" s="27"/>
      <c r="AJ233" s="25"/>
      <c r="AK233" s="26"/>
      <c r="AL233" s="27"/>
      <c r="AM233" s="25"/>
      <c r="AN233" s="26"/>
      <c r="AO233" s="27"/>
      <c r="AP233" s="25"/>
      <c r="AQ233" s="26"/>
      <c r="AR233" s="27"/>
      <c r="AS233" s="25"/>
      <c r="AT233" s="26"/>
      <c r="AU233" s="27"/>
      <c r="AV233" s="25"/>
      <c r="AW233" s="26"/>
      <c r="AX233" s="27"/>
      <c r="AY233" s="25"/>
      <c r="AZ233" s="26"/>
      <c r="BA233" s="27"/>
      <c r="BB233" s="25"/>
      <c r="BC233" s="26"/>
      <c r="BD233" s="27"/>
    </row>
    <row r="234" spans="1:56">
      <c r="A234" s="28"/>
      <c r="B234" s="19" t="s">
        <v>554</v>
      </c>
      <c r="C234" s="20">
        <f>IFERROR(GETPIVOTDATA("[Measures].[mOldUGIS]",'Pivot Table Cats'!$A$3,"[Range 1].[State]","[Range 1].[State].&amp;[TN]","[Range 1].[Type]","[Range 1].[Type].&amp;[10]")," ")</f>
        <v>4548</v>
      </c>
      <c r="D234" s="20">
        <f>IFERROR(GETPIVOTDATA("[Measures].[mNewUGIS]",'Pivot Table Cats'!$A$3,"[Range 1].[State]","[Range 1].[State].&amp;[TN]","[Range 1].[Type]","[Range 1].[Type].&amp;[10]")," ")</f>
        <v>4632</v>
      </c>
      <c r="E234" s="21">
        <f t="shared" si="52"/>
        <v>1.8469656992084433</v>
      </c>
      <c r="F234" s="20">
        <f>IFERROR(GETPIVOTDATA("[Measures].[mOldUGOS]",'Pivot Table Cats'!$A$3,"[Range 1].[State]","[Range 1].[State].&amp;[TN]","[Range 1].[Type]","[Range 1].[Type].&amp;[10]")," ")</f>
        <v>17754</v>
      </c>
      <c r="G234" s="20">
        <f>IFERROR(GETPIVOTDATA("[Measures].[mNewUGOS]",'Pivot Table Cats'!$A$3,"[Range 1].[State]","[Range 1].[State].&amp;[TN]","[Range 1].[Type]","[Range 1].[Type].&amp;[10]")," ")</f>
        <v>18090</v>
      </c>
      <c r="H234" s="21">
        <f t="shared" si="53"/>
        <v>1.8925312605610003</v>
      </c>
      <c r="I234" s="20">
        <f>IFERROR(GETPIVOTDATA("[Measures].[mOldGIS]",'Pivot Table Cats'!$A$3,"[Range 1].[State]","[Range 1].[State].&amp;[TN]","[Range 1].[Type]","[Range 1].[Type].&amp;[10]")," ")</f>
        <v>0</v>
      </c>
      <c r="J234" s="20">
        <f>IFERROR(GETPIVOTDATA("[Measures].[mNewGIS]",'Pivot Table Cats'!$A$3,"[Range 1].[State]","[Range 1].[State].&amp;[TN]","[Range 1].[Type]","[Range 1].[Type].&amp;[10]")," ")</f>
        <v>0</v>
      </c>
      <c r="K234" s="21">
        <f t="shared" si="54"/>
        <v>0</v>
      </c>
      <c r="L234" s="20">
        <f>IFERROR(GETPIVOTDATA("[Measures].[mOldGOS]",'Pivot Table Cats'!$A$3,"[Range 1].[State]","[Range 1].[State].&amp;[TN]","[Range 1].[Type]","[Range 1].[Type].&amp;[10]")," ")</f>
        <v>0</v>
      </c>
      <c r="M234" s="20">
        <f>IFERROR(GETPIVOTDATA("[Measures].[mNewGOS]",'Pivot Table Cats'!$A$3,"[Range 1].[State]","[Range 1].[State].&amp;[TN]","[Range 1].[Type]","[Range 1].[Type].&amp;[10]")," ")</f>
        <v>0</v>
      </c>
      <c r="N234" s="21">
        <f t="shared" si="55"/>
        <v>0</v>
      </c>
      <c r="O234" s="25"/>
      <c r="P234" s="26"/>
      <c r="Q234" s="27"/>
      <c r="R234" s="25"/>
      <c r="S234" s="26"/>
      <c r="T234" s="27"/>
      <c r="U234" s="25"/>
      <c r="V234" s="26"/>
      <c r="W234" s="27"/>
      <c r="X234" s="25"/>
      <c r="Y234" s="26"/>
      <c r="Z234" s="27"/>
      <c r="AA234" s="25"/>
      <c r="AB234" s="26"/>
      <c r="AC234" s="27"/>
      <c r="AD234" s="25"/>
      <c r="AE234" s="26"/>
      <c r="AF234" s="27"/>
      <c r="AG234" s="25"/>
      <c r="AH234" s="26"/>
      <c r="AI234" s="27"/>
      <c r="AJ234" s="25"/>
      <c r="AK234" s="26"/>
      <c r="AL234" s="27"/>
      <c r="AM234" s="25"/>
      <c r="AN234" s="26"/>
      <c r="AO234" s="27"/>
      <c r="AP234" s="25"/>
      <c r="AQ234" s="26"/>
      <c r="AR234" s="27"/>
      <c r="AS234" s="25"/>
      <c r="AT234" s="26"/>
      <c r="AU234" s="27"/>
      <c r="AV234" s="25"/>
      <c r="AW234" s="26"/>
      <c r="AX234" s="27"/>
      <c r="AY234" s="25"/>
      <c r="AZ234" s="26"/>
      <c r="BA234" s="27"/>
      <c r="BB234" s="25"/>
      <c r="BC234" s="26"/>
      <c r="BD234" s="27"/>
    </row>
    <row r="235" spans="1:56" s="49" customFormat="1" ht="20.25" customHeight="1">
      <c r="A235" s="48"/>
      <c r="B235" s="30" t="s">
        <v>555</v>
      </c>
      <c r="C235" s="31">
        <f>IFERROR(GETPIVOTDATA("[Measures].[mOldUGIS]",'Pivot Table Totals'!$A$31,"[Range 1].[State]","[Range 1].[State].&amp;[TN]"), " ")</f>
        <v>4552</v>
      </c>
      <c r="D235" s="31">
        <f>IFERROR(GETPIVOTDATA("[Measures].[mNewUGIS]",'Pivot Table Totals'!$A$31,"[Range 1].[State]","[Range 1].[State].&amp;[TN]"), " ")</f>
        <v>4636</v>
      </c>
      <c r="E235" s="21">
        <f t="shared" si="52"/>
        <v>1.845342706502636</v>
      </c>
      <c r="F235" s="31">
        <f>IFERROR(GETPIVOTDATA("[Measures].[mOldUGOS]",'Pivot Table Totals'!$A$31,"[Range 1].[State]","[Range 1].[State].&amp;[TN]")," ")</f>
        <v>17758</v>
      </c>
      <c r="G235" s="31">
        <f>IFERROR(GETPIVOTDATA("[Measures].[mNewUGOS]",'Pivot Table Totals'!$A$31,"[Range 1].[State]","[Range 1].[State].&amp;[TN]"), " ")</f>
        <v>18094</v>
      </c>
      <c r="H235" s="21">
        <f t="shared" si="53"/>
        <v>1.8921049667755379</v>
      </c>
      <c r="I235" s="31">
        <f>IFERROR(GETPIVOTDATA("[Measures].[mOldGIS]",'Pivot Table Totals'!$A$31,"[Range 1].[State]","[Range 1].[State].&amp;[TN]")," ")</f>
        <v>0</v>
      </c>
      <c r="J235" s="31">
        <f>IFERROR(GETPIVOTDATA("[Measures].[mNewGIS]",'Pivot Table Totals'!$A$31,"[Range 1].[State]","[Range 1].[State].&amp;[TN]"), " ")</f>
        <v>0</v>
      </c>
      <c r="K235" s="21">
        <f t="shared" si="54"/>
        <v>0</v>
      </c>
      <c r="L235" s="31">
        <f>IFERROR(GETPIVOTDATA("[Measures].[mOldGOS]",'Pivot Table Totals'!$A$31,"[Range 1].[State]","[Range 1].[State].&amp;[TN]"), " ")</f>
        <v>0</v>
      </c>
      <c r="M235" s="31">
        <f>IFERROR(GETPIVOTDATA("[Measures].[mNewGOS]",'Pivot Table Totals'!$A$31,"[Range 1].[State]","[Range 1].[State].&amp;[TN]"), " ")</f>
        <v>0</v>
      </c>
      <c r="N235" s="21">
        <f t="shared" si="55"/>
        <v>0</v>
      </c>
      <c r="O235" s="36"/>
      <c r="P235" s="37"/>
      <c r="Q235" s="38"/>
      <c r="R235" s="36"/>
      <c r="S235" s="37"/>
      <c r="T235" s="38"/>
      <c r="U235" s="36"/>
      <c r="V235" s="37"/>
      <c r="W235" s="38"/>
      <c r="X235" s="36"/>
      <c r="Y235" s="37"/>
      <c r="Z235" s="38"/>
      <c r="AA235" s="36"/>
      <c r="AB235" s="37"/>
      <c r="AC235" s="38"/>
      <c r="AD235" s="36"/>
      <c r="AE235" s="37"/>
      <c r="AF235" s="38"/>
      <c r="AG235" s="36"/>
      <c r="AH235" s="37"/>
      <c r="AI235" s="38"/>
      <c r="AJ235" s="36"/>
      <c r="AK235" s="37"/>
      <c r="AL235" s="38"/>
      <c r="AM235" s="36"/>
      <c r="AN235" s="37"/>
      <c r="AO235" s="38"/>
      <c r="AP235" s="36"/>
      <c r="AQ235" s="37"/>
      <c r="AR235" s="38"/>
      <c r="AS235" s="36"/>
      <c r="AT235" s="37"/>
      <c r="AU235" s="38"/>
      <c r="AV235" s="36"/>
      <c r="AW235" s="37"/>
      <c r="AX235" s="38"/>
      <c r="AY235" s="36"/>
      <c r="AZ235" s="37"/>
      <c r="BA235" s="38"/>
      <c r="BB235" s="36"/>
      <c r="BC235" s="37"/>
      <c r="BD235" s="38"/>
    </row>
    <row r="236" spans="1:56">
      <c r="A236" s="28"/>
      <c r="B236" s="19" t="s">
        <v>556</v>
      </c>
      <c r="C236" s="20" t="str">
        <f>IFERROR(GETPIVOTDATA("[Measures].[mOldUGIS]",'Pivot Table Cats'!$A$3,"[Range 1].[State]","[Range 1].[State].&amp;[TN]","[Range 1].[Type]","[Range 1].[Type].&amp;[12]")," ")</f>
        <v xml:space="preserve"> </v>
      </c>
      <c r="D236" s="20" t="str">
        <f>IFERROR(GETPIVOTDATA("[Measures].[mNewUGIS]",'Pivot Table Cats'!$A$3,"[Range 1].[State]","[Range 1].[State].&amp;[TN]","[Range 1].[Type]","[Range 1].[Type].&amp;[12]")," ")</f>
        <v xml:space="preserve"> </v>
      </c>
      <c r="E236" s="21" t="str">
        <f t="shared" si="52"/>
        <v xml:space="preserve"> </v>
      </c>
      <c r="F236" s="20" t="str">
        <f>IFERROR(GETPIVOTDATA("[Measures].[mOldUGOS]",'Pivot Table Cats'!$A$3,"[Range 1].[State]","[Range 1].[State].&amp;[TN]","[Range 1].[Type]","[Range 1].[Type].&amp;[12]")," ")</f>
        <v xml:space="preserve"> </v>
      </c>
      <c r="G236" s="20" t="str">
        <f>IFERROR(GETPIVOTDATA("[Measures].[mNewUGOS]",'Pivot Table Cats'!$A$3,"[Range 1].[State]","[Range 1].[State].&amp;[TN]","[Range 1].[Type]","[Range 1].[Type].&amp;[12]")," ")</f>
        <v xml:space="preserve"> </v>
      </c>
      <c r="H236" s="21" t="str">
        <f t="shared" si="53"/>
        <v xml:space="preserve"> </v>
      </c>
      <c r="I236" s="20" t="str">
        <f>IFERROR(GETPIVOTDATA("[Measures].[mOldGIS]",'Pivot Table Cats'!$A$3,"[Range 1].[State]","[Range 1].[State].&amp;[TN]","[Range 1].[Type]","[Range 1].[Type].&amp;[12]")," ")</f>
        <v xml:space="preserve"> </v>
      </c>
      <c r="J236" s="20" t="str">
        <f>IFERROR(GETPIVOTDATA("[Measures].[mNewGIS]",'Pivot Table Cats'!$A$3,"[Range 1].[State]","[Range 1].[State].&amp;[TN]","[Range 1].[Type]","[Range 1].[Type].&amp;[12]")," ")</f>
        <v xml:space="preserve"> </v>
      </c>
      <c r="K236" s="21" t="str">
        <f t="shared" si="54"/>
        <v xml:space="preserve"> </v>
      </c>
      <c r="L236" s="20" t="str">
        <f>IFERROR(GETPIVOTDATA("[Measures].[mOldGOS]",'Pivot Table Cats'!$A$3,"[Range 1].[State]","[Range 1].[State].&amp;[TN]","[Range 1].[Type]","[Range 1].[Type].&amp;[12]")," ")</f>
        <v xml:space="preserve"> </v>
      </c>
      <c r="M236" s="20" t="str">
        <f>IFERROR(GETPIVOTDATA("[Measures].[mNewGOS]",'Pivot Table Cats'!$A$3,"[Range 1].[State]","[Range 1].[State].&amp;[TN]","[Range 1].[Type]","[Range 1].[Type].&amp;[12]")," ")</f>
        <v xml:space="preserve"> </v>
      </c>
      <c r="N236" s="21" t="str">
        <f t="shared" si="55"/>
        <v xml:space="preserve"> </v>
      </c>
      <c r="O236" s="25"/>
      <c r="P236" s="26"/>
      <c r="Q236" s="27"/>
      <c r="R236" s="25"/>
      <c r="S236" s="26"/>
      <c r="T236" s="27"/>
      <c r="U236" s="25"/>
      <c r="V236" s="26"/>
      <c r="W236" s="27"/>
      <c r="X236" s="25"/>
      <c r="Y236" s="26"/>
      <c r="Z236" s="27"/>
      <c r="AA236" s="25"/>
      <c r="AB236" s="26"/>
      <c r="AC236" s="27"/>
      <c r="AD236" s="25"/>
      <c r="AE236" s="26"/>
      <c r="AF236" s="27"/>
      <c r="AG236" s="25"/>
      <c r="AH236" s="26"/>
      <c r="AI236" s="27"/>
      <c r="AJ236" s="25"/>
      <c r="AK236" s="26"/>
      <c r="AL236" s="27"/>
      <c r="AM236" s="25"/>
      <c r="AN236" s="26"/>
      <c r="AO236" s="27"/>
      <c r="AP236" s="25"/>
      <c r="AQ236" s="26"/>
      <c r="AR236" s="27"/>
      <c r="AS236" s="25"/>
      <c r="AT236" s="26"/>
      <c r="AU236" s="27"/>
      <c r="AV236" s="25"/>
      <c r="AW236" s="26"/>
      <c r="AX236" s="27"/>
      <c r="AY236" s="25"/>
      <c r="AZ236" s="26"/>
      <c r="BA236" s="27"/>
      <c r="BB236" s="25"/>
      <c r="BC236" s="26"/>
      <c r="BD236" s="27"/>
    </row>
    <row r="237" spans="1:56">
      <c r="A237" s="28"/>
      <c r="B237" s="19" t="s">
        <v>557</v>
      </c>
      <c r="C237" s="20">
        <f>IFERROR(GETPIVOTDATA("[Measures].[mOldUGIS]",'Pivot Table Cats'!$A$3,"[Range 1].[State]","[Range 1].[State].&amp;[TN]","[Range 1].[Type]","[Range 1].[Type].&amp;[13]")," ")</f>
        <v>3936</v>
      </c>
      <c r="D237" s="20">
        <f>IFERROR(GETPIVOTDATA("[Measures].[mNewUGIS]",'Pivot Table Cats'!$A$3,"[Range 1].[State]","[Range 1].[State].&amp;[TN]","[Range 1].[Type]","[Range 1].[Type].&amp;[13]")," ")</f>
        <v>4008</v>
      </c>
      <c r="E237" s="21">
        <f t="shared" si="52"/>
        <v>1.8292682926829267</v>
      </c>
      <c r="F237" s="20">
        <f>IFERROR(GETPIVOTDATA("[Measures].[mOldUGOS]",'Pivot Table Cats'!$A$3,"[Range 1].[State]","[Range 1].[State].&amp;[TN]","[Range 1].[Type]","[Range 1].[Type].&amp;[13]")," ")</f>
        <v>0</v>
      </c>
      <c r="G237" s="20">
        <f>IFERROR(GETPIVOTDATA("[Measures].[mNewUGOS]",'Pivot Table Cats'!$A$3,"[Range 1].[State]","[Range 1].[State].&amp;[TN]","[Range 1].[Type]","[Range 1].[Type].&amp;[13]")," ")</f>
        <v>0</v>
      </c>
      <c r="H237" s="21">
        <f t="shared" si="53"/>
        <v>0</v>
      </c>
      <c r="I237" s="20">
        <f>IFERROR(GETPIVOTDATA("[Measures].[mOldGIS]",'Pivot Table Cats'!$A$3,"[Range 1].[State]","[Range 1].[State].&amp;[TN]","[Range 1].[Type]","[Range 1].[Type].&amp;[13]")," ")</f>
        <v>0</v>
      </c>
      <c r="J237" s="20">
        <f>IFERROR(GETPIVOTDATA("[Measures].[mNewGIS]",'Pivot Table Cats'!$A$3,"[Range 1].[State]","[Range 1].[State].&amp;[TN]","[Range 1].[Type]","[Range 1].[Type].&amp;[13]")," ")</f>
        <v>0</v>
      </c>
      <c r="K237" s="21">
        <f t="shared" si="54"/>
        <v>0</v>
      </c>
      <c r="L237" s="20">
        <f>IFERROR(GETPIVOTDATA("[Measures].[mOldGOS]",'Pivot Table Cats'!$A$3,"[Range 1].[State]","[Range 1].[State].&amp;[TN]","[Range 1].[Type]","[Range 1].[Type].&amp;[13]")," ")</f>
        <v>0</v>
      </c>
      <c r="M237" s="20">
        <f>IFERROR(GETPIVOTDATA("[Measures].[mNewGOS]",'Pivot Table Cats'!$A$3,"[Range 1].[State]","[Range 1].[State].&amp;[TN]","[Range 1].[Type]","[Range 1].[Type].&amp;[13]")," ")</f>
        <v>0</v>
      </c>
      <c r="N237" s="21">
        <f t="shared" si="55"/>
        <v>0</v>
      </c>
      <c r="O237" s="25"/>
      <c r="P237" s="26"/>
      <c r="Q237" s="27"/>
      <c r="R237" s="25"/>
      <c r="S237" s="26"/>
      <c r="T237" s="27"/>
      <c r="U237" s="25"/>
      <c r="V237" s="26"/>
      <c r="W237" s="27"/>
      <c r="X237" s="25"/>
      <c r="Y237" s="26"/>
      <c r="Z237" s="27"/>
      <c r="AA237" s="25"/>
      <c r="AB237" s="26"/>
      <c r="AC237" s="27"/>
      <c r="AD237" s="25"/>
      <c r="AE237" s="26"/>
      <c r="AF237" s="27"/>
      <c r="AG237" s="25"/>
      <c r="AH237" s="26"/>
      <c r="AI237" s="27"/>
      <c r="AJ237" s="25"/>
      <c r="AK237" s="26"/>
      <c r="AL237" s="27"/>
      <c r="AM237" s="25"/>
      <c r="AN237" s="26"/>
      <c r="AO237" s="27"/>
      <c r="AP237" s="25"/>
      <c r="AQ237" s="26"/>
      <c r="AR237" s="27"/>
      <c r="AS237" s="25"/>
      <c r="AT237" s="26"/>
      <c r="AU237" s="27"/>
      <c r="AV237" s="25"/>
      <c r="AW237" s="26"/>
      <c r="AX237" s="27"/>
      <c r="AY237" s="25"/>
      <c r="AZ237" s="26"/>
      <c r="BA237" s="27"/>
      <c r="BB237" s="25"/>
      <c r="BC237" s="26"/>
      <c r="BD237" s="27"/>
    </row>
    <row r="238" spans="1:56">
      <c r="A238" s="28"/>
      <c r="B238" s="19" t="s">
        <v>558</v>
      </c>
      <c r="C238" s="20" t="str">
        <f>IFERROR(GETPIVOTDATA("[Measures].[mOldUGIS]",'Pivot Table Cats'!$A$3,"[Range 1].[State]","[Range 1].[State].&amp;[TN]","[Range 1].[Type]","[Range 1].[Type].&amp;[14]")," ")</f>
        <v xml:space="preserve"> </v>
      </c>
      <c r="D238" s="20" t="str">
        <f>IFERROR(GETPIVOTDATA("[Measures].[mNewUGIS]",'Pivot Table Cats'!$A$3,"[Range 1].[State]","[Range 1].[State].&amp;[TN]","[Range 1].[Type]","[Range 1].[Type].&amp;[14]")," ")</f>
        <v xml:space="preserve"> </v>
      </c>
      <c r="E238" s="21" t="str">
        <f t="shared" si="52"/>
        <v xml:space="preserve"> </v>
      </c>
      <c r="F238" s="20" t="str">
        <f>IFERROR(GETPIVOTDATA("[Measures].[mOldUGOS]",'Pivot Table Cats'!$A$3,"[Range 1].[State]","[Range 1].[State].&amp;[TN]","[Range 1].[Type]","[Range 1].[Type].&amp;[14]")," ")</f>
        <v xml:space="preserve"> </v>
      </c>
      <c r="G238" s="20" t="str">
        <f>IFERROR(GETPIVOTDATA("[Measures].[mNewUGOS]",'Pivot Table Cats'!$A$3,"[Range 1].[State]","[Range 1].[State].&amp;[TN]","[Range 1].[Type]","[Range 1].[Type].&amp;[14]")," ")</f>
        <v xml:space="preserve"> </v>
      </c>
      <c r="H238" s="21" t="str">
        <f t="shared" si="53"/>
        <v xml:space="preserve"> </v>
      </c>
      <c r="I238" s="20" t="str">
        <f>IFERROR(GETPIVOTDATA("[Measures].[mOldGIS]",'Pivot Table Cats'!$A$3,"[Range 1].[State]","[Range 1].[State].&amp;[TN]","[Range 1].[Type]","[Range 1].[Type].&amp;[14]")," ")</f>
        <v xml:space="preserve"> </v>
      </c>
      <c r="J238" s="20" t="str">
        <f>IFERROR(GETPIVOTDATA("[Measures].[mNewGIS]",'Pivot Table Cats'!$A$3,"[Range 1].[State]","[Range 1].[State].&amp;[TN]","[Range 1].[Type]","[Range 1].[Type].&amp;[14]")," ")</f>
        <v xml:space="preserve"> </v>
      </c>
      <c r="K238" s="21" t="str">
        <f t="shared" si="54"/>
        <v xml:space="preserve"> </v>
      </c>
      <c r="L238" s="20" t="str">
        <f>IFERROR(GETPIVOTDATA("[Measures].[mOldGOS]",'Pivot Table Cats'!$A$3,"[Range 1].[State]","[Range 1].[State].&amp;[TN]","[Range 1].[Type]","[Range 1].[Type].&amp;[14]")," ")</f>
        <v xml:space="preserve"> </v>
      </c>
      <c r="M238" s="20" t="str">
        <f>IFERROR(GETPIVOTDATA("[Measures].[mNewGOS]",'Pivot Table Cats'!$A$3,"[Range 1].[State]","[Range 1].[State].&amp;[TN]","[Range 1].[Type]","[Range 1].[Type].&amp;[14]")," ")</f>
        <v xml:space="preserve"> </v>
      </c>
      <c r="N238" s="21" t="str">
        <f t="shared" si="55"/>
        <v xml:space="preserve"> </v>
      </c>
      <c r="O238" s="25"/>
      <c r="P238" s="26"/>
      <c r="Q238" s="27"/>
      <c r="R238" s="25"/>
      <c r="S238" s="26"/>
      <c r="T238" s="27"/>
      <c r="U238" s="25"/>
      <c r="V238" s="26"/>
      <c r="W238" s="27"/>
      <c r="X238" s="25"/>
      <c r="Y238" s="26"/>
      <c r="Z238" s="27"/>
      <c r="AA238" s="25"/>
      <c r="AB238" s="26"/>
      <c r="AC238" s="27"/>
      <c r="AD238" s="25"/>
      <c r="AE238" s="26"/>
      <c r="AF238" s="27"/>
      <c r="AG238" s="25"/>
      <c r="AH238" s="26"/>
      <c r="AI238" s="27"/>
      <c r="AJ238" s="25"/>
      <c r="AK238" s="26"/>
      <c r="AL238" s="27"/>
      <c r="AM238" s="25"/>
      <c r="AN238" s="26"/>
      <c r="AO238" s="27"/>
      <c r="AP238" s="25"/>
      <c r="AQ238" s="26"/>
      <c r="AR238" s="27"/>
      <c r="AS238" s="25"/>
      <c r="AT238" s="26"/>
      <c r="AU238" s="27"/>
      <c r="AV238" s="25"/>
      <c r="AW238" s="26"/>
      <c r="AX238" s="27"/>
      <c r="AY238" s="25"/>
      <c r="AZ238" s="26"/>
      <c r="BA238" s="27"/>
      <c r="BB238" s="25"/>
      <c r="BC238" s="26"/>
      <c r="BD238" s="27"/>
    </row>
    <row r="239" spans="1:56" s="49" customFormat="1" ht="20.25" customHeight="1">
      <c r="A239" s="48"/>
      <c r="B239" s="50" t="s">
        <v>559</v>
      </c>
      <c r="C239" s="31">
        <f>IFERROR(GETPIVOTDATA("[Measures].[mOldUGIS]",'Pivot Table Totals'!$A$59,"[Range 1].[State]","[Range 1].[State].&amp;[TN]"), " ")</f>
        <v>3936</v>
      </c>
      <c r="D239" s="31">
        <f>IFERROR(GETPIVOTDATA("[Measures].[mNewUGIS]",'Pivot Table Totals'!$A$59,"[Range 1].[State]","[Range 1].[State].&amp;[TN]"), " ")</f>
        <v>4008</v>
      </c>
      <c r="E239" s="21">
        <f t="shared" si="52"/>
        <v>1.8292682926829267</v>
      </c>
      <c r="F239" s="31">
        <f>IFERROR(GETPIVOTDATA("[Measures].[mOldUGOS]",'Pivot Table Totals'!$A$59,"[Range 1].[State]","[Range 1].[State].&amp;[TN]"), " " )</f>
        <v>0</v>
      </c>
      <c r="G239" s="31">
        <f>IFERROR(GETPIVOTDATA("[Measures].[mNewUGOS]",'Pivot Table Totals'!$A$59,"[Range 1].[State]","[Range 1].[State].&amp;[TN]"), " ")</f>
        <v>0</v>
      </c>
      <c r="H239" s="21">
        <f t="shared" si="53"/>
        <v>0</v>
      </c>
      <c r="I239" s="31">
        <f>IFERROR(GETPIVOTDATA("[Measures].[mOldGIS]",'Pivot Table Totals'!$A$59,"[Range 1].[State]","[Range 1].[State].&amp;[TN]"), " ")</f>
        <v>0</v>
      </c>
      <c r="J239" s="31">
        <f>IFERROR(GETPIVOTDATA("[Measures].[mNewGIS]",'Pivot Table Totals'!$A$59,"[Range 1].[State]","[Range 1].[State].&amp;[TN]"), " ")</f>
        <v>0</v>
      </c>
      <c r="K239" s="21">
        <f t="shared" si="54"/>
        <v>0</v>
      </c>
      <c r="L239" s="31">
        <f>IFERROR(GETPIVOTDATA("[Measures].[mOldGOS]",'Pivot Table Totals'!$A$59,"[Range 1].[State]","[Range 1].[State].&amp;[TN]"), " ")</f>
        <v>0</v>
      </c>
      <c r="M239" s="31">
        <f>IFERROR(GETPIVOTDATA("[Measures].[mNewGOS]",'Pivot Table Totals'!$A$59,"[Range 1].[State]","[Range 1].[State].&amp;[TN]"), " ")</f>
        <v>0</v>
      </c>
      <c r="N239" s="21">
        <f t="shared" si="55"/>
        <v>0</v>
      </c>
      <c r="O239" s="36"/>
      <c r="P239" s="37"/>
      <c r="Q239" s="38"/>
      <c r="R239" s="36"/>
      <c r="S239" s="37"/>
      <c r="T239" s="38"/>
      <c r="U239" s="36"/>
      <c r="V239" s="37"/>
      <c r="W239" s="38"/>
      <c r="X239" s="36"/>
      <c r="Y239" s="37"/>
      <c r="Z239" s="38"/>
      <c r="AA239" s="36"/>
      <c r="AB239" s="37"/>
      <c r="AC239" s="38"/>
      <c r="AD239" s="36"/>
      <c r="AE239" s="37"/>
      <c r="AF239" s="38"/>
      <c r="AG239" s="36"/>
      <c r="AH239" s="37"/>
      <c r="AI239" s="38"/>
      <c r="AJ239" s="36"/>
      <c r="AK239" s="37"/>
      <c r="AL239" s="38"/>
      <c r="AM239" s="36"/>
      <c r="AN239" s="37"/>
      <c r="AO239" s="38"/>
      <c r="AP239" s="36"/>
      <c r="AQ239" s="37"/>
      <c r="AR239" s="38"/>
      <c r="AS239" s="36"/>
      <c r="AT239" s="37"/>
      <c r="AU239" s="38"/>
      <c r="AV239" s="36"/>
      <c r="AW239" s="37"/>
      <c r="AX239" s="38"/>
      <c r="AY239" s="36"/>
      <c r="AZ239" s="37"/>
      <c r="BA239" s="38"/>
      <c r="BB239" s="36"/>
      <c r="BC239" s="37"/>
      <c r="BD239" s="38"/>
    </row>
    <row r="240" spans="1:56">
      <c r="A240" s="40"/>
      <c r="B240" s="41" t="s">
        <v>560</v>
      </c>
      <c r="C240" s="42"/>
      <c r="D240" s="42"/>
      <c r="E240" s="335"/>
      <c r="F240" s="42"/>
      <c r="G240" s="42"/>
      <c r="H240" s="44"/>
      <c r="I240" s="45"/>
      <c r="J240" s="42"/>
      <c r="K240" s="44"/>
      <c r="L240" s="45"/>
      <c r="M240" s="42"/>
      <c r="N240" s="44"/>
      <c r="O240" s="336">
        <f>IFERROR(GETPIVOTDATA("[Measures].[mOldLawIS]",'Pivot Table Totals'!$A$79,"[Range 1].[State]","[Range 1].[State].&amp;[TN]"), " ")</f>
        <v>18832</v>
      </c>
      <c r="P240" s="42">
        <f>IFERROR(GETPIVOTDATA("[Measures].[mNewLawIS]",'Pivot Table Totals'!$A$79,"[Range 1].[State]","[Range 1].[State].&amp;[TN]"), " ")</f>
        <v>19753</v>
      </c>
      <c r="Q240" s="46">
        <f>IFERROR(IF(O240&gt;0,(((P240-O240)/O240)*100),0), " ")</f>
        <v>4.8906117247238745</v>
      </c>
      <c r="R240" s="336">
        <f>IFERROR(GETPIVOTDATA("[Measures].[mOldLawOS]",'Pivot Table Totals'!$A$79,"[Range 1].[State]","[Range 1].[State].&amp;[TN]"), " ")</f>
        <v>31345</v>
      </c>
      <c r="S240" s="336">
        <f>IFERROR(GETPIVOTDATA("[Measures].[mNewLawOS]",'Pivot Table Totals'!$A$79,"[Range 1].[State]","[Range 1].[State].&amp;[TN]"), " ")</f>
        <v>31373</v>
      </c>
      <c r="T240" s="46">
        <f>IFERROR(IF(R240&gt;0,(((S240-R240)/R240)*100),0), " ")</f>
        <v>8.9328441537725317E-2</v>
      </c>
      <c r="U240" s="336">
        <f>IFERROR(GETPIVOTDATA("[Measures].[mOldMedIS]",'Pivot Table Totals'!$A$79,"[Range 1].[State]","[Range 1].[State].&amp;[TN]"), " ")</f>
        <v>37222.5</v>
      </c>
      <c r="V240" s="336">
        <f>IFERROR(GETPIVOTDATA("[Measures].[mNewMedIS]",'Pivot Table Totals'!$A$79,"[Range 1].[State]","[Range 1].[State].&amp;[TN]"), " ")</f>
        <v>37394</v>
      </c>
      <c r="W240" s="46">
        <f>IFERROR(IF(U240&gt;0,(((V240-U240)/U240)*100),0), " ")</f>
        <v>0.460742830277386</v>
      </c>
      <c r="X240" s="336">
        <f>IFERROR(GETPIVOTDATA("[Measures].[mOldMedOS]",'Pivot Table Totals'!$A$79,"[Range 1].[State]","[Range 1].[State].&amp;[TN]"), " ")</f>
        <v>55109</v>
      </c>
      <c r="Y240" s="336">
        <f>IFERROR(GETPIVOTDATA("[Measures].[mNewMedOS]",'Pivot Table Totals'!$A$79,"[Range 1].[State]","[Range 1].[State].&amp;[TN]"), " ")</f>
        <v>50961</v>
      </c>
      <c r="Z240" s="46">
        <f>IFERROR(IF(X240&gt;0,(((Y240-X240)/X240)*100),0), " ")</f>
        <v>-7.5269012321036488</v>
      </c>
      <c r="AA240" s="336">
        <f>IFERROR(GETPIVOTDATA("[Measures].[mOldDenIS]",'Pivot Table Totals'!$A$79,"[Range 1].[State]","[Range 1].[State].&amp;[TN]"), " ")</f>
        <v>38387</v>
      </c>
      <c r="AB240" s="336">
        <f>IFERROR(GETPIVOTDATA("[Measures].[mNewDenIS]",'Pivot Table Totals'!$A$79,"[Range 1].[State]","[Range 1].[State].&amp;[TN]"), " ")</f>
        <v>40289</v>
      </c>
      <c r="AC240" s="46">
        <f>IFERROR(IF(AA240&gt;0,(((AB240-AA240)/AA240)*100),0), " ")</f>
        <v>4.9548024070648919</v>
      </c>
      <c r="AD240" s="336">
        <f>IFERROR(GETPIVOTDATA("[Measures].[mOldDenOS]",'Pivot Table Totals'!$A$79,"[Range 1].[State]","[Range 1].[State].&amp;[TN]"), " ")</f>
        <v>77147</v>
      </c>
      <c r="AE240" s="336">
        <f>IFERROR(GETPIVOTDATA("[Measures].[mNewDenOS]",'Pivot Table Totals'!$A$79,"[Range 1].[State]","[Range 1].[State].&amp;[TN]"), " ")</f>
        <v>79049</v>
      </c>
      <c r="AF240" s="46">
        <f>IFERROR(IF(AD240&gt;0,(((AE240-AD240)/AD240)*100),0), " ")</f>
        <v>2.4654231532010318</v>
      </c>
      <c r="AG240" s="336">
        <f>IFERROR(GETPIVOTDATA("[Measures].[mOldPhrIS]",'Pivot Table Totals'!$A$79,"[Range 1].[State]","[Range 1].[State].&amp;[TN]"), " ")</f>
        <v>33635.75</v>
      </c>
      <c r="AH240" s="336">
        <f>IFERROR(GETPIVOTDATA("[Measures].[mNewPhIS]",'Pivot Table Totals'!$A$79,"[Range 1].[State]","[Range 1].[State].&amp;[TN]"), " ")</f>
        <v>34926.5</v>
      </c>
      <c r="AI240" s="46">
        <f>IFERROR(IF(AG240&gt;0,(((AH240-AG240)/AG240)*100),0), " ")</f>
        <v>3.837434872122667</v>
      </c>
      <c r="AJ240" s="336">
        <f>IFERROR(GETPIVOTDATA("[Measures].[mOldPhrOS]",'Pivot Table Totals'!$A$79,"[Range 1].[State]","[Range 1].[State].&amp;[TN]"), " ")</f>
        <v>36137.75</v>
      </c>
      <c r="AK240" s="336">
        <f>IFERROR(GETPIVOTDATA("[Measures].[mNewPhrOS]",'Pivot Table Totals'!$A$79,"[Range 1].[State]","[Range 1].[State].&amp;[TN]"), " ")</f>
        <v>37428.5</v>
      </c>
      <c r="AL240" s="46">
        <f>IFERROR(IF(AJ240&gt;0,(((AQ240-AJ240)/AJ240)*100),0), " ")</f>
        <v>-100</v>
      </c>
      <c r="AM240" s="336">
        <f>IFERROR(GETPIVOTDATA("[Measures].[mOldOptIS]",'Pivot Table Totals'!$A$79,"[Range 1].[State]","[Range 1].[State].&amp;[TN]"), " ")</f>
        <v>0</v>
      </c>
      <c r="AN240" s="336">
        <f>IFERROR(GETPIVOTDATA("[Measures].[mNewOptIS]",'Pivot Table Totals'!$A$79,"[Range 1].[State]","[Range 1].[State].&amp;[TN]"), " ")</f>
        <v>0</v>
      </c>
      <c r="AO240" s="46">
        <f>IFERROR(IF(AM240&gt;0,(((AN240-AM240)/AM240)*100),0), " ")</f>
        <v>0</v>
      </c>
      <c r="AP240" s="336">
        <f>IFERROR(GETPIVOTDATA("[Measures].[mOldOptoS]",'Pivot Table Totals'!$A$79,"[Range 1].[State]","[Range 1].[State].&amp;[TN]"), " ")</f>
        <v>0</v>
      </c>
      <c r="AQ240" s="336">
        <f>IFERROR(GETPIVOTDATA("[Measures].[mNewOptoS]",'Pivot Table Totals'!$A$79,"[Range 1].[State]","[Range 1].[State].&amp;[TN]"), " ")</f>
        <v>0</v>
      </c>
      <c r="AR240" s="46">
        <f>IFERROR(IF(AP240&gt;0,(((AQ240-AP240)/AP240)*100),0), " ")</f>
        <v>0</v>
      </c>
      <c r="AS240" s="336">
        <f>IFERROR(GETPIVOTDATA("[Measures].[mOldOstIS]",'Pivot Table Totals'!$A$79,"[Range 1].[State]","[Range 1].[State].&amp;[TN]"), " ")</f>
        <v>0</v>
      </c>
      <c r="AT240" s="336">
        <f>IFERROR(GETPIVOTDATA("[Measures].[mNewOstIS]",'Pivot Table Totals'!$A$79,"[Range 1].[State]","[Range 1].[State].&amp;[TN]"), " ")</f>
        <v>0</v>
      </c>
      <c r="AU240" s="46">
        <f>IFERROR(IF(AS240&gt;0,(((AT240-AS240)/AS240)*100),0), " ")</f>
        <v>0</v>
      </c>
      <c r="AV240" s="336">
        <f>IFERROR(GETPIVOTDATA("[Measures].[mOldOstOS]",'Pivot Table Totals'!$A$79,"[Range 1].[State]","[Range 1].[State].&amp;[TN]"), " ")</f>
        <v>0</v>
      </c>
      <c r="AW240" s="336">
        <f>IFERROR(GETPIVOTDATA("[Measures].[mNewOstOS]",'Pivot Table Totals'!$A$79,"[Range 1].[State]","[Range 1].[State].&amp;[TN]"), " ")</f>
        <v>0</v>
      </c>
      <c r="AX240" s="46">
        <f>IFERROR(IF(AV240&gt;0,(((AW240-AV240)/AV240)*100),0), " ")</f>
        <v>0</v>
      </c>
      <c r="AY240" s="336">
        <f>IFERROR(GETPIVOTDATA("[Measures].[m[OldVetIS]",'Pivot Table Totals'!$A$79,"[Range 1].[State]","[Range 1].[State].&amp;[TN]"), " ")</f>
        <v>29336</v>
      </c>
      <c r="AZ240" s="336">
        <f>IFERROR(GETPIVOTDATA("[Measures].[mNewVetIS]",'Pivot Table Totals'!$A$79,"[Range 1].[State]","[Range 1].[State].&amp;[TN]"), " ")</f>
        <v>29886</v>
      </c>
      <c r="BA240" s="46">
        <f>IFERROR(IF(AY240&gt;0,(((AZ240-AY240)/AY240)*100),0), " ")</f>
        <v>1.8748295609490047</v>
      </c>
      <c r="BB240" s="336">
        <f>IFERROR(GETPIVOTDATA("[Measures].[mOldVetOS]",'Pivot Table Totals'!$A$79,"[Range 1].[State]","[Range 1].[State].&amp;[TN]"), " ")</f>
        <v>56602</v>
      </c>
      <c r="BC240" s="336">
        <f>IFERROR(GETPIVOTDATA("[Measures].[mNewVetOS]",'Pivot Table Totals'!$A$79,"[Range 1].[State]","[Range 1].[State].&amp;[TN]"), " ")</f>
        <v>56922</v>
      </c>
      <c r="BD240" s="46">
        <f>IFERROR(IF(BB240&gt;0,(((BC240-BB240)/BB240)*100),0), " ")</f>
        <v>0.56535104766616018</v>
      </c>
    </row>
    <row r="241" spans="1:56">
      <c r="A241" s="18" t="s">
        <v>507</v>
      </c>
      <c r="B241" s="19" t="s">
        <v>544</v>
      </c>
      <c r="C241" s="20">
        <f>IFERROR(GETPIVOTDATA("[Measures].[mOldUGIS]",'Pivot Table Cats'!$A$3,"[Range 1].[State]","[Range 1].[State].&amp;[TX]","[Range 1].[Type]","[Range 1].[Type].&amp;[1]")," ")</f>
        <v>11700</v>
      </c>
      <c r="D241" s="20">
        <f>IFERROR(GETPIVOTDATA("[Measures].[mNewUGIS]",'Pivot Table Cats'!$A$3,"[Range 1].[State]","[Range 1].[State].&amp;[TX]","[Range 1].[Type]","[Range 1].[Type].&amp;[1]")," ")</f>
        <v>11845</v>
      </c>
      <c r="E241" s="21">
        <f>IFERROR(IF(C241&gt;0,(((D241-C241)/C241)*100),0), " ")</f>
        <v>1.2393162393162394</v>
      </c>
      <c r="F241" s="20">
        <f>IFERROR(GETPIVOTDATA("[Measures].[mOldUGOS]",'Pivot Table Cats'!$A$3,"[Range 1].[State]","[Range 1].[State].&amp;[TX]","[Range 1].[Type]","[Range 1].[Type].&amp;[1]")," ")</f>
        <v>27669.5</v>
      </c>
      <c r="G241" s="20">
        <f>IFERROR(GETPIVOTDATA("[Measures].[mNewUGOS]",'Pivot Table Cats'!$A$3,"[Range 1].[State]","[Range 1].[State].&amp;[TX]","[Range 1].[Type]","[Range 1].[Type].&amp;[1]")," ")</f>
        <v>27694</v>
      </c>
      <c r="H241" s="21">
        <f>IFERROR(IF(F241&gt;0,(((G241-F241)/F241)*100),0), " ")</f>
        <v>8.8545148990766015E-2</v>
      </c>
      <c r="I241" s="20">
        <f>IFERROR(GETPIVOTDATA("[Measures].[mOldGIS]",'Pivot Table Cats'!$A$3,"[Range 1].[State]","[Range 1].[State].&amp;[TX]","[Range 1].[Type]","[Range 1].[Type].&amp;[1]")," ")</f>
        <v>12004</v>
      </c>
      <c r="J241" s="20">
        <f>IFERROR(GETPIVOTDATA("[Measures].[mNewGIS]",'Pivot Table Cats'!$A$3,"[Range 1].[State]","[Range 1].[State].&amp;[TX]","[Range 1].[Type]","[Range 1].[Type].&amp;[1]")," ")</f>
        <v>12035.33333333335</v>
      </c>
      <c r="K241" s="21">
        <f>IFERROR(IF(I241&gt;0,(((J241-I241)/I241)*100),0), " ")</f>
        <v>0.26102410307689361</v>
      </c>
      <c r="L241" s="20">
        <f>IFERROR(GETPIVOTDATA("[Measures].[mOldGOS]",'Pivot Table Cats'!$A$3,"[Range 1].[State]","[Range 1].[State].&amp;[TX]","[Range 1].[Type]","[Range 1].[Type].&amp;[1]")," ")</f>
        <v>25032</v>
      </c>
      <c r="M241" s="20">
        <f>IFERROR(GETPIVOTDATA("[Measures].[mNewGOS]",'Pivot Table Cats'!$A$3,"[Range 1].[State]","[Range 1].[State].&amp;[TX]","[Range 1].[Type]","[Range 1].[Type].&amp;[1]")," ")</f>
        <v>24694.66666666665</v>
      </c>
      <c r="N241" s="21">
        <f>IFERROR(IF(L241&gt;0,(((M241-L241)/L241)*100),0), " ")</f>
        <v>-1.3476083945883282</v>
      </c>
      <c r="O241" s="25"/>
      <c r="P241" s="26"/>
      <c r="Q241" s="27"/>
      <c r="R241" s="25"/>
      <c r="S241" s="26"/>
      <c r="T241" s="27"/>
      <c r="U241" s="25"/>
      <c r="V241" s="26"/>
      <c r="W241" s="27"/>
      <c r="X241" s="25"/>
      <c r="Y241" s="26"/>
      <c r="Z241" s="27"/>
      <c r="AA241" s="25"/>
      <c r="AB241" s="26"/>
      <c r="AC241" s="27"/>
      <c r="AD241" s="25"/>
      <c r="AE241" s="26"/>
      <c r="AF241" s="27"/>
      <c r="AG241" s="25"/>
      <c r="AH241" s="26"/>
      <c r="AI241" s="27"/>
      <c r="AJ241" s="25"/>
      <c r="AK241" s="26"/>
      <c r="AL241" s="27"/>
      <c r="AM241" s="25"/>
      <c r="AN241" s="26"/>
      <c r="AO241" s="27"/>
      <c r="AP241" s="25"/>
      <c r="AQ241" s="26"/>
      <c r="AR241" s="27"/>
      <c r="AS241" s="25"/>
      <c r="AT241" s="26"/>
      <c r="AU241" s="27"/>
      <c r="AV241" s="25"/>
      <c r="AW241" s="26"/>
      <c r="AX241" s="27"/>
      <c r="AY241" s="25"/>
      <c r="AZ241" s="26"/>
      <c r="BA241" s="27"/>
      <c r="BB241" s="25"/>
      <c r="BC241" s="26"/>
      <c r="BD241" s="27"/>
    </row>
    <row r="242" spans="1:56">
      <c r="A242" s="28"/>
      <c r="B242" s="19" t="s">
        <v>545</v>
      </c>
      <c r="C242" s="20">
        <f>IFERROR(GETPIVOTDATA("[Measures].[mOldUGIS]",'Pivot Table Cats'!$A$3,"[Range 1].[State]","[Range 1].[State].&amp;[TX]","[Range 1].[Type]","[Range 1].[Type].&amp;[2]")," ")</f>
        <v>10158</v>
      </c>
      <c r="D242" s="20">
        <f>IFERROR(GETPIVOTDATA("[Measures].[mNewUGIS]",'Pivot Table Cats'!$A$3,"[Range 1].[State]","[Range 1].[State].&amp;[TX]","[Range 1].[Type]","[Range 1].[Type].&amp;[2]")," ")</f>
        <v>10332</v>
      </c>
      <c r="E242" s="21">
        <f t="shared" ref="E242:E256" si="56">IFERROR(IF(C242&gt;0,(((D242-C242)/C242)*100),0), " ")</f>
        <v>1.7129356172474897</v>
      </c>
      <c r="F242" s="20">
        <f>IFERROR(GETPIVOTDATA("[Measures].[mOldUGOS]",'Pivot Table Cats'!$A$3,"[Range 1].[State]","[Range 1].[State].&amp;[TX]","[Range 1].[Type]","[Range 1].[Type].&amp;[2]")," ")</f>
        <v>23718</v>
      </c>
      <c r="G242" s="20">
        <f>IFERROR(GETPIVOTDATA("[Measures].[mNewUGOS]",'Pivot Table Cats'!$A$3,"[Range 1].[State]","[Range 1].[State].&amp;[TX]","[Range 1].[Type]","[Range 1].[Type].&amp;[2]")," ")</f>
        <v>24100</v>
      </c>
      <c r="H242" s="21">
        <f t="shared" ref="H242:H256" si="57">IFERROR(IF(F242&gt;0,(((G242-F242)/F242)*100),0), " ")</f>
        <v>1.6105911122354328</v>
      </c>
      <c r="I242" s="20">
        <f>IFERROR(GETPIVOTDATA("[Measures].[mOldGIS]",'Pivot Table Cats'!$A$3,"[Range 1].[State]","[Range 1].[State].&amp;[TX]","[Range 1].[Type]","[Range 1].[Type].&amp;[2]")," ")</f>
        <v>10224</v>
      </c>
      <c r="J242" s="20">
        <f>IFERROR(GETPIVOTDATA("[Measures].[mNewGIS]",'Pivot Table Cats'!$A$3,"[Range 1].[State]","[Range 1].[State].&amp;[TX]","[Range 1].[Type]","[Range 1].[Type].&amp;[2]")," ")</f>
        <v>10368</v>
      </c>
      <c r="K242" s="21">
        <f t="shared" ref="K242:K256" si="58">IFERROR(IF(I242&gt;0,(((J242-I242)/I242)*100),0), " ")</f>
        <v>1.4084507042253522</v>
      </c>
      <c r="L242" s="20">
        <f>IFERROR(GETPIVOTDATA("[Measures].[mOldGOS]",'Pivot Table Cats'!$A$3,"[Range 1].[State]","[Range 1].[State].&amp;[TX]","[Range 1].[Type]","[Range 1].[Type].&amp;[2]")," ")</f>
        <v>20560</v>
      </c>
      <c r="M242" s="20">
        <f>IFERROR(GETPIVOTDATA("[Measures].[mNewGOS]",'Pivot Table Cats'!$A$3,"[Range 1].[State]","[Range 1].[State].&amp;[TX]","[Range 1].[Type]","[Range 1].[Type].&amp;[2]")," ")</f>
        <v>20800</v>
      </c>
      <c r="N242" s="21">
        <f t="shared" ref="N242:N256" si="59">IFERROR(IF(L242&gt;0,(((M242-L242)/L242)*100),0), " ")</f>
        <v>1.1673151750972763</v>
      </c>
      <c r="O242" s="25"/>
      <c r="P242" s="26"/>
      <c r="Q242" s="27"/>
      <c r="R242" s="25"/>
      <c r="S242" s="26"/>
      <c r="T242" s="27"/>
      <c r="U242" s="25"/>
      <c r="V242" s="26"/>
      <c r="W242" s="27"/>
      <c r="X242" s="25"/>
      <c r="Y242" s="26"/>
      <c r="Z242" s="27"/>
      <c r="AA242" s="25"/>
      <c r="AB242" s="26"/>
      <c r="AC242" s="27"/>
      <c r="AD242" s="25"/>
      <c r="AE242" s="26"/>
      <c r="AF242" s="27"/>
      <c r="AG242" s="25"/>
      <c r="AH242" s="26"/>
      <c r="AI242" s="27"/>
      <c r="AJ242" s="25"/>
      <c r="AK242" s="26"/>
      <c r="AL242" s="27"/>
      <c r="AM242" s="25"/>
      <c r="AN242" s="26"/>
      <c r="AO242" s="27"/>
      <c r="AP242" s="25"/>
      <c r="AQ242" s="26"/>
      <c r="AR242" s="27"/>
      <c r="AS242" s="25"/>
      <c r="AT242" s="26"/>
      <c r="AU242" s="27"/>
      <c r="AV242" s="25"/>
      <c r="AW242" s="26"/>
      <c r="AX242" s="27"/>
      <c r="AY242" s="25"/>
      <c r="AZ242" s="26"/>
      <c r="BA242" s="27"/>
      <c r="BB242" s="25"/>
      <c r="BC242" s="26"/>
      <c r="BD242" s="27"/>
    </row>
    <row r="243" spans="1:56">
      <c r="A243" s="28"/>
      <c r="B243" s="19" t="s">
        <v>546</v>
      </c>
      <c r="C243" s="20">
        <f>IFERROR(GETPIVOTDATA("[Measures].[mOldUGIS]",'Pivot Table Cats'!$A$3,"[Range 1].[State]","[Range 1].[State].&amp;[TX]","[Range 1].[Type]","[Range 1].[Type].&amp;[3]")," ")</f>
        <v>9254</v>
      </c>
      <c r="D243" s="20">
        <f>IFERROR(GETPIVOTDATA("[Measures].[mNewUGIS]",'Pivot Table Cats'!$A$3,"[Range 1].[State]","[Range 1].[State].&amp;[TX]","[Range 1].[Type]","[Range 1].[Type].&amp;[3]")," ")</f>
        <v>9394</v>
      </c>
      <c r="E243" s="21">
        <f t="shared" si="56"/>
        <v>1.5128593040847202</v>
      </c>
      <c r="F243" s="20">
        <f>IFERROR(GETPIVOTDATA("[Measures].[mOldUGOS]",'Pivot Table Cats'!$A$3,"[Range 1].[State]","[Range 1].[State].&amp;[TX]","[Range 1].[Type]","[Range 1].[Type].&amp;[3]")," ")</f>
        <v>22734</v>
      </c>
      <c r="G243" s="20">
        <f>IFERROR(GETPIVOTDATA("[Measures].[mNewUGOS]",'Pivot Table Cats'!$A$3,"[Range 1].[State]","[Range 1].[State].&amp;[TX]","[Range 1].[Type]","[Range 1].[Type].&amp;[3]")," ")</f>
        <v>22870</v>
      </c>
      <c r="H243" s="21">
        <f t="shared" si="57"/>
        <v>0.59822292601389992</v>
      </c>
      <c r="I243" s="20">
        <f>IFERROR(GETPIVOTDATA("[Measures].[mOldGIS]",'Pivot Table Cats'!$A$3,"[Range 1].[State]","[Range 1].[State].&amp;[TX]","[Range 1].[Type]","[Range 1].[Type].&amp;[3]")," ")</f>
        <v>9880</v>
      </c>
      <c r="J243" s="20">
        <f>IFERROR(GETPIVOTDATA("[Measures].[mNewGIS]",'Pivot Table Cats'!$A$3,"[Range 1].[State]","[Range 1].[State].&amp;[TX]","[Range 1].[Type]","[Range 1].[Type].&amp;[3]")," ")</f>
        <v>9782.6666666666697</v>
      </c>
      <c r="K243" s="21">
        <f t="shared" si="58"/>
        <v>-0.9851551956814808</v>
      </c>
      <c r="L243" s="20">
        <f>IFERROR(GETPIVOTDATA("[Measures].[mOldGOS]",'Pivot Table Cats'!$A$3,"[Range 1].[State]","[Range 1].[State].&amp;[TX]","[Range 1].[Type]","[Range 1].[Type].&amp;[3]")," ")</f>
        <v>20141.333333333299</v>
      </c>
      <c r="M243" s="20">
        <f>IFERROR(GETPIVOTDATA("[Measures].[mNewGOS]",'Pivot Table Cats'!$A$3,"[Range 1].[State]","[Range 1].[State].&amp;[TX]","[Range 1].[Type]","[Range 1].[Type].&amp;[3]")," ")</f>
        <v>20562.666666666701</v>
      </c>
      <c r="N243" s="21">
        <f t="shared" si="59"/>
        <v>2.0918840195952035</v>
      </c>
      <c r="O243" s="25"/>
      <c r="P243" s="26"/>
      <c r="Q243" s="27"/>
      <c r="R243" s="25"/>
      <c r="S243" s="26"/>
      <c r="T243" s="27"/>
      <c r="U243" s="25"/>
      <c r="V243" s="26"/>
      <c r="W243" s="27"/>
      <c r="X243" s="25"/>
      <c r="Y243" s="26"/>
      <c r="Z243" s="27"/>
      <c r="AA243" s="25"/>
      <c r="AB243" s="26"/>
      <c r="AC243" s="27"/>
      <c r="AD243" s="25"/>
      <c r="AE243" s="26"/>
      <c r="AF243" s="27"/>
      <c r="AG243" s="25"/>
      <c r="AH243" s="26"/>
      <c r="AI243" s="27"/>
      <c r="AJ243" s="25"/>
      <c r="AK243" s="26"/>
      <c r="AL243" s="27"/>
      <c r="AM243" s="25"/>
      <c r="AN243" s="26"/>
      <c r="AO243" s="27"/>
      <c r="AP243" s="25"/>
      <c r="AQ243" s="26"/>
      <c r="AR243" s="27"/>
      <c r="AS243" s="25"/>
      <c r="AT243" s="26"/>
      <c r="AU243" s="27"/>
      <c r="AV243" s="25"/>
      <c r="AW243" s="26"/>
      <c r="AX243" s="27"/>
      <c r="AY243" s="25"/>
      <c r="AZ243" s="26"/>
      <c r="BA243" s="27"/>
      <c r="BB243" s="25"/>
      <c r="BC243" s="26"/>
      <c r="BD243" s="27"/>
    </row>
    <row r="244" spans="1:56">
      <c r="A244" s="28"/>
      <c r="B244" s="19" t="s">
        <v>547</v>
      </c>
      <c r="C244" s="20">
        <f>IFERROR(GETPIVOTDATA("[Measures].[mOldUGIS]",'Pivot Table Cats'!$A$3,"[Range 1].[State]","[Range 1].[State].&amp;[TX]","[Range 1].[Type]","[Range 1].[Type].&amp;[4]")," ")</f>
        <v>8686</v>
      </c>
      <c r="D244" s="20">
        <f>IFERROR(GETPIVOTDATA("[Measures].[mNewUGIS]",'Pivot Table Cats'!$A$3,"[Range 1].[State]","[Range 1].[State].&amp;[TX]","[Range 1].[Type]","[Range 1].[Type].&amp;[4]")," ")</f>
        <v>8797</v>
      </c>
      <c r="E244" s="21">
        <f t="shared" si="56"/>
        <v>1.2779184895233708</v>
      </c>
      <c r="F244" s="20">
        <f>IFERROR(GETPIVOTDATA("[Measures].[mOldUGOS]",'Pivot Table Cats'!$A$3,"[Range 1].[State]","[Range 1].[State].&amp;[TX]","[Range 1].[Type]","[Range 1].[Type].&amp;[4]")," ")</f>
        <v>20874</v>
      </c>
      <c r="G244" s="20">
        <f>IFERROR(GETPIVOTDATA("[Measures].[mNewUGOS]",'Pivot Table Cats'!$A$3,"[Range 1].[State]","[Range 1].[State].&amp;[TX]","[Range 1].[Type]","[Range 1].[Type].&amp;[4]")," ")</f>
        <v>21038</v>
      </c>
      <c r="H244" s="21">
        <f t="shared" si="57"/>
        <v>0.7856663792277474</v>
      </c>
      <c r="I244" s="20">
        <f>IFERROR(GETPIVOTDATA("[Measures].[mOldGIS]",'Pivot Table Cats'!$A$3,"[Range 1].[State]","[Range 1].[State].&amp;[TX]","[Range 1].[Type]","[Range 1].[Type].&amp;[4]")," ")</f>
        <v>8802.6666666666697</v>
      </c>
      <c r="J244" s="20">
        <f>IFERROR(GETPIVOTDATA("[Measures].[mNewGIS]",'Pivot Table Cats'!$A$3,"[Range 1].[State]","[Range 1].[State].&amp;[TX]","[Range 1].[Type]","[Range 1].[Type].&amp;[4]")," ")</f>
        <v>7658.6666666666697</v>
      </c>
      <c r="K244" s="21">
        <f t="shared" si="58"/>
        <v>-12.996061799454706</v>
      </c>
      <c r="L244" s="20">
        <f>IFERROR(GETPIVOTDATA("[Measures].[mOldGOS]",'Pivot Table Cats'!$A$3,"[Range 1].[State]","[Range 1].[State].&amp;[TX]","[Range 1].[Type]","[Range 1].[Type].&amp;[4]")," ")</f>
        <v>19992</v>
      </c>
      <c r="M244" s="20">
        <f>IFERROR(GETPIVOTDATA("[Measures].[mNewGOS]",'Pivot Table Cats'!$A$3,"[Range 1].[State]","[Range 1].[State].&amp;[TX]","[Range 1].[Type]","[Range 1].[Type].&amp;[4]")," ")</f>
        <v>19704</v>
      </c>
      <c r="N244" s="21">
        <f t="shared" si="59"/>
        <v>-1.440576230492197</v>
      </c>
      <c r="O244" s="25"/>
      <c r="P244" s="26"/>
      <c r="Q244" s="27"/>
      <c r="R244" s="25"/>
      <c r="S244" s="26"/>
      <c r="T244" s="27"/>
      <c r="U244" s="25"/>
      <c r="V244" s="26"/>
      <c r="W244" s="27"/>
      <c r="X244" s="25"/>
      <c r="Y244" s="26"/>
      <c r="Z244" s="27"/>
      <c r="AA244" s="25"/>
      <c r="AB244" s="26"/>
      <c r="AC244" s="27"/>
      <c r="AD244" s="25"/>
      <c r="AE244" s="26"/>
      <c r="AF244" s="27"/>
      <c r="AG244" s="25"/>
      <c r="AH244" s="26"/>
      <c r="AI244" s="27"/>
      <c r="AJ244" s="25"/>
      <c r="AK244" s="26"/>
      <c r="AL244" s="27"/>
      <c r="AM244" s="25"/>
      <c r="AN244" s="26"/>
      <c r="AO244" s="27"/>
      <c r="AP244" s="25"/>
      <c r="AQ244" s="26"/>
      <c r="AR244" s="27"/>
      <c r="AS244" s="25"/>
      <c r="AT244" s="26"/>
      <c r="AU244" s="27"/>
      <c r="AV244" s="25"/>
      <c r="AW244" s="26"/>
      <c r="AX244" s="27"/>
      <c r="AY244" s="25"/>
      <c r="AZ244" s="26"/>
      <c r="BA244" s="27"/>
      <c r="BB244" s="25"/>
      <c r="BC244" s="26"/>
      <c r="BD244" s="27"/>
    </row>
    <row r="245" spans="1:56">
      <c r="A245" s="28"/>
      <c r="B245" s="19" t="s">
        <v>548</v>
      </c>
      <c r="C245" s="20">
        <f>IFERROR(GETPIVOTDATA("[Measures].[mOldUGIS]",'Pivot Table Cats'!$A$3,"[Range 1].[State]","[Range 1].[State].&amp;[TX]","[Range 1].[Type]","[Range 1].[Type].&amp;[5]")," ")</f>
        <v>9463</v>
      </c>
      <c r="D245" s="20">
        <f>IFERROR(GETPIVOTDATA("[Measures].[mNewUGIS]",'Pivot Table Cats'!$A$3,"[Range 1].[State]","[Range 1].[State].&amp;[TX]","[Range 1].[Type]","[Range 1].[Type].&amp;[5]")," ")</f>
        <v>10875</v>
      </c>
      <c r="E245" s="21">
        <f t="shared" si="56"/>
        <v>14.921272323787383</v>
      </c>
      <c r="F245" s="20">
        <f>IFERROR(GETPIVOTDATA("[Measures].[mOldUGOS]",'Pivot Table Cats'!$A$3,"[Range 1].[State]","[Range 1].[State].&amp;[TX]","[Range 1].[Type]","[Range 1].[Type].&amp;[5]")," ")</f>
        <v>30289.5</v>
      </c>
      <c r="G245" s="20">
        <f>IFERROR(GETPIVOTDATA("[Measures].[mNewUGOS]",'Pivot Table Cats'!$A$3,"[Range 1].[State]","[Range 1].[State].&amp;[TX]","[Range 1].[Type]","[Range 1].[Type].&amp;[5]")," ")</f>
        <v>30803</v>
      </c>
      <c r="H245" s="21">
        <f t="shared" si="57"/>
        <v>1.6953069545552086</v>
      </c>
      <c r="I245" s="20">
        <f>IFERROR(GETPIVOTDATA("[Measures].[mOldGIS]",'Pivot Table Cats'!$A$3,"[Range 1].[State]","[Range 1].[State].&amp;[TX]","[Range 1].[Type]","[Range 1].[Type].&amp;[5]")," ")</f>
        <v>9686.6666666666861</v>
      </c>
      <c r="J245" s="20">
        <f>IFERROR(GETPIVOTDATA("[Measures].[mNewGIS]",'Pivot Table Cats'!$A$3,"[Range 1].[State]","[Range 1].[State].&amp;[TX]","[Range 1].[Type]","[Range 1].[Type].&amp;[5]")," ")</f>
        <v>9914.6666666666497</v>
      </c>
      <c r="K245" s="21">
        <f t="shared" si="58"/>
        <v>2.3537508602886765</v>
      </c>
      <c r="L245" s="20">
        <f>IFERROR(GETPIVOTDATA("[Measures].[mOldGOS]",'Pivot Table Cats'!$A$3,"[Range 1].[State]","[Range 1].[State].&amp;[TX]","[Range 1].[Type]","[Range 1].[Type].&amp;[5]")," ")</f>
        <v>20730.66666666665</v>
      </c>
      <c r="M245" s="20">
        <f>IFERROR(GETPIVOTDATA("[Measures].[mNewGOS]",'Pivot Table Cats'!$A$3,"[Range 1].[State]","[Range 1].[State].&amp;[TX]","[Range 1].[Type]","[Range 1].[Type].&amp;[5]")," ")</f>
        <v>21177.33333333335</v>
      </c>
      <c r="N245" s="21">
        <f t="shared" si="59"/>
        <v>2.1546179572937083</v>
      </c>
      <c r="O245" s="25"/>
      <c r="P245" s="26"/>
      <c r="Q245" s="27"/>
      <c r="R245" s="25"/>
      <c r="S245" s="26"/>
      <c r="T245" s="27"/>
      <c r="U245" s="25"/>
      <c r="V245" s="26"/>
      <c r="W245" s="27"/>
      <c r="X245" s="25"/>
      <c r="Y245" s="26"/>
      <c r="Z245" s="27"/>
      <c r="AA245" s="25"/>
      <c r="AB245" s="26"/>
      <c r="AC245" s="27"/>
      <c r="AD245" s="25"/>
      <c r="AE245" s="26"/>
      <c r="AF245" s="27"/>
      <c r="AG245" s="25"/>
      <c r="AH245" s="26"/>
      <c r="AI245" s="27"/>
      <c r="AJ245" s="25"/>
      <c r="AK245" s="26"/>
      <c r="AL245" s="27"/>
      <c r="AM245" s="25"/>
      <c r="AN245" s="26"/>
      <c r="AO245" s="27"/>
      <c r="AP245" s="25"/>
      <c r="AQ245" s="26"/>
      <c r="AR245" s="27"/>
      <c r="AS245" s="25"/>
      <c r="AT245" s="26"/>
      <c r="AU245" s="27"/>
      <c r="AV245" s="25"/>
      <c r="AW245" s="26"/>
      <c r="AX245" s="27"/>
      <c r="AY245" s="25"/>
      <c r="AZ245" s="26"/>
      <c r="BA245" s="27"/>
      <c r="BB245" s="25"/>
      <c r="BC245" s="26"/>
      <c r="BD245" s="27"/>
    </row>
    <row r="246" spans="1:56">
      <c r="A246" s="28"/>
      <c r="B246" s="19" t="s">
        <v>549</v>
      </c>
      <c r="C246" s="20" t="str">
        <f>IFERROR(GETPIVOTDATA("[Measures].[mOldUGIS]",'Pivot Table Cats'!$A$3,"[Range 1].[State]","[Range 1].[State].&amp;[TX]","[Range 1].[Type]","[Range 1].[Type].&amp;[6]")," ")</f>
        <v xml:space="preserve"> </v>
      </c>
      <c r="D246" s="20" t="str">
        <f>IFERROR(GETPIVOTDATA("[Measures].[mNewUGIS]",'Pivot Table Cats'!$A$3,"[Range 1].[State]","[Range 1].[State].&amp;[TX]","[Range 1].[Type]","[Range 1].[Type].&amp;[6]")," ")</f>
        <v xml:space="preserve"> </v>
      </c>
      <c r="E246" s="21" t="str">
        <f t="shared" si="56"/>
        <v xml:space="preserve"> </v>
      </c>
      <c r="F246" s="20" t="str">
        <f>IFERROR(GETPIVOTDATA("[Measures].[mOldUGOS]",'Pivot Table Cats'!$A$3,"[Range 1].[State]","[Range 1].[State].&amp;[TX]","[Range 1].[Type]","[Range 1].[Type].&amp;[6]")," ")</f>
        <v xml:space="preserve"> </v>
      </c>
      <c r="G246" s="20" t="str">
        <f>IFERROR(GETPIVOTDATA("[Measures].[mNewUGOS]",'Pivot Table Cats'!$A$3,"[Range 1].[State]","[Range 1].[State].&amp;[TX]","[Range 1].[Type]","[Range 1].[Type].&amp;[6]")," ")</f>
        <v xml:space="preserve"> </v>
      </c>
      <c r="H246" s="21" t="str">
        <f t="shared" si="57"/>
        <v xml:space="preserve"> </v>
      </c>
      <c r="I246" s="20" t="str">
        <f>IFERROR(GETPIVOTDATA("[Measures].[mOldGIS]",'Pivot Table Cats'!$A$3,"[Range 1].[State]","[Range 1].[State].&amp;[TX]","[Range 1].[Type]","[Range 1].[Type].&amp;[6]")," ")</f>
        <v xml:space="preserve"> </v>
      </c>
      <c r="J246" s="20" t="str">
        <f>IFERROR(GETPIVOTDATA("[Measures].[mNewGIS]",'Pivot Table Cats'!$A$3,"[Range 1].[State]","[Range 1].[State].&amp;[TX]","[Range 1].[Type]","[Range 1].[Type].&amp;[6]")," ")</f>
        <v xml:space="preserve"> </v>
      </c>
      <c r="K246" s="21" t="str">
        <f t="shared" si="58"/>
        <v xml:space="preserve"> </v>
      </c>
      <c r="L246" s="20" t="str">
        <f>IFERROR(GETPIVOTDATA("[Measures].[mOldGOS]",'Pivot Table Cats'!$A$3,"[Range 1].[State]","[Range 1].[State].&amp;[TX]","[Range 1].[Type]","[Range 1].[Type].&amp;[6]")," ")</f>
        <v xml:space="preserve"> </v>
      </c>
      <c r="M246" s="20" t="str">
        <f>IFERROR(GETPIVOTDATA("[Measures].[mNewGOS]",'Pivot Table Cats'!$A$3,"[Range 1].[State]","[Range 1].[State].&amp;[TX]","[Range 1].[Type]","[Range 1].[Type].&amp;[6]")," ")</f>
        <v xml:space="preserve"> </v>
      </c>
      <c r="N246" s="21" t="str">
        <f t="shared" si="59"/>
        <v xml:space="preserve"> </v>
      </c>
      <c r="O246" s="25"/>
      <c r="P246" s="26"/>
      <c r="Q246" s="27"/>
      <c r="R246" s="25"/>
      <c r="S246" s="26"/>
      <c r="T246" s="27"/>
      <c r="U246" s="25"/>
      <c r="V246" s="26"/>
      <c r="W246" s="27"/>
      <c r="X246" s="25"/>
      <c r="Y246" s="26"/>
      <c r="Z246" s="27"/>
      <c r="AA246" s="25"/>
      <c r="AB246" s="26"/>
      <c r="AC246" s="27"/>
      <c r="AD246" s="25"/>
      <c r="AE246" s="26"/>
      <c r="AF246" s="27"/>
      <c r="AG246" s="25"/>
      <c r="AH246" s="26"/>
      <c r="AI246" s="27"/>
      <c r="AJ246" s="25"/>
      <c r="AK246" s="26"/>
      <c r="AL246" s="27"/>
      <c r="AM246" s="25"/>
      <c r="AN246" s="26"/>
      <c r="AO246" s="27"/>
      <c r="AP246" s="25"/>
      <c r="AQ246" s="26"/>
      <c r="AR246" s="27"/>
      <c r="AS246" s="25"/>
      <c r="AT246" s="26"/>
      <c r="AU246" s="27"/>
      <c r="AV246" s="25"/>
      <c r="AW246" s="26"/>
      <c r="AX246" s="27"/>
      <c r="AY246" s="25"/>
      <c r="AZ246" s="26"/>
      <c r="BA246" s="27"/>
      <c r="BB246" s="25"/>
      <c r="BC246" s="26"/>
      <c r="BD246" s="27"/>
    </row>
    <row r="247" spans="1:56" s="49" customFormat="1" ht="19.5" customHeight="1">
      <c r="A247" s="48"/>
      <c r="B247" s="30" t="s">
        <v>550</v>
      </c>
      <c r="C247" s="31">
        <f>IFERROR(GETPIVOTDATA("[Measures].[mOldUGIS]",'Pivot Table Totals'!$A$4,"[Range 1].[State]","[Range 1].[State].&amp;[TX]"), " ")</f>
        <v>9820</v>
      </c>
      <c r="D247" s="31">
        <f>IFERROR(GETPIVOTDATA("[Measures].[mNewUGIS]",'Pivot Table Totals'!$A$4,"[Range 1].[State]","[Range 1].[State].&amp;[TX]"), " ")</f>
        <v>10222</v>
      </c>
      <c r="E247" s="21">
        <f t="shared" si="56"/>
        <v>4.0936863543788187</v>
      </c>
      <c r="F247" s="31">
        <f>IFERROR(GETPIVOTDATA("[Measures].[mOldUGOS]",'Pivot Table Totals'!$A$4,"[Range 1].[State]","[Range 1].[State].&amp;[TX]"), " ")</f>
        <v>23342</v>
      </c>
      <c r="G247" s="31">
        <f>IFERROR(GETPIVOTDATA("[Measures].[mNewUGOS]",'Pivot Table Totals'!$A$4,"[Range 1].[State]","[Range 1].[State].&amp;[TX]"), " ")</f>
        <v>23274</v>
      </c>
      <c r="H247" s="21">
        <f t="shared" si="57"/>
        <v>-0.2913203667209322</v>
      </c>
      <c r="I247" s="31">
        <f>IFERROR(GETPIVOTDATA("[Measures].[mOldGIS]",'Pivot Table Totals'!$A$4,"[Range 1].[State]","[Range 1].[State].&amp;[TX]"), " ")</f>
        <v>10312</v>
      </c>
      <c r="J247" s="31">
        <f>IFERROR(GETPIVOTDATA("[Measures].[mNewGIS]",'Pivot Table Totals'!$A$4,"[Range 1].[State]","[Range 1].[State].&amp;[TX]"), " ")</f>
        <v>10616</v>
      </c>
      <c r="K247" s="21">
        <f t="shared" si="58"/>
        <v>2.948021722265322</v>
      </c>
      <c r="L247" s="31">
        <f>IFERROR(GETPIVOTDATA("[Measures].[mOldGOS]",'Pivot Table Totals'!$A$4,"[Range 1].[State]","[Range 1].[State].&amp;[TX]"), " ")</f>
        <v>20560</v>
      </c>
      <c r="M247" s="31">
        <f>IFERROR(GETPIVOTDATA("[Measures].[mNewGOS]",'Pivot Table Totals'!$A$4,"[Range 1].[State]","[Range 1].[State].&amp;[TX]"), " ")</f>
        <v>20902.666666666701</v>
      </c>
      <c r="N247" s="21">
        <f>IFERROR(IF(L247&gt;0,(((M247-L247)/L247)*100),0), "  ")</f>
        <v>1.6666666666668317</v>
      </c>
      <c r="O247" s="36"/>
      <c r="P247" s="37"/>
      <c r="Q247" s="38"/>
      <c r="R247" s="36"/>
      <c r="S247" s="37"/>
      <c r="T247" s="38"/>
      <c r="U247" s="36"/>
      <c r="V247" s="37"/>
      <c r="W247" s="38"/>
      <c r="X247" s="36"/>
      <c r="Y247" s="37"/>
      <c r="Z247" s="38"/>
      <c r="AA247" s="36"/>
      <c r="AB247" s="37"/>
      <c r="AC247" s="38"/>
      <c r="AD247" s="36"/>
      <c r="AE247" s="37"/>
      <c r="AF247" s="38"/>
      <c r="AG247" s="36"/>
      <c r="AH247" s="37"/>
      <c r="AI247" s="38"/>
      <c r="AJ247" s="36"/>
      <c r="AK247" s="37"/>
      <c r="AL247" s="38"/>
      <c r="AM247" s="36"/>
      <c r="AN247" s="37"/>
      <c r="AO247" s="38"/>
      <c r="AP247" s="36"/>
      <c r="AQ247" s="37"/>
      <c r="AR247" s="38"/>
      <c r="AS247" s="36"/>
      <c r="AT247" s="37"/>
      <c r="AU247" s="38"/>
      <c r="AV247" s="36"/>
      <c r="AW247" s="37"/>
      <c r="AX247" s="38"/>
      <c r="AY247" s="36"/>
      <c r="AZ247" s="37"/>
      <c r="BA247" s="38"/>
      <c r="BB247" s="36"/>
      <c r="BC247" s="37"/>
      <c r="BD247" s="38"/>
    </row>
    <row r="248" spans="1:56">
      <c r="A248" s="28"/>
      <c r="B248" s="19" t="s">
        <v>551</v>
      </c>
      <c r="C248" s="20">
        <f>IFERROR(GETPIVOTDATA("[Measures].[mOldUGIS]",'Pivot Table Cats'!$A$3,"[Range 1].[State]","[Range 1].[State].&amp;[TX]","[Range 1].[Type]","[Range 1].[Type].&amp;[7]")," ")</f>
        <v>2878</v>
      </c>
      <c r="D248" s="20">
        <f>IFERROR(GETPIVOTDATA("[Measures].[mNewUGIS]",'Pivot Table Cats'!$A$3,"[Range 1].[State]","[Range 1].[State].&amp;[TX]","[Range 1].[Type]","[Range 1].[Type].&amp;[7]")," ")</f>
        <v>4121</v>
      </c>
      <c r="E248" s="21">
        <f t="shared" si="56"/>
        <v>43.18971507991661</v>
      </c>
      <c r="F248" s="20">
        <f>IFERROR(GETPIVOTDATA("[Measures].[mOldUGOS]",'Pivot Table Cats'!$A$3,"[Range 1].[State]","[Range 1].[State].&amp;[TX]","[Range 1].[Type]","[Range 1].[Type].&amp;[7]")," ")</f>
        <v>5610</v>
      </c>
      <c r="G248" s="20">
        <f>IFERROR(GETPIVOTDATA("[Measures].[mNewUGOS]",'Pivot Table Cats'!$A$3,"[Range 1].[State]","[Range 1].[State].&amp;[TX]","[Range 1].[Type]","[Range 1].[Type].&amp;[7]")," ")</f>
        <v>5880</v>
      </c>
      <c r="H248" s="21">
        <f t="shared" si="57"/>
        <v>4.8128342245989302</v>
      </c>
      <c r="I248" s="20">
        <f>IFERROR(GETPIVOTDATA("[Measures].[mOldGIS]",'Pivot Table Cats'!$A$3,"[Range 1].[State]","[Range 1].[State].&amp;[TX]","[Range 1].[Type]","[Range 1].[Type].&amp;[7]")," ")</f>
        <v>0</v>
      </c>
      <c r="J248" s="20">
        <f>IFERROR(GETPIVOTDATA("[Measures].[mNewGIS]",'Pivot Table Cats'!$A$3,"[Range 1].[State]","[Range 1].[State].&amp;[TX]","[Range 1].[Type]","[Range 1].[Type].&amp;[7]")," ")</f>
        <v>0</v>
      </c>
      <c r="K248" s="21">
        <f t="shared" si="58"/>
        <v>0</v>
      </c>
      <c r="L248" s="20">
        <f>IFERROR(GETPIVOTDATA("[Measures].[mOldGIS]",'Pivot Table Cats'!$A$3,"[Range 1].[State]","[Range 1].[State].&amp;[TX]","[Range 1].[Type]","[Range 1].[Type].&amp;[7]")," ")</f>
        <v>0</v>
      </c>
      <c r="M248" s="20">
        <f>IFERROR(GETPIVOTDATA("[Measures].[mNewGIS]",'Pivot Table Cats'!$A$3,"[Range 1].[State]","[Range 1].[State].&amp;[TX]","[Range 1].[Type]","[Range 1].[Type].&amp;[7]")," ")</f>
        <v>0</v>
      </c>
      <c r="N248" s="21">
        <f t="shared" si="59"/>
        <v>0</v>
      </c>
      <c r="O248" s="25"/>
      <c r="P248" s="26"/>
      <c r="Q248" s="27"/>
      <c r="R248" s="25"/>
      <c r="S248" s="26"/>
      <c r="T248" s="27"/>
      <c r="U248" s="25"/>
      <c r="V248" s="26"/>
      <c r="W248" s="27"/>
      <c r="X248" s="25"/>
      <c r="Y248" s="26"/>
      <c r="Z248" s="27"/>
      <c r="AA248" s="25"/>
      <c r="AB248" s="26"/>
      <c r="AC248" s="27"/>
      <c r="AD248" s="25"/>
      <c r="AE248" s="26"/>
      <c r="AF248" s="27"/>
      <c r="AG248" s="25"/>
      <c r="AH248" s="26"/>
      <c r="AI248" s="27"/>
      <c r="AJ248" s="25"/>
      <c r="AK248" s="26"/>
      <c r="AL248" s="27"/>
      <c r="AM248" s="25"/>
      <c r="AN248" s="26"/>
      <c r="AO248" s="27"/>
      <c r="AP248" s="25"/>
      <c r="AQ248" s="26"/>
      <c r="AR248" s="27"/>
      <c r="AS248" s="25"/>
      <c r="AT248" s="26"/>
      <c r="AU248" s="27"/>
      <c r="AV248" s="25"/>
      <c r="AW248" s="26"/>
      <c r="AX248" s="27"/>
      <c r="AY248" s="25"/>
      <c r="AZ248" s="26"/>
      <c r="BA248" s="27"/>
      <c r="BB248" s="25"/>
      <c r="BC248" s="26"/>
      <c r="BD248" s="27"/>
    </row>
    <row r="249" spans="1:56">
      <c r="A249" s="28"/>
      <c r="B249" s="19" t="s">
        <v>552</v>
      </c>
      <c r="C249" s="20">
        <f>IFERROR(GETPIVOTDATA("[Measures].[mOldUGIS]",'Pivot Table Cats'!$A$3,"[Range 1].[State]","[Range 1].[State].&amp;[TX]","[Range 1].[Type]","[Range 1].[Type].&amp;[8]")," ")</f>
        <v>2918</v>
      </c>
      <c r="D249" s="20">
        <f>IFERROR(GETPIVOTDATA("[Measures].[mNewUGIS]",'Pivot Table Cats'!$A$3,"[Range 1].[State]","[Range 1].[State].&amp;[TX]","[Range 1].[Type]","[Range 1].[Type].&amp;[8]")," ")</f>
        <v>2798</v>
      </c>
      <c r="E249" s="21">
        <f t="shared" si="56"/>
        <v>-4.1124057573680606</v>
      </c>
      <c r="F249" s="20">
        <f>IFERROR(GETPIVOTDATA("[Measures].[mOldUGOS]",'Pivot Table Cats'!$A$3,"[Range 1].[State]","[Range 1].[State].&amp;[TX]","[Range 1].[Type]","[Range 1].[Type].&amp;[8]")," ")</f>
        <v>6000</v>
      </c>
      <c r="G249" s="20">
        <f>IFERROR(GETPIVOTDATA("[Measures].[mNewUGOS]",'Pivot Table Cats'!$A$3,"[Range 1].[State]","[Range 1].[State].&amp;[TX]","[Range 1].[Type]","[Range 1].[Type].&amp;[8]")," ")</f>
        <v>6000</v>
      </c>
      <c r="H249" s="21">
        <f t="shared" si="57"/>
        <v>0</v>
      </c>
      <c r="I249" s="337">
        <f>IFERROR(GETPIVOTDATA("[Measures].[mOldGIS]",'Pivot Table Cats'!$A$3,"[Range 1].[State]","[Range 1].[State].&amp;[TX]","[Range 1].[Type]","[Range 1].[Type].&amp;[8]")," ")</f>
        <v>0</v>
      </c>
      <c r="J249" s="20">
        <f>IFERROR(GETPIVOTDATA("[Measures].[mNewGIS]",'Pivot Table Cats'!$A$3,"[Range 1].[State]","[Range 1].[State].&amp;[TX]","[Range 1].[Type]","[Range 1].[Type].&amp;[8]")," ")</f>
        <v>0</v>
      </c>
      <c r="K249" s="21">
        <f t="shared" si="58"/>
        <v>0</v>
      </c>
      <c r="L249" s="20">
        <f>IFERROR(GETPIVOTDATA("[Measures].[mOldGOS]",'Pivot Table Cats'!$A$3,"[Range 1].[State]","[Range 1].[State].&amp;[TX]","[Range 1].[Type]","[Range 1].[Type].&amp;[8]")," ")</f>
        <v>0</v>
      </c>
      <c r="M249" s="20">
        <f>IFERROR(GETPIVOTDATA("[Measures].[mNewGOS]",'Pivot Table Cats'!$A$3,"[Range 1].[State]","[Range 1].[State].&amp;[TX]","[Range 1].[Type]","[Range 1].[Type].&amp;[8]")," ")</f>
        <v>0</v>
      </c>
      <c r="N249" s="21">
        <f t="shared" si="59"/>
        <v>0</v>
      </c>
      <c r="O249" s="25"/>
      <c r="P249" s="26"/>
      <c r="Q249" s="27"/>
      <c r="R249" s="25"/>
      <c r="S249" s="26"/>
      <c r="T249" s="27"/>
      <c r="U249" s="25"/>
      <c r="V249" s="26"/>
      <c r="W249" s="27"/>
      <c r="X249" s="25"/>
      <c r="Y249" s="26"/>
      <c r="Z249" s="27"/>
      <c r="AA249" s="25"/>
      <c r="AB249" s="26"/>
      <c r="AC249" s="27"/>
      <c r="AD249" s="25"/>
      <c r="AE249" s="26"/>
      <c r="AF249" s="27"/>
      <c r="AG249" s="25"/>
      <c r="AH249" s="26"/>
      <c r="AI249" s="27"/>
      <c r="AJ249" s="25"/>
      <c r="AK249" s="26"/>
      <c r="AL249" s="27"/>
      <c r="AM249" s="25"/>
      <c r="AN249" s="26"/>
      <c r="AO249" s="27"/>
      <c r="AP249" s="25"/>
      <c r="AQ249" s="26"/>
      <c r="AR249" s="27"/>
      <c r="AS249" s="25"/>
      <c r="AT249" s="26"/>
      <c r="AU249" s="27"/>
      <c r="AV249" s="25"/>
      <c r="AW249" s="26"/>
      <c r="AX249" s="27"/>
      <c r="AY249" s="25"/>
      <c r="AZ249" s="26"/>
      <c r="BA249" s="27"/>
      <c r="BB249" s="25"/>
      <c r="BC249" s="26"/>
      <c r="BD249" s="27"/>
    </row>
    <row r="250" spans="1:56">
      <c r="A250" s="28"/>
      <c r="B250" s="19" t="s">
        <v>553</v>
      </c>
      <c r="C250" s="20">
        <f>IFERROR(GETPIVOTDATA("[Measures].[mOldUGIS]",'Pivot Table Cats'!$A$3,"[Range 1].[State]","[Range 1].[State].&amp;[TX]","[Range 1].[Type]","[Range 1].[Type].&amp;[9]")," ")</f>
        <v>3199</v>
      </c>
      <c r="D250" s="20">
        <f>IFERROR(GETPIVOTDATA("[Measures].[mNewUGIS]",'Pivot Table Cats'!$A$3,"[Range 1].[State]","[Range 1].[State].&amp;[TX]","[Range 1].[Type]","[Range 1].[Type].&amp;[9]")," ")</f>
        <v>3316</v>
      </c>
      <c r="E250" s="21">
        <f t="shared" si="56"/>
        <v>3.6573929352922785</v>
      </c>
      <c r="F250" s="20">
        <f>IFERROR(GETPIVOTDATA("[Measures].[mOldUGOS]",'Pivot Table Cats'!$A$3,"[Range 1].[State]","[Range 1].[State].&amp;[TX]","[Range 1].[Type]","[Range 1].[Type].&amp;[9]")," ")</f>
        <v>5930</v>
      </c>
      <c r="G250" s="20">
        <f>IFERROR(GETPIVOTDATA("[Measures].[mNewUGOS]",'Pivot Table Cats'!$A$3,"[Range 1].[State]","[Range 1].[State].&amp;[TX]","[Range 1].[Type]","[Range 1].[Type].&amp;[9]")," ")</f>
        <v>6045</v>
      </c>
      <c r="H250" s="21">
        <f t="shared" si="57"/>
        <v>1.93929173693086</v>
      </c>
      <c r="I250" s="20">
        <f>IFERROR(GETPIVOTDATA("[Measures].[mOldGIS]",'Pivot Table Cats'!$A$3,"[Range 1].[State]","[Range 1].[State].&amp;[TX]","[Range 1].[Type]","[Range 1].[Type].&amp;[9]")," ")</f>
        <v>0</v>
      </c>
      <c r="J250" s="20">
        <f>IFERROR(GETPIVOTDATA("[Measures].[mNewGIS]",'Pivot Table Cats'!$A$3,"[Range 1].[State]","[Range 1].[State].&amp;[TX]","[Range 1].[Type]","[Range 1].[Type].&amp;[9]")," ")</f>
        <v>0</v>
      </c>
      <c r="K250" s="21">
        <f t="shared" si="58"/>
        <v>0</v>
      </c>
      <c r="L250" s="20">
        <f>IFERROR(GETPIVOTDATA("[Measures].[mOldGOS]",'Pivot Table Cats'!$A$3,"[Range 1].[State]","[Range 1].[State].&amp;[TX]","[Range 1].[Type]","[Range 1].[Type].&amp;[9]")," ")</f>
        <v>0</v>
      </c>
      <c r="M250" s="20">
        <f>IFERROR(GETPIVOTDATA("[Measures].[mNewGOS]",'Pivot Table Cats'!$A$3,"[Range 1].[State]","[Range 1].[State].&amp;[TX]","[Range 1].[Type]","[Range 1].[Type].&amp;[9]")," ")</f>
        <v>0</v>
      </c>
      <c r="N250" s="21">
        <f t="shared" si="59"/>
        <v>0</v>
      </c>
      <c r="O250" s="25"/>
      <c r="P250" s="26"/>
      <c r="Q250" s="27"/>
      <c r="R250" s="25"/>
      <c r="S250" s="26"/>
      <c r="T250" s="27"/>
      <c r="U250" s="25"/>
      <c r="V250" s="26"/>
      <c r="W250" s="27"/>
      <c r="X250" s="25"/>
      <c r="Y250" s="26"/>
      <c r="Z250" s="27"/>
      <c r="AA250" s="25"/>
      <c r="AB250" s="26"/>
      <c r="AC250" s="27"/>
      <c r="AD250" s="25"/>
      <c r="AE250" s="26"/>
      <c r="AF250" s="27"/>
      <c r="AG250" s="25"/>
      <c r="AH250" s="26"/>
      <c r="AI250" s="27"/>
      <c r="AJ250" s="25"/>
      <c r="AK250" s="26"/>
      <c r="AL250" s="27"/>
      <c r="AM250" s="25"/>
      <c r="AN250" s="26"/>
      <c r="AO250" s="27"/>
      <c r="AP250" s="25"/>
      <c r="AQ250" s="26"/>
      <c r="AR250" s="27"/>
      <c r="AS250" s="25"/>
      <c r="AT250" s="26"/>
      <c r="AU250" s="27"/>
      <c r="AV250" s="25"/>
      <c r="AW250" s="26"/>
      <c r="AX250" s="27"/>
      <c r="AY250" s="25"/>
      <c r="AZ250" s="26"/>
      <c r="BA250" s="27"/>
      <c r="BB250" s="25"/>
      <c r="BC250" s="26"/>
      <c r="BD250" s="27"/>
    </row>
    <row r="251" spans="1:56">
      <c r="A251" s="28"/>
      <c r="B251" s="19" t="s">
        <v>554</v>
      </c>
      <c r="C251" s="20">
        <f>IFERROR(GETPIVOTDATA("[Measures].[mOldUGIS]",'Pivot Table Cats'!$A$3,"[Range 1].[State]","[Range 1].[State].&amp;[TX]","[Range 1].[Type]","[Range 1].[Type].&amp;[10]")," ")</f>
        <v>4046</v>
      </c>
      <c r="D251" s="20">
        <f>IFERROR(GETPIVOTDATA("[Measures].[mNewUGIS]",'Pivot Table Cats'!$A$3,"[Range 1].[State]","[Range 1].[State].&amp;[TX]","[Range 1].[Type]","[Range 1].[Type].&amp;[10]")," ")</f>
        <v>3840</v>
      </c>
      <c r="E251" s="21">
        <f t="shared" si="56"/>
        <v>-5.0914483440435001</v>
      </c>
      <c r="F251" s="20">
        <f>IFERROR(GETPIVOTDATA("[Measures].[mOldUGOS]",'Pivot Table Cats'!$A$3,"[Range 1].[State]","[Range 1].[State].&amp;[TX]","[Range 1].[Type]","[Range 1].[Type].&amp;[10]")," ")</f>
        <v>5160</v>
      </c>
      <c r="G251" s="20">
        <f>IFERROR(GETPIVOTDATA("[Measures].[mNewUGOS]",'Pivot Table Cats'!$A$3,"[Range 1].[State]","[Range 1].[State].&amp;[TX]","[Range 1].[Type]","[Range 1].[Type].&amp;[10]")," ")</f>
        <v>5220</v>
      </c>
      <c r="H251" s="21">
        <f t="shared" si="57"/>
        <v>1.1627906976744187</v>
      </c>
      <c r="I251" s="20">
        <f>IFERROR(GETPIVOTDATA("[Measures].[mOldGIS]",'Pivot Table Cats'!$A$3,"[Range 1].[State]","[Range 1].[State].&amp;[TX]","[Range 1].[Type]","[Range 1].[Type].&amp;[10]")," ")</f>
        <v>0</v>
      </c>
      <c r="J251" s="20">
        <f>IFERROR(GETPIVOTDATA("[Measures].[mNewGIS]",'Pivot Table Cats'!$A$3,"[Range 1].[State]","[Range 1].[State].&amp;[TX]","[Range 1].[Type]","[Range 1].[Type].&amp;[10]")," ")</f>
        <v>0</v>
      </c>
      <c r="K251" s="21">
        <f t="shared" si="58"/>
        <v>0</v>
      </c>
      <c r="L251" s="20">
        <f>IFERROR(GETPIVOTDATA("[Measures].[mOldGOS]",'Pivot Table Cats'!$A$3,"[Range 1].[State]","[Range 1].[State].&amp;[TX]","[Range 1].[Type]","[Range 1].[Type].&amp;[10]")," ")</f>
        <v>0</v>
      </c>
      <c r="M251" s="20">
        <f>IFERROR(GETPIVOTDATA("[Measures].[mNewGOS]",'Pivot Table Cats'!$A$3,"[Range 1].[State]","[Range 1].[State].&amp;[TX]","[Range 1].[Type]","[Range 1].[Type].&amp;[10]")," ")</f>
        <v>0</v>
      </c>
      <c r="N251" s="21">
        <f t="shared" si="59"/>
        <v>0</v>
      </c>
      <c r="O251" s="25"/>
      <c r="P251" s="26"/>
      <c r="Q251" s="27"/>
      <c r="R251" s="25"/>
      <c r="S251" s="26"/>
      <c r="T251" s="27"/>
      <c r="U251" s="25"/>
      <c r="V251" s="26"/>
      <c r="W251" s="27"/>
      <c r="X251" s="25"/>
      <c r="Y251" s="26"/>
      <c r="Z251" s="27"/>
      <c r="AA251" s="25"/>
      <c r="AB251" s="26"/>
      <c r="AC251" s="27"/>
      <c r="AD251" s="25"/>
      <c r="AE251" s="26"/>
      <c r="AF251" s="27"/>
      <c r="AG251" s="25"/>
      <c r="AH251" s="26"/>
      <c r="AI251" s="27"/>
      <c r="AJ251" s="25"/>
      <c r="AK251" s="26"/>
      <c r="AL251" s="27"/>
      <c r="AM251" s="25"/>
      <c r="AN251" s="26"/>
      <c r="AO251" s="27"/>
      <c r="AP251" s="25"/>
      <c r="AQ251" s="26"/>
      <c r="AR251" s="27"/>
      <c r="AS251" s="25"/>
      <c r="AT251" s="26"/>
      <c r="AU251" s="27"/>
      <c r="AV251" s="25"/>
      <c r="AW251" s="26"/>
      <c r="AX251" s="27"/>
      <c r="AY251" s="25"/>
      <c r="AZ251" s="26"/>
      <c r="BA251" s="27"/>
      <c r="BB251" s="25"/>
      <c r="BC251" s="26"/>
      <c r="BD251" s="27"/>
    </row>
    <row r="252" spans="1:56" s="49" customFormat="1" ht="20.25" customHeight="1">
      <c r="A252" s="48"/>
      <c r="B252" s="30" t="s">
        <v>555</v>
      </c>
      <c r="C252" s="31">
        <f>IFERROR(GETPIVOTDATA("[Measures].[mOldUGIS]",'Pivot Table Totals'!$A$31,"[Range 1].[State]","[Range 1].[State].&amp;[TX]"), " ")</f>
        <v>3140</v>
      </c>
      <c r="D252" s="31">
        <f>IFERROR(GETPIVOTDATA("[Measures].[mNewUGIS]",'Pivot Table Totals'!$A$31,"[Range 1].[State]","[Range 1].[State].&amp;[TX]"), " ")</f>
        <v>3294</v>
      </c>
      <c r="E252" s="21">
        <f t="shared" si="56"/>
        <v>4.9044585987261149</v>
      </c>
      <c r="F252" s="31">
        <f>IFERROR(GETPIVOTDATA("[Measures].[mOldUGOS]",'Pivot Table Totals'!$A$31,"[Range 1].[State]","[Range 1].[State].&amp;[TX]")," ")</f>
        <v>5935</v>
      </c>
      <c r="G252" s="31">
        <f>IFERROR(GETPIVOTDATA("[Measures].[mNewUGOS]",'Pivot Table Totals'!$A$31,"[Range 1].[State]","[Range 1].[State].&amp;[TX]"), " ")</f>
        <v>6000</v>
      </c>
      <c r="H252" s="21">
        <f t="shared" si="57"/>
        <v>1.0951979780960404</v>
      </c>
      <c r="I252" s="31">
        <f>IFERROR(GETPIVOTDATA("[Measures].[mOldGIS]",'Pivot Table Totals'!$A$31,"[Range 1].[State]","[Range 1].[State].&amp;[TX]")," ")</f>
        <v>0</v>
      </c>
      <c r="J252" s="31">
        <f>IFERROR(GETPIVOTDATA("[Measures].[mNewGIS]",'Pivot Table Totals'!$A$31,"[Range 1].[State]","[Range 1].[State].&amp;[TX]"), " ")</f>
        <v>0</v>
      </c>
      <c r="K252" s="21">
        <f t="shared" si="58"/>
        <v>0</v>
      </c>
      <c r="L252" s="31">
        <f>IFERROR(GETPIVOTDATA("[Measures].[mOldGOS]",'Pivot Table Totals'!$A$31,"[Range 1].[State]","[Range 1].[State].&amp;[TX]"), " ")</f>
        <v>0</v>
      </c>
      <c r="M252" s="31">
        <f>IFERROR(GETPIVOTDATA("[Measures].[mNewGOS]",'Pivot Table Totals'!$A$31,"[Range 1].[State]","[Range 1].[State].&amp;[TX]"), " ")</f>
        <v>0</v>
      </c>
      <c r="N252" s="21">
        <f t="shared" si="59"/>
        <v>0</v>
      </c>
      <c r="O252" s="36"/>
      <c r="P252" s="37"/>
      <c r="Q252" s="38"/>
      <c r="R252" s="36"/>
      <c r="S252" s="37"/>
      <c r="T252" s="38"/>
      <c r="U252" s="36"/>
      <c r="V252" s="37"/>
      <c r="W252" s="38"/>
      <c r="X252" s="36"/>
      <c r="Y252" s="37"/>
      <c r="Z252" s="38"/>
      <c r="AA252" s="36"/>
      <c r="AB252" s="37"/>
      <c r="AC252" s="38"/>
      <c r="AD252" s="36"/>
      <c r="AE252" s="37"/>
      <c r="AF252" s="38"/>
      <c r="AG252" s="36"/>
      <c r="AH252" s="37"/>
      <c r="AI252" s="38"/>
      <c r="AJ252" s="36"/>
      <c r="AK252" s="37"/>
      <c r="AL252" s="38"/>
      <c r="AM252" s="36"/>
      <c r="AN252" s="37"/>
      <c r="AO252" s="38"/>
      <c r="AP252" s="36"/>
      <c r="AQ252" s="37"/>
      <c r="AR252" s="38"/>
      <c r="AS252" s="36"/>
      <c r="AT252" s="37"/>
      <c r="AU252" s="38"/>
      <c r="AV252" s="36"/>
      <c r="AW252" s="37"/>
      <c r="AX252" s="38"/>
      <c r="AY252" s="36"/>
      <c r="AZ252" s="37"/>
      <c r="BA252" s="38"/>
      <c r="BB252" s="36"/>
      <c r="BC252" s="37"/>
      <c r="BD252" s="38"/>
    </row>
    <row r="253" spans="1:56">
      <c r="A253" s="28"/>
      <c r="B253" s="19" t="s">
        <v>556</v>
      </c>
      <c r="C253" s="20" t="str">
        <f>IFERROR(GETPIVOTDATA("[Measures].[mOldUGIS]",'Pivot Table Cats'!$A$3,"[Range 1].[State]","[Range 1].[State].&amp;[TX]","[Range 1].[Type]","[Range 1].[Type].&amp;[12]")," ")</f>
        <v xml:space="preserve"> </v>
      </c>
      <c r="D253" s="20" t="str">
        <f>IFERROR(GETPIVOTDATA("[Measures].[mNewUGIS]",'Pivot Table Cats'!$A$3,"[Range 1].[State]","[Range 1].[State].&amp;[TX]","[Range 1].[Type]","[Range 1].[Type].&amp;[12]")," ")</f>
        <v xml:space="preserve"> </v>
      </c>
      <c r="E253" s="21" t="str">
        <f t="shared" si="56"/>
        <v xml:space="preserve"> </v>
      </c>
      <c r="F253" s="20" t="str">
        <f>IFERROR(GETPIVOTDATA("[Measures].[mOldUGOS]",'Pivot Table Cats'!$A$3,"[Range 1].[State]","[Range 1].[State].&amp;[TX]","[Range 1].[Type]","[Range 1].[Type].&amp;[12]")," ")</f>
        <v xml:space="preserve"> </v>
      </c>
      <c r="G253" s="20" t="str">
        <f>IFERROR(GETPIVOTDATA("[Measures].[mNewUGOS]",'Pivot Table Cats'!$A$3,"[Range 1].[State]","[Range 1].[State].&amp;[TX]","[Range 1].[Type]","[Range 1].[Type].&amp;[12]")," ")</f>
        <v xml:space="preserve"> </v>
      </c>
      <c r="H253" s="21" t="str">
        <f t="shared" si="57"/>
        <v xml:space="preserve"> </v>
      </c>
      <c r="I253" s="20" t="str">
        <f>IFERROR(GETPIVOTDATA("[Measures].[mOldGIS]",'Pivot Table Cats'!$A$3,"[Range 1].[State]","[Range 1].[State].&amp;[TX]","[Range 1].[Type]","[Range 1].[Type].&amp;[12]")," ")</f>
        <v xml:space="preserve"> </v>
      </c>
      <c r="J253" s="20" t="str">
        <f>IFERROR(GETPIVOTDATA("[Measures].[mNewGIS]",'Pivot Table Cats'!$A$3,"[Range 1].[State]","[Range 1].[State].&amp;[TX]","[Range 1].[Type]","[Range 1].[Type].&amp;[12]")," ")</f>
        <v xml:space="preserve"> </v>
      </c>
      <c r="K253" s="21" t="str">
        <f t="shared" si="58"/>
        <v xml:space="preserve"> </v>
      </c>
      <c r="L253" s="20" t="str">
        <f>IFERROR(GETPIVOTDATA("[Measures].[mOldGOS]",'Pivot Table Cats'!$A$3,"[Range 1].[State]","[Range 1].[State].&amp;[TX]","[Range 1].[Type]","[Range 1].[Type].&amp;[12]")," ")</f>
        <v xml:space="preserve"> </v>
      </c>
      <c r="M253" s="20" t="str">
        <f>IFERROR(GETPIVOTDATA("[Measures].[mNewGOS]",'Pivot Table Cats'!$A$3,"[Range 1].[State]","[Range 1].[State].&amp;[TX]","[Range 1].[Type]","[Range 1].[Type].&amp;[12]")," ")</f>
        <v xml:space="preserve"> </v>
      </c>
      <c r="N253" s="21" t="str">
        <f t="shared" si="59"/>
        <v xml:space="preserve"> </v>
      </c>
      <c r="O253" s="25"/>
      <c r="P253" s="26"/>
      <c r="Q253" s="27"/>
      <c r="R253" s="25"/>
      <c r="S253" s="26"/>
      <c r="T253" s="27"/>
      <c r="U253" s="25"/>
      <c r="V253" s="26"/>
      <c r="W253" s="27"/>
      <c r="X253" s="25"/>
      <c r="Y253" s="26"/>
      <c r="Z253" s="27"/>
      <c r="AA253" s="25"/>
      <c r="AB253" s="26"/>
      <c r="AC253" s="27"/>
      <c r="AD253" s="25"/>
      <c r="AE253" s="26"/>
      <c r="AF253" s="27"/>
      <c r="AG253" s="25"/>
      <c r="AH253" s="26"/>
      <c r="AI253" s="27"/>
      <c r="AJ253" s="25"/>
      <c r="AK253" s="26"/>
      <c r="AL253" s="27"/>
      <c r="AM253" s="25"/>
      <c r="AN253" s="26"/>
      <c r="AO253" s="27"/>
      <c r="AP253" s="25"/>
      <c r="AQ253" s="26"/>
      <c r="AR253" s="27"/>
      <c r="AS253" s="25"/>
      <c r="AT253" s="26"/>
      <c r="AU253" s="27"/>
      <c r="AV253" s="25"/>
      <c r="AW253" s="26"/>
      <c r="AX253" s="27"/>
      <c r="AY253" s="25"/>
      <c r="AZ253" s="26"/>
      <c r="BA253" s="27"/>
      <c r="BB253" s="25"/>
      <c r="BC253" s="26"/>
      <c r="BD253" s="27"/>
    </row>
    <row r="254" spans="1:56">
      <c r="A254" s="28"/>
      <c r="B254" s="19" t="s">
        <v>557</v>
      </c>
      <c r="C254" s="20" t="str">
        <f>IFERROR(GETPIVOTDATA("[Measures].[mOldUGIS]",'Pivot Table Cats'!$A$3,"[Range 1].[State]","[Range 1].[State].&amp;[TX]","[Range 1].[Type]","[Range 1].[Type].&amp;[13]")," ")</f>
        <v xml:space="preserve"> </v>
      </c>
      <c r="D254" s="20" t="str">
        <f>IFERROR(GETPIVOTDATA("[Measures].[mNewUGIS]",'Pivot Table Cats'!$A$3,"[Range 1].[State]","[Range 1].[State].&amp;[TX]","[Range 1].[Type]","[Range 1].[Type].&amp;[13]")," ")</f>
        <v xml:space="preserve"> </v>
      </c>
      <c r="E254" s="21" t="str">
        <f t="shared" si="56"/>
        <v xml:space="preserve"> </v>
      </c>
      <c r="F254" s="20" t="str">
        <f>IFERROR(GETPIVOTDATA("[Measures].[mOldUGOS]",'Pivot Table Cats'!$A$3,"[Range 1].[State]","[Range 1].[State].&amp;[TX]","[Range 1].[Type]","[Range 1].[Type].&amp;[13]")," ")</f>
        <v xml:space="preserve"> </v>
      </c>
      <c r="G254" s="20" t="str">
        <f>IFERROR(GETPIVOTDATA("[Measures].[mNewUGOS]",'Pivot Table Cats'!$A$3,"[Range 1].[State]","[Range 1].[State].&amp;[TX]","[Range 1].[Type]","[Range 1].[Type].&amp;[13]")," ")</f>
        <v xml:space="preserve"> </v>
      </c>
      <c r="H254" s="21" t="str">
        <f t="shared" si="57"/>
        <v xml:space="preserve"> </v>
      </c>
      <c r="I254" s="20" t="str">
        <f>IFERROR(GETPIVOTDATA("[Measures].[mOldGIS]",'Pivot Table Cats'!$A$3,"[Range 1].[State]","[Range 1].[State].&amp;[TX]","[Range 1].[Type]","[Range 1].[Type].&amp;[13]")," ")</f>
        <v xml:space="preserve"> </v>
      </c>
      <c r="J254" s="20" t="str">
        <f>IFERROR(GETPIVOTDATA("[Measures].[mNewGIS]",'Pivot Table Cats'!$A$3,"[Range 1].[State]","[Range 1].[State].&amp;[TX]","[Range 1].[Type]","[Range 1].[Type].&amp;[13]")," ")</f>
        <v xml:space="preserve"> </v>
      </c>
      <c r="K254" s="21" t="str">
        <f t="shared" si="58"/>
        <v xml:space="preserve"> </v>
      </c>
      <c r="L254" s="20" t="str">
        <f>IFERROR(GETPIVOTDATA("[Measures].[mOldGOS]",'Pivot Table Cats'!$A$3,"[Range 1].[State]","[Range 1].[State].&amp;[TX]","[Range 1].[Type]","[Range 1].[Type].&amp;[13]")," ")</f>
        <v xml:space="preserve"> </v>
      </c>
      <c r="M254" s="20" t="str">
        <f>IFERROR(GETPIVOTDATA("[Measures].[mNewGOS]",'Pivot Table Cats'!$A$3,"[Range 1].[State]","[Range 1].[State].&amp;[TX]","[Range 1].[Type]","[Range 1].[Type].&amp;[13]")," ")</f>
        <v xml:space="preserve"> </v>
      </c>
      <c r="N254" s="21" t="str">
        <f t="shared" si="59"/>
        <v xml:space="preserve"> </v>
      </c>
      <c r="O254" s="25"/>
      <c r="P254" s="26"/>
      <c r="Q254" s="27"/>
      <c r="R254" s="25"/>
      <c r="S254" s="26"/>
      <c r="T254" s="27"/>
      <c r="U254" s="25"/>
      <c r="V254" s="26"/>
      <c r="W254" s="27"/>
      <c r="X254" s="25"/>
      <c r="Y254" s="26"/>
      <c r="Z254" s="27"/>
      <c r="AA254" s="25"/>
      <c r="AB254" s="26"/>
      <c r="AC254" s="27"/>
      <c r="AD254" s="25"/>
      <c r="AE254" s="26"/>
      <c r="AF254" s="27"/>
      <c r="AG254" s="25"/>
      <c r="AH254" s="26"/>
      <c r="AI254" s="27"/>
      <c r="AJ254" s="25"/>
      <c r="AK254" s="26"/>
      <c r="AL254" s="27"/>
      <c r="AM254" s="25"/>
      <c r="AN254" s="26"/>
      <c r="AO254" s="27"/>
      <c r="AP254" s="25"/>
      <c r="AQ254" s="26"/>
      <c r="AR254" s="27"/>
      <c r="AS254" s="25"/>
      <c r="AT254" s="26"/>
      <c r="AU254" s="27"/>
      <c r="AV254" s="25"/>
      <c r="AW254" s="26"/>
      <c r="AX254" s="27"/>
      <c r="AY254" s="25"/>
      <c r="AZ254" s="26"/>
      <c r="BA254" s="27"/>
      <c r="BB254" s="25"/>
      <c r="BC254" s="26"/>
      <c r="BD254" s="27"/>
    </row>
    <row r="255" spans="1:56">
      <c r="A255" s="28"/>
      <c r="B255" s="19" t="s">
        <v>558</v>
      </c>
      <c r="C255" s="20" t="str">
        <f>IFERROR(GETPIVOTDATA("[Measures].[mOldUGIS]",'Pivot Table Cats'!$A$3,"[Range 1].[State]","[Range 1].[State].&amp;[TX]","[Range 1].[Type]","[Range 1].[Type].&amp;[14]")," ")</f>
        <v xml:space="preserve"> </v>
      </c>
      <c r="D255" s="20" t="str">
        <f>IFERROR(GETPIVOTDATA("[Measures].[mNewUGIS]",'Pivot Table Cats'!$A$3,"[Range 1].[State]","[Range 1].[State].&amp;[TX]","[Range 1].[Type]","[Range 1].[Type].&amp;[14]")," ")</f>
        <v xml:space="preserve"> </v>
      </c>
      <c r="E255" s="21" t="str">
        <f t="shared" si="56"/>
        <v xml:space="preserve"> </v>
      </c>
      <c r="F255" s="20" t="str">
        <f>IFERROR(GETPIVOTDATA("[Measures].[mOldUGOS]",'Pivot Table Cats'!$A$3,"[Range 1].[State]","[Range 1].[State].&amp;[TX]","[Range 1].[Type]","[Range 1].[Type].&amp;[14]")," ")</f>
        <v xml:space="preserve"> </v>
      </c>
      <c r="G255" s="20" t="str">
        <f>IFERROR(GETPIVOTDATA("[Measures].[mNewUGOS]",'Pivot Table Cats'!$A$3,"[Range 1].[State]","[Range 1].[State].&amp;[TX]","[Range 1].[Type]","[Range 1].[Type].&amp;[14]")," ")</f>
        <v xml:space="preserve"> </v>
      </c>
      <c r="H255" s="21" t="str">
        <f t="shared" si="57"/>
        <v xml:space="preserve"> </v>
      </c>
      <c r="I255" s="20" t="str">
        <f>IFERROR(GETPIVOTDATA("[Measures].[mOldGIS]",'Pivot Table Cats'!$A$3,"[Range 1].[State]","[Range 1].[State].&amp;[TX]","[Range 1].[Type]","[Range 1].[Type].&amp;[14]")," ")</f>
        <v xml:space="preserve"> </v>
      </c>
      <c r="J255" s="20" t="str">
        <f>IFERROR(GETPIVOTDATA("[Measures].[mNewGIS]",'Pivot Table Cats'!$A$3,"[Range 1].[State]","[Range 1].[State].&amp;[TX]","[Range 1].[Type]","[Range 1].[Type].&amp;[14]")," ")</f>
        <v xml:space="preserve"> </v>
      </c>
      <c r="K255" s="21" t="str">
        <f t="shared" si="58"/>
        <v xml:space="preserve"> </v>
      </c>
      <c r="L255" s="20" t="str">
        <f>IFERROR(GETPIVOTDATA("[Measures].[mOldGOS]",'Pivot Table Cats'!$A$3,"[Range 1].[State]","[Range 1].[State].&amp;[TX]","[Range 1].[Type]","[Range 1].[Type].&amp;[14]")," ")</f>
        <v xml:space="preserve"> </v>
      </c>
      <c r="M255" s="20" t="str">
        <f>IFERROR(GETPIVOTDATA("[Measures].[mNewGOS]",'Pivot Table Cats'!$A$3,"[Range 1].[State]","[Range 1].[State].&amp;[TX]","[Range 1].[Type]","[Range 1].[Type].&amp;[14]")," ")</f>
        <v xml:space="preserve"> </v>
      </c>
      <c r="N255" s="21" t="str">
        <f t="shared" si="59"/>
        <v xml:space="preserve"> </v>
      </c>
      <c r="O255" s="25"/>
      <c r="P255" s="26"/>
      <c r="Q255" s="27"/>
      <c r="R255" s="25"/>
      <c r="S255" s="26"/>
      <c r="T255" s="27"/>
      <c r="U255" s="25"/>
      <c r="V255" s="26"/>
      <c r="W255" s="27"/>
      <c r="X255" s="25"/>
      <c r="Y255" s="26"/>
      <c r="Z255" s="27"/>
      <c r="AA255" s="25"/>
      <c r="AB255" s="26"/>
      <c r="AC255" s="27"/>
      <c r="AD255" s="25"/>
      <c r="AE255" s="26"/>
      <c r="AF255" s="27"/>
      <c r="AG255" s="25"/>
      <c r="AH255" s="26"/>
      <c r="AI255" s="27"/>
      <c r="AJ255" s="25"/>
      <c r="AK255" s="26"/>
      <c r="AL255" s="27"/>
      <c r="AM255" s="25"/>
      <c r="AN255" s="26"/>
      <c r="AO255" s="27"/>
      <c r="AP255" s="25"/>
      <c r="AQ255" s="26"/>
      <c r="AR255" s="27"/>
      <c r="AS255" s="25"/>
      <c r="AT255" s="26"/>
      <c r="AU255" s="27"/>
      <c r="AV255" s="25"/>
      <c r="AW255" s="26"/>
      <c r="AX255" s="27"/>
      <c r="AY255" s="25"/>
      <c r="AZ255" s="26"/>
      <c r="BA255" s="27"/>
      <c r="BB255" s="25"/>
      <c r="BC255" s="26"/>
      <c r="BD255" s="27"/>
    </row>
    <row r="256" spans="1:56" s="49" customFormat="1" ht="21.75" customHeight="1">
      <c r="A256" s="48"/>
      <c r="B256" s="50" t="s">
        <v>559</v>
      </c>
      <c r="C256" s="31" t="str">
        <f>IFERROR(GETPIVOTDATA("[Measures].[mOldUGIS]",'Pivot Table Totals'!$A$59,"[Range 1].[State]","[Range 1].[State].&amp;[TX]"), " ")</f>
        <v xml:space="preserve"> </v>
      </c>
      <c r="D256" s="31" t="str">
        <f>IFERROR(GETPIVOTDATA("[Measures].[mNewUGIS]",'Pivot Table Totals'!$A$59,"[Range 1].[State]","[Range 1].[State].&amp;[TX]"), " ")</f>
        <v xml:space="preserve"> </v>
      </c>
      <c r="E256" s="21" t="str">
        <f t="shared" si="56"/>
        <v xml:space="preserve"> </v>
      </c>
      <c r="F256" s="31" t="str">
        <f>IFERROR(GETPIVOTDATA("[Measures].[mOldUGOS]",'Pivot Table Totals'!$A$59,"[Range 1].[State]","[Range 1].[State].&amp;[TX]"), " " )</f>
        <v xml:space="preserve"> </v>
      </c>
      <c r="G256" s="31" t="str">
        <f>IFERROR(GETPIVOTDATA("[Measures].[mNewUGOS]",'Pivot Table Totals'!$A$59,"[Range 1].[State]","[Range 1].[State].&amp;[TX]"), " ")</f>
        <v xml:space="preserve"> </v>
      </c>
      <c r="H256" s="21" t="str">
        <f t="shared" si="57"/>
        <v xml:space="preserve"> </v>
      </c>
      <c r="I256" s="31" t="str">
        <f>IFERROR(GETPIVOTDATA("[Measures].[mOldGIS]",'Pivot Table Totals'!$A$59,"[Range 1].[State]","[Range 1].[State].&amp;[TX]"), " ")</f>
        <v xml:space="preserve"> </v>
      </c>
      <c r="J256" s="31" t="str">
        <f>IFERROR(GETPIVOTDATA("[Measures].[mNewGIS]",'Pivot Table Totals'!$A$59,"[Range 1].[State]","[Range 1].[State].&amp;[TX]"), " ")</f>
        <v xml:space="preserve"> </v>
      </c>
      <c r="K256" s="21" t="str">
        <f t="shared" si="58"/>
        <v xml:space="preserve"> </v>
      </c>
      <c r="L256" s="31" t="str">
        <f>IFERROR(GETPIVOTDATA("[Measures].[mOldGOS]",'Pivot Table Totals'!$A$59,"[Range 1].[State]","[Range 1].[State].&amp;[TX]"), " ")</f>
        <v xml:space="preserve"> </v>
      </c>
      <c r="M256" s="31" t="str">
        <f>IFERROR(GETPIVOTDATA("[Measures].[mNewGOS]",'Pivot Table Totals'!$A$59,"[Range 1].[State]","[Range 1].[State].&amp;[TX]"), " ")</f>
        <v xml:space="preserve"> </v>
      </c>
      <c r="N256" s="21" t="str">
        <f t="shared" si="59"/>
        <v xml:space="preserve"> </v>
      </c>
      <c r="O256" s="36"/>
      <c r="P256" s="37"/>
      <c r="Q256" s="38"/>
      <c r="R256" s="36"/>
      <c r="S256" s="37"/>
      <c r="T256" s="38"/>
      <c r="U256" s="36"/>
      <c r="V256" s="37"/>
      <c r="W256" s="38"/>
      <c r="X256" s="36"/>
      <c r="Y256" s="37"/>
      <c r="Z256" s="38"/>
      <c r="AA256" s="36"/>
      <c r="AB256" s="37"/>
      <c r="AC256" s="38"/>
      <c r="AD256" s="36"/>
      <c r="AE256" s="37"/>
      <c r="AF256" s="38"/>
      <c r="AG256" s="36"/>
      <c r="AH256" s="37"/>
      <c r="AI256" s="38"/>
      <c r="AJ256" s="36"/>
      <c r="AK256" s="37"/>
      <c r="AL256" s="38"/>
      <c r="AM256" s="36"/>
      <c r="AN256" s="37"/>
      <c r="AO256" s="38"/>
      <c r="AP256" s="36"/>
      <c r="AQ256" s="37"/>
      <c r="AR256" s="38"/>
      <c r="AS256" s="36"/>
      <c r="AT256" s="37"/>
      <c r="AU256" s="38"/>
      <c r="AV256" s="36"/>
      <c r="AW256" s="37"/>
      <c r="AX256" s="38"/>
      <c r="AY256" s="36"/>
      <c r="AZ256" s="37"/>
      <c r="BA256" s="38"/>
      <c r="BB256" s="36"/>
      <c r="BC256" s="37"/>
      <c r="BD256" s="38"/>
    </row>
    <row r="257" spans="1:56">
      <c r="A257" s="40"/>
      <c r="B257" s="41" t="s">
        <v>560</v>
      </c>
      <c r="C257" s="42"/>
      <c r="D257" s="42"/>
      <c r="E257" s="335"/>
      <c r="F257" s="42"/>
      <c r="G257" s="42"/>
      <c r="H257" s="44"/>
      <c r="I257" s="45"/>
      <c r="J257" s="42"/>
      <c r="K257" s="44"/>
      <c r="L257" s="45"/>
      <c r="M257" s="42"/>
      <c r="N257" s="44"/>
      <c r="O257" s="336">
        <f>IFERROR(GETPIVOTDATA("[Measures].[mOldLawIS]",'Pivot Table Totals'!$A$79,"[Range 1].[State]","[Range 1].[State].&amp;[TX]"), " ")</f>
        <v>23264.811428571447</v>
      </c>
      <c r="P257" s="42">
        <f>IFERROR(GETPIVOTDATA("[Measures].[mNewLawIS]",'Pivot Table Totals'!$A$79,"[Range 1].[State]","[Range 1].[State].&amp;[TX]"), " ")</f>
        <v>23264.811428571447</v>
      </c>
      <c r="Q257" s="46">
        <f>IFERROR(IF(O257&gt;0,(((P257-O257)/O257)*100),0), " ")</f>
        <v>0</v>
      </c>
      <c r="R257" s="336">
        <f>IFERROR(GETPIVOTDATA("[Measures].[mOldLawOS]",'Pivot Table Totals'!$A$79,"[Range 1].[State]","[Range 1].[State].&amp;[TX]"), " ")</f>
        <v>33716.811428571455</v>
      </c>
      <c r="S257" s="336">
        <f>IFERROR(GETPIVOTDATA("[Measures].[mNewLawOS]",'Pivot Table Totals'!$A$79,"[Range 1].[State]","[Range 1].[State].&amp;[TX]"), " ")</f>
        <v>33704.811428571455</v>
      </c>
      <c r="T257" s="46">
        <f>IFERROR(IF(R257&gt;0,(((S257-R257)/R257)*100),0), " ")</f>
        <v>-3.5590554063576904E-2</v>
      </c>
      <c r="U257" s="336">
        <f>IFERROR(GETPIVOTDATA("[Measures].[mOldMedIS]",'Pivot Table Totals'!$A$79,"[Range 1].[State]","[Range 1].[State].&amp;[TX]"), " ")</f>
        <v>27596</v>
      </c>
      <c r="V257" s="336">
        <f>IFERROR(GETPIVOTDATA("[Measures].[mNewMedIS]",'Pivot Table Totals'!$A$79,"[Range 1].[State]","[Range 1].[State].&amp;[TX]"), " ")</f>
        <v>28998.666666666701</v>
      </c>
      <c r="W257" s="46">
        <f>IFERROR(IF(U257&gt;0,(((V257-U257)/U257)*100),0), " ")</f>
        <v>5.0828622505678389</v>
      </c>
      <c r="X257" s="336">
        <f>IFERROR(GETPIVOTDATA("[Measures].[mOldMedOS]",'Pivot Table Totals'!$A$79,"[Range 1].[State]","[Range 1].[State].&amp;[TX]"), " ")</f>
        <v>45314.666666666701</v>
      </c>
      <c r="Y257" s="336">
        <f>IFERROR(GETPIVOTDATA("[Measures].[mNewMedOS]",'Pivot Table Totals'!$A$79,"[Range 1].[State]","[Range 1].[State].&amp;[TX]"), " ")</f>
        <v>46986.666666666701</v>
      </c>
      <c r="Z257" s="46">
        <f>IFERROR(IF(X257&gt;0,(((Y257-X257)/X257)*100),0), " ")</f>
        <v>3.6897546048372831</v>
      </c>
      <c r="AA257" s="336">
        <f>IFERROR(GETPIVOTDATA("[Measures].[mOldDenIS]",'Pivot Table Totals'!$A$79,"[Range 1].[State]","[Range 1].[State].&amp;[TX]"), " ")</f>
        <v>42836</v>
      </c>
      <c r="AB257" s="336">
        <f>IFERROR(GETPIVOTDATA("[Measures].[mNewDenIS]",'Pivot Table Totals'!$A$79,"[Range 1].[State]","[Range 1].[State].&amp;[TX]"), " ")</f>
        <v>50912</v>
      </c>
      <c r="AC257" s="46">
        <f>IFERROR(IF(AA257&gt;0,(((AB257-AA257)/AA257)*100),0), " ")</f>
        <v>18.853300961807825</v>
      </c>
      <c r="AD257" s="336">
        <f>IFERROR(GETPIVOTDATA("[Measures].[mOldDenOS]",'Pivot Table Totals'!$A$79,"[Range 1].[State]","[Range 1].[State].&amp;[TX]"), " ")</f>
        <v>57236</v>
      </c>
      <c r="AE257" s="336">
        <f>IFERROR(GETPIVOTDATA("[Measures].[mNewDenOS]",'Pivot Table Totals'!$A$79,"[Range 1].[State]","[Range 1].[State].&amp;[TX]"), " ")</f>
        <v>65312</v>
      </c>
      <c r="AF257" s="46">
        <f>IFERROR(IF(AD257&gt;0,(((AE257-AD257)/AD257)*100),0), " ")</f>
        <v>14.110000698860855</v>
      </c>
      <c r="AG257" s="336">
        <f>IFERROR(GETPIVOTDATA("[Measures].[mOldPhrIS]",'Pivot Table Totals'!$A$79,"[Range 1].[State]","[Range 1].[State].&amp;[TX]"), " ")</f>
        <v>21030</v>
      </c>
      <c r="AH257" s="336">
        <f>IFERROR(GETPIVOTDATA("[Measures].[mNewPhIS]",'Pivot Table Totals'!$A$79,"[Range 1].[State]","[Range 1].[State].&amp;[TX]"), " ")</f>
        <v>23216.66666666665</v>
      </c>
      <c r="AI257" s="46">
        <f>IFERROR(IF(AG257&gt;0,(((AH257-AG257)/AG257)*100),0), " ")</f>
        <v>10.39784434934213</v>
      </c>
      <c r="AJ257" s="336">
        <f>IFERROR(GETPIVOTDATA("[Measures].[mOldPhrOS]",'Pivot Table Totals'!$A$79,"[Range 1].[State]","[Range 1].[State].&amp;[TX]"), " ")</f>
        <v>40529.33333333335</v>
      </c>
      <c r="AK257" s="336">
        <f>IFERROR(GETPIVOTDATA("[Measures].[mNewPhrOS]",'Pivot Table Totals'!$A$79,"[Range 1].[State]","[Range 1].[State].&amp;[TX]"), " ")</f>
        <v>47113.33333333335</v>
      </c>
      <c r="AL257" s="46">
        <f>IFERROR(IF(AJ257&gt;0,(((AQ257-AJ257)/AJ257)*100),0), " ")</f>
        <v>-29.992926933578996</v>
      </c>
      <c r="AM257" s="336">
        <f>IFERROR(GETPIVOTDATA("[Measures].[mOldOptIS]",'Pivot Table Totals'!$A$79,"[Range 1].[State]","[Range 1].[State].&amp;[TX]"), " ")</f>
        <v>6807</v>
      </c>
      <c r="AN257" s="336">
        <f>IFERROR(GETPIVOTDATA("[Measures].[mNewOptIS]",'Pivot Table Totals'!$A$79,"[Range 1].[State]","[Range 1].[State].&amp;[TX]"), " ")</f>
        <v>16181.4</v>
      </c>
      <c r="AO257" s="46">
        <f>IFERROR(IF(AM257&gt;0,(((AN257-AM257)/AM257)*100),0), " ")</f>
        <v>137.71705597179374</v>
      </c>
      <c r="AP257" s="336">
        <f>IFERROR(GETPIVOTDATA("[Measures].[mOldOptoS]",'Pivot Table Totals'!$A$79,"[Range 1].[State]","[Range 1].[State].&amp;[TX]"), " ")</f>
        <v>19023</v>
      </c>
      <c r="AQ257" s="336">
        <f>IFERROR(GETPIVOTDATA("[Measures].[mNewOptoS]",'Pivot Table Totals'!$A$79,"[Range 1].[State]","[Range 1].[State].&amp;[TX]"), " ")</f>
        <v>28373.4</v>
      </c>
      <c r="AR257" s="46">
        <f>IFERROR(IF(AP257&gt;0,(((AQ257-AP257)/AP257)*100),0), " ")</f>
        <v>49.153130421069243</v>
      </c>
      <c r="AS257" s="336">
        <f>IFERROR(GETPIVOTDATA("[Measures].[mOldOstIS]",'Pivot Table Totals'!$A$79,"[Range 1].[State]","[Range 1].[State].&amp;[TX]"), " ")</f>
        <v>27016</v>
      </c>
      <c r="AT257" s="336">
        <f>IFERROR(GETPIVOTDATA("[Measures].[mNewOstIS]",'Pivot Table Totals'!$A$79,"[Range 1].[State]","[Range 1].[State].&amp;[TX]"), " ")</f>
        <v>26290.666666666701</v>
      </c>
      <c r="AU257" s="46">
        <f>IFERROR(IF(AS257&gt;0,(((AT257-AS257)/AS257)*100),0), " ")</f>
        <v>-2.6848287434605393</v>
      </c>
      <c r="AV257" s="336">
        <f>IFERROR(GETPIVOTDATA("[Measures].[mOldOstOS]",'Pivot Table Totals'!$A$79,"[Range 1].[State]","[Range 1].[State].&amp;[TX]"), " ")</f>
        <v>47933.333333333299</v>
      </c>
      <c r="AW257" s="336">
        <f>IFERROR(GETPIVOTDATA("[Measures].[mNewOstOS]",'Pivot Table Totals'!$A$79,"[Range 1].[State]","[Range 1].[State].&amp;[TX]"), " ")</f>
        <v>47208</v>
      </c>
      <c r="AX257" s="46">
        <f>IFERROR(IF(AV257&gt;0,(((AW257-AV257)/AV257)*100),0), " ")</f>
        <v>-1.5132127955493044</v>
      </c>
      <c r="AY257" s="336">
        <f>IFERROR(GETPIVOTDATA("[Measures].[m[OldVetIS]",'Pivot Table Totals'!$A$79,"[Range 1].[State]","[Range 1].[State].&amp;[TX]"), " ")</f>
        <v>31430.400000000001</v>
      </c>
      <c r="AZ257" s="336">
        <f>IFERROR(GETPIVOTDATA("[Measures].[mNewVetIS]",'Pivot Table Totals'!$A$79,"[Range 1].[State]","[Range 1].[State].&amp;[TX]"), " ")</f>
        <v>35541.333333333299</v>
      </c>
      <c r="BA257" s="46">
        <f>IFERROR(IF(AY257&gt;0,(((AZ257-AY257)/AY257)*100),0), " ")</f>
        <v>13.079481436231474</v>
      </c>
      <c r="BB257" s="336">
        <f>IFERROR(GETPIVOTDATA("[Measures].[mOldVetOS]",'Pivot Table Totals'!$A$79,"[Range 1].[State]","[Range 1].[State].&amp;[TX]"), " ")</f>
        <v>49426.8</v>
      </c>
      <c r="BC257" s="336">
        <f>IFERROR(GETPIVOTDATA("[Measures].[mNewVetOS]",'Pivot Table Totals'!$A$79,"[Range 1].[State]","[Range 1].[State].&amp;[TX]"), " ")</f>
        <v>56477.333333333299</v>
      </c>
      <c r="BD257" s="46">
        <f>IFERROR(IF(BB257&gt;0,(((BC257-BB257)/BB257)*100),0), " ")</f>
        <v>14.26459599515505</v>
      </c>
    </row>
    <row r="258" spans="1:56">
      <c r="A258" s="18" t="s">
        <v>445</v>
      </c>
      <c r="B258" s="19" t="s">
        <v>544</v>
      </c>
      <c r="C258" s="20">
        <f>IFERROR(GETPIVOTDATA("[Measures].[mOldUGIS]",'Pivot Table Cats'!$A$3,"[Range 1].[State]","[Range 1].[State].&amp;[VA]","[Range 1].[Type]","[Range 1].[Type].&amp;[1]")," ")</f>
        <v>13749</v>
      </c>
      <c r="D258" s="20">
        <f>IFERROR(GETPIVOTDATA("[Measures].[mNewUGIS]",'Pivot Table Cats'!$A$3,"[Range 1].[State]","[Range 1].[State].&amp;[VA]","[Range 1].[Type]","[Range 1].[Type].&amp;[1]")," ")</f>
        <v>14175</v>
      </c>
      <c r="E258" s="21">
        <f>IFERROR(IF(C258&gt;0,(((D258-C258)/C258)*100),0), " ")</f>
        <v>3.0984071568841371</v>
      </c>
      <c r="F258" s="20">
        <f>IFERROR(GETPIVOTDATA("[Measures].[mOldUGOS]",'Pivot Table Cats'!$A$3,"[Range 1].[State]","[Range 1].[State].&amp;[VA]","[Range 1].[Type]","[Range 1].[Type].&amp;[1]")," ")</f>
        <v>36048</v>
      </c>
      <c r="G258" s="20">
        <f>IFERROR(GETPIVOTDATA("[Measures].[mNewUGOS]",'Pivot Table Cats'!$A$3,"[Range 1].[State]","[Range 1].[State].&amp;[VA]","[Range 1].[Type]","[Range 1].[Type].&amp;[1]")," ")</f>
        <v>36456</v>
      </c>
      <c r="H258" s="21">
        <f>IFERROR(IF(F258&gt;0,(((G258-F258)/F258)*100),0), " ")</f>
        <v>1.1318242343541944</v>
      </c>
      <c r="I258" s="20">
        <f>IFERROR(GETPIVOTDATA("[Measures].[mOldGIS]",'Pivot Table Cats'!$A$3,"[Range 1].[State]","[Range 1].[State].&amp;[VA]","[Range 1].[Type]","[Range 1].[Type].&amp;[1]")," ")</f>
        <v>16030</v>
      </c>
      <c r="J258" s="20">
        <f>IFERROR(GETPIVOTDATA("[Measures].[mNewGIS]",'Pivot Table Cats'!$A$3,"[Range 1].[State]","[Range 1].[State].&amp;[VA]","[Range 1].[Type]","[Range 1].[Type].&amp;[1]")," ")</f>
        <v>16522</v>
      </c>
      <c r="K258" s="21">
        <f>IFERROR(IF(I258&gt;0,(((J258-I258)/I258)*100),0), " ")</f>
        <v>3.0692451653150341</v>
      </c>
      <c r="L258" s="20">
        <f>IFERROR(GETPIVOTDATA("[Measures].[mOldGOS]",'Pivot Table Cats'!$A$3,"[Range 1].[State]","[Range 1].[State].&amp;[VA]","[Range 1].[Type]","[Range 1].[Type].&amp;[1]")," ")</f>
        <v>33648</v>
      </c>
      <c r="M258" s="20">
        <f>IFERROR(GETPIVOTDATA("[Measures].[mNewGOS]",'Pivot Table Cats'!$A$3,"[Range 1].[State]","[Range 1].[State].&amp;[VA]","[Range 1].[Type]","[Range 1].[Type].&amp;[1]")," ")</f>
        <v>33648</v>
      </c>
      <c r="N258" s="21">
        <f>IFERROR(IF(L258&gt;0,(((M258-L258)/L258)*100),0), " ")</f>
        <v>0</v>
      </c>
      <c r="O258" s="25"/>
      <c r="P258" s="26"/>
      <c r="Q258" s="27"/>
      <c r="R258" s="25"/>
      <c r="S258" s="26"/>
      <c r="T258" s="27"/>
      <c r="U258" s="25"/>
      <c r="V258" s="26"/>
      <c r="W258" s="27"/>
      <c r="X258" s="25"/>
      <c r="Y258" s="26"/>
      <c r="Z258" s="27"/>
      <c r="AA258" s="25"/>
      <c r="AB258" s="26"/>
      <c r="AC258" s="27"/>
      <c r="AD258" s="25"/>
      <c r="AE258" s="26"/>
      <c r="AF258" s="27"/>
      <c r="AG258" s="25"/>
      <c r="AH258" s="26"/>
      <c r="AI258" s="27"/>
      <c r="AJ258" s="25"/>
      <c r="AK258" s="26"/>
      <c r="AL258" s="27"/>
      <c r="AM258" s="25"/>
      <c r="AN258" s="26"/>
      <c r="AO258" s="27"/>
      <c r="AP258" s="25"/>
      <c r="AQ258" s="26"/>
      <c r="AR258" s="27"/>
      <c r="AS258" s="25"/>
      <c r="AT258" s="26"/>
      <c r="AU258" s="27"/>
      <c r="AV258" s="25"/>
      <c r="AW258" s="26"/>
      <c r="AX258" s="27"/>
      <c r="AY258" s="25"/>
      <c r="AZ258" s="26"/>
      <c r="BA258" s="27"/>
      <c r="BB258" s="25"/>
      <c r="BC258" s="26"/>
      <c r="BD258" s="27"/>
    </row>
    <row r="259" spans="1:56">
      <c r="A259" s="28"/>
      <c r="B259" s="19" t="s">
        <v>545</v>
      </c>
      <c r="C259" s="20">
        <f>IFERROR(GETPIVOTDATA("[Measures].[mOldUGIS]",'Pivot Table Cats'!$A$3,"[Range 1].[State]","[Range 1].[State].&amp;[VA]","[Range 1].[Type]","[Range 1].[Type].&amp;[2]")," ")</f>
        <v>23628</v>
      </c>
      <c r="D259" s="20">
        <f>IFERROR(GETPIVOTDATA("[Measures].[mNewUGIS]",'Pivot Table Cats'!$A$3,"[Range 1].[State]","[Range 1].[State].&amp;[VA]","[Range 1].[Type]","[Range 1].[Type].&amp;[2]")," ")</f>
        <v>23812</v>
      </c>
      <c r="E259" s="21">
        <f t="shared" ref="E259:E273" si="60">IFERROR(IF(C259&gt;0,(((D259-C259)/C259)*100),0), " ")</f>
        <v>0.77873709158625359</v>
      </c>
      <c r="F259" s="20">
        <f>IFERROR(GETPIVOTDATA("[Measures].[mOldUGOS]",'Pivot Table Cats'!$A$3,"[Range 1].[State]","[Range 1].[State].&amp;[VA]","[Range 1].[Type]","[Range 1].[Type].&amp;[2]")," ")</f>
        <v>46854</v>
      </c>
      <c r="G259" s="20">
        <f>IFERROR(GETPIVOTDATA("[Measures].[mNewUGOS]",'Pivot Table Cats'!$A$3,"[Range 1].[State]","[Range 1].[State].&amp;[VA]","[Range 1].[Type]","[Range 1].[Type].&amp;[2]")," ")</f>
        <v>47038</v>
      </c>
      <c r="H259" s="21">
        <f t="shared" ref="H259:H273" si="61">IFERROR(IF(F259&gt;0,(((G259-F259)/F259)*100),0), " ")</f>
        <v>0.39270926708498738</v>
      </c>
      <c r="I259" s="20">
        <f>IFERROR(GETPIVOTDATA("[Measures].[mOldGIS]",'Pivot Table Cats'!$A$3,"[Range 1].[State]","[Range 1].[State].&amp;[VA]","[Range 1].[Type]","[Range 1].[Type].&amp;[2]")," ")</f>
        <v>16440</v>
      </c>
      <c r="J259" s="20">
        <f>IFERROR(GETPIVOTDATA("[Measures].[mNewGIS]",'Pivot Table Cats'!$A$3,"[Range 1].[State]","[Range 1].[State].&amp;[VA]","[Range 1].[Type]","[Range 1].[Type].&amp;[2]")," ")</f>
        <v>16618</v>
      </c>
      <c r="K259" s="21">
        <f t="shared" ref="K259:K273" si="62">IFERROR(IF(I259&gt;0,(((J259-I259)/I259)*100),0), " ")</f>
        <v>1.0827250608272505</v>
      </c>
      <c r="L259" s="20">
        <f>IFERROR(GETPIVOTDATA("[Measures].[mOldGOS]",'Pivot Table Cats'!$A$3,"[Range 1].[State]","[Range 1].[State].&amp;[VA]","[Range 1].[Type]","[Range 1].[Type].&amp;[2]")," ")</f>
        <v>34800</v>
      </c>
      <c r="M259" s="20">
        <f>IFERROR(GETPIVOTDATA("[Measures].[mNewGOS]",'Pivot Table Cats'!$A$3,"[Range 1].[State]","[Range 1].[State].&amp;[VA]","[Range 1].[Type]","[Range 1].[Type].&amp;[2]")," ")</f>
        <v>34978</v>
      </c>
      <c r="N259" s="21">
        <f t="shared" ref="N259:N273" si="63">IFERROR(IF(L259&gt;0,(((M259-L259)/L259)*100),0), " ")</f>
        <v>0.5114942528735632</v>
      </c>
      <c r="O259" s="25"/>
      <c r="P259" s="26"/>
      <c r="Q259" s="27"/>
      <c r="R259" s="25"/>
      <c r="S259" s="26"/>
      <c r="T259" s="27"/>
      <c r="U259" s="25"/>
      <c r="V259" s="26"/>
      <c r="W259" s="27"/>
      <c r="X259" s="25"/>
      <c r="Y259" s="26"/>
      <c r="Z259" s="27"/>
      <c r="AA259" s="25"/>
      <c r="AB259" s="26"/>
      <c r="AC259" s="27"/>
      <c r="AD259" s="25"/>
      <c r="AE259" s="26"/>
      <c r="AF259" s="27"/>
      <c r="AG259" s="25"/>
      <c r="AH259" s="26"/>
      <c r="AI259" s="27"/>
      <c r="AJ259" s="25"/>
      <c r="AK259" s="26"/>
      <c r="AL259" s="27"/>
      <c r="AM259" s="25"/>
      <c r="AN259" s="26"/>
      <c r="AO259" s="27"/>
      <c r="AP259" s="25"/>
      <c r="AQ259" s="26"/>
      <c r="AR259" s="27"/>
      <c r="AS259" s="25"/>
      <c r="AT259" s="26"/>
      <c r="AU259" s="27"/>
      <c r="AV259" s="25"/>
      <c r="AW259" s="26"/>
      <c r="AX259" s="27"/>
      <c r="AY259" s="25"/>
      <c r="AZ259" s="26"/>
      <c r="BA259" s="27"/>
      <c r="BB259" s="25"/>
      <c r="BC259" s="26"/>
      <c r="BD259" s="27"/>
    </row>
    <row r="260" spans="1:56">
      <c r="A260" s="28"/>
      <c r="B260" s="19" t="s">
        <v>546</v>
      </c>
      <c r="C260" s="20">
        <f>IFERROR(GETPIVOTDATA("[Measures].[mOldUGIS]",'Pivot Table Cats'!$A$3,"[Range 1].[State]","[Range 1].[State].&amp;[VA]","[Range 1].[Type]","[Range 1].[Type].&amp;[3]")," ")</f>
        <v>11416</v>
      </c>
      <c r="D260" s="20">
        <f>IFERROR(GETPIVOTDATA("[Measures].[mNewUGIS]",'Pivot Table Cats'!$A$3,"[Range 1].[State]","[Range 1].[State].&amp;[VA]","[Range 1].[Type]","[Range 1].[Type].&amp;[3]")," ")</f>
        <v>11542</v>
      </c>
      <c r="E260" s="21">
        <f t="shared" si="60"/>
        <v>1.1037140854940435</v>
      </c>
      <c r="F260" s="20">
        <f>IFERROR(GETPIVOTDATA("[Measures].[mOldUGOS]",'Pivot Table Cats'!$A$3,"[Range 1].[State]","[Range 1].[State].&amp;[VA]","[Range 1].[Type]","[Range 1].[Type].&amp;[3]")," ")</f>
        <v>23498</v>
      </c>
      <c r="G260" s="20">
        <f>IFERROR(GETPIVOTDATA("[Measures].[mNewUGOS]",'Pivot Table Cats'!$A$3,"[Range 1].[State]","[Range 1].[State].&amp;[VA]","[Range 1].[Type]","[Range 1].[Type].&amp;[3]")," ")</f>
        <v>23624</v>
      </c>
      <c r="H260" s="21">
        <f t="shared" si="61"/>
        <v>0.53621584815729006</v>
      </c>
      <c r="I260" s="20">
        <f>IFERROR(GETPIVOTDATA("[Measures].[mOldGIS]",'Pivot Table Cats'!$A$3,"[Range 1].[State]","[Range 1].[State].&amp;[VA]","[Range 1].[Type]","[Range 1].[Type].&amp;[3]")," ")</f>
        <v>11989</v>
      </c>
      <c r="J260" s="20">
        <f>IFERROR(GETPIVOTDATA("[Measures].[mNewGIS]",'Pivot Table Cats'!$A$3,"[Range 1].[State]","[Range 1].[State].&amp;[VA]","[Range 1].[Type]","[Range 1].[Type].&amp;[3]")," ")</f>
        <v>12312</v>
      </c>
      <c r="K260" s="21">
        <f t="shared" si="62"/>
        <v>2.6941362916006342</v>
      </c>
      <c r="L260" s="20">
        <f>IFERROR(GETPIVOTDATA("[Measures].[mOldGOS]",'Pivot Table Cats'!$A$3,"[Range 1].[State]","[Range 1].[State].&amp;[VA]","[Range 1].[Type]","[Range 1].[Type].&amp;[3]")," ")</f>
        <v>22994</v>
      </c>
      <c r="M260" s="20">
        <f>IFERROR(GETPIVOTDATA("[Measures].[mNewGOS]",'Pivot Table Cats'!$A$3,"[Range 1].[State]","[Range 1].[State].&amp;[VA]","[Range 1].[Type]","[Range 1].[Type].&amp;[3]")," ")</f>
        <v>22994</v>
      </c>
      <c r="N260" s="21">
        <f t="shared" si="63"/>
        <v>0</v>
      </c>
      <c r="O260" s="25"/>
      <c r="P260" s="26"/>
      <c r="Q260" s="27"/>
      <c r="R260" s="25"/>
      <c r="S260" s="26"/>
      <c r="T260" s="27"/>
      <c r="U260" s="25"/>
      <c r="V260" s="26"/>
      <c r="W260" s="27"/>
      <c r="X260" s="25"/>
      <c r="Y260" s="26"/>
      <c r="Z260" s="27"/>
      <c r="AA260" s="25"/>
      <c r="AB260" s="26"/>
      <c r="AC260" s="27"/>
      <c r="AD260" s="25"/>
      <c r="AE260" s="26"/>
      <c r="AF260" s="27"/>
      <c r="AG260" s="25"/>
      <c r="AH260" s="26"/>
      <c r="AI260" s="27"/>
      <c r="AJ260" s="25"/>
      <c r="AK260" s="26"/>
      <c r="AL260" s="27"/>
      <c r="AM260" s="25"/>
      <c r="AN260" s="26"/>
      <c r="AO260" s="27"/>
      <c r="AP260" s="25"/>
      <c r="AQ260" s="26"/>
      <c r="AR260" s="27"/>
      <c r="AS260" s="25"/>
      <c r="AT260" s="26"/>
      <c r="AU260" s="27"/>
      <c r="AV260" s="25"/>
      <c r="AW260" s="26"/>
      <c r="AX260" s="27"/>
      <c r="AY260" s="25"/>
      <c r="AZ260" s="26"/>
      <c r="BA260" s="27"/>
      <c r="BB260" s="25"/>
      <c r="BC260" s="26"/>
      <c r="BD260" s="27"/>
    </row>
    <row r="261" spans="1:56">
      <c r="A261" s="28"/>
      <c r="B261" s="19" t="s">
        <v>547</v>
      </c>
      <c r="C261" s="20">
        <f>IFERROR(GETPIVOTDATA("[Measures].[mOldUGIS]",'Pivot Table Cats'!$A$3,"[Range 1].[State]","[Range 1].[State].&amp;[VA]","[Range 1].[Type]","[Range 1].[Type].&amp;[4]")," ")</f>
        <v>9622</v>
      </c>
      <c r="D261" s="20">
        <f>IFERROR(GETPIVOTDATA("[Measures].[mNewUGIS]",'Pivot Table Cats'!$A$3,"[Range 1].[State]","[Range 1].[State].&amp;[VA]","[Range 1].[Type]","[Range 1].[Type].&amp;[4]")," ")</f>
        <v>9622</v>
      </c>
      <c r="E261" s="21">
        <f t="shared" si="60"/>
        <v>0</v>
      </c>
      <c r="F261" s="20">
        <f>IFERROR(GETPIVOTDATA("[Measures].[mOldUGOS]",'Pivot Table Cats'!$A$3,"[Range 1].[State]","[Range 1].[State].&amp;[VA]","[Range 1].[Type]","[Range 1].[Type].&amp;[4]")," ")</f>
        <v>21550</v>
      </c>
      <c r="G261" s="20">
        <f>IFERROR(GETPIVOTDATA("[Measures].[mNewUGOS]",'Pivot Table Cats'!$A$3,"[Range 1].[State]","[Range 1].[State].&amp;[VA]","[Range 1].[Type]","[Range 1].[Type].&amp;[4]")," ")</f>
        <v>21550</v>
      </c>
      <c r="H261" s="21">
        <f t="shared" si="61"/>
        <v>0</v>
      </c>
      <c r="I261" s="20">
        <f>IFERROR(GETPIVOTDATA("[Measures].[mOldGIS]",'Pivot Table Cats'!$A$3,"[Range 1].[State]","[Range 1].[State].&amp;[VA]","[Range 1].[Type]","[Range 1].[Type].&amp;[4]")," ")</f>
        <v>12690</v>
      </c>
      <c r="J261" s="20">
        <f>IFERROR(GETPIVOTDATA("[Measures].[mNewGIS]",'Pivot Table Cats'!$A$3,"[Range 1].[State]","[Range 1].[State].&amp;[VA]","[Range 1].[Type]","[Range 1].[Type].&amp;[4]")," ")</f>
        <v>12690</v>
      </c>
      <c r="K261" s="21">
        <f t="shared" si="62"/>
        <v>0</v>
      </c>
      <c r="L261" s="20">
        <f>IFERROR(GETPIVOTDATA("[Measures].[mOldGOS]",'Pivot Table Cats'!$A$3,"[Range 1].[State]","[Range 1].[State].&amp;[VA]","[Range 1].[Type]","[Range 1].[Type].&amp;[4]")," ")</f>
        <v>25502</v>
      </c>
      <c r="M261" s="20">
        <f>IFERROR(GETPIVOTDATA("[Measures].[mNewGOS]",'Pivot Table Cats'!$A$3,"[Range 1].[State]","[Range 1].[State].&amp;[VA]","[Range 1].[Type]","[Range 1].[Type].&amp;[4]")," ")</f>
        <v>25502</v>
      </c>
      <c r="N261" s="21">
        <f t="shared" si="63"/>
        <v>0</v>
      </c>
      <c r="O261" s="25"/>
      <c r="P261" s="26"/>
      <c r="Q261" s="27"/>
      <c r="R261" s="25"/>
      <c r="S261" s="26"/>
      <c r="T261" s="27"/>
      <c r="U261" s="25"/>
      <c r="V261" s="26"/>
      <c r="W261" s="27"/>
      <c r="X261" s="25"/>
      <c r="Y261" s="26"/>
      <c r="Z261" s="27"/>
      <c r="AA261" s="25"/>
      <c r="AB261" s="26"/>
      <c r="AC261" s="27"/>
      <c r="AD261" s="25"/>
      <c r="AE261" s="26"/>
      <c r="AF261" s="27"/>
      <c r="AG261" s="25"/>
      <c r="AH261" s="26"/>
      <c r="AI261" s="27"/>
      <c r="AJ261" s="25"/>
      <c r="AK261" s="26"/>
      <c r="AL261" s="27"/>
      <c r="AM261" s="25"/>
      <c r="AN261" s="26"/>
      <c r="AO261" s="27"/>
      <c r="AP261" s="25"/>
      <c r="AQ261" s="26"/>
      <c r="AR261" s="27"/>
      <c r="AS261" s="25"/>
      <c r="AT261" s="26"/>
      <c r="AU261" s="27"/>
      <c r="AV261" s="25"/>
      <c r="AW261" s="26"/>
      <c r="AX261" s="27"/>
      <c r="AY261" s="25"/>
      <c r="AZ261" s="26"/>
      <c r="BA261" s="27"/>
      <c r="BB261" s="25"/>
      <c r="BC261" s="26"/>
      <c r="BD261" s="27"/>
    </row>
    <row r="262" spans="1:56">
      <c r="A262" s="28"/>
      <c r="B262" s="19" t="s">
        <v>548</v>
      </c>
      <c r="C262" s="20">
        <f>IFERROR(GETPIVOTDATA("[Measures].[mOldUGIS]",'Pivot Table Cats'!$A$3,"[Range 1].[State]","[Range 1].[State].&amp;[VA]","[Range 1].[Type]","[Range 1].[Type].&amp;[5]")," ")</f>
        <v>13910</v>
      </c>
      <c r="D262" s="20">
        <f>IFERROR(GETPIVOTDATA("[Measures].[mNewUGIS]",'Pivot Table Cats'!$A$3,"[Range 1].[State]","[Range 1].[State].&amp;[VA]","[Range 1].[Type]","[Range 1].[Type].&amp;[5]")," ")</f>
        <v>14090</v>
      </c>
      <c r="E262" s="21">
        <f t="shared" si="60"/>
        <v>1.2940330697340043</v>
      </c>
      <c r="F262" s="20">
        <f>IFERROR(GETPIVOTDATA("[Measures].[mOldUGOS]",'Pivot Table Cats'!$A$3,"[Range 1].[State]","[Range 1].[State].&amp;[VA]","[Range 1].[Type]","[Range 1].[Type].&amp;[5]")," ")</f>
        <v>30000</v>
      </c>
      <c r="G262" s="20">
        <f>IFERROR(GETPIVOTDATA("[Measures].[mNewUGOS]",'Pivot Table Cats'!$A$3,"[Range 1].[State]","[Range 1].[State].&amp;[VA]","[Range 1].[Type]","[Range 1].[Type].&amp;[5]")," ")</f>
        <v>27790</v>
      </c>
      <c r="H262" s="21">
        <f t="shared" si="61"/>
        <v>-7.3666666666666671</v>
      </c>
      <c r="I262" s="20">
        <f>IFERROR(GETPIVOTDATA("[Measures].[mOldGIS]",'Pivot Table Cats'!$A$3,"[Range 1].[State]","[Range 1].[State].&amp;[VA]","[Range 1].[Type]","[Range 1].[Type].&amp;[5]")," ")</f>
        <v>11661</v>
      </c>
      <c r="J262" s="20">
        <f>IFERROR(GETPIVOTDATA("[Measures].[mNewGIS]",'Pivot Table Cats'!$A$3,"[Range 1].[State]","[Range 1].[State].&amp;[VA]","[Range 1].[Type]","[Range 1].[Type].&amp;[5]")," ")</f>
        <v>11793</v>
      </c>
      <c r="K262" s="21">
        <f t="shared" si="62"/>
        <v>1.1319783895034732</v>
      </c>
      <c r="L262" s="20">
        <f>IFERROR(GETPIVOTDATA("[Measures].[mOldGOS]",'Pivot Table Cats'!$A$3,"[Range 1].[State]","[Range 1].[State].&amp;[VA]","[Range 1].[Type]","[Range 1].[Type].&amp;[5]")," ")</f>
        <v>24381</v>
      </c>
      <c r="M262" s="20">
        <f>IFERROR(GETPIVOTDATA("[Measures].[mNewGOS]",'Pivot Table Cats'!$A$3,"[Range 1].[State]","[Range 1].[State].&amp;[VA]","[Range 1].[Type]","[Range 1].[Type].&amp;[5]")," ")</f>
        <v>24513</v>
      </c>
      <c r="N262" s="21">
        <f t="shared" si="63"/>
        <v>0.54140519256798325</v>
      </c>
      <c r="O262" s="25"/>
      <c r="P262" s="26"/>
      <c r="Q262" s="27"/>
      <c r="R262" s="25"/>
      <c r="S262" s="26"/>
      <c r="T262" s="27"/>
      <c r="U262" s="25"/>
      <c r="V262" s="26"/>
      <c r="W262" s="27"/>
      <c r="X262" s="25"/>
      <c r="Y262" s="26"/>
      <c r="Z262" s="27"/>
      <c r="AA262" s="25"/>
      <c r="AB262" s="26"/>
      <c r="AC262" s="27"/>
      <c r="AD262" s="25"/>
      <c r="AE262" s="26"/>
      <c r="AF262" s="27"/>
      <c r="AG262" s="25"/>
      <c r="AH262" s="26"/>
      <c r="AI262" s="27"/>
      <c r="AJ262" s="25"/>
      <c r="AK262" s="26"/>
      <c r="AL262" s="27"/>
      <c r="AM262" s="25"/>
      <c r="AN262" s="26"/>
      <c r="AO262" s="27"/>
      <c r="AP262" s="25"/>
      <c r="AQ262" s="26"/>
      <c r="AR262" s="27"/>
      <c r="AS262" s="25"/>
      <c r="AT262" s="26"/>
      <c r="AU262" s="27"/>
      <c r="AV262" s="25"/>
      <c r="AW262" s="26"/>
      <c r="AX262" s="27"/>
      <c r="AY262" s="25"/>
      <c r="AZ262" s="26"/>
      <c r="BA262" s="27"/>
      <c r="BB262" s="25"/>
      <c r="BC262" s="26"/>
      <c r="BD262" s="27"/>
    </row>
    <row r="263" spans="1:56">
      <c r="A263" s="28"/>
      <c r="B263" s="19" t="s">
        <v>549</v>
      </c>
      <c r="C263" s="20">
        <f>IFERROR(GETPIVOTDATA("[Measures].[mOldUGIS]",'Pivot Table Cats'!$A$3,"[Range 1].[State]","[Range 1].[State].&amp;[VA]","[Range 1].[Type]","[Range 1].[Type].&amp;[6]")," ")</f>
        <v>10837</v>
      </c>
      <c r="D263" s="20">
        <f>IFERROR(GETPIVOTDATA("[Measures].[mNewUGIS]",'Pivot Table Cats'!$A$3,"[Range 1].[State]","[Range 1].[State].&amp;[VA]","[Range 1].[Type]","[Range 1].[Type].&amp;[6]")," ")</f>
        <v>11161</v>
      </c>
      <c r="E263" s="21">
        <f t="shared" si="60"/>
        <v>2.9897573129094765</v>
      </c>
      <c r="F263" s="20">
        <f>IFERROR(GETPIVOTDATA("[Measures].[mOldUGOS]",'Pivot Table Cats'!$A$3,"[Range 1].[State]","[Range 1].[State].&amp;[VA]","[Range 1].[Type]","[Range 1].[Type].&amp;[6]")," ")</f>
        <v>29950</v>
      </c>
      <c r="G263" s="20">
        <f>IFERROR(GETPIVOTDATA("[Measures].[mNewUGOS]",'Pivot Table Cats'!$A$3,"[Range 1].[State]","[Range 1].[State].&amp;[VA]","[Range 1].[Type]","[Range 1].[Type].&amp;[6]")," ")</f>
        <v>30328</v>
      </c>
      <c r="H263" s="21">
        <f t="shared" si="61"/>
        <v>1.2621035058430718</v>
      </c>
      <c r="I263" s="20">
        <f>IFERROR(GETPIVOTDATA("[Measures].[mOldGIS]",'Pivot Table Cats'!$A$3,"[Range 1].[State]","[Range 1].[State].&amp;[VA]","[Range 1].[Type]","[Range 1].[Type].&amp;[6]")," ")</f>
        <v>0</v>
      </c>
      <c r="J263" s="20">
        <f>IFERROR(GETPIVOTDATA("[Measures].[mNewGIS]",'Pivot Table Cats'!$A$3,"[Range 1].[State]","[Range 1].[State].&amp;[VA]","[Range 1].[Type]","[Range 1].[Type].&amp;[6]")," ")</f>
        <v>0</v>
      </c>
      <c r="K263" s="21">
        <f t="shared" si="62"/>
        <v>0</v>
      </c>
      <c r="L263" s="20">
        <f>IFERROR(GETPIVOTDATA("[Measures].[mOldGOS]",'Pivot Table Cats'!$A$3,"[Range 1].[State]","[Range 1].[State].&amp;[VA]","[Range 1].[Type]","[Range 1].[Type].&amp;[6]")," ")</f>
        <v>0</v>
      </c>
      <c r="M263" s="20">
        <f>IFERROR(GETPIVOTDATA("[Measures].[mNewGOS]",'Pivot Table Cats'!$A$3,"[Range 1].[State]","[Range 1].[State].&amp;[VA]","[Range 1].[Type]","[Range 1].[Type].&amp;[6]")," ")</f>
        <v>0</v>
      </c>
      <c r="N263" s="21">
        <f t="shared" si="63"/>
        <v>0</v>
      </c>
      <c r="O263" s="25"/>
      <c r="P263" s="26"/>
      <c r="Q263" s="27"/>
      <c r="R263" s="25"/>
      <c r="S263" s="26"/>
      <c r="T263" s="27"/>
      <c r="U263" s="25"/>
      <c r="V263" s="26"/>
      <c r="W263" s="27"/>
      <c r="X263" s="25"/>
      <c r="Y263" s="26"/>
      <c r="Z263" s="27"/>
      <c r="AA263" s="25"/>
      <c r="AB263" s="26"/>
      <c r="AC263" s="27"/>
      <c r="AD263" s="25"/>
      <c r="AE263" s="26"/>
      <c r="AF263" s="27"/>
      <c r="AG263" s="25"/>
      <c r="AH263" s="26"/>
      <c r="AI263" s="27"/>
      <c r="AJ263" s="25"/>
      <c r="AK263" s="26"/>
      <c r="AL263" s="27"/>
      <c r="AM263" s="25"/>
      <c r="AN263" s="26"/>
      <c r="AO263" s="27"/>
      <c r="AP263" s="25"/>
      <c r="AQ263" s="26"/>
      <c r="AR263" s="27"/>
      <c r="AS263" s="25"/>
      <c r="AT263" s="26"/>
      <c r="AU263" s="27"/>
      <c r="AV263" s="25"/>
      <c r="AW263" s="26"/>
      <c r="AX263" s="27"/>
      <c r="AY263" s="25"/>
      <c r="AZ263" s="26"/>
      <c r="BA263" s="27"/>
      <c r="BB263" s="25"/>
      <c r="BC263" s="26"/>
      <c r="BD263" s="27"/>
    </row>
    <row r="264" spans="1:56" s="49" customFormat="1" ht="19.5" customHeight="1">
      <c r="A264" s="48"/>
      <c r="B264" s="30" t="s">
        <v>550</v>
      </c>
      <c r="C264" s="31">
        <f>IFERROR(GETPIVOTDATA("[Measures].[mOldUGIS]",'Pivot Table Totals'!$A$4,"[Range 1].[State]","[Range 1].[State].&amp;[VA]"), " ")</f>
        <v>13294</v>
      </c>
      <c r="D264" s="31">
        <f>IFERROR(GETPIVOTDATA("[Measures].[mNewUGIS]",'Pivot Table Totals'!$A$4,"[Range 1].[State]","[Range 1].[State].&amp;[VA]"), " ")</f>
        <v>13474.5</v>
      </c>
      <c r="E264" s="21">
        <f t="shared" si="60"/>
        <v>1.3577553783661802</v>
      </c>
      <c r="F264" s="31">
        <f>IFERROR(GETPIVOTDATA("[Measures].[mOldUGOS]",'Pivot Table Totals'!$A$4,"[Range 1].[State]","[Range 1].[State].&amp;[VA]"), " ")</f>
        <v>30175</v>
      </c>
      <c r="G264" s="31">
        <f>IFERROR(GETPIVOTDATA("[Measures].[mNewUGOS]",'Pivot Table Totals'!$A$4,"[Range 1].[State]","[Range 1].[State].&amp;[VA]"), " ")</f>
        <v>30292</v>
      </c>
      <c r="H264" s="21">
        <f t="shared" si="61"/>
        <v>0.38773819386909691</v>
      </c>
      <c r="I264" s="31">
        <f>IFERROR(GETPIVOTDATA("[Measures].[mOldGIS]",'Pivot Table Totals'!$A$4,"[Range 1].[State]","[Range 1].[State].&amp;[VA]"), " ")</f>
        <v>13137</v>
      </c>
      <c r="J264" s="31">
        <f>IFERROR(GETPIVOTDATA("[Measures].[mNewGIS]",'Pivot Table Totals'!$A$4,"[Range 1].[State]","[Range 1].[State].&amp;[VA]"), " ")</f>
        <v>13137</v>
      </c>
      <c r="K264" s="21">
        <f t="shared" si="62"/>
        <v>0</v>
      </c>
      <c r="L264" s="31">
        <f>IFERROR(GETPIVOTDATA("[Measures].[mOldGOS]",'Pivot Table Totals'!$A$4,"[Range 1].[State]","[Range 1].[State].&amp;[VA]"), " ")</f>
        <v>29386</v>
      </c>
      <c r="M264" s="31">
        <f>IFERROR(GETPIVOTDATA("[Measures].[mNewGOS]",'Pivot Table Totals'!$A$4,"[Range 1].[State]","[Range 1].[State].&amp;[VA]"), " ")</f>
        <v>29545</v>
      </c>
      <c r="N264" s="21">
        <f>IFERROR(IF(L264&gt;0,(((M264-L264)/L264)*100),0), "  ")</f>
        <v>0.54107398080718716</v>
      </c>
      <c r="O264" s="36"/>
      <c r="P264" s="37"/>
      <c r="Q264" s="38"/>
      <c r="R264" s="36"/>
      <c r="S264" s="37"/>
      <c r="T264" s="38"/>
      <c r="U264" s="36"/>
      <c r="V264" s="37"/>
      <c r="W264" s="38"/>
      <c r="X264" s="36"/>
      <c r="Y264" s="37"/>
      <c r="Z264" s="38"/>
      <c r="AA264" s="36"/>
      <c r="AB264" s="37"/>
      <c r="AC264" s="38"/>
      <c r="AD264" s="36"/>
      <c r="AE264" s="37"/>
      <c r="AF264" s="38"/>
      <c r="AG264" s="36"/>
      <c r="AH264" s="37"/>
      <c r="AI264" s="38"/>
      <c r="AJ264" s="36"/>
      <c r="AK264" s="37"/>
      <c r="AL264" s="38"/>
      <c r="AM264" s="36"/>
      <c r="AN264" s="37"/>
      <c r="AO264" s="38"/>
      <c r="AP264" s="36"/>
      <c r="AQ264" s="37"/>
      <c r="AR264" s="38"/>
      <c r="AS264" s="36"/>
      <c r="AT264" s="37"/>
      <c r="AU264" s="38"/>
      <c r="AV264" s="36"/>
      <c r="AW264" s="37"/>
      <c r="AX264" s="38"/>
      <c r="AY264" s="36"/>
      <c r="AZ264" s="37"/>
      <c r="BA264" s="38"/>
      <c r="BB264" s="36"/>
      <c r="BC264" s="37"/>
      <c r="BD264" s="38"/>
    </row>
    <row r="265" spans="1:56">
      <c r="A265" s="28"/>
      <c r="B265" s="19" t="s">
        <v>551</v>
      </c>
      <c r="C265" s="20" t="str">
        <f>IFERROR(GETPIVOTDATA("[Measures].[mOldUGIS]",'Pivot Table Cats'!$A$3,"[Range 1].[State]","[Range 1].[State].&amp;[VA]","[Range 1].[Type]","[Range 1].[Type].&amp;[7]")," ")</f>
        <v xml:space="preserve"> </v>
      </c>
      <c r="D265" s="20" t="str">
        <f>IFERROR(GETPIVOTDATA("[Measures].[mNewUGIS]",'Pivot Table Cats'!$A$3,"[Range 1].[State]","[Range 1].[State].&amp;[VA]","[Range 1].[Type]","[Range 1].[Type].&amp;[7]")," ")</f>
        <v xml:space="preserve"> </v>
      </c>
      <c r="E265" s="21" t="str">
        <f t="shared" si="60"/>
        <v xml:space="preserve"> </v>
      </c>
      <c r="F265" s="20" t="str">
        <f>IFERROR(GETPIVOTDATA("[Measures].[mOldUGOS]",'Pivot Table Cats'!$A$3,"[Range 1].[State]","[Range 1].[State].&amp;[VA]","[Range 1].[Type]","[Range 1].[Type].&amp;[7]")," ")</f>
        <v xml:space="preserve"> </v>
      </c>
      <c r="G265" s="20" t="str">
        <f>IFERROR(GETPIVOTDATA("[Measures].[mNewUGOS]",'Pivot Table Cats'!$A$3,"[Range 1].[State]","[Range 1].[State].&amp;[VA]","[Range 1].[Type]","[Range 1].[Type].&amp;[7]")," ")</f>
        <v xml:space="preserve"> </v>
      </c>
      <c r="H265" s="21" t="str">
        <f t="shared" si="61"/>
        <v xml:space="preserve"> </v>
      </c>
      <c r="I265" s="20" t="str">
        <f>IFERROR(GETPIVOTDATA("[Measures].[mOldGIS]",'Pivot Table Cats'!$A$3,"[Range 1].[State]","[Range 1].[State].&amp;[VA]","[Range 1].[Type]","[Range 1].[Type].&amp;[7]")," ")</f>
        <v xml:space="preserve"> </v>
      </c>
      <c r="J265" s="20" t="str">
        <f>IFERROR(GETPIVOTDATA("[Measures].[mNewGIS]",'Pivot Table Cats'!$A$3,"[Range 1].[State]","[Range 1].[State].&amp;[VA]","[Range 1].[Type]","[Range 1].[Type].&amp;[7]")," ")</f>
        <v xml:space="preserve"> </v>
      </c>
      <c r="K265" s="21" t="str">
        <f t="shared" si="62"/>
        <v xml:space="preserve"> </v>
      </c>
      <c r="L265" s="20" t="str">
        <f>IFERROR(GETPIVOTDATA("[Measures].[mOldGIS]",'Pivot Table Cats'!$A$3,"[Range 1].[State]","[Range 1].[State].&amp;[VA]","[Range 1].[Type]","[Range 1].[Type].&amp;[7]")," ")</f>
        <v xml:space="preserve"> </v>
      </c>
      <c r="M265" s="20" t="str">
        <f>IFERROR(GETPIVOTDATA("[Measures].[mNewGIS]",'Pivot Table Cats'!$A$3,"[Range 1].[State]","[Range 1].[State].&amp;[VA]","[Range 1].[Type]","[Range 1].[Type].&amp;[7]")," ")</f>
        <v xml:space="preserve"> </v>
      </c>
      <c r="N265" s="21" t="str">
        <f t="shared" si="63"/>
        <v xml:space="preserve"> </v>
      </c>
      <c r="O265" s="25"/>
      <c r="P265" s="26"/>
      <c r="Q265" s="27"/>
      <c r="R265" s="25"/>
      <c r="S265" s="26"/>
      <c r="T265" s="27"/>
      <c r="U265" s="25"/>
      <c r="V265" s="26"/>
      <c r="W265" s="27"/>
      <c r="X265" s="25"/>
      <c r="Y265" s="26"/>
      <c r="Z265" s="27"/>
      <c r="AA265" s="25"/>
      <c r="AB265" s="26"/>
      <c r="AC265" s="27"/>
      <c r="AD265" s="25"/>
      <c r="AE265" s="26"/>
      <c r="AF265" s="27"/>
      <c r="AG265" s="25"/>
      <c r="AH265" s="26"/>
      <c r="AI265" s="27"/>
      <c r="AJ265" s="25"/>
      <c r="AK265" s="26"/>
      <c r="AL265" s="27"/>
      <c r="AM265" s="25"/>
      <c r="AN265" s="26"/>
      <c r="AO265" s="27"/>
      <c r="AP265" s="25"/>
      <c r="AQ265" s="26"/>
      <c r="AR265" s="27"/>
      <c r="AS265" s="25"/>
      <c r="AT265" s="26"/>
      <c r="AU265" s="27"/>
      <c r="AV265" s="25"/>
      <c r="AW265" s="26"/>
      <c r="AX265" s="27"/>
      <c r="AY265" s="25"/>
      <c r="AZ265" s="26"/>
      <c r="BA265" s="27"/>
      <c r="BB265" s="25"/>
      <c r="BC265" s="26"/>
      <c r="BD265" s="27"/>
    </row>
    <row r="266" spans="1:56">
      <c r="A266" s="28"/>
      <c r="B266" s="19" t="s">
        <v>552</v>
      </c>
      <c r="C266" s="20">
        <f>IFERROR(GETPIVOTDATA("[Measures].[mOldUGIS]",'Pivot Table Cats'!$A$3,"[Range 1].[State]","[Range 1].[State].&amp;[VA]","[Range 1].[Type]","[Range 1].[Type].&amp;[8]")," ")</f>
        <v>4620.1000000000004</v>
      </c>
      <c r="D266" s="20">
        <f>IFERROR(GETPIVOTDATA("[Measures].[mNewUGIS]",'Pivot Table Cats'!$A$3,"[Range 1].[State]","[Range 1].[State].&amp;[VA]","[Range 1].[Type]","[Range 1].[Type].&amp;[8]")," ")</f>
        <v>4620</v>
      </c>
      <c r="E266" s="21">
        <f t="shared" si="60"/>
        <v>-2.1644553148278999E-3</v>
      </c>
      <c r="F266" s="20">
        <f>IFERROR(GETPIVOTDATA("[Measures].[mOldUGOS]",'Pivot Table Cats'!$A$3,"[Range 1].[State]","[Range 1].[State].&amp;[VA]","[Range 1].[Type]","[Range 1].[Type].&amp;[8]")," ")</f>
        <v>10623</v>
      </c>
      <c r="G266" s="20">
        <f>IFERROR(GETPIVOTDATA("[Measures].[mNewUGOS]",'Pivot Table Cats'!$A$3,"[Range 1].[State]","[Range 1].[State].&amp;[VA]","[Range 1].[Type]","[Range 1].[Type].&amp;[8]")," ")</f>
        <v>10622.9</v>
      </c>
      <c r="H266" s="21">
        <f t="shared" si="61"/>
        <v>-9.4135366657595592E-4</v>
      </c>
      <c r="I266" s="337">
        <f>IFERROR(GETPIVOTDATA("[Measures].[mOldGIS]",'Pivot Table Cats'!$A$3,"[Range 1].[State]","[Range 1].[State].&amp;[VA]","[Range 1].[Type]","[Range 1].[Type].&amp;[8]")," ")</f>
        <v>0</v>
      </c>
      <c r="J266" s="20">
        <f>IFERROR(GETPIVOTDATA("[Measures].[mNewGIS]",'Pivot Table Cats'!$A$3,"[Range 1].[State]","[Range 1].[State].&amp;[VA]","[Range 1].[Type]","[Range 1].[Type].&amp;[8]")," ")</f>
        <v>0</v>
      </c>
      <c r="K266" s="21">
        <f t="shared" si="62"/>
        <v>0</v>
      </c>
      <c r="L266" s="20">
        <f>IFERROR(GETPIVOTDATA("[Measures].[mOldGOS]",'Pivot Table Cats'!$A$3,"[Range 1].[State]","[Range 1].[State].&amp;[VA]","[Range 1].[Type]","[Range 1].[Type].&amp;[8]")," ")</f>
        <v>0</v>
      </c>
      <c r="M266" s="20">
        <f>IFERROR(GETPIVOTDATA("[Measures].[mNewGOS]",'Pivot Table Cats'!$A$3,"[Range 1].[State]","[Range 1].[State].&amp;[VA]","[Range 1].[Type]","[Range 1].[Type].&amp;[8]")," ")</f>
        <v>0</v>
      </c>
      <c r="N266" s="21">
        <f t="shared" si="63"/>
        <v>0</v>
      </c>
      <c r="O266" s="25"/>
      <c r="P266" s="26"/>
      <c r="Q266" s="27"/>
      <c r="R266" s="25"/>
      <c r="S266" s="26"/>
      <c r="T266" s="27"/>
      <c r="U266" s="25"/>
      <c r="V266" s="26"/>
      <c r="W266" s="27"/>
      <c r="X266" s="25"/>
      <c r="Y266" s="26"/>
      <c r="Z266" s="27"/>
      <c r="AA266" s="25"/>
      <c r="AB266" s="26"/>
      <c r="AC266" s="27"/>
      <c r="AD266" s="25"/>
      <c r="AE266" s="26"/>
      <c r="AF266" s="27"/>
      <c r="AG266" s="25"/>
      <c r="AH266" s="26"/>
      <c r="AI266" s="27"/>
      <c r="AJ266" s="25"/>
      <c r="AK266" s="26"/>
      <c r="AL266" s="27"/>
      <c r="AM266" s="25"/>
      <c r="AN266" s="26"/>
      <c r="AO266" s="27"/>
      <c r="AP266" s="25"/>
      <c r="AQ266" s="26"/>
      <c r="AR266" s="27"/>
      <c r="AS266" s="25"/>
      <c r="AT266" s="26"/>
      <c r="AU266" s="27"/>
      <c r="AV266" s="25"/>
      <c r="AW266" s="26"/>
      <c r="AX266" s="27"/>
      <c r="AY266" s="25"/>
      <c r="AZ266" s="26"/>
      <c r="BA266" s="27"/>
      <c r="BB266" s="25"/>
      <c r="BC266" s="26"/>
      <c r="BD266" s="27"/>
    </row>
    <row r="267" spans="1:56">
      <c r="A267" s="28"/>
      <c r="B267" s="19" t="s">
        <v>553</v>
      </c>
      <c r="C267" s="20">
        <f>IFERROR(GETPIVOTDATA("[Measures].[mOldUGIS]",'Pivot Table Cats'!$A$3,"[Range 1].[State]","[Range 1].[State].&amp;[VA]","[Range 1].[Type]","[Range 1].[Type].&amp;[9]")," ")</f>
        <v>4620.1000000000004</v>
      </c>
      <c r="D267" s="20">
        <f>IFERROR(GETPIVOTDATA("[Measures].[mNewUGIS]",'Pivot Table Cats'!$A$3,"[Range 1].[State]","[Range 1].[State].&amp;[VA]","[Range 1].[Type]","[Range 1].[Type].&amp;[9]")," ")</f>
        <v>4620</v>
      </c>
      <c r="E267" s="21">
        <f t="shared" si="60"/>
        <v>-2.1644553148278999E-3</v>
      </c>
      <c r="F267" s="20">
        <f>IFERROR(GETPIVOTDATA("[Measures].[mOldUGOS]",'Pivot Table Cats'!$A$3,"[Range 1].[State]","[Range 1].[State].&amp;[VA]","[Range 1].[Type]","[Range 1].[Type].&amp;[9]")," ")</f>
        <v>10623</v>
      </c>
      <c r="G267" s="20">
        <f>IFERROR(GETPIVOTDATA("[Measures].[mNewUGOS]",'Pivot Table Cats'!$A$3,"[Range 1].[State]","[Range 1].[State].&amp;[VA]","[Range 1].[Type]","[Range 1].[Type].&amp;[9]")," ")</f>
        <v>10622.9</v>
      </c>
      <c r="H267" s="21">
        <f t="shared" si="61"/>
        <v>-9.4135366657595592E-4</v>
      </c>
      <c r="I267" s="20">
        <f>IFERROR(GETPIVOTDATA("[Measures].[mOldGIS]",'Pivot Table Cats'!$A$3,"[Range 1].[State]","[Range 1].[State].&amp;[VA]","[Range 1].[Type]","[Range 1].[Type].&amp;[9]")," ")</f>
        <v>0</v>
      </c>
      <c r="J267" s="20">
        <f>IFERROR(GETPIVOTDATA("[Measures].[mNewGIS]",'Pivot Table Cats'!$A$3,"[Range 1].[State]","[Range 1].[State].&amp;[VA]","[Range 1].[Type]","[Range 1].[Type].&amp;[9]")," ")</f>
        <v>0</v>
      </c>
      <c r="K267" s="21">
        <f t="shared" si="62"/>
        <v>0</v>
      </c>
      <c r="L267" s="20">
        <f>IFERROR(GETPIVOTDATA("[Measures].[mOldGOS]",'Pivot Table Cats'!$A$3,"[Range 1].[State]","[Range 1].[State].&amp;[VA]","[Range 1].[Type]","[Range 1].[Type].&amp;[9]")," ")</f>
        <v>0</v>
      </c>
      <c r="M267" s="20">
        <f>IFERROR(GETPIVOTDATA("[Measures].[mNewGOS]",'Pivot Table Cats'!$A$3,"[Range 1].[State]","[Range 1].[State].&amp;[VA]","[Range 1].[Type]","[Range 1].[Type].&amp;[9]")," ")</f>
        <v>0</v>
      </c>
      <c r="N267" s="21">
        <f t="shared" si="63"/>
        <v>0</v>
      </c>
      <c r="O267" s="25"/>
      <c r="P267" s="26"/>
      <c r="Q267" s="27"/>
      <c r="R267" s="25"/>
      <c r="S267" s="26"/>
      <c r="T267" s="27"/>
      <c r="U267" s="25"/>
      <c r="V267" s="26"/>
      <c r="W267" s="27"/>
      <c r="X267" s="25"/>
      <c r="Y267" s="26"/>
      <c r="Z267" s="27"/>
      <c r="AA267" s="25"/>
      <c r="AB267" s="26"/>
      <c r="AC267" s="27"/>
      <c r="AD267" s="25"/>
      <c r="AE267" s="26"/>
      <c r="AF267" s="27"/>
      <c r="AG267" s="25"/>
      <c r="AH267" s="26"/>
      <c r="AI267" s="27"/>
      <c r="AJ267" s="25"/>
      <c r="AK267" s="26"/>
      <c r="AL267" s="27"/>
      <c r="AM267" s="25"/>
      <c r="AN267" s="26"/>
      <c r="AO267" s="27"/>
      <c r="AP267" s="25"/>
      <c r="AQ267" s="26"/>
      <c r="AR267" s="27"/>
      <c r="AS267" s="25"/>
      <c r="AT267" s="26"/>
      <c r="AU267" s="27"/>
      <c r="AV267" s="25"/>
      <c r="AW267" s="26"/>
      <c r="AX267" s="27"/>
      <c r="AY267" s="25"/>
      <c r="AZ267" s="26"/>
      <c r="BA267" s="27"/>
      <c r="BB267" s="25"/>
      <c r="BC267" s="26"/>
      <c r="BD267" s="27"/>
    </row>
    <row r="268" spans="1:56">
      <c r="A268" s="28"/>
      <c r="B268" s="19" t="s">
        <v>554</v>
      </c>
      <c r="C268" s="20">
        <f>IFERROR(GETPIVOTDATA("[Measures].[mOldUGIS]",'Pivot Table Cats'!$A$3,"[Range 1].[State]","[Range 1].[State].&amp;[VA]","[Range 1].[Type]","[Range 1].[Type].&amp;[10]")," ")</f>
        <v>4620.1000000000004</v>
      </c>
      <c r="D268" s="20">
        <f>IFERROR(GETPIVOTDATA("[Measures].[mNewUGIS]",'Pivot Table Cats'!$A$3,"[Range 1].[State]","[Range 1].[State].&amp;[VA]","[Range 1].[Type]","[Range 1].[Type].&amp;[10]")," ")</f>
        <v>4620</v>
      </c>
      <c r="E268" s="21">
        <f t="shared" si="60"/>
        <v>-2.1644553148278999E-3</v>
      </c>
      <c r="F268" s="20">
        <f>IFERROR(GETPIVOTDATA("[Measures].[mOldUGOS]",'Pivot Table Cats'!$A$3,"[Range 1].[State]","[Range 1].[State].&amp;[VA]","[Range 1].[Type]","[Range 1].[Type].&amp;[10]")," ")</f>
        <v>10623</v>
      </c>
      <c r="G268" s="20">
        <f>IFERROR(GETPIVOTDATA("[Measures].[mNewUGOS]",'Pivot Table Cats'!$A$3,"[Range 1].[State]","[Range 1].[State].&amp;[VA]","[Range 1].[Type]","[Range 1].[Type].&amp;[10]")," ")</f>
        <v>10622.9</v>
      </c>
      <c r="H268" s="21">
        <f t="shared" si="61"/>
        <v>-9.4135366657595592E-4</v>
      </c>
      <c r="I268" s="20">
        <f>IFERROR(GETPIVOTDATA("[Measures].[mOldGIS]",'Pivot Table Cats'!$A$3,"[Range 1].[State]","[Range 1].[State].&amp;[VA]","[Range 1].[Type]","[Range 1].[Type].&amp;[10]")," ")</f>
        <v>0</v>
      </c>
      <c r="J268" s="20">
        <f>IFERROR(GETPIVOTDATA("[Measures].[mNewGIS]",'Pivot Table Cats'!$A$3,"[Range 1].[State]","[Range 1].[State].&amp;[VA]","[Range 1].[Type]","[Range 1].[Type].&amp;[10]")," ")</f>
        <v>0</v>
      </c>
      <c r="K268" s="21">
        <f t="shared" si="62"/>
        <v>0</v>
      </c>
      <c r="L268" s="20">
        <f>IFERROR(GETPIVOTDATA("[Measures].[mOldGOS]",'Pivot Table Cats'!$A$3,"[Range 1].[State]","[Range 1].[State].&amp;[VA]","[Range 1].[Type]","[Range 1].[Type].&amp;[10]")," ")</f>
        <v>0</v>
      </c>
      <c r="M268" s="20">
        <f>IFERROR(GETPIVOTDATA("[Measures].[mNewGOS]",'Pivot Table Cats'!$A$3,"[Range 1].[State]","[Range 1].[State].&amp;[VA]","[Range 1].[Type]","[Range 1].[Type].&amp;[10]")," ")</f>
        <v>0</v>
      </c>
      <c r="N268" s="21">
        <f t="shared" si="63"/>
        <v>0</v>
      </c>
      <c r="O268" s="25"/>
      <c r="P268" s="26"/>
      <c r="Q268" s="27"/>
      <c r="R268" s="25"/>
      <c r="S268" s="26"/>
      <c r="T268" s="27"/>
      <c r="U268" s="25"/>
      <c r="V268" s="26"/>
      <c r="W268" s="27"/>
      <c r="X268" s="25"/>
      <c r="Y268" s="26"/>
      <c r="Z268" s="27"/>
      <c r="AA268" s="25"/>
      <c r="AB268" s="26"/>
      <c r="AC268" s="27"/>
      <c r="AD268" s="25"/>
      <c r="AE268" s="26"/>
      <c r="AF268" s="27"/>
      <c r="AG268" s="25"/>
      <c r="AH268" s="26"/>
      <c r="AI268" s="27"/>
      <c r="AJ268" s="25"/>
      <c r="AK268" s="26"/>
      <c r="AL268" s="27"/>
      <c r="AM268" s="25"/>
      <c r="AN268" s="26"/>
      <c r="AO268" s="27"/>
      <c r="AP268" s="25"/>
      <c r="AQ268" s="26"/>
      <c r="AR268" s="27"/>
      <c r="AS268" s="25"/>
      <c r="AT268" s="26"/>
      <c r="AU268" s="27"/>
      <c r="AV268" s="25"/>
      <c r="AW268" s="26"/>
      <c r="AX268" s="27"/>
      <c r="AY268" s="25"/>
      <c r="AZ268" s="26"/>
      <c r="BA268" s="27"/>
      <c r="BB268" s="25"/>
      <c r="BC268" s="26"/>
      <c r="BD268" s="27"/>
    </row>
    <row r="269" spans="1:56" s="49" customFormat="1" ht="20.25" customHeight="1">
      <c r="A269" s="48"/>
      <c r="B269" s="30" t="s">
        <v>555</v>
      </c>
      <c r="C269" s="31">
        <f>IFERROR(GETPIVOTDATA("[Measures].[mOldUGIS]",'Pivot Table Totals'!$A$31,"[Range 1].[State]","[Range 1].[State].&amp;[VA]"), " ")</f>
        <v>4620.1000000000004</v>
      </c>
      <c r="D269" s="31">
        <f>IFERROR(GETPIVOTDATA("[Measures].[mNewUGIS]",'Pivot Table Totals'!$A$31,"[Range 1].[State]","[Range 1].[State].&amp;[VA]"), " ")</f>
        <v>4620</v>
      </c>
      <c r="E269" s="21">
        <f t="shared" si="60"/>
        <v>-2.1644553148278999E-3</v>
      </c>
      <c r="F269" s="31">
        <f>IFERROR(GETPIVOTDATA("[Measures].[mOldUGOS]",'Pivot Table Totals'!$A$31,"[Range 1].[State]","[Range 1].[State].&amp;[VA]")," ")</f>
        <v>10623</v>
      </c>
      <c r="G269" s="31">
        <f>IFERROR(GETPIVOTDATA("[Measures].[mNewUGOS]",'Pivot Table Totals'!$A$31,"[Range 1].[State]","[Range 1].[State].&amp;[VA]"), " ")</f>
        <v>10622.9</v>
      </c>
      <c r="H269" s="21">
        <f t="shared" si="61"/>
        <v>-9.4135366657595592E-4</v>
      </c>
      <c r="I269" s="31">
        <f>IFERROR(GETPIVOTDATA("[Measures].[mOldGIS]",'Pivot Table Totals'!$A$31,"[Range 1].[State]","[Range 1].[State].&amp;[VA]")," ")</f>
        <v>0</v>
      </c>
      <c r="J269" s="31">
        <f>IFERROR(GETPIVOTDATA("[Measures].[mNewGIS]",'Pivot Table Totals'!$A$31,"[Range 1].[State]","[Range 1].[State].&amp;[VA]"), " ")</f>
        <v>0</v>
      </c>
      <c r="K269" s="21">
        <f t="shared" si="62"/>
        <v>0</v>
      </c>
      <c r="L269" s="31">
        <f>IFERROR(GETPIVOTDATA("[Measures].[mOldGOS]",'Pivot Table Totals'!$A$31,"[Range 1].[State]","[Range 1].[State].&amp;[VA]"), " ")</f>
        <v>0</v>
      </c>
      <c r="M269" s="31">
        <f>IFERROR(GETPIVOTDATA("[Measures].[mNewGOS]",'Pivot Table Totals'!$A$31,"[Range 1].[State]","[Range 1].[State].&amp;[VA]"), " ")</f>
        <v>0</v>
      </c>
      <c r="N269" s="21">
        <f t="shared" si="63"/>
        <v>0</v>
      </c>
      <c r="O269" s="36"/>
      <c r="P269" s="37"/>
      <c r="Q269" s="38"/>
      <c r="R269" s="36"/>
      <c r="S269" s="37"/>
      <c r="T269" s="38"/>
      <c r="U269" s="36"/>
      <c r="V269" s="37"/>
      <c r="W269" s="38"/>
      <c r="X269" s="36"/>
      <c r="Y269" s="37"/>
      <c r="Z269" s="38"/>
      <c r="AA269" s="36"/>
      <c r="AB269" s="37"/>
      <c r="AC269" s="38"/>
      <c r="AD269" s="36"/>
      <c r="AE269" s="37"/>
      <c r="AF269" s="38"/>
      <c r="AG269" s="36"/>
      <c r="AH269" s="37"/>
      <c r="AI269" s="38"/>
      <c r="AJ269" s="36"/>
      <c r="AK269" s="37"/>
      <c r="AL269" s="38"/>
      <c r="AM269" s="36"/>
      <c r="AN269" s="37"/>
      <c r="AO269" s="38"/>
      <c r="AP269" s="36"/>
      <c r="AQ269" s="37"/>
      <c r="AR269" s="38"/>
      <c r="AS269" s="36"/>
      <c r="AT269" s="37"/>
      <c r="AU269" s="38"/>
      <c r="AV269" s="36"/>
      <c r="AW269" s="37"/>
      <c r="AX269" s="38"/>
      <c r="AY269" s="36"/>
      <c r="AZ269" s="37"/>
      <c r="BA269" s="38"/>
      <c r="BB269" s="36"/>
      <c r="BC269" s="37"/>
      <c r="BD269" s="38"/>
    </row>
    <row r="270" spans="1:56">
      <c r="A270" s="28"/>
      <c r="B270" s="19" t="s">
        <v>556</v>
      </c>
      <c r="C270" s="20" t="str">
        <f>IFERROR(GETPIVOTDATA("[Measures].[mOldUGIS]",'Pivot Table Cats'!$A$3,"[Range 1].[State]","[Range 1].[State].&amp;[VA]","[Range 1].[Type]","[Range 1].[Type].&amp;[12]")," ")</f>
        <v xml:space="preserve"> </v>
      </c>
      <c r="D270" s="20" t="str">
        <f>IFERROR(GETPIVOTDATA("[Measures].[mNewUGIS]",'Pivot Table Cats'!$A$3,"[Range 1].[State]","[Range 1].[State].&amp;[VA]","[Range 1].[Type]","[Range 1].[Type].&amp;[12]")," ")</f>
        <v xml:space="preserve"> </v>
      </c>
      <c r="E270" s="21" t="str">
        <f t="shared" si="60"/>
        <v xml:space="preserve"> </v>
      </c>
      <c r="F270" s="20" t="str">
        <f>IFERROR(GETPIVOTDATA("[Measures].[mOldUGOS]",'Pivot Table Cats'!$A$3,"[Range 1].[State]","[Range 1].[State].&amp;[VA]","[Range 1].[Type]","[Range 1].[Type].&amp;[12]")," ")</f>
        <v xml:space="preserve"> </v>
      </c>
      <c r="G270" s="20" t="str">
        <f>IFERROR(GETPIVOTDATA("[Measures].[mNewUGOS]",'Pivot Table Cats'!$A$3,"[Range 1].[State]","[Range 1].[State].&amp;[VA]","[Range 1].[Type]","[Range 1].[Type].&amp;[12]")," ")</f>
        <v xml:space="preserve"> </v>
      </c>
      <c r="H270" s="21" t="str">
        <f t="shared" si="61"/>
        <v xml:space="preserve"> </v>
      </c>
      <c r="I270" s="20" t="str">
        <f>IFERROR(GETPIVOTDATA("[Measures].[mOldGIS]",'Pivot Table Cats'!$A$3,"[Range 1].[State]","[Range 1].[State].&amp;[VA]","[Range 1].[Type]","[Range 1].[Type].&amp;[12]")," ")</f>
        <v xml:space="preserve"> </v>
      </c>
      <c r="J270" s="20" t="str">
        <f>IFERROR(GETPIVOTDATA("[Measures].[mNewGIS]",'Pivot Table Cats'!$A$3,"[Range 1].[State]","[Range 1].[State].&amp;[VA]","[Range 1].[Type]","[Range 1].[Type].&amp;[12]")," ")</f>
        <v xml:space="preserve"> </v>
      </c>
      <c r="K270" s="21" t="str">
        <f t="shared" si="62"/>
        <v xml:space="preserve"> </v>
      </c>
      <c r="L270" s="20" t="str">
        <f>IFERROR(GETPIVOTDATA("[Measures].[mOldGOS]",'Pivot Table Cats'!$A$3,"[Range 1].[State]","[Range 1].[State].&amp;[VA]","[Range 1].[Type]","[Range 1].[Type].&amp;[12]")," ")</f>
        <v xml:space="preserve"> </v>
      </c>
      <c r="M270" s="20" t="str">
        <f>IFERROR(GETPIVOTDATA("[Measures].[mNewGOS]",'Pivot Table Cats'!$A$3,"[Range 1].[State]","[Range 1].[State].&amp;[VA]","[Range 1].[Type]","[Range 1].[Type].&amp;[12]")," ")</f>
        <v xml:space="preserve"> </v>
      </c>
      <c r="N270" s="21" t="str">
        <f t="shared" si="63"/>
        <v xml:space="preserve"> </v>
      </c>
      <c r="O270" s="25"/>
      <c r="P270" s="26"/>
      <c r="Q270" s="27"/>
      <c r="R270" s="25"/>
      <c r="S270" s="26"/>
      <c r="T270" s="27"/>
      <c r="U270" s="25"/>
      <c r="V270" s="26"/>
      <c r="W270" s="27"/>
      <c r="X270" s="25"/>
      <c r="Y270" s="26"/>
      <c r="Z270" s="27"/>
      <c r="AA270" s="25"/>
      <c r="AB270" s="26"/>
      <c r="AC270" s="27"/>
      <c r="AD270" s="25"/>
      <c r="AE270" s="26"/>
      <c r="AF270" s="27"/>
      <c r="AG270" s="25"/>
      <c r="AH270" s="26"/>
      <c r="AI270" s="27"/>
      <c r="AJ270" s="25"/>
      <c r="AK270" s="26"/>
      <c r="AL270" s="27"/>
      <c r="AM270" s="25"/>
      <c r="AN270" s="26"/>
      <c r="AO270" s="27"/>
      <c r="AP270" s="25"/>
      <c r="AQ270" s="26"/>
      <c r="AR270" s="27"/>
      <c r="AS270" s="25"/>
      <c r="AT270" s="26"/>
      <c r="AU270" s="27"/>
      <c r="AV270" s="25"/>
      <c r="AW270" s="26"/>
      <c r="AX270" s="27"/>
      <c r="AY270" s="25"/>
      <c r="AZ270" s="26"/>
      <c r="BA270" s="27"/>
      <c r="BB270" s="25"/>
      <c r="BC270" s="26"/>
      <c r="BD270" s="27"/>
    </row>
    <row r="271" spans="1:56">
      <c r="A271" s="28"/>
      <c r="B271" s="19" t="s">
        <v>557</v>
      </c>
      <c r="C271" s="20" t="str">
        <f>IFERROR(GETPIVOTDATA("[Measures].[mOldUGIS]",'Pivot Table Cats'!$A$3,"[Range 1].[State]","[Range 1].[State].&amp;[VA]","[Range 1].[Type]","[Range 1].[Type].&amp;[13]")," ")</f>
        <v xml:space="preserve"> </v>
      </c>
      <c r="D271" s="20" t="str">
        <f>IFERROR(GETPIVOTDATA("[Measures].[mNewUGIS]",'Pivot Table Cats'!$A$3,"[Range 1].[State]","[Range 1].[State].&amp;[VA]","[Range 1].[Type]","[Range 1].[Type].&amp;[13]")," ")</f>
        <v xml:space="preserve"> </v>
      </c>
      <c r="E271" s="21" t="str">
        <f t="shared" si="60"/>
        <v xml:space="preserve"> </v>
      </c>
      <c r="F271" s="20" t="str">
        <f>IFERROR(GETPIVOTDATA("[Measures].[mOldUGOS]",'Pivot Table Cats'!$A$3,"[Range 1].[State]","[Range 1].[State].&amp;[VA]","[Range 1].[Type]","[Range 1].[Type].&amp;[13]")," ")</f>
        <v xml:space="preserve"> </v>
      </c>
      <c r="G271" s="20" t="str">
        <f>IFERROR(GETPIVOTDATA("[Measures].[mNewUGOS]",'Pivot Table Cats'!$A$3,"[Range 1].[State]","[Range 1].[State].&amp;[VA]","[Range 1].[Type]","[Range 1].[Type].&amp;[13]")," ")</f>
        <v xml:space="preserve"> </v>
      </c>
      <c r="H271" s="21" t="str">
        <f t="shared" si="61"/>
        <v xml:space="preserve"> </v>
      </c>
      <c r="I271" s="20" t="str">
        <f>IFERROR(GETPIVOTDATA("[Measures].[mOldGIS]",'Pivot Table Cats'!$A$3,"[Range 1].[State]","[Range 1].[State].&amp;[VA]","[Range 1].[Type]","[Range 1].[Type].&amp;[13]")," ")</f>
        <v xml:space="preserve"> </v>
      </c>
      <c r="J271" s="20" t="str">
        <f>IFERROR(GETPIVOTDATA("[Measures].[mNewGIS]",'Pivot Table Cats'!$A$3,"[Range 1].[State]","[Range 1].[State].&amp;[VA]","[Range 1].[Type]","[Range 1].[Type].&amp;[13]")," ")</f>
        <v xml:space="preserve"> </v>
      </c>
      <c r="K271" s="21" t="str">
        <f t="shared" si="62"/>
        <v xml:space="preserve"> </v>
      </c>
      <c r="L271" s="20" t="str">
        <f>IFERROR(GETPIVOTDATA("[Measures].[mOldGOS]",'Pivot Table Cats'!$A$3,"[Range 1].[State]","[Range 1].[State].&amp;[VA]","[Range 1].[Type]","[Range 1].[Type].&amp;[13]")," ")</f>
        <v xml:space="preserve"> </v>
      </c>
      <c r="M271" s="20" t="str">
        <f>IFERROR(GETPIVOTDATA("[Measures].[mNewGOS]",'Pivot Table Cats'!$A$3,"[Range 1].[State]","[Range 1].[State].&amp;[VA]","[Range 1].[Type]","[Range 1].[Type].&amp;[13]")," ")</f>
        <v xml:space="preserve"> </v>
      </c>
      <c r="N271" s="21" t="str">
        <f t="shared" si="63"/>
        <v xml:space="preserve"> </v>
      </c>
      <c r="O271" s="25"/>
      <c r="P271" s="26"/>
      <c r="Q271" s="27"/>
      <c r="R271" s="25"/>
      <c r="S271" s="26"/>
      <c r="T271" s="27"/>
      <c r="U271" s="25"/>
      <c r="V271" s="26"/>
      <c r="W271" s="27"/>
      <c r="X271" s="25"/>
      <c r="Y271" s="26"/>
      <c r="Z271" s="27"/>
      <c r="AA271" s="25"/>
      <c r="AB271" s="26"/>
      <c r="AC271" s="27"/>
      <c r="AD271" s="25"/>
      <c r="AE271" s="26"/>
      <c r="AF271" s="27"/>
      <c r="AG271" s="25"/>
      <c r="AH271" s="26"/>
      <c r="AI271" s="27"/>
      <c r="AJ271" s="25"/>
      <c r="AK271" s="26"/>
      <c r="AL271" s="27"/>
      <c r="AM271" s="25"/>
      <c r="AN271" s="26"/>
      <c r="AO271" s="27"/>
      <c r="AP271" s="25"/>
      <c r="AQ271" s="26"/>
      <c r="AR271" s="27"/>
      <c r="AS271" s="25"/>
      <c r="AT271" s="26"/>
      <c r="AU271" s="27"/>
      <c r="AV271" s="25"/>
      <c r="AW271" s="26"/>
      <c r="AX271" s="27"/>
      <c r="AY271" s="25"/>
      <c r="AZ271" s="26"/>
      <c r="BA271" s="27"/>
      <c r="BB271" s="25"/>
      <c r="BC271" s="26"/>
      <c r="BD271" s="27"/>
    </row>
    <row r="272" spans="1:56">
      <c r="A272" s="28"/>
      <c r="B272" s="19" t="s">
        <v>558</v>
      </c>
      <c r="C272" s="20" t="str">
        <f>IFERROR(GETPIVOTDATA("[Measures].[mOldUGIS]",'Pivot Table Cats'!$A$3,"[Range 1].[State]","[Range 1].[State].&amp;[VA]","[Range 1].[Type]","[Range 1].[Type].&amp;[14]")," ")</f>
        <v xml:space="preserve"> </v>
      </c>
      <c r="D272" s="20" t="str">
        <f>IFERROR(GETPIVOTDATA("[Measures].[mNewUGIS]",'Pivot Table Cats'!$A$3,"[Range 1].[State]","[Range 1].[State].&amp;[VA]","[Range 1].[Type]","[Range 1].[Type].&amp;[14]")," ")</f>
        <v xml:space="preserve"> </v>
      </c>
      <c r="E272" s="21" t="str">
        <f t="shared" si="60"/>
        <v xml:space="preserve"> </v>
      </c>
      <c r="F272" s="20" t="str">
        <f>IFERROR(GETPIVOTDATA("[Measures].[mOldUGOS]",'Pivot Table Cats'!$A$3,"[Range 1].[State]","[Range 1].[State].&amp;[VA]","[Range 1].[Type]","[Range 1].[Type].&amp;[14]")," ")</f>
        <v xml:space="preserve"> </v>
      </c>
      <c r="G272" s="20" t="str">
        <f>IFERROR(GETPIVOTDATA("[Measures].[mNewUGOS]",'Pivot Table Cats'!$A$3,"[Range 1].[State]","[Range 1].[State].&amp;[VA]","[Range 1].[Type]","[Range 1].[Type].&amp;[14]")," ")</f>
        <v xml:space="preserve"> </v>
      </c>
      <c r="H272" s="21" t="str">
        <f t="shared" si="61"/>
        <v xml:space="preserve"> </v>
      </c>
      <c r="I272" s="20" t="str">
        <f>IFERROR(GETPIVOTDATA("[Measures].[mOldGIS]",'Pivot Table Cats'!$A$3,"[Range 1].[State]","[Range 1].[State].&amp;[VA]","[Range 1].[Type]","[Range 1].[Type].&amp;[14]")," ")</f>
        <v xml:space="preserve"> </v>
      </c>
      <c r="J272" s="20" t="str">
        <f>IFERROR(GETPIVOTDATA("[Measures].[mNewGIS]",'Pivot Table Cats'!$A$3,"[Range 1].[State]","[Range 1].[State].&amp;[VA]","[Range 1].[Type]","[Range 1].[Type].&amp;[14]")," ")</f>
        <v xml:space="preserve"> </v>
      </c>
      <c r="K272" s="21" t="str">
        <f t="shared" si="62"/>
        <v xml:space="preserve"> </v>
      </c>
      <c r="L272" s="20" t="str">
        <f>IFERROR(GETPIVOTDATA("[Measures].[mOldGOS]",'Pivot Table Cats'!$A$3,"[Range 1].[State]","[Range 1].[State].&amp;[VA]","[Range 1].[Type]","[Range 1].[Type].&amp;[14]")," ")</f>
        <v xml:space="preserve"> </v>
      </c>
      <c r="M272" s="20" t="str">
        <f>IFERROR(GETPIVOTDATA("[Measures].[mNewGOS]",'Pivot Table Cats'!$A$3,"[Range 1].[State]","[Range 1].[State].&amp;[VA]","[Range 1].[Type]","[Range 1].[Type].&amp;[14]")," ")</f>
        <v xml:space="preserve"> </v>
      </c>
      <c r="N272" s="21" t="str">
        <f t="shared" si="63"/>
        <v xml:space="preserve"> </v>
      </c>
      <c r="O272" s="25"/>
      <c r="P272" s="26"/>
      <c r="Q272" s="27"/>
      <c r="R272" s="25"/>
      <c r="S272" s="26"/>
      <c r="T272" s="27"/>
      <c r="U272" s="25"/>
      <c r="V272" s="26"/>
      <c r="W272" s="27"/>
      <c r="X272" s="25"/>
      <c r="Y272" s="26"/>
      <c r="Z272" s="27"/>
      <c r="AA272" s="25"/>
      <c r="AB272" s="26"/>
      <c r="AC272" s="27"/>
      <c r="AD272" s="25"/>
      <c r="AE272" s="26"/>
      <c r="AF272" s="27"/>
      <c r="AG272" s="25"/>
      <c r="AH272" s="26"/>
      <c r="AI272" s="27"/>
      <c r="AJ272" s="25"/>
      <c r="AK272" s="26"/>
      <c r="AL272" s="27"/>
      <c r="AM272" s="25"/>
      <c r="AN272" s="26"/>
      <c r="AO272" s="27"/>
      <c r="AP272" s="25"/>
      <c r="AQ272" s="26"/>
      <c r="AR272" s="27"/>
      <c r="AS272" s="25"/>
      <c r="AT272" s="26"/>
      <c r="AU272" s="27"/>
      <c r="AV272" s="25"/>
      <c r="AW272" s="26"/>
      <c r="AX272" s="27"/>
      <c r="AY272" s="25"/>
      <c r="AZ272" s="26"/>
      <c r="BA272" s="27"/>
      <c r="BB272" s="25"/>
      <c r="BC272" s="26"/>
      <c r="BD272" s="27"/>
    </row>
    <row r="273" spans="1:56" s="49" customFormat="1" ht="21.75" customHeight="1">
      <c r="A273" s="48"/>
      <c r="B273" s="50" t="s">
        <v>559</v>
      </c>
      <c r="C273" s="31" t="str">
        <f>IFERROR(GETPIVOTDATA("[Measures].[mOldUGIS]",'Pivot Table Totals'!$A$59,"[Range 1].[State]","[Range 1].[State].&amp;[VA]"), " ")</f>
        <v xml:space="preserve"> </v>
      </c>
      <c r="D273" s="31" t="str">
        <f>IFERROR(GETPIVOTDATA("[Measures].[mNewUGIS]",'Pivot Table Totals'!$A$59,"[Range 1].[State]","[Range 1].[State].&amp;[VA]"), " ")</f>
        <v xml:space="preserve"> </v>
      </c>
      <c r="E273" s="21" t="str">
        <f t="shared" si="60"/>
        <v xml:space="preserve"> </v>
      </c>
      <c r="F273" s="31" t="str">
        <f>IFERROR(GETPIVOTDATA("[Measures].[mOldUGOS]",'Pivot Table Totals'!$A$59,"[Range 1].[State]","[Range 1].[State].&amp;[VA]"), " " )</f>
        <v xml:space="preserve"> </v>
      </c>
      <c r="G273" s="31" t="str">
        <f>IFERROR(GETPIVOTDATA("[Measures].[mNewUGOS]",'Pivot Table Totals'!$A$59,"[Range 1].[State]","[Range 1].[State].&amp;[VA]"), " ")</f>
        <v xml:space="preserve"> </v>
      </c>
      <c r="H273" s="21" t="str">
        <f t="shared" si="61"/>
        <v xml:space="preserve"> </v>
      </c>
      <c r="I273" s="31" t="str">
        <f>IFERROR(GETPIVOTDATA("[Measures].[mOldGIS]",'Pivot Table Totals'!$A$59,"[Range 1].[State]","[Range 1].[State].&amp;[VA]"), " ")</f>
        <v xml:space="preserve"> </v>
      </c>
      <c r="J273" s="31" t="str">
        <f>IFERROR(GETPIVOTDATA("[Measures].[mNewGIS]",'Pivot Table Totals'!$A$59,"[Range 1].[State]","[Range 1].[State].&amp;[VA]"), " ")</f>
        <v xml:space="preserve"> </v>
      </c>
      <c r="K273" s="21" t="str">
        <f t="shared" si="62"/>
        <v xml:space="preserve"> </v>
      </c>
      <c r="L273" s="31" t="str">
        <f>IFERROR(GETPIVOTDATA("[Measures].[mOldGOS]",'Pivot Table Totals'!$A$59,"[Range 1].[State]","[Range 1].[State].&amp;[VA]"), " ")</f>
        <v xml:space="preserve"> </v>
      </c>
      <c r="M273" s="31" t="str">
        <f>IFERROR(GETPIVOTDATA("[Measures].[mNewGOS]",'Pivot Table Totals'!$A$59,"[Range 1].[State]","[Range 1].[State].&amp;[VA]"), " ")</f>
        <v xml:space="preserve"> </v>
      </c>
      <c r="N273" s="21" t="str">
        <f t="shared" si="63"/>
        <v xml:space="preserve"> </v>
      </c>
      <c r="O273" s="36"/>
      <c r="P273" s="37"/>
      <c r="Q273" s="38"/>
      <c r="R273" s="36"/>
      <c r="S273" s="37"/>
      <c r="T273" s="38"/>
      <c r="U273" s="36"/>
      <c r="V273" s="37"/>
      <c r="W273" s="38"/>
      <c r="X273" s="36"/>
      <c r="Y273" s="37"/>
      <c r="Z273" s="38"/>
      <c r="AA273" s="36"/>
      <c r="AB273" s="37"/>
      <c r="AC273" s="38"/>
      <c r="AD273" s="36"/>
      <c r="AE273" s="37"/>
      <c r="AF273" s="38"/>
      <c r="AG273" s="36"/>
      <c r="AH273" s="37"/>
      <c r="AI273" s="38"/>
      <c r="AJ273" s="36"/>
      <c r="AK273" s="37"/>
      <c r="AL273" s="38"/>
      <c r="AM273" s="36"/>
      <c r="AN273" s="37"/>
      <c r="AO273" s="38"/>
      <c r="AP273" s="36"/>
      <c r="AQ273" s="37"/>
      <c r="AR273" s="38"/>
      <c r="AS273" s="36"/>
      <c r="AT273" s="37"/>
      <c r="AU273" s="38"/>
      <c r="AV273" s="36"/>
      <c r="AW273" s="37"/>
      <c r="AX273" s="38"/>
      <c r="AY273" s="36"/>
      <c r="AZ273" s="37"/>
      <c r="BA273" s="38"/>
      <c r="BB273" s="36"/>
      <c r="BC273" s="37"/>
      <c r="BD273" s="38"/>
    </row>
    <row r="274" spans="1:56">
      <c r="A274" s="40"/>
      <c r="B274" s="41" t="s">
        <v>560</v>
      </c>
      <c r="C274" s="42"/>
      <c r="D274" s="42"/>
      <c r="E274" s="335"/>
      <c r="F274" s="42"/>
      <c r="G274" s="42"/>
      <c r="H274" s="44"/>
      <c r="I274" s="45"/>
      <c r="J274" s="42"/>
      <c r="K274" s="44"/>
      <c r="L274" s="45"/>
      <c r="M274" s="42"/>
      <c r="N274" s="44"/>
      <c r="O274" s="336">
        <f>IFERROR(GETPIVOTDATA("[Measures].[mOldlawIS]",'Pivot Table Totals'!$A$79,"[Range 1].[State]","[Range 1].[State].&amp;[VA]"), " ")</f>
        <v>35000</v>
      </c>
      <c r="P274" s="42">
        <f>IFERROR(GETPIVOTDATA("[Measures].[mNewLawIS]",'Pivot Table Totals'!$A$79,"[Range 1].[State]","[Range 1].[State].&amp;[VA]"), " ")</f>
        <v>36199</v>
      </c>
      <c r="Q274" s="46">
        <f>IFERROR(IF(O274&gt;0,(((P274-O274)/O274)*100),0), " ")</f>
        <v>3.4257142857142853</v>
      </c>
      <c r="R274" s="336">
        <f>IFERROR(GETPIVOTDATA("[Measures].[mOldLawOS]",'Pivot Table Totals'!$A$79,"[Range 1].[State]","[Range 1].[State].&amp;[VA]"), " ")</f>
        <v>44000</v>
      </c>
      <c r="S274" s="336">
        <f>IFERROR(GETPIVOTDATA("[Measures].[mNewLawOS]",'Pivot Table Totals'!$A$79,"[Range 1].[State]","[Range 1].[State].&amp;[VA]"), " ")</f>
        <v>45520</v>
      </c>
      <c r="T274" s="46">
        <f>IFERROR(IF(R274&gt;0,(((S274-R274)/R274)*100),0), " ")</f>
        <v>3.4545454545454546</v>
      </c>
      <c r="U274" s="336">
        <f>IFERROR(GETPIVOTDATA("[Measures].[mOldMedIS]",'Pivot Table Totals'!$A$79,"[Range 1].[State]","[Range 1].[State].&amp;[VA]"), " ")</f>
        <v>46936</v>
      </c>
      <c r="V274" s="336">
        <f>IFERROR(GETPIVOTDATA("[Measures].[mNewMedIS]",'Pivot Table Totals'!$A$79,"[Range 1].[State]","[Range 1].[State].&amp;[VA]"), " ")</f>
        <v>48365</v>
      </c>
      <c r="W274" s="46">
        <f>IFERROR(IF(U274&gt;0,(((V274-U274)/U274)*100),0), " ")</f>
        <v>3.0445713311743652</v>
      </c>
      <c r="X274" s="336">
        <f>IFERROR(GETPIVOTDATA("[Measures].[mOldMedOS]",'Pivot Table Totals'!$A$79,"[Range 1].[State]","[Range 1].[State].&amp;[VA]"), " ")</f>
        <v>57742</v>
      </c>
      <c r="Y274" s="336">
        <f>IFERROR(GETPIVOTDATA("[Measures].[mNewMedOS]",'Pivot Table Totals'!$A$79,"[Range 1].[State]","[Range 1].[State].&amp;[VA]"), " ")</f>
        <v>59475</v>
      </c>
      <c r="Z274" s="46">
        <f>IFERROR(IF(X274&gt;0,(((Y274-X274)/X274)*100),0), " ")</f>
        <v>3.0012815628138965</v>
      </c>
      <c r="AA274" s="336">
        <f>IFERROR(GETPIVOTDATA("[Measures].[mOldDenIS]",'Pivot Table Totals'!$A$79,"[Range 1].[State]","[Range 1].[State].&amp;[VA]"), " ")</f>
        <v>60215</v>
      </c>
      <c r="AB274" s="336">
        <f>IFERROR(GETPIVOTDATA("[Measures].[mNewDenIS]",'Pivot Table Totals'!$A$79,"[Range 1].[State]","[Range 1].[State].&amp;[VA]"), " ")</f>
        <v>61010</v>
      </c>
      <c r="AC274" s="46">
        <f>IFERROR(IF(AA274&gt;0,(((AB274-AA274)/AA274)*100),0), " ")</f>
        <v>1.3202690359544964</v>
      </c>
      <c r="AD274" s="336">
        <f>IFERROR(GETPIVOTDATA("[Measures].[mOldDenOS]",'Pivot Table Totals'!$A$79,"[Range 1].[State]","[Range 1].[State].&amp;[VA]"), " ")</f>
        <v>93884</v>
      </c>
      <c r="AE274" s="336">
        <f>IFERROR(GETPIVOTDATA("[Measures].[mNewDenOS]",'Pivot Table Totals'!$A$79,"[Range 1].[State]","[Range 1].[State].&amp;[VA]"), " ")</f>
        <v>94679</v>
      </c>
      <c r="AF274" s="46">
        <f>IFERROR(IF(AD274&gt;0,(((AE274-AD274)/AD274)*100),0), " ")</f>
        <v>0.84678965531933026</v>
      </c>
      <c r="AG274" s="336">
        <f>IFERROR(GETPIVOTDATA("[Measures].[mOldPhrIS]",'Pivot Table Totals'!$A$79,"[Range 1].[State]","[Range 1].[State].&amp;[VA]"), " ")</f>
        <v>31866</v>
      </c>
      <c r="AH274" s="336">
        <f>IFERROR(GETPIVOTDATA("[Measures].[mNewPhIS]",'Pivot Table Totals'!$A$79,"[Range 1].[State]","[Range 1].[State].&amp;[VA]"), " ")</f>
        <v>31984</v>
      </c>
      <c r="AI274" s="46">
        <f>IFERROR(IF(AG274&gt;0,(((AH274-AG274)/AG274)*100),0), " ")</f>
        <v>0.37030063390447499</v>
      </c>
      <c r="AJ274" s="336">
        <f>IFERROR(GETPIVOTDATA("[Measures].[mOldPhrOS]",'Pivot Table Totals'!$A$79,"[Range 1].[State]","[Range 1].[State].&amp;[VA]"), " ")</f>
        <v>45194</v>
      </c>
      <c r="AK274" s="336">
        <f>IFERROR(GETPIVOTDATA("[Measures].[mNewPhrOS]",'Pivot Table Totals'!$A$79,"[Range 1].[State]","[Range 1].[State].&amp;[VA]"), " ")</f>
        <v>45312</v>
      </c>
      <c r="AL274" s="46">
        <f>IFERROR(IF(AJ274&gt;0,(((AQ274-AJ274)/AJ274)*100),0), " ")</f>
        <v>-100</v>
      </c>
      <c r="AM274" s="336">
        <f>IFERROR(GETPIVOTDATA("[Measures].[mOldOptIS]",'Pivot Table Totals'!$A$79,"[Range 1].[State]","[Range 1].[State].&amp;[VA]"), " ")</f>
        <v>0</v>
      </c>
      <c r="AN274" s="336">
        <f>IFERROR(GETPIVOTDATA("[Measures].[mNewOptIS]",'Pivot Table Totals'!$A$79,"[Range 1].[State]","[Range 1].[State].&amp;[VA]"), " ")</f>
        <v>0</v>
      </c>
      <c r="AO274" s="46">
        <f>IFERROR(IF(AM274&gt;0,(((AN274-AM274)/AM274)*100),0), " ")</f>
        <v>0</v>
      </c>
      <c r="AP274" s="336">
        <f>IFERROR(GETPIVOTDATA("[Measures].[mOldOptoS]",'Pivot Table Totals'!$A$79,"[Range 1].[State]","[Range 1].[State].&amp;[VA]"), " ")</f>
        <v>0</v>
      </c>
      <c r="AQ274" s="336">
        <f>IFERROR(GETPIVOTDATA("[Measures].[mNewOptoS]",'Pivot Table Totals'!$A$79,"[Range 1].[State]","[Range 1].[State].&amp;[VA]"), " ")</f>
        <v>0</v>
      </c>
      <c r="AR274" s="46">
        <f>IFERROR(IF(AP274&gt;0,(((AQ274-AP274)/AP274)*100),0), " ")</f>
        <v>0</v>
      </c>
      <c r="AS274" s="336">
        <f>IFERROR(GETPIVOTDATA("[Measures].[mOldOstIS]",'Pivot Table Totals'!$A$79,"[Range 1].[State]","[Range 1].[State].&amp;[VA]"), " ")</f>
        <v>0</v>
      </c>
      <c r="AT274" s="336">
        <f>IFERROR(GETPIVOTDATA("[Measures].[mNewOstIS]",'Pivot Table Totals'!$A$79,"[Range 1].[State]","[Range 1].[State].&amp;[VA]"), " ")</f>
        <v>0</v>
      </c>
      <c r="AU274" s="46">
        <f>IFERROR(IF(AS274&gt;0,(((AT274-AS274)/AS274)*100),0), " ")</f>
        <v>0</v>
      </c>
      <c r="AV274" s="336">
        <f>IFERROR(GETPIVOTDATA("[Measures].[mOldOstOS]",'Pivot Table Totals'!$A$79,"[Range 1].[State]","[Range 1].[State].&amp;[VA]"), " ")</f>
        <v>0</v>
      </c>
      <c r="AW274" s="336">
        <f>IFERROR(GETPIVOTDATA("[Measures].[mNewOstOS]",'Pivot Table Totals'!$A$79,"[Range 1].[State]","[Range 1].[State].&amp;[VA]"), " ")</f>
        <v>0</v>
      </c>
      <c r="AX274" s="46">
        <f>IFERROR(IF(AV274&gt;0,(((AW274-AV274)/AV274)*100),0), " ")</f>
        <v>0</v>
      </c>
      <c r="AY274" s="336">
        <f>IFERROR(GETPIVOTDATA("[Measures].[m[OldVetIS]",'Pivot Table Totals'!$A$79,"[Range 1].[State]","[Range 1].[State].&amp;[VA]"), " ")</f>
        <v>25435</v>
      </c>
      <c r="AZ274" s="336">
        <f>IFERROR(GETPIVOTDATA("[Measures].[mNewVetIS]",'Pivot Table Totals'!$A$79,"[Range 1].[State]","[Range 1].[State].&amp;[VA]"), " ")</f>
        <v>26086</v>
      </c>
      <c r="BA274" s="46">
        <f>IFERROR(IF(AY274&gt;0,(((AZ274-AY274)/AY274)*100),0), " ")</f>
        <v>2.5594653037153527</v>
      </c>
      <c r="BB274" s="336">
        <f>IFERROR(GETPIVOTDATA("[Measures].[mOldVetOS]",'Pivot Table Totals'!$A$79,"[Range 1].[State]","[Range 1].[State].&amp;[VA]"), " ")</f>
        <v>54568</v>
      </c>
      <c r="BC274" s="336">
        <f>IFERROR(GETPIVOTDATA("[Measures].[mNewVetOS]",'Pivot Table Totals'!$A$79,"[Range 1].[State]","[Range 1].[State].&amp;[VA]"), " ")</f>
        <v>55687</v>
      </c>
      <c r="BD274" s="46">
        <f>IFERROR(IF(BB274&gt;0,(((BC274-BB274)/BB274)*100),0), " ")</f>
        <v>2.0506523970092361</v>
      </c>
    </row>
    <row r="275" spans="1:56">
      <c r="A275" s="18" t="s">
        <v>485</v>
      </c>
      <c r="B275" s="19" t="s">
        <v>544</v>
      </c>
      <c r="C275" s="20">
        <f>IFERROR(GETPIVOTDATA("[Measures].[mOldUGIS]",'Pivot Table Cats'!$A$3,"[Range 1].[State]","[Range 1].[State].&amp;[WV]","[Range 1].[Type]","[Range 1].[Type].&amp;[1]")," ")</f>
        <v>8976</v>
      </c>
      <c r="D275" s="20">
        <f>IFERROR(GETPIVOTDATA("[Measures].[mNewUGIS]",'Pivot Table Cats'!$A$3,"[Range 1].[State]","[Range 1].[State].&amp;[WV]","[Range 1].[Type]","[Range 1].[Type].&amp;[1]")," ")</f>
        <v>9144</v>
      </c>
      <c r="E275" s="21">
        <f>IFERROR(IF(C275&gt;0,(((D275-C275)/C275)*100),0), " ")</f>
        <v>1.8716577540106951</v>
      </c>
      <c r="F275" s="20">
        <f>IFERROR(GETPIVOTDATA("[Measures].[mOldUGOS]",'Pivot Table Cats'!$A$3,"[Range 1].[State]","[Range 1].[State].&amp;[WV]","[Range 1].[Type]","[Range 1].[Type].&amp;[1]")," ")</f>
        <v>25320</v>
      </c>
      <c r="G275" s="20">
        <f>IFERROR(GETPIVOTDATA("[Measures].[mNewUGOS]",'Pivot Table Cats'!$A$3,"[Range 1].[State]","[Range 1].[State].&amp;[WV]","[Range 1].[Type]","[Range 1].[Type].&amp;[1]")," ")</f>
        <v>25824</v>
      </c>
      <c r="H275" s="21">
        <f>IFERROR(IF(F275&gt;0,(((G275-F275)/F275)*100),0), " ")</f>
        <v>1.9905213270142181</v>
      </c>
      <c r="I275" s="20">
        <f>IFERROR(GETPIVOTDATA("[Measures].[mOldGIS]",'Pivot Table Cats'!$A$3,"[Range 1].[State]","[Range 1].[State].&amp;[WV]","[Range 1].[Type]","[Range 1].[Type].&amp;[1]")," ")</f>
        <v>10134</v>
      </c>
      <c r="J275" s="20">
        <f>IFERROR(GETPIVOTDATA("[Measures].[mNewGIS]",'Pivot Table Cats'!$A$3,"[Range 1].[State]","[Range 1].[State].&amp;[WV]","[Range 1].[Type]","[Range 1].[Type].&amp;[1]")," ")</f>
        <v>10332</v>
      </c>
      <c r="K275" s="21">
        <f>IFERROR(IF(I275&gt;0,(((J275-I275)/I275)*100),0), " ")</f>
        <v>1.9538188277087036</v>
      </c>
      <c r="L275" s="20">
        <f>IFERROR(GETPIVOTDATA("[Measures].[mOldGOS]",'Pivot Table Cats'!$A$3,"[Range 1].[State]","[Range 1].[State].&amp;[WV]","[Range 1].[Type]","[Range 1].[Type].&amp;[1]")," ")</f>
        <v>26154</v>
      </c>
      <c r="M275" s="20">
        <f>IFERROR(GETPIVOTDATA("[Measures].[mNewGOS]",'Pivot Table Cats'!$A$3,"[Range 1].[State]","[Range 1].[State].&amp;[WV]","[Range 1].[Type]","[Range 1].[Type].&amp;[1]")," ")</f>
        <v>26676</v>
      </c>
      <c r="N275" s="21">
        <f>IFERROR(IF(L275&gt;0,(((M275-L275)/L275)*100),0), " ")</f>
        <v>1.9958706125258088</v>
      </c>
      <c r="O275" s="25"/>
      <c r="P275" s="26"/>
      <c r="Q275" s="27"/>
      <c r="R275" s="25"/>
      <c r="S275" s="26"/>
      <c r="T275" s="27"/>
      <c r="U275" s="25"/>
      <c r="V275" s="26"/>
      <c r="W275" s="27"/>
      <c r="X275" s="25"/>
      <c r="Y275" s="26"/>
      <c r="Z275" s="27"/>
      <c r="AA275" s="25"/>
      <c r="AB275" s="26"/>
      <c r="AC275" s="27"/>
      <c r="AD275" s="25"/>
      <c r="AE275" s="26"/>
      <c r="AF275" s="27"/>
      <c r="AG275" s="25"/>
      <c r="AH275" s="26"/>
      <c r="AI275" s="27"/>
      <c r="AJ275" s="25"/>
      <c r="AK275" s="26"/>
      <c r="AL275" s="27"/>
      <c r="AM275" s="25"/>
      <c r="AN275" s="26"/>
      <c r="AO275" s="27"/>
      <c r="AP275" s="25"/>
      <c r="AQ275" s="26"/>
      <c r="AR275" s="27"/>
      <c r="AS275" s="25"/>
      <c r="AT275" s="26"/>
      <c r="AU275" s="27"/>
      <c r="AV275" s="25"/>
      <c r="AW275" s="26"/>
      <c r="AX275" s="27"/>
      <c r="AY275" s="25"/>
      <c r="AZ275" s="26"/>
      <c r="BA275" s="27"/>
      <c r="BB275" s="25"/>
      <c r="BC275" s="26"/>
      <c r="BD275" s="27"/>
    </row>
    <row r="276" spans="1:56">
      <c r="A276" s="28"/>
      <c r="B276" s="19" t="s">
        <v>545</v>
      </c>
      <c r="C276" s="20" t="str">
        <f>IFERROR(GETPIVOTDATA("[Measures].[mOldUGIS]",'Pivot Table Cats'!$A$3,"[Range 1].[State]","[Range 1].[State].&amp;[WV]","[Range 1].[Type]","[Range 1].[Type].&amp;[2]")," ")</f>
        <v xml:space="preserve"> </v>
      </c>
      <c r="D276" s="20" t="str">
        <f>IFERROR(GETPIVOTDATA("[Measures].[mNewUGIS]",'Pivot Table Cats'!$A$3,"[Range 1].[State]","[Range 1].[State].&amp;[WV]","[Range 1].[Type]","[Range 1].[Type].&amp;[2]")," ")</f>
        <v xml:space="preserve"> </v>
      </c>
      <c r="E276" s="21" t="str">
        <f t="shared" ref="E276:E290" si="64">IFERROR(IF(C276&gt;0,(((D276-C276)/C276)*100),0), " ")</f>
        <v xml:space="preserve"> </v>
      </c>
      <c r="F276" s="20" t="str">
        <f>IFERROR(GETPIVOTDATA("[Measures].[mOldUGOS]",'Pivot Table Cats'!$A$3,"[Range 1].[State]","[Range 1].[State].&amp;[WV]","[Range 1].[Type]","[Range 1].[Type].&amp;[2]")," ")</f>
        <v xml:space="preserve"> </v>
      </c>
      <c r="G276" s="20" t="str">
        <f>IFERROR(GETPIVOTDATA("[Measures].[mNewUGOS]",'Pivot Table Cats'!$A$3,"[Range 1].[State]","[Range 1].[State].&amp;[WV]","[Range 1].[Type]","[Range 1].[Type].&amp;[2]")," ")</f>
        <v xml:space="preserve"> </v>
      </c>
      <c r="H276" s="21" t="str">
        <f t="shared" ref="H276:H290" si="65">IFERROR(IF(F276&gt;0,(((G276-F276)/F276)*100),0), " ")</f>
        <v xml:space="preserve"> </v>
      </c>
      <c r="I276" s="20" t="str">
        <f>IFERROR(GETPIVOTDATA("[Measures].[mOldGIS]",'Pivot Table Cats'!$A$3,"[Range 1].[State]","[Range 1].[State].&amp;[WV]","[Range 1].[Type]","[Range 1].[Type].&amp;[2]")," ")</f>
        <v xml:space="preserve"> </v>
      </c>
      <c r="J276" s="20" t="str">
        <f>IFERROR(GETPIVOTDATA("[Measures].[mNewGIS]",'Pivot Table Cats'!$A$3,"[Range 1].[State]","[Range 1].[State].&amp;[WV]","[Range 1].[Type]","[Range 1].[Type].&amp;[2]")," ")</f>
        <v xml:space="preserve"> </v>
      </c>
      <c r="K276" s="21" t="str">
        <f t="shared" ref="K276:K290" si="66">IFERROR(IF(I276&gt;0,(((J276-I276)/I276)*100),0), " ")</f>
        <v xml:space="preserve"> </v>
      </c>
      <c r="L276" s="20" t="str">
        <f>IFERROR(GETPIVOTDATA("[Measures].[mOldGOS]",'Pivot Table Cats'!$A$3,"[Range 1].[State]","[Range 1].[State].&amp;[WV]","[Range 1].[Type]","[Range 1].[Type].&amp;[2]")," ")</f>
        <v xml:space="preserve"> </v>
      </c>
      <c r="M276" s="20" t="str">
        <f>IFERROR(GETPIVOTDATA("[Measures].[mNewGOS]",'Pivot Table Cats'!$A$3,"[Range 1].[State]","[Range 1].[State].&amp;[WV]","[Range 1].[Type]","[Range 1].[Type].&amp;[2]")," ")</f>
        <v xml:space="preserve"> </v>
      </c>
      <c r="N276" s="21" t="str">
        <f t="shared" ref="N276:N290" si="67">IFERROR(IF(L276&gt;0,(((M276-L276)/L276)*100),0), " ")</f>
        <v xml:space="preserve"> </v>
      </c>
      <c r="O276" s="25"/>
      <c r="P276" s="26"/>
      <c r="Q276" s="27"/>
      <c r="R276" s="25"/>
      <c r="S276" s="26"/>
      <c r="T276" s="27"/>
      <c r="U276" s="25"/>
      <c r="V276" s="26"/>
      <c r="W276" s="27"/>
      <c r="X276" s="25"/>
      <c r="Y276" s="26"/>
      <c r="Z276" s="27"/>
      <c r="AA276" s="25"/>
      <c r="AB276" s="26"/>
      <c r="AC276" s="27"/>
      <c r="AD276" s="25"/>
      <c r="AE276" s="26"/>
      <c r="AF276" s="27"/>
      <c r="AG276" s="25"/>
      <c r="AH276" s="26"/>
      <c r="AI276" s="27"/>
      <c r="AJ276" s="25"/>
      <c r="AK276" s="26"/>
      <c r="AL276" s="27"/>
      <c r="AM276" s="25"/>
      <c r="AN276" s="26"/>
      <c r="AO276" s="27"/>
      <c r="AP276" s="25"/>
      <c r="AQ276" s="26"/>
      <c r="AR276" s="27"/>
      <c r="AS276" s="25"/>
      <c r="AT276" s="26"/>
      <c r="AU276" s="27"/>
      <c r="AV276" s="25"/>
      <c r="AW276" s="26"/>
      <c r="AX276" s="27"/>
      <c r="AY276" s="25"/>
      <c r="AZ276" s="26"/>
      <c r="BA276" s="27"/>
      <c r="BB276" s="25"/>
      <c r="BC276" s="26"/>
      <c r="BD276" s="27"/>
    </row>
    <row r="277" spans="1:56">
      <c r="A277" s="28"/>
      <c r="B277" s="19" t="s">
        <v>546</v>
      </c>
      <c r="C277" s="20">
        <f>IFERROR(GETPIVOTDATA("[Measures].[mOldUGIS]",'Pivot Table Cats'!$A$3,"[Range 1].[State]","[Range 1].[State].&amp;[WV]","[Range 1].[Type]","[Range 1].[Type].&amp;[3]")," ")</f>
        <v>8512</v>
      </c>
      <c r="D277" s="20">
        <f>IFERROR(GETPIVOTDATA("[Measures].[mNewUGIS]",'Pivot Table Cats'!$A$3,"[Range 1].[State]","[Range 1].[State].&amp;[WV]","[Range 1].[Type]","[Range 1].[Type].&amp;[3]")," ")</f>
        <v>8552</v>
      </c>
      <c r="E277" s="21">
        <f t="shared" si="64"/>
        <v>0.46992481203007519</v>
      </c>
      <c r="F277" s="20">
        <f>IFERROR(GETPIVOTDATA("[Measures].[mOldUGOS]",'Pivot Table Cats'!$A$3,"[Range 1].[State]","[Range 1].[State].&amp;[WV]","[Range 1].[Type]","[Range 1].[Type].&amp;[3]")," ")</f>
        <v>19366</v>
      </c>
      <c r="G277" s="20">
        <f>IFERROR(GETPIVOTDATA("[Measures].[mNewUGOS]",'Pivot Table Cats'!$A$3,"[Range 1].[State]","[Range 1].[State].&amp;[WV]","[Range 1].[Type]","[Range 1].[Type].&amp;[3]")," ")</f>
        <v>19606</v>
      </c>
      <c r="H277" s="21">
        <f t="shared" si="65"/>
        <v>1.2392853454507902</v>
      </c>
      <c r="I277" s="20">
        <f>IFERROR(GETPIVOTDATA("[Measures].[mOldGIS]",'Pivot Table Cats'!$A$3,"[Range 1].[State]","[Range 1].[State].&amp;[WV]","[Range 1].[Type]","[Range 1].[Type].&amp;[3]")," ")</f>
        <v>8828</v>
      </c>
      <c r="J277" s="20">
        <f>IFERROR(GETPIVOTDATA("[Measures].[mNewGIS]",'Pivot Table Cats'!$A$3,"[Range 1].[State]","[Range 1].[State].&amp;[WV]","[Range 1].[Type]","[Range 1].[Type].&amp;[3]")," ")</f>
        <v>8882</v>
      </c>
      <c r="K277" s="21">
        <f t="shared" si="66"/>
        <v>0.61169007702763933</v>
      </c>
      <c r="L277" s="20">
        <f>IFERROR(GETPIVOTDATA("[Measures].[mOldGOS]",'Pivot Table Cats'!$A$3,"[Range 1].[State]","[Range 1].[State].&amp;[WV]","[Range 1].[Type]","[Range 1].[Type].&amp;[3]")," ")</f>
        <v>21162</v>
      </c>
      <c r="M277" s="20">
        <f>IFERROR(GETPIVOTDATA("[Measures].[mNewGOS]",'Pivot Table Cats'!$A$3,"[Range 1].[State]","[Range 1].[State].&amp;[WV]","[Range 1].[Type]","[Range 1].[Type].&amp;[3]")," ")</f>
        <v>21434</v>
      </c>
      <c r="N277" s="21">
        <f t="shared" si="67"/>
        <v>1.2853227483224647</v>
      </c>
      <c r="O277" s="25"/>
      <c r="P277" s="26"/>
      <c r="Q277" s="27"/>
      <c r="R277" s="25"/>
      <c r="S277" s="26"/>
      <c r="T277" s="27"/>
      <c r="U277" s="25"/>
      <c r="V277" s="26"/>
      <c r="W277" s="27"/>
      <c r="X277" s="25"/>
      <c r="Y277" s="26"/>
      <c r="Z277" s="27"/>
      <c r="AA277" s="25"/>
      <c r="AB277" s="26"/>
      <c r="AC277" s="27"/>
      <c r="AD277" s="25"/>
      <c r="AE277" s="26"/>
      <c r="AF277" s="27"/>
      <c r="AG277" s="25"/>
      <c r="AH277" s="26"/>
      <c r="AI277" s="27"/>
      <c r="AJ277" s="25"/>
      <c r="AK277" s="26"/>
      <c r="AL277" s="27"/>
      <c r="AM277" s="25"/>
      <c r="AN277" s="26"/>
      <c r="AO277" s="27"/>
      <c r="AP277" s="25"/>
      <c r="AQ277" s="26"/>
      <c r="AR277" s="27"/>
      <c r="AS277" s="25"/>
      <c r="AT277" s="26"/>
      <c r="AU277" s="27"/>
      <c r="AV277" s="25"/>
      <c r="AW277" s="26"/>
      <c r="AX277" s="27"/>
      <c r="AY277" s="25"/>
      <c r="AZ277" s="26"/>
      <c r="BA277" s="27"/>
      <c r="BB277" s="25"/>
      <c r="BC277" s="26"/>
      <c r="BD277" s="27"/>
    </row>
    <row r="278" spans="1:56">
      <c r="A278" s="28"/>
      <c r="B278" s="19" t="s">
        <v>547</v>
      </c>
      <c r="C278" s="20">
        <f>IFERROR(GETPIVOTDATA("[Measures].[mOldUGIS]",'Pivot Table Cats'!$A$3,"[Range 1].[State]","[Range 1].[State].&amp;[WV]","[Range 1].[Type]","[Range 1].[Type].&amp;[4]")," ")</f>
        <v>8031</v>
      </c>
      <c r="D278" s="20">
        <f>IFERROR(GETPIVOTDATA("[Measures].[mNewUGIS]",'Pivot Table Cats'!$A$3,"[Range 1].[State]","[Range 1].[State].&amp;[WV]","[Range 1].[Type]","[Range 1].[Type].&amp;[4]")," ")</f>
        <v>8229</v>
      </c>
      <c r="E278" s="21">
        <f t="shared" si="64"/>
        <v>2.4654463952185282</v>
      </c>
      <c r="F278" s="20">
        <f>IFERROR(GETPIVOTDATA("[Measures].[mOldUGOS]",'Pivot Table Cats'!$A$3,"[Range 1].[State]","[Range 1].[State].&amp;[WV]","[Range 1].[Type]","[Range 1].[Type].&amp;[4]")," ")</f>
        <v>14845</v>
      </c>
      <c r="G278" s="20">
        <f>IFERROR(GETPIVOTDATA("[Measures].[mNewUGOS]",'Pivot Table Cats'!$A$3,"[Range 1].[State]","[Range 1].[State].&amp;[WV]","[Range 1].[Type]","[Range 1].[Type].&amp;[4]")," ")</f>
        <v>15182</v>
      </c>
      <c r="H278" s="21">
        <f t="shared" si="65"/>
        <v>2.2701246210845403</v>
      </c>
      <c r="I278" s="20">
        <f>IFERROR(GETPIVOTDATA("[Measures].[mOldGIS]",'Pivot Table Cats'!$A$3,"[Range 1].[State]","[Range 1].[State].&amp;[WV]","[Range 1].[Type]","[Range 1].[Type].&amp;[4]")," ")</f>
        <v>8252</v>
      </c>
      <c r="J278" s="20">
        <f>IFERROR(GETPIVOTDATA("[Measures].[mNewGIS]",'Pivot Table Cats'!$A$3,"[Range 1].[State]","[Range 1].[State].&amp;[WV]","[Range 1].[Type]","[Range 1].[Type].&amp;[4]")," ")</f>
        <v>8335</v>
      </c>
      <c r="K278" s="21">
        <f t="shared" si="66"/>
        <v>1.005816771691711</v>
      </c>
      <c r="L278" s="20">
        <f>IFERROR(GETPIVOTDATA("[Measures].[mOldGOS]",'Pivot Table Cats'!$A$3,"[Range 1].[State]","[Range 1].[State].&amp;[WV]","[Range 1].[Type]","[Range 1].[Type].&amp;[4]")," ")</f>
        <v>13655</v>
      </c>
      <c r="M278" s="20">
        <f>IFERROR(GETPIVOTDATA("[Measures].[mNewGOS]",'Pivot Table Cats'!$A$3,"[Range 1].[State]","[Range 1].[State].&amp;[WV]","[Range 1].[Type]","[Range 1].[Type].&amp;[4]")," ")</f>
        <v>13738</v>
      </c>
      <c r="N278" s="21">
        <f t="shared" si="67"/>
        <v>0.60783595752471631</v>
      </c>
      <c r="O278" s="25"/>
      <c r="P278" s="26"/>
      <c r="Q278" s="27"/>
      <c r="R278" s="25"/>
      <c r="S278" s="26"/>
      <c r="T278" s="27"/>
      <c r="U278" s="25"/>
      <c r="V278" s="26"/>
      <c r="W278" s="27"/>
      <c r="X278" s="25"/>
      <c r="Y278" s="26"/>
      <c r="Z278" s="27"/>
      <c r="AA278" s="25"/>
      <c r="AB278" s="26"/>
      <c r="AC278" s="27"/>
      <c r="AD278" s="25"/>
      <c r="AE278" s="26"/>
      <c r="AF278" s="27"/>
      <c r="AG278" s="25"/>
      <c r="AH278" s="26"/>
      <c r="AI278" s="27"/>
      <c r="AJ278" s="25"/>
      <c r="AK278" s="26"/>
      <c r="AL278" s="27"/>
      <c r="AM278" s="25"/>
      <c r="AN278" s="26"/>
      <c r="AO278" s="27"/>
      <c r="AP278" s="25"/>
      <c r="AQ278" s="26"/>
      <c r="AR278" s="27"/>
      <c r="AS278" s="25"/>
      <c r="AT278" s="26"/>
      <c r="AU278" s="27"/>
      <c r="AV278" s="25"/>
      <c r="AW278" s="26"/>
      <c r="AX278" s="27"/>
      <c r="AY278" s="25"/>
      <c r="AZ278" s="26"/>
      <c r="BA278" s="27"/>
      <c r="BB278" s="25"/>
      <c r="BC278" s="26"/>
      <c r="BD278" s="27"/>
    </row>
    <row r="279" spans="1:56">
      <c r="A279" s="28"/>
      <c r="B279" s="19" t="s">
        <v>548</v>
      </c>
      <c r="C279" s="20">
        <f>IFERROR(GETPIVOTDATA("[Measures].[mOldUGIS]",'Pivot Table Cats'!$A$3,"[Range 1].[State]","[Range 1].[State].&amp;[WV]","[Range 1].[Type]","[Range 1].[Type].&amp;[5]")," ")</f>
        <v>7784</v>
      </c>
      <c r="D279" s="20">
        <f>IFERROR(GETPIVOTDATA("[Measures].[mNewUGIS]",'Pivot Table Cats'!$A$3,"[Range 1].[State]","[Range 1].[State].&amp;[WV]","[Range 1].[Type]","[Range 1].[Type].&amp;[5]")," ")</f>
        <v>7892</v>
      </c>
      <c r="E279" s="21">
        <f t="shared" si="64"/>
        <v>1.3874614594039054</v>
      </c>
      <c r="F279" s="20">
        <f>IFERROR(GETPIVOTDATA("[Measures].[mOldUGOS]",'Pivot Table Cats'!$A$3,"[Range 1].[State]","[Range 1].[State].&amp;[WV]","[Range 1].[Type]","[Range 1].[Type].&amp;[5]")," ")</f>
        <v>17702</v>
      </c>
      <c r="G279" s="20">
        <f>IFERROR(GETPIVOTDATA("[Measures].[mNewUGOS]",'Pivot Table Cats'!$A$3,"[Range 1].[State]","[Range 1].[State].&amp;[WV]","[Range 1].[Type]","[Range 1].[Type].&amp;[5]")," ")</f>
        <v>17880</v>
      </c>
      <c r="H279" s="21">
        <f t="shared" si="65"/>
        <v>1.0055360976160885</v>
      </c>
      <c r="I279" s="20">
        <f>IFERROR(GETPIVOTDATA("[Measures].[mOldGIS]",'Pivot Table Cats'!$A$3,"[Range 1].[State]","[Range 1].[State].&amp;[WV]","[Range 1].[Type]","[Range 1].[Type].&amp;[5]")," ")</f>
        <v>8644</v>
      </c>
      <c r="J279" s="20">
        <f>IFERROR(GETPIVOTDATA("[Measures].[mNewGIS]",'Pivot Table Cats'!$A$3,"[Range 1].[State]","[Range 1].[State].&amp;[WV]","[Range 1].[Type]","[Range 1].[Type].&amp;[5]")," ")</f>
        <v>8730</v>
      </c>
      <c r="K279" s="21">
        <f t="shared" si="66"/>
        <v>0.99490976399814901</v>
      </c>
      <c r="L279" s="20">
        <f>IFERROR(GETPIVOTDATA("[Measures].[mOldGOS]",'Pivot Table Cats'!$A$3,"[Range 1].[State]","[Range 1].[State].&amp;[WV]","[Range 1].[Type]","[Range 1].[Type].&amp;[5]")," ")</f>
        <v>15072</v>
      </c>
      <c r="M279" s="20">
        <f>IFERROR(GETPIVOTDATA("[Measures].[mNewGOS]",'Pivot Table Cats'!$A$3,"[Range 1].[State]","[Range 1].[State].&amp;[WV]","[Range 1].[Type]","[Range 1].[Type].&amp;[5]")," ")</f>
        <v>15230</v>
      </c>
      <c r="N279" s="21">
        <f t="shared" si="67"/>
        <v>1.0483014861995754</v>
      </c>
      <c r="O279" s="25"/>
      <c r="P279" s="26"/>
      <c r="Q279" s="27"/>
      <c r="R279" s="25"/>
      <c r="S279" s="26"/>
      <c r="T279" s="27"/>
      <c r="U279" s="25"/>
      <c r="V279" s="26"/>
      <c r="W279" s="27"/>
      <c r="X279" s="25"/>
      <c r="Y279" s="26"/>
      <c r="Z279" s="27"/>
      <c r="AA279" s="25"/>
      <c r="AB279" s="26"/>
      <c r="AC279" s="27"/>
      <c r="AD279" s="25"/>
      <c r="AE279" s="26"/>
      <c r="AF279" s="27"/>
      <c r="AG279" s="25"/>
      <c r="AH279" s="26"/>
      <c r="AI279" s="27"/>
      <c r="AJ279" s="25"/>
      <c r="AK279" s="26"/>
      <c r="AL279" s="27"/>
      <c r="AM279" s="25"/>
      <c r="AN279" s="26"/>
      <c r="AO279" s="27"/>
      <c r="AP279" s="25"/>
      <c r="AQ279" s="26"/>
      <c r="AR279" s="27"/>
      <c r="AS279" s="25"/>
      <c r="AT279" s="26"/>
      <c r="AU279" s="27"/>
      <c r="AV279" s="25"/>
      <c r="AW279" s="26"/>
      <c r="AX279" s="27"/>
      <c r="AY279" s="25"/>
      <c r="AZ279" s="26"/>
      <c r="BA279" s="27"/>
      <c r="BB279" s="25"/>
      <c r="BC279" s="26"/>
      <c r="BD279" s="27"/>
    </row>
    <row r="280" spans="1:56">
      <c r="A280" s="28"/>
      <c r="B280" s="19" t="s">
        <v>549</v>
      </c>
      <c r="C280" s="20">
        <f>IFERROR(GETPIVOTDATA("[Measures].[mOldUGIS]",'Pivot Table Cats'!$A$3,"[Range 1].[State]","[Range 1].[State].&amp;[WV]","[Range 1].[Type]","[Range 1].[Type].&amp;[6]")," ")</f>
        <v>7584</v>
      </c>
      <c r="D280" s="20">
        <f>IFERROR(GETPIVOTDATA("[Measures].[mNewUGIS]",'Pivot Table Cats'!$A$3,"[Range 1].[State]","[Range 1].[State].&amp;[WV]","[Range 1].[Type]","[Range 1].[Type].&amp;[6]")," ")</f>
        <v>7886</v>
      </c>
      <c r="E280" s="21">
        <f t="shared" si="64"/>
        <v>3.9820675105485233</v>
      </c>
      <c r="F280" s="20">
        <f>IFERROR(GETPIVOTDATA("[Measures].[mOldUGOS]",'Pivot Table Cats'!$A$3,"[Range 1].[State]","[Range 1].[State].&amp;[WV]","[Range 1].[Type]","[Range 1].[Type].&amp;[6]")," ")</f>
        <v>14448</v>
      </c>
      <c r="G280" s="20">
        <f>IFERROR(GETPIVOTDATA("[Measures].[mNewUGOS]",'Pivot Table Cats'!$A$3,"[Range 1].[State]","[Range 1].[State].&amp;[WV]","[Range 1].[Type]","[Range 1].[Type].&amp;[6]")," ")</f>
        <v>15282</v>
      </c>
      <c r="H280" s="21">
        <f t="shared" si="65"/>
        <v>5.7724252491694354</v>
      </c>
      <c r="I280" s="20">
        <f>IFERROR(GETPIVOTDATA("[Measures].[mOldGIS]",'Pivot Table Cats'!$A$3,"[Range 1].[State]","[Range 1].[State].&amp;[WV]","[Range 1].[Type]","[Range 1].[Type].&amp;[6]")," ")</f>
        <v>0</v>
      </c>
      <c r="J280" s="20">
        <f>IFERROR(GETPIVOTDATA("[Measures].[mNewGIS]",'Pivot Table Cats'!$A$3,"[Range 1].[State]","[Range 1].[State].&amp;[WV]","[Range 1].[Type]","[Range 1].[Type].&amp;[6]")," ")</f>
        <v>0</v>
      </c>
      <c r="K280" s="21">
        <f t="shared" si="66"/>
        <v>0</v>
      </c>
      <c r="L280" s="20">
        <f>IFERROR(GETPIVOTDATA("[Measures].[mOldGOS]",'Pivot Table Cats'!$A$3,"[Range 1].[State]","[Range 1].[State].&amp;[WV]","[Range 1].[Type]","[Range 1].[Type].&amp;[6]")," ")</f>
        <v>0</v>
      </c>
      <c r="M280" s="20">
        <f>IFERROR(GETPIVOTDATA("[Measures].[mNewGOS]",'Pivot Table Cats'!$A$3,"[Range 1].[State]","[Range 1].[State].&amp;[WV]","[Range 1].[Type]","[Range 1].[Type].&amp;[6]")," ")</f>
        <v>0</v>
      </c>
      <c r="N280" s="21">
        <f t="shared" si="67"/>
        <v>0</v>
      </c>
      <c r="O280" s="25"/>
      <c r="P280" s="26"/>
      <c r="Q280" s="27"/>
      <c r="R280" s="25"/>
      <c r="S280" s="26"/>
      <c r="T280" s="27"/>
      <c r="U280" s="25"/>
      <c r="V280" s="26"/>
      <c r="W280" s="27"/>
      <c r="X280" s="25"/>
      <c r="Y280" s="26"/>
      <c r="Z280" s="27"/>
      <c r="AA280" s="25"/>
      <c r="AB280" s="26"/>
      <c r="AC280" s="27"/>
      <c r="AD280" s="25"/>
      <c r="AE280" s="26"/>
      <c r="AF280" s="27"/>
      <c r="AG280" s="25"/>
      <c r="AH280" s="26"/>
      <c r="AI280" s="27"/>
      <c r="AJ280" s="25"/>
      <c r="AK280" s="26"/>
      <c r="AL280" s="27"/>
      <c r="AM280" s="25"/>
      <c r="AN280" s="26"/>
      <c r="AO280" s="27"/>
      <c r="AP280" s="25"/>
      <c r="AQ280" s="26"/>
      <c r="AR280" s="27"/>
      <c r="AS280" s="25"/>
      <c r="AT280" s="26"/>
      <c r="AU280" s="27"/>
      <c r="AV280" s="25"/>
      <c r="AW280" s="26"/>
      <c r="AX280" s="27"/>
      <c r="AY280" s="25"/>
      <c r="AZ280" s="26"/>
      <c r="BA280" s="27"/>
      <c r="BB280" s="25"/>
      <c r="BC280" s="26"/>
      <c r="BD280" s="27"/>
    </row>
    <row r="281" spans="1:56" s="49" customFormat="1" ht="19.5" customHeight="1">
      <c r="A281" s="48"/>
      <c r="B281" s="30" t="s">
        <v>550</v>
      </c>
      <c r="C281" s="31">
        <f>IFERROR(GETPIVOTDATA("[Measures].[mOldUGIS]",'Pivot Table Totals'!$A$4,"[Range 1].[State]","[Range 1].[State].&amp;[WV]"), " ")</f>
        <v>7899</v>
      </c>
      <c r="D281" s="31">
        <f>IFERROR(GETPIVOTDATA("[Measures].[mNewUGIS]",'Pivot Table Totals'!$A$4,"[Range 1].[State]","[Range 1].[State].&amp;[WV]"), " ")</f>
        <v>7998</v>
      </c>
      <c r="E281" s="21">
        <f t="shared" si="64"/>
        <v>1.2533232054690469</v>
      </c>
      <c r="F281" s="31">
        <f>IFERROR(GETPIVOTDATA("[Measures].[mOldUGOS]",'Pivot Table Totals'!$A$4,"[Range 1].[State]","[Range 1].[State].&amp;[WV]"), " ")</f>
        <v>17258</v>
      </c>
      <c r="G281" s="31">
        <f>IFERROR(GETPIVOTDATA("[Measures].[mNewUGOS]",'Pivot Table Totals'!$A$4,"[Range 1].[State]","[Range 1].[State].&amp;[WV]"), " ")</f>
        <v>17515</v>
      </c>
      <c r="H281" s="32">
        <f t="shared" si="65"/>
        <v>1.4891644454745625</v>
      </c>
      <c r="I281" s="31">
        <f>IFERROR(GETPIVOTDATA("[Measures].[mOldGIS]",'Pivot Table Totals'!$A$4,"[Range 1].[State]","[Range 1].[State].&amp;[WV]"), " ")</f>
        <v>8644</v>
      </c>
      <c r="J281" s="31">
        <f>IFERROR(GETPIVOTDATA("[Measures].[mNewGIS]",'Pivot Table Totals'!$A$4,"[Range 1].[State]","[Range 1].[State].&amp;[WV]"), " ")</f>
        <v>8730</v>
      </c>
      <c r="K281" s="21">
        <f t="shared" si="66"/>
        <v>0.99490976399814901</v>
      </c>
      <c r="L281" s="31">
        <f>IFERROR(GETPIVOTDATA("[Measures].[mOldGOS]",'Pivot Table Totals'!$A$4,"[Range 1].[State]","[Range 1].[State].&amp;[WV]"), " ")</f>
        <v>19030</v>
      </c>
      <c r="M281" s="31">
        <f>IFERROR(GETPIVOTDATA("[Measures].[mNewGOS]",'Pivot Table Totals'!$A$4,"[Range 1].[State]","[Range 1].[State].&amp;[WV]"), " ")</f>
        <v>19030</v>
      </c>
      <c r="N281" s="32">
        <f>IFERROR(IF(L281&gt;0,(((M281-L281)/L281)*100),0), "  ")</f>
        <v>0</v>
      </c>
      <c r="O281" s="36"/>
      <c r="P281" s="37"/>
      <c r="Q281" s="38"/>
      <c r="R281" s="36"/>
      <c r="S281" s="37"/>
      <c r="T281" s="38"/>
      <c r="U281" s="36"/>
      <c r="V281" s="37"/>
      <c r="W281" s="38"/>
      <c r="X281" s="36"/>
      <c r="Y281" s="37"/>
      <c r="Z281" s="38"/>
      <c r="AA281" s="36"/>
      <c r="AB281" s="37"/>
      <c r="AC281" s="38"/>
      <c r="AD281" s="36"/>
      <c r="AE281" s="37"/>
      <c r="AF281" s="38"/>
      <c r="AG281" s="36"/>
      <c r="AH281" s="37"/>
      <c r="AI281" s="38"/>
      <c r="AJ281" s="36"/>
      <c r="AK281" s="37"/>
      <c r="AL281" s="38"/>
      <c r="AM281" s="36"/>
      <c r="AN281" s="37"/>
      <c r="AO281" s="38"/>
      <c r="AP281" s="36"/>
      <c r="AQ281" s="37"/>
      <c r="AR281" s="38"/>
      <c r="AS281" s="36"/>
      <c r="AT281" s="37"/>
      <c r="AU281" s="38"/>
      <c r="AV281" s="36"/>
      <c r="AW281" s="37"/>
      <c r="AX281" s="38"/>
      <c r="AY281" s="36"/>
      <c r="AZ281" s="37"/>
      <c r="BA281" s="38"/>
      <c r="BB281" s="36"/>
      <c r="BC281" s="37"/>
      <c r="BD281" s="38"/>
    </row>
    <row r="282" spans="1:56">
      <c r="A282" s="28"/>
      <c r="B282" s="19" t="s">
        <v>551</v>
      </c>
      <c r="C282" s="20">
        <f>IFERROR(GETPIVOTDATA("[Measures].[mOldUGIS]",'Pivot Table Cats'!$A$3,"[Range 1].[State]","[Range 1].[State].&amp;[WV]","[Range 1].[Type]","[Range 1].[Type].&amp;[7]")," ")</f>
        <v>4238</v>
      </c>
      <c r="D282" s="20">
        <f>IFERROR(GETPIVOTDATA("[Measures].[mNewUGIS]",'Pivot Table Cats'!$A$3,"[Range 1].[State]","[Range 1].[State].&amp;[WV]","[Range 1].[Type]","[Range 1].[Type].&amp;[7]")," ")</f>
        <v>4286</v>
      </c>
      <c r="E282" s="21">
        <f t="shared" si="64"/>
        <v>1.132609721566777</v>
      </c>
      <c r="F282" s="20">
        <f>IFERROR(GETPIVOTDATA("[Measures].[mOldUGOS]",'Pivot Table Cats'!$A$3,"[Range 1].[State]","[Range 1].[State].&amp;[WV]","[Range 1].[Type]","[Range 1].[Type].&amp;[7]")," ")</f>
        <v>10118</v>
      </c>
      <c r="G282" s="20">
        <f>IFERROR(GETPIVOTDATA("[Measures].[mNewUGOS]",'Pivot Table Cats'!$A$3,"[Range 1].[State]","[Range 1].[State].&amp;[WV]","[Range 1].[Type]","[Range 1].[Type].&amp;[7]")," ")</f>
        <v>10238</v>
      </c>
      <c r="H282" s="21">
        <f t="shared" si="65"/>
        <v>1.1860051393556039</v>
      </c>
      <c r="I282" s="20">
        <f>IFERROR(GETPIVOTDATA("[Measures].[mOldGIS]",'Pivot Table Cats'!$A$3,"[Range 1].[State]","[Range 1].[State].&amp;[WV]","[Range 1].[Type]","[Range 1].[Type].&amp;[7]")," ")</f>
        <v>0</v>
      </c>
      <c r="J282" s="20">
        <f>IFERROR(GETPIVOTDATA("[Measures].[mNewGIS]",'Pivot Table Cats'!$A$3,"[Range 1].[State]","[Range 1].[State].&amp;[WV]","[Range 1].[Type]","[Range 1].[Type].&amp;[7]")," ")</f>
        <v>0</v>
      </c>
      <c r="K282" s="21">
        <f t="shared" si="66"/>
        <v>0</v>
      </c>
      <c r="L282" s="20">
        <f>IFERROR(GETPIVOTDATA("[Measures].[mOldGIS]",'Pivot Table Cats'!$A$3,"[Range 1].[State]","[Range 1].[State].&amp;[WV]","[Range 1].[Type]","[Range 1].[Type].&amp;[7]")," ")</f>
        <v>0</v>
      </c>
      <c r="M282" s="20">
        <f>IFERROR(GETPIVOTDATA("[Measures].[mNewGIS]",'Pivot Table Cats'!$A$3,"[Range 1].[State]","[Range 1].[State].&amp;[WV]","[Range 1].[Type]","[Range 1].[Type].&amp;[7]")," ")</f>
        <v>0</v>
      </c>
      <c r="N282" s="21">
        <f t="shared" si="67"/>
        <v>0</v>
      </c>
      <c r="O282" s="25"/>
      <c r="P282" s="26"/>
      <c r="Q282" s="27"/>
      <c r="R282" s="25"/>
      <c r="S282" s="26"/>
      <c r="T282" s="27"/>
      <c r="U282" s="25"/>
      <c r="V282" s="26"/>
      <c r="W282" s="27"/>
      <c r="X282" s="25"/>
      <c r="Y282" s="26"/>
      <c r="Z282" s="27"/>
      <c r="AA282" s="25"/>
      <c r="AB282" s="26"/>
      <c r="AC282" s="27"/>
      <c r="AD282" s="25"/>
      <c r="AE282" s="26"/>
      <c r="AF282" s="27"/>
      <c r="AG282" s="25"/>
      <c r="AH282" s="26"/>
      <c r="AI282" s="27"/>
      <c r="AJ282" s="25"/>
      <c r="AK282" s="26"/>
      <c r="AL282" s="27"/>
      <c r="AM282" s="25"/>
      <c r="AN282" s="26"/>
      <c r="AO282" s="27"/>
      <c r="AP282" s="25"/>
      <c r="AQ282" s="26"/>
      <c r="AR282" s="27"/>
      <c r="AS282" s="25"/>
      <c r="AT282" s="26"/>
      <c r="AU282" s="27"/>
      <c r="AV282" s="25"/>
      <c r="AW282" s="26"/>
      <c r="AX282" s="27"/>
      <c r="AY282" s="25"/>
      <c r="AZ282" s="26"/>
      <c r="BA282" s="27"/>
      <c r="BB282" s="25"/>
      <c r="BC282" s="26"/>
      <c r="BD282" s="27"/>
    </row>
    <row r="283" spans="1:56">
      <c r="A283" s="28"/>
      <c r="B283" s="19" t="s">
        <v>552</v>
      </c>
      <c r="C283" s="20" t="str">
        <f>IFERROR(GETPIVOTDATA("[Measures].[mOldUGIS]",'Pivot Table Cats'!$A$3,"[Range 1].[State]","[Range 1].[State].&amp;[WV]","[Range 1].[Type]","[Range 1].[Type].&amp;[8]")," ")</f>
        <v xml:space="preserve"> </v>
      </c>
      <c r="D283" s="20" t="str">
        <f>IFERROR(GETPIVOTDATA("[Measures].[mNewUGIS]",'Pivot Table Cats'!$A$3,"[Range 1].[State]","[Range 1].[State].&amp;[WV]","[Range 1].[Type]","[Range 1].[Type].&amp;[8]")," ")</f>
        <v xml:space="preserve"> </v>
      </c>
      <c r="E283" s="21" t="str">
        <f t="shared" si="64"/>
        <v xml:space="preserve"> </v>
      </c>
      <c r="F283" s="20" t="str">
        <f>IFERROR(GETPIVOTDATA("[Measures].[mOldUGOS]",'Pivot Table Cats'!$A$3,"[Range 1].[State]","[Range 1].[State].&amp;[WV]","[Range 1].[Type]","[Range 1].[Type].&amp;[8]")," ")</f>
        <v xml:space="preserve"> </v>
      </c>
      <c r="G283" s="20" t="str">
        <f>IFERROR(GETPIVOTDATA("[Measures].[mNewUGOS]",'Pivot Table Cats'!$A$3,"[Range 1].[State]","[Range 1].[State].&amp;[WV]","[Range 1].[Type]","[Range 1].[Type].&amp;[8]")," ")</f>
        <v xml:space="preserve"> </v>
      </c>
      <c r="H283" s="21" t="str">
        <f t="shared" si="65"/>
        <v xml:space="preserve"> </v>
      </c>
      <c r="I283" s="337" t="str">
        <f>IFERROR(GETPIVOTDATA("[Measures].[mOldGIS]",'Pivot Table Cats'!$A$3,"[Range 1].[State]","[Range 1].[State].&amp;[WV]","[Range 1].[Type]","[Range 1].[Type].&amp;[8]")," ")</f>
        <v xml:space="preserve"> </v>
      </c>
      <c r="J283" s="20" t="str">
        <f>IFERROR(GETPIVOTDATA("[Measures].[mNewGIS]",'Pivot Table Cats'!$A$3,"[Range 1].[State]","[Range 1].[State].&amp;[WV]","[Range 1].[Type]","[Range 1].[Type].&amp;[8]")," ")</f>
        <v xml:space="preserve"> </v>
      </c>
      <c r="K283" s="21" t="str">
        <f t="shared" si="66"/>
        <v xml:space="preserve"> </v>
      </c>
      <c r="L283" s="20" t="str">
        <f>IFERROR(GETPIVOTDATA("[Measures].[mOldGOS]",'Pivot Table Cats'!$A$3,"[Range 1].[State]","[Range 1].[State].&amp;[WV]","[Range 1].[Type]","[Range 1].[Type].&amp;[8]")," ")</f>
        <v xml:space="preserve"> </v>
      </c>
      <c r="M283" s="20" t="str">
        <f>IFERROR(GETPIVOTDATA("[Measures].[mNewGOS]",'Pivot Table Cats'!$A$3,"[Range 1].[State]","[Range 1].[State].&amp;[WV]","[Range 1].[Type]","[Range 1].[Type].&amp;[8]")," ")</f>
        <v xml:space="preserve"> </v>
      </c>
      <c r="N283" s="21" t="str">
        <f t="shared" si="67"/>
        <v xml:space="preserve"> </v>
      </c>
      <c r="O283" s="25"/>
      <c r="P283" s="26"/>
      <c r="Q283" s="27"/>
      <c r="R283" s="25"/>
      <c r="S283" s="26"/>
      <c r="T283" s="27"/>
      <c r="U283" s="25"/>
      <c r="V283" s="26"/>
      <c r="W283" s="27"/>
      <c r="X283" s="25"/>
      <c r="Y283" s="26"/>
      <c r="Z283" s="27"/>
      <c r="AA283" s="25"/>
      <c r="AB283" s="26"/>
      <c r="AC283" s="27"/>
      <c r="AD283" s="25"/>
      <c r="AE283" s="26"/>
      <c r="AF283" s="27"/>
      <c r="AG283" s="25"/>
      <c r="AH283" s="26"/>
      <c r="AI283" s="27"/>
      <c r="AJ283" s="25"/>
      <c r="AK283" s="26"/>
      <c r="AL283" s="27"/>
      <c r="AM283" s="25"/>
      <c r="AN283" s="26"/>
      <c r="AO283" s="27"/>
      <c r="AP283" s="25"/>
      <c r="AQ283" s="26"/>
      <c r="AR283" s="27"/>
      <c r="AS283" s="25"/>
      <c r="AT283" s="26"/>
      <c r="AU283" s="27"/>
      <c r="AV283" s="25"/>
      <c r="AW283" s="26"/>
      <c r="AX283" s="27"/>
      <c r="AY283" s="25"/>
      <c r="AZ283" s="26"/>
      <c r="BA283" s="27"/>
      <c r="BB283" s="25"/>
      <c r="BC283" s="26"/>
      <c r="BD283" s="27"/>
    </row>
    <row r="284" spans="1:56">
      <c r="A284" s="28"/>
      <c r="B284" s="19" t="s">
        <v>553</v>
      </c>
      <c r="C284" s="20">
        <f>IFERROR(GETPIVOTDATA("[Measures].[mOldUGIS]",'Pivot Table Cats'!$A$3,"[Range 1].[State]","[Range 1].[State].&amp;[WV]","[Range 1].[Type]","[Range 1].[Type].&amp;[9]")," ")</f>
        <v>4128</v>
      </c>
      <c r="D284" s="20">
        <f>IFERROR(GETPIVOTDATA("[Measures].[mNewUGIS]",'Pivot Table Cats'!$A$3,"[Range 1].[State]","[Range 1].[State].&amp;[WV]","[Range 1].[Type]","[Range 1].[Type].&amp;[9]")," ")</f>
        <v>4128</v>
      </c>
      <c r="E284" s="21">
        <f t="shared" si="64"/>
        <v>0</v>
      </c>
      <c r="F284" s="20">
        <f>IFERROR(GETPIVOTDATA("[Measures].[mOldUGOS]",'Pivot Table Cats'!$A$3,"[Range 1].[State]","[Range 1].[State].&amp;[WV]","[Range 1].[Type]","[Range 1].[Type].&amp;[9]")," ")</f>
        <v>7464</v>
      </c>
      <c r="G284" s="20">
        <f>IFERROR(GETPIVOTDATA("[Measures].[mNewUGOS]",'Pivot Table Cats'!$A$3,"[Range 1].[State]","[Range 1].[State].&amp;[WV]","[Range 1].[Type]","[Range 1].[Type].&amp;[9]")," ")</f>
        <v>7464</v>
      </c>
      <c r="H284" s="21">
        <f t="shared" si="65"/>
        <v>0</v>
      </c>
      <c r="I284" s="20">
        <f>IFERROR(GETPIVOTDATA("[Measures].[mOldGIS]",'Pivot Table Cats'!$A$3,"[Range 1].[State]","[Range 1].[State].&amp;[WV]","[Range 1].[Type]","[Range 1].[Type].&amp;[9]")," ")</f>
        <v>0</v>
      </c>
      <c r="J284" s="20">
        <f>IFERROR(GETPIVOTDATA("[Measures].[mNewGIS]",'Pivot Table Cats'!$A$3,"[Range 1].[State]","[Range 1].[State].&amp;[WV]","[Range 1].[Type]","[Range 1].[Type].&amp;[9]")," ")</f>
        <v>0</v>
      </c>
      <c r="K284" s="21">
        <f t="shared" si="66"/>
        <v>0</v>
      </c>
      <c r="L284" s="20">
        <f>IFERROR(GETPIVOTDATA("[Measures].[mOldGOS]",'Pivot Table Cats'!$A$3,"[Range 1].[State]","[Range 1].[State].&amp;[WV]","[Range 1].[Type]","[Range 1].[Type].&amp;[9]")," ")</f>
        <v>0</v>
      </c>
      <c r="M284" s="20">
        <f>IFERROR(GETPIVOTDATA("[Measures].[mNewGOS]",'Pivot Table Cats'!$A$3,"[Range 1].[State]","[Range 1].[State].&amp;[WV]","[Range 1].[Type]","[Range 1].[Type].&amp;[9]")," ")</f>
        <v>0</v>
      </c>
      <c r="N284" s="21">
        <f t="shared" si="67"/>
        <v>0</v>
      </c>
      <c r="O284" s="25"/>
      <c r="P284" s="26"/>
      <c r="Q284" s="27"/>
      <c r="R284" s="25"/>
      <c r="S284" s="26"/>
      <c r="T284" s="27"/>
      <c r="U284" s="25"/>
      <c r="V284" s="26"/>
      <c r="W284" s="27"/>
      <c r="X284" s="25"/>
      <c r="Y284" s="26"/>
      <c r="Z284" s="27"/>
      <c r="AA284" s="25"/>
      <c r="AB284" s="26"/>
      <c r="AC284" s="27"/>
      <c r="AD284" s="25"/>
      <c r="AE284" s="26"/>
      <c r="AF284" s="27"/>
      <c r="AG284" s="25"/>
      <c r="AH284" s="26"/>
      <c r="AI284" s="27"/>
      <c r="AJ284" s="25"/>
      <c r="AK284" s="26"/>
      <c r="AL284" s="27"/>
      <c r="AM284" s="25"/>
      <c r="AN284" s="26"/>
      <c r="AO284" s="27"/>
      <c r="AP284" s="25"/>
      <c r="AQ284" s="26"/>
      <c r="AR284" s="27"/>
      <c r="AS284" s="25"/>
      <c r="AT284" s="26"/>
      <c r="AU284" s="27"/>
      <c r="AV284" s="25"/>
      <c r="AW284" s="26"/>
      <c r="AX284" s="27"/>
      <c r="AY284" s="25"/>
      <c r="AZ284" s="26"/>
      <c r="BA284" s="27"/>
      <c r="BB284" s="25"/>
      <c r="BC284" s="26"/>
      <c r="BD284" s="27"/>
    </row>
    <row r="285" spans="1:56">
      <c r="A285" s="28"/>
      <c r="B285" s="19" t="s">
        <v>554</v>
      </c>
      <c r="C285" s="20">
        <f>IFERROR(GETPIVOTDATA("[Measures].[mOldUGIS]",'Pivot Table Cats'!$A$3,"[Range 1].[State]","[Range 1].[State].&amp;[WV]","[Range 1].[Type]","[Range 1].[Type].&amp;[10]")," ")</f>
        <v>4372</v>
      </c>
      <c r="D285" s="20">
        <f>IFERROR(GETPIVOTDATA("[Measures].[mNewUGIS]",'Pivot Table Cats'!$A$3,"[Range 1].[State]","[Range 1].[State].&amp;[WV]","[Range 1].[Type]","[Range 1].[Type].&amp;[10]")," ")</f>
        <v>4502</v>
      </c>
      <c r="E285" s="21">
        <f t="shared" si="64"/>
        <v>2.9734675205855443</v>
      </c>
      <c r="F285" s="20">
        <f>IFERROR(GETPIVOTDATA("[Measures].[mOldUGOS]",'Pivot Table Cats'!$A$3,"[Range 1].[State]","[Range 1].[State].&amp;[WV]","[Range 1].[Type]","[Range 1].[Type].&amp;[10]")," ")</f>
        <v>10720</v>
      </c>
      <c r="G285" s="20">
        <f>IFERROR(GETPIVOTDATA("[Measures].[mNewUGOS]",'Pivot Table Cats'!$A$3,"[Range 1].[State]","[Range 1].[State].&amp;[WV]","[Range 1].[Type]","[Range 1].[Type].&amp;[10]")," ")</f>
        <v>10720</v>
      </c>
      <c r="H285" s="32">
        <f t="shared" si="65"/>
        <v>0</v>
      </c>
      <c r="I285" s="20">
        <f>IFERROR(GETPIVOTDATA("[Measures].[mOldGIS]",'Pivot Table Cats'!$A$3,"[Range 1].[State]","[Range 1].[State].&amp;[WV]","[Range 1].[Type]","[Range 1].[Type].&amp;[10]")," ")</f>
        <v>0</v>
      </c>
      <c r="J285" s="20">
        <f>IFERROR(GETPIVOTDATA("[Measures].[mNewGIS]",'Pivot Table Cats'!$A$3,"[Range 1].[State]","[Range 1].[State].&amp;[WV]","[Range 1].[Type]","[Range 1].[Type].&amp;[10]")," ")</f>
        <v>0</v>
      </c>
      <c r="K285" s="21">
        <f t="shared" si="66"/>
        <v>0</v>
      </c>
      <c r="L285" s="20">
        <f>IFERROR(GETPIVOTDATA("[Measures].[mOldGOS]",'Pivot Table Cats'!$A$3,"[Range 1].[State]","[Range 1].[State].&amp;[WV]","[Range 1].[Type]","[Range 1].[Type].&amp;[10]")," ")</f>
        <v>0</v>
      </c>
      <c r="M285" s="20">
        <f>IFERROR(GETPIVOTDATA("[Measures].[mNewGOS]",'Pivot Table Cats'!$A$3,"[Range 1].[State]","[Range 1].[State].&amp;[WV]","[Range 1].[Type]","[Range 1].[Type].&amp;[10]")," ")</f>
        <v>0</v>
      </c>
      <c r="N285" s="21">
        <f t="shared" si="67"/>
        <v>0</v>
      </c>
      <c r="O285" s="25"/>
      <c r="P285" s="26"/>
      <c r="Q285" s="27"/>
      <c r="R285" s="25"/>
      <c r="S285" s="26"/>
      <c r="T285" s="27"/>
      <c r="U285" s="25"/>
      <c r="V285" s="26"/>
      <c r="W285" s="27"/>
      <c r="X285" s="25"/>
      <c r="Y285" s="26"/>
      <c r="Z285" s="27"/>
      <c r="AA285" s="25"/>
      <c r="AB285" s="26"/>
      <c r="AC285" s="27"/>
      <c r="AD285" s="25"/>
      <c r="AE285" s="26"/>
      <c r="AF285" s="27"/>
      <c r="AG285" s="25"/>
      <c r="AH285" s="26"/>
      <c r="AI285" s="27"/>
      <c r="AJ285" s="25"/>
      <c r="AK285" s="26"/>
      <c r="AL285" s="27"/>
      <c r="AM285" s="25"/>
      <c r="AN285" s="26"/>
      <c r="AO285" s="27"/>
      <c r="AP285" s="25"/>
      <c r="AQ285" s="26"/>
      <c r="AR285" s="27"/>
      <c r="AS285" s="25"/>
      <c r="AT285" s="26"/>
      <c r="AU285" s="27"/>
      <c r="AV285" s="25"/>
      <c r="AW285" s="26"/>
      <c r="AX285" s="27"/>
      <c r="AY285" s="25"/>
      <c r="AZ285" s="26"/>
      <c r="BA285" s="27"/>
      <c r="BB285" s="25"/>
      <c r="BC285" s="26"/>
      <c r="BD285" s="27"/>
    </row>
    <row r="286" spans="1:56" s="49" customFormat="1" ht="20.25" customHeight="1">
      <c r="A286" s="48"/>
      <c r="B286" s="30" t="s">
        <v>555</v>
      </c>
      <c r="C286" s="31">
        <f>IFERROR(GETPIVOTDATA("[Measures].[mOldUGIS]",'Pivot Table Totals'!$A$31,"[Range 1].[State]","[Range 1].[State].&amp;[WV]"), " ")</f>
        <v>4250</v>
      </c>
      <c r="D286" s="31">
        <f>IFERROR(GETPIVOTDATA("[Measures].[mNewUGIS]",'Pivot Table Totals'!$A$31,"[Range 1].[State]","[Range 1].[State].&amp;[WV]"), " ")</f>
        <v>4315</v>
      </c>
      <c r="E286" s="21">
        <f t="shared" si="64"/>
        <v>1.5294117647058825</v>
      </c>
      <c r="F286" s="31">
        <f>IFERROR(GETPIVOTDATA("[Measures].[mOldUGOS]",'Pivot Table Totals'!$A$31,"[Range 1].[State]","[Range 1].[State].&amp;[WV]")," ")</f>
        <v>9706</v>
      </c>
      <c r="G286" s="31">
        <f>IFERROR(GETPIVOTDATA("[Measures].[mNewUGOS]",'Pivot Table Totals'!$A$31,"[Range 1].[State]","[Range 1].[State].&amp;[WV]"), " ")</f>
        <v>9706</v>
      </c>
      <c r="H286" s="32">
        <f t="shared" si="65"/>
        <v>0</v>
      </c>
      <c r="I286" s="31">
        <f>IFERROR(GETPIVOTDATA("[Measures].[mOldGIS]",'Pivot Table Totals'!$A$31,"[Range 1].[State]","[Range 1].[State].&amp;[WV]")," ")</f>
        <v>0</v>
      </c>
      <c r="J286" s="31">
        <f>IFERROR(GETPIVOTDATA("[Measures].[mNewGIS]",'Pivot Table Totals'!$A$31,"[Range 1].[State]","[Range 1].[State].&amp;[WV]"), " ")</f>
        <v>0</v>
      </c>
      <c r="K286" s="21">
        <f t="shared" si="66"/>
        <v>0</v>
      </c>
      <c r="L286" s="31">
        <f>IFERROR(GETPIVOTDATA("[Measures].[mOldGOS]",'Pivot Table Totals'!$A$31,"[Range 1].[State]","[Range 1].[State].&amp;[WV]"), " ")</f>
        <v>0</v>
      </c>
      <c r="M286" s="31">
        <f>IFERROR(GETPIVOTDATA("[Measures].[mNewGOS]",'Pivot Table Totals'!$A$31,"[Range 1].[State]","[Range 1].[State].&amp;[WV]"), " ")</f>
        <v>0</v>
      </c>
      <c r="N286" s="21">
        <f t="shared" si="67"/>
        <v>0</v>
      </c>
      <c r="O286" s="36"/>
      <c r="P286" s="37"/>
      <c r="Q286" s="38"/>
      <c r="R286" s="36"/>
      <c r="S286" s="37"/>
      <c r="T286" s="38"/>
      <c r="U286" s="36"/>
      <c r="V286" s="37"/>
      <c r="W286" s="38"/>
      <c r="X286" s="36"/>
      <c r="Y286" s="37"/>
      <c r="Z286" s="38"/>
      <c r="AA286" s="36"/>
      <c r="AB286" s="37"/>
      <c r="AC286" s="38"/>
      <c r="AD286" s="36"/>
      <c r="AE286" s="37"/>
      <c r="AF286" s="38"/>
      <c r="AG286" s="36"/>
      <c r="AH286" s="37"/>
      <c r="AI286" s="38"/>
      <c r="AJ286" s="36"/>
      <c r="AK286" s="37"/>
      <c r="AL286" s="38"/>
      <c r="AM286" s="36"/>
      <c r="AN286" s="37"/>
      <c r="AO286" s="38"/>
      <c r="AP286" s="36"/>
      <c r="AQ286" s="37"/>
      <c r="AR286" s="38"/>
      <c r="AS286" s="36"/>
      <c r="AT286" s="37"/>
      <c r="AU286" s="38"/>
      <c r="AV286" s="36"/>
      <c r="AW286" s="37"/>
      <c r="AX286" s="38"/>
      <c r="AY286" s="36"/>
      <c r="AZ286" s="37"/>
      <c r="BA286" s="38"/>
      <c r="BB286" s="36"/>
      <c r="BC286" s="37"/>
      <c r="BD286" s="38"/>
    </row>
    <row r="287" spans="1:56">
      <c r="A287" s="28"/>
      <c r="B287" s="19" t="s">
        <v>556</v>
      </c>
      <c r="C287" s="20" t="str">
        <f>IFERROR(GETPIVOTDATA("[Measures].[mOldUGIS]",'Pivot Table Cats'!$A$3,"[Range 1].[State]","[Range 1].[State].&amp;[WV]","[Range 1].[Type]","[Range 1].[Type].&amp;[12]")," ")</f>
        <v xml:space="preserve"> </v>
      </c>
      <c r="D287" s="20" t="str">
        <f>IFERROR(GETPIVOTDATA("[Measures].[mNewUGIS]",'Pivot Table Cats'!$A$3,"[Range 1].[State]","[Range 1].[State].&amp;[WV]","[Range 1].[Type]","[Range 1].[Type].&amp;[12]")," ")</f>
        <v xml:space="preserve"> </v>
      </c>
      <c r="E287" s="21" t="str">
        <f t="shared" si="64"/>
        <v xml:space="preserve"> </v>
      </c>
      <c r="F287" s="20" t="str">
        <f>IFERROR(GETPIVOTDATA("[Measures].[mOldUGOS]",'Pivot Table Cats'!$A$3,"[Range 1].[State]","[Range 1].[State].&amp;[WV]","[Range 1].[Type]","[Range 1].[Type].&amp;[12]")," ")</f>
        <v xml:space="preserve"> </v>
      </c>
      <c r="G287" s="20" t="str">
        <f>IFERROR(GETPIVOTDATA("[Measures].[mNewUGOS]",'Pivot Table Cats'!$A$3,"[Range 1].[State]","[Range 1].[State].&amp;[WV]","[Range 1].[Type]","[Range 1].[Type].&amp;[12]")," ")</f>
        <v xml:space="preserve"> </v>
      </c>
      <c r="H287" s="21" t="str">
        <f t="shared" si="65"/>
        <v xml:space="preserve"> </v>
      </c>
      <c r="I287" s="20" t="str">
        <f>IFERROR(GETPIVOTDATA("[Measures].[mOldGIS]",'Pivot Table Cats'!$A$3,"[Range 1].[State]","[Range 1].[State].&amp;[WV]","[Range 1].[Type]","[Range 1].[Type].&amp;[12]")," ")</f>
        <v xml:space="preserve"> </v>
      </c>
      <c r="J287" s="20" t="str">
        <f>IFERROR(GETPIVOTDATA("[Measures].[mNewGIS]",'Pivot Table Cats'!$A$3,"[Range 1].[State]","[Range 1].[State].&amp;[WV]","[Range 1].[Type]","[Range 1].[Type].&amp;[12]")," ")</f>
        <v xml:space="preserve"> </v>
      </c>
      <c r="K287" s="21" t="str">
        <f t="shared" si="66"/>
        <v xml:space="preserve"> </v>
      </c>
      <c r="L287" s="20" t="str">
        <f>IFERROR(GETPIVOTDATA("[Measures].[mOldGOS]",'Pivot Table Cats'!$A$3,"[Range 1].[State]","[Range 1].[State].&amp;[WV]","[Range 1].[Type]","[Range 1].[Type].&amp;[12]")," ")</f>
        <v xml:space="preserve"> </v>
      </c>
      <c r="M287" s="20" t="str">
        <f>IFERROR(GETPIVOTDATA("[Measures].[mNewGOS]",'Pivot Table Cats'!$A$3,"[Range 1].[State]","[Range 1].[State].&amp;[WV]","[Range 1].[Type]","[Range 1].[Type].&amp;[12]")," ")</f>
        <v xml:space="preserve"> </v>
      </c>
      <c r="N287" s="21" t="str">
        <f t="shared" si="67"/>
        <v xml:space="preserve"> </v>
      </c>
      <c r="O287" s="25"/>
      <c r="P287" s="26"/>
      <c r="Q287" s="27"/>
      <c r="R287" s="25"/>
      <c r="S287" s="26"/>
      <c r="T287" s="27"/>
      <c r="U287" s="25"/>
      <c r="V287" s="26"/>
      <c r="W287" s="27"/>
      <c r="X287" s="25"/>
      <c r="Y287" s="26"/>
      <c r="Z287" s="27"/>
      <c r="AA287" s="25"/>
      <c r="AB287" s="26"/>
      <c r="AC287" s="27"/>
      <c r="AD287" s="25"/>
      <c r="AE287" s="26"/>
      <c r="AF287" s="27"/>
      <c r="AG287" s="25"/>
      <c r="AH287" s="26"/>
      <c r="AI287" s="27"/>
      <c r="AJ287" s="25"/>
      <c r="AK287" s="26"/>
      <c r="AL287" s="27"/>
      <c r="AM287" s="25"/>
      <c r="AN287" s="26"/>
      <c r="AO287" s="27"/>
      <c r="AP287" s="25"/>
      <c r="AQ287" s="26"/>
      <c r="AR287" s="27"/>
      <c r="AS287" s="25"/>
      <c r="AT287" s="26"/>
      <c r="AU287" s="27"/>
      <c r="AV287" s="25"/>
      <c r="AW287" s="26"/>
      <c r="AX287" s="27"/>
      <c r="AY287" s="25"/>
      <c r="AZ287" s="26"/>
      <c r="BA287" s="27"/>
      <c r="BB287" s="25"/>
      <c r="BC287" s="26"/>
      <c r="BD287" s="27"/>
    </row>
    <row r="288" spans="1:56">
      <c r="A288" s="28"/>
      <c r="B288" s="19" t="s">
        <v>557</v>
      </c>
      <c r="C288" s="20" t="str">
        <f>IFERROR(GETPIVOTDATA("[Measures].[mOldUGIS]",'Pivot Table Cats'!$A$3,"[Range 1].[State]","[Range 1].[State].&amp;[WV]","[Range 1].[Type]","[Range 1].[Type].&amp;[13]")," ")</f>
        <v xml:space="preserve"> </v>
      </c>
      <c r="D288" s="20" t="str">
        <f>IFERROR(GETPIVOTDATA("[Measures].[mNewUGIS]",'Pivot Table Cats'!$A$3,"[Range 1].[State]","[Range 1].[State].&amp;[WV]","[Range 1].[Type]","[Range 1].[Type].&amp;[13]")," ")</f>
        <v xml:space="preserve"> </v>
      </c>
      <c r="E288" s="21" t="str">
        <f t="shared" si="64"/>
        <v xml:space="preserve"> </v>
      </c>
      <c r="F288" s="20" t="str">
        <f>IFERROR(GETPIVOTDATA("[Measures].[mOldUGOS]",'Pivot Table Cats'!$A$3,"[Range 1].[State]","[Range 1].[State].&amp;[WV]","[Range 1].[Type]","[Range 1].[Type].&amp;[13]")," ")</f>
        <v xml:space="preserve"> </v>
      </c>
      <c r="G288" s="20" t="str">
        <f>IFERROR(GETPIVOTDATA("[Measures].[mNewUGOS]",'Pivot Table Cats'!$A$3,"[Range 1].[State]","[Range 1].[State].&amp;[WV]","[Range 1].[Type]","[Range 1].[Type].&amp;[13]")," ")</f>
        <v xml:space="preserve"> </v>
      </c>
      <c r="H288" s="21" t="str">
        <f t="shared" si="65"/>
        <v xml:space="preserve"> </v>
      </c>
      <c r="I288" s="20" t="str">
        <f>IFERROR(GETPIVOTDATA("[Measures].[mOldGIS]",'Pivot Table Cats'!$A$3,"[Range 1].[State]","[Range 1].[State].&amp;[WV]","[Range 1].[Type]","[Range 1].[Type].&amp;[13]")," ")</f>
        <v xml:space="preserve"> </v>
      </c>
      <c r="J288" s="20" t="str">
        <f>IFERROR(GETPIVOTDATA("[Measures].[mNewGIS]",'Pivot Table Cats'!$A$3,"[Range 1].[State]","[Range 1].[State].&amp;[WV]","[Range 1].[Type]","[Range 1].[Type].&amp;[13]")," ")</f>
        <v xml:space="preserve"> </v>
      </c>
      <c r="K288" s="21" t="str">
        <f t="shared" si="66"/>
        <v xml:space="preserve"> </v>
      </c>
      <c r="L288" s="20" t="str">
        <f>IFERROR(GETPIVOTDATA("[Measures].[mOldGOS]",'Pivot Table Cats'!$A$3,"[Range 1].[State]","[Range 1].[State].&amp;[WV]","[Range 1].[Type]","[Range 1].[Type].&amp;[13]")," ")</f>
        <v xml:space="preserve"> </v>
      </c>
      <c r="M288" s="20" t="str">
        <f>IFERROR(GETPIVOTDATA("[Measures].[mNewGOS]",'Pivot Table Cats'!$A$3,"[Range 1].[State]","[Range 1].[State].&amp;[WV]","[Range 1].[Type]","[Range 1].[Type].&amp;[13]")," ")</f>
        <v xml:space="preserve"> </v>
      </c>
      <c r="N288" s="21" t="str">
        <f t="shared" si="67"/>
        <v xml:space="preserve"> </v>
      </c>
      <c r="O288" s="25"/>
      <c r="P288" s="26"/>
      <c r="Q288" s="27"/>
      <c r="R288" s="25"/>
      <c r="S288" s="26"/>
      <c r="T288" s="27"/>
      <c r="U288" s="25"/>
      <c r="V288" s="26"/>
      <c r="W288" s="27"/>
      <c r="X288" s="25"/>
      <c r="Y288" s="26"/>
      <c r="Z288" s="27"/>
      <c r="AA288" s="25"/>
      <c r="AB288" s="26"/>
      <c r="AC288" s="27"/>
      <c r="AD288" s="25"/>
      <c r="AE288" s="26"/>
      <c r="AF288" s="27"/>
      <c r="AG288" s="25"/>
      <c r="AH288" s="26"/>
      <c r="AI288" s="27"/>
      <c r="AJ288" s="25"/>
      <c r="AK288" s="26"/>
      <c r="AL288" s="27"/>
      <c r="AM288" s="25"/>
      <c r="AN288" s="26"/>
      <c r="AO288" s="27"/>
      <c r="AP288" s="25"/>
      <c r="AQ288" s="26"/>
      <c r="AR288" s="27"/>
      <c r="AS288" s="25"/>
      <c r="AT288" s="26"/>
      <c r="AU288" s="27"/>
      <c r="AV288" s="25"/>
      <c r="AW288" s="26"/>
      <c r="AX288" s="27"/>
      <c r="AY288" s="25"/>
      <c r="AZ288" s="26"/>
      <c r="BA288" s="27"/>
      <c r="BB288" s="25"/>
      <c r="BC288" s="26"/>
      <c r="BD288" s="27"/>
    </row>
    <row r="289" spans="1:56">
      <c r="A289" s="28"/>
      <c r="B289" s="19" t="s">
        <v>558</v>
      </c>
      <c r="C289" s="20">
        <f>IFERROR(GETPIVOTDATA("[Measures].[mOldUGIS]",'Pivot Table Cats'!$A$3,"[Range 1].[State]","[Range 1].[State].&amp;[WV]","[Range 1].[Type]","[Range 1].[Type].&amp;[14]")," ")</f>
        <v>6058</v>
      </c>
      <c r="D289" s="20">
        <f>IFERROR(GETPIVOTDATA("[Measures].[mNewUGIS]",'Pivot Table Cats'!$A$3,"[Range 1].[State]","[Range 1].[State].&amp;[WV]","[Range 1].[Type]","[Range 1].[Type].&amp;[14]")," ")</f>
        <v>6435</v>
      </c>
      <c r="E289" s="21">
        <f t="shared" si="64"/>
        <v>6.2231759656652361</v>
      </c>
      <c r="F289" s="20">
        <f>IFERROR(GETPIVOTDATA("[Measures].[mOldUGOS]",'Pivot Table Cats'!$A$3,"[Range 1].[State]","[Range 1].[State].&amp;[WV]","[Range 1].[Type]","[Range 1].[Type].&amp;[14]")," ")</f>
        <v>0</v>
      </c>
      <c r="G289" s="20">
        <f>IFERROR(GETPIVOTDATA("[Measures].[mNewUGOS]",'Pivot Table Cats'!$A$3,"[Range 1].[State]","[Range 1].[State].&amp;[WV]","[Range 1].[Type]","[Range 1].[Type].&amp;[14]")," ")</f>
        <v>0</v>
      </c>
      <c r="H289" s="21">
        <f t="shared" si="65"/>
        <v>0</v>
      </c>
      <c r="I289" s="20">
        <f>IFERROR(GETPIVOTDATA("[Measures].[mOldGIS]",'Pivot Table Cats'!$A$3,"[Range 1].[State]","[Range 1].[State].&amp;[WV]","[Range 1].[Type]","[Range 1].[Type].&amp;[14]")," ")</f>
        <v>0</v>
      </c>
      <c r="J289" s="20">
        <f>IFERROR(GETPIVOTDATA("[Measures].[mNewGIS]",'Pivot Table Cats'!$A$3,"[Range 1].[State]","[Range 1].[State].&amp;[WV]","[Range 1].[Type]","[Range 1].[Type].&amp;[14]")," ")</f>
        <v>0</v>
      </c>
      <c r="K289" s="21">
        <f t="shared" si="66"/>
        <v>0</v>
      </c>
      <c r="L289" s="20">
        <f>IFERROR(GETPIVOTDATA("[Measures].[mOldGOS]",'Pivot Table Cats'!$A$3,"[Range 1].[State]","[Range 1].[State].&amp;[WV]","[Range 1].[Type]","[Range 1].[Type].&amp;[14]")," ")</f>
        <v>0</v>
      </c>
      <c r="M289" s="20">
        <f>IFERROR(GETPIVOTDATA("[Measures].[mNewGOS]",'Pivot Table Cats'!$A$3,"[Range 1].[State]","[Range 1].[State].&amp;[WV]","[Range 1].[Type]","[Range 1].[Type].&amp;[14]")," ")</f>
        <v>0</v>
      </c>
      <c r="N289" s="21">
        <f t="shared" si="67"/>
        <v>0</v>
      </c>
      <c r="O289" s="25"/>
      <c r="P289" s="26"/>
      <c r="Q289" s="27"/>
      <c r="R289" s="25"/>
      <c r="S289" s="26"/>
      <c r="T289" s="27"/>
      <c r="U289" s="25"/>
      <c r="V289" s="26"/>
      <c r="W289" s="27"/>
      <c r="X289" s="25"/>
      <c r="Y289" s="26"/>
      <c r="Z289" s="27"/>
      <c r="AA289" s="25"/>
      <c r="AB289" s="26"/>
      <c r="AC289" s="27"/>
      <c r="AD289" s="25"/>
      <c r="AE289" s="26"/>
      <c r="AF289" s="27"/>
      <c r="AG289" s="25"/>
      <c r="AH289" s="26"/>
      <c r="AI289" s="27"/>
      <c r="AJ289" s="25"/>
      <c r="AK289" s="26"/>
      <c r="AL289" s="27"/>
      <c r="AM289" s="25"/>
      <c r="AN289" s="26"/>
      <c r="AO289" s="27"/>
      <c r="AP289" s="25"/>
      <c r="AQ289" s="26"/>
      <c r="AR289" s="27"/>
      <c r="AS289" s="25"/>
      <c r="AT289" s="26"/>
      <c r="AU289" s="27"/>
      <c r="AV289" s="25"/>
      <c r="AW289" s="26"/>
      <c r="AX289" s="27"/>
      <c r="AY289" s="25"/>
      <c r="AZ289" s="26"/>
      <c r="BA289" s="27"/>
      <c r="BB289" s="25"/>
      <c r="BC289" s="26"/>
      <c r="BD289" s="27"/>
    </row>
    <row r="290" spans="1:56" s="49" customFormat="1" ht="21.75" customHeight="1">
      <c r="A290" s="48"/>
      <c r="B290" s="50" t="s">
        <v>559</v>
      </c>
      <c r="C290" s="31">
        <f>IFERROR(GETPIVOTDATA("[Measures].[mOldUGIS]",'Pivot Table Totals'!$A$59,"[Range 1].[State]","[Range 1].[State].&amp;[WV]"), " ")</f>
        <v>6058</v>
      </c>
      <c r="D290" s="31">
        <f>IFERROR(GETPIVOTDATA("[Measures].[mNewUGIS]",'Pivot Table Totals'!$A$59,"[Range 1].[State]","[Range 1].[State].&amp;[WV]"), " ")</f>
        <v>6435</v>
      </c>
      <c r="E290" s="32">
        <f t="shared" si="64"/>
        <v>6.2231759656652361</v>
      </c>
      <c r="F290" s="31">
        <f>IFERROR(GETPIVOTDATA("[Measures].[mOldUGOS]",'Pivot Table Totals'!$A$59,"[Range 1].[State]","[Range 1].[State].&amp;[WV]"), " " )</f>
        <v>0</v>
      </c>
      <c r="G290" s="31">
        <f>IFERROR(GETPIVOTDATA("[Measures].[mNewUGOS]",'Pivot Table Totals'!$A$59,"[Range 1].[State]","[Range 1].[State].&amp;[WV]"), " ")</f>
        <v>0</v>
      </c>
      <c r="H290" s="21">
        <f t="shared" si="65"/>
        <v>0</v>
      </c>
      <c r="I290" s="31">
        <f>IFERROR(GETPIVOTDATA("[Measures].[mOldGIS]",'Pivot Table Totals'!$A$59,"[Range 1].[State]","[Range 1].[State].&amp;[WV]"), " ")</f>
        <v>0</v>
      </c>
      <c r="J290" s="31">
        <f>IFERROR(GETPIVOTDATA("[Measures].[mNewGIS]",'Pivot Table Totals'!$A$59,"[Range 1].[State]","[Range 1].[State].&amp;[WV]"), " ")</f>
        <v>0</v>
      </c>
      <c r="K290" s="21">
        <f t="shared" si="66"/>
        <v>0</v>
      </c>
      <c r="L290" s="31">
        <f>IFERROR(GETPIVOTDATA("[Measures].[mOldGOS]",'Pivot Table Totals'!$A$59,"[Range 1].[State]","[Range 1].[State].&amp;[WV]"), " ")</f>
        <v>0</v>
      </c>
      <c r="M290" s="31">
        <f>IFERROR(GETPIVOTDATA("[Measures].[mNewGOS]",'Pivot Table Totals'!$A$59,"[Range 1].[State]","[Range 1].[State].&amp;[WV]"), " ")</f>
        <v>0</v>
      </c>
      <c r="N290" s="21">
        <f t="shared" si="67"/>
        <v>0</v>
      </c>
      <c r="O290" s="36"/>
      <c r="P290" s="37"/>
      <c r="Q290" s="38"/>
      <c r="R290" s="36"/>
      <c r="S290" s="37"/>
      <c r="T290" s="38"/>
      <c r="U290" s="36"/>
      <c r="V290" s="37"/>
      <c r="W290" s="38"/>
      <c r="X290" s="36"/>
      <c r="Y290" s="37"/>
      <c r="Z290" s="38"/>
      <c r="AA290" s="36"/>
      <c r="AB290" s="37"/>
      <c r="AC290" s="38"/>
      <c r="AD290" s="36"/>
      <c r="AE290" s="37"/>
      <c r="AF290" s="38"/>
      <c r="AG290" s="36"/>
      <c r="AH290" s="37"/>
      <c r="AI290" s="38"/>
      <c r="AJ290" s="36"/>
      <c r="AK290" s="37"/>
      <c r="AL290" s="38"/>
      <c r="AM290" s="36"/>
      <c r="AN290" s="37"/>
      <c r="AO290" s="38"/>
      <c r="AP290" s="36"/>
      <c r="AQ290" s="37"/>
      <c r="AR290" s="38"/>
      <c r="AS290" s="36"/>
      <c r="AT290" s="37"/>
      <c r="AU290" s="38"/>
      <c r="AV290" s="36"/>
      <c r="AW290" s="37"/>
      <c r="AX290" s="38"/>
      <c r="AY290" s="36"/>
      <c r="AZ290" s="37"/>
      <c r="BA290" s="38"/>
      <c r="BB290" s="36"/>
      <c r="BC290" s="37"/>
      <c r="BD290" s="38"/>
    </row>
    <row r="291" spans="1:56">
      <c r="A291" s="40"/>
      <c r="B291" s="41" t="s">
        <v>560</v>
      </c>
      <c r="C291" s="42"/>
      <c r="D291" s="42"/>
      <c r="E291" s="335"/>
      <c r="F291" s="42"/>
      <c r="G291" s="42"/>
      <c r="H291" s="44"/>
      <c r="I291" s="45"/>
      <c r="J291" s="42"/>
      <c r="K291" s="44"/>
      <c r="L291" s="45"/>
      <c r="M291" s="42"/>
      <c r="N291" s="44"/>
      <c r="O291" s="336">
        <f>IFERROR(GETPIVOTDATA("[Measures].[mOldLawIS]",'Pivot Table Totals'!$A$79,"[Range 1].[State]","[Range 1].[State].&amp;[WV]"), " ")</f>
        <v>24228</v>
      </c>
      <c r="P291" s="42">
        <f>IFERROR(GETPIVOTDATA("[Measures].[mNewLawIS]",'Pivot Table Totals'!$A$79,"[Range 1].[State]","[Range 1].[State].&amp;[WV]"), " ")</f>
        <v>24714</v>
      </c>
      <c r="Q291" s="46">
        <f>IFERROR(IF(O291&gt;0,(((P291-O291)/O291)*100),0), " ")</f>
        <v>2.0059435364041605</v>
      </c>
      <c r="R291" s="336">
        <f>IFERROR(GETPIVOTDATA("[Measures].[mOldLawOS]",'Pivot Table Totals'!$A$79,"[Range 1].[State]","[Range 1].[State].&amp;[WV]"), " ")</f>
        <v>40248</v>
      </c>
      <c r="S291" s="336">
        <f>IFERROR(GETPIVOTDATA("[Measures].[mNewLawOS]",'Pivot Table Totals'!$A$79,"[Range 1].[State]","[Range 1].[State].&amp;[WV]"), " ")</f>
        <v>41058</v>
      </c>
      <c r="T291" s="46">
        <f>IFERROR(IF(R291&gt;0,(((S291-R291)/R291)*100),0), " ")</f>
        <v>2.0125223613595709</v>
      </c>
      <c r="U291" s="336">
        <f>IFERROR(GETPIVOTDATA("[Measures].[mOldMedIS]",'Pivot Table Totals'!$A$79,"[Range 1].[State]","[Range 1].[State].&amp;[WV]"), " ")</f>
        <v>27860</v>
      </c>
      <c r="V291" s="336">
        <f>IFERROR(GETPIVOTDATA("[Measures].[mNewMedIS]",'Pivot Table Totals'!$A$79,"[Range 1].[State]","[Range 1].[State].&amp;[WV]"), " ")</f>
        <v>28119</v>
      </c>
      <c r="W291" s="46">
        <f>IFERROR(IF(U291&gt;0,(((V291-U291)/U291)*100),0), " ")</f>
        <v>0.92964824120603007</v>
      </c>
      <c r="X291" s="336">
        <f>IFERROR(GETPIVOTDATA("[Measures].[mOldMedOS]",'Pivot Table Totals'!$A$79,"[Range 1].[State]","[Range 1].[State].&amp;[WV]"), " ")</f>
        <v>59525</v>
      </c>
      <c r="Y291" s="336">
        <f>IFERROR(GETPIVOTDATA("[Measures].[mNewMedOS]",'Pivot Table Totals'!$A$79,"[Range 1].[State]","[Range 1].[State].&amp;[WV]"), " ")</f>
        <v>60233</v>
      </c>
      <c r="Z291" s="46">
        <f>IFERROR(IF(X291&gt;0,(((Y291-X291)/X291)*100),0), " ")</f>
        <v>1.1894162116757665</v>
      </c>
      <c r="AA291" s="336">
        <f>IFERROR(GETPIVOTDATA("[Measures].[mOldDenIS]",'Pivot Table Totals'!$A$79,"[Range 1].[State]","[Range 1].[State].&amp;[WV]"), " ")</f>
        <v>25506</v>
      </c>
      <c r="AB291" s="336">
        <f>IFERROR(GETPIVOTDATA("[Measures].[mNewDEnIS]",'Pivot Table Totals'!$A$79,"[Range 1].[State]","[Range 1].[State].&amp;[WV]"), " ")</f>
        <v>26010</v>
      </c>
      <c r="AC291" s="46">
        <f>IFERROR(IF(AA291&gt;0,(((AB291-AA291)/AA291)*100),0), " ")</f>
        <v>1.9760056457304165</v>
      </c>
      <c r="AD291" s="336">
        <f>IFERROR(GETPIVOTDATA("[Measures].[mOldDenOS]",'Pivot Table Totals'!$A$79,"[Range 1].[State]","[Range 1].[State].&amp;[WV]"), " ")</f>
        <v>56574</v>
      </c>
      <c r="AE291" s="336">
        <f>IFERROR(GETPIVOTDATA("[Measures].[mNewDEnOS]",'Pivot Table Totals'!$A$79,"[Range 1].[State]","[Range 1].[State].&amp;[WV]"), " ")</f>
        <v>57708</v>
      </c>
      <c r="AF291" s="46">
        <f>IFERROR(IF(AD291&gt;0,(((AE291-AD291)/AD291)*100),0), " ")</f>
        <v>2.0044543429844097</v>
      </c>
      <c r="AG291" s="336">
        <f>IFERROR(GETPIVOTDATA("[Measures].[mOldPhrIS]",'Pivot Table Totals'!$A$79,"[Range 1].[State]","[Range 1].[State].&amp;[WV]"), " ")</f>
        <v>22105</v>
      </c>
      <c r="AH291" s="336">
        <f>IFERROR(GETPIVOTDATA("[Measures].[mNewPhIS]",'Pivot Table Totals'!$A$79,"[Range 1].[State]","[Range 1].[State].&amp;[WV]"), " ")</f>
        <v>22748</v>
      </c>
      <c r="AI291" s="46">
        <f>IFERROR(IF(AG291&gt;0,(((AH291-AG291)/AG291)*100),0), " ")</f>
        <v>2.9088441529065823</v>
      </c>
      <c r="AJ291" s="336">
        <f>IFERROR(GETPIVOTDATA("[Measures].[mOldPhrOS]",'Pivot Table Totals'!$A$79,"[Range 1].[State]","[Range 1].[State].&amp;[WV]"), " ")</f>
        <v>40107</v>
      </c>
      <c r="AK291" s="336">
        <f>IFERROR(GETPIVOTDATA("[Measures].[mNewPhrOS]",'Pivot Table Totals'!$A$79,"[Range 1].[State]","[Range 1].[State].&amp;[WV]"), " ")</f>
        <v>41241</v>
      </c>
      <c r="AL291" s="46">
        <f>IFERROR(IF(AJ291&gt;0,(((AQ291-AJ291)/AJ291)*100),0), " ")</f>
        <v>-100</v>
      </c>
      <c r="AM291" s="336">
        <f>IFERROR(GETPIVOTDATA("[Measures].[mOldOptIS]",'Pivot Table Totals'!$A$79,"[Range 1].[State]","[Range 1].[State].&amp;[WV]"), " ")</f>
        <v>0</v>
      </c>
      <c r="AN291" s="336">
        <f>IFERROR(GETPIVOTDATA("[Measures].[mNewOptIS]",'Pivot Table Totals'!$A$79,"[Range 1].[State]","[Range 1].[State].&amp;[WV]"), " ")</f>
        <v>0</v>
      </c>
      <c r="AO291" s="46">
        <f>IFERROR(IF(AM291&gt;0,(((AN291-AM291)/AM291)*100),0), " ")</f>
        <v>0</v>
      </c>
      <c r="AP291" s="336">
        <f>IFERROR(GETPIVOTDATA("[Measures].[mOldOptoS]",'Pivot Table Totals'!$A$79,"[Range 1].[State]","[Range 1].[State].&amp;[WV]"), " ")</f>
        <v>0</v>
      </c>
      <c r="AQ291" s="336">
        <f>IFERROR(GETPIVOTDATA("[Measures].[mNewOptoS]",'Pivot Table Totals'!$A$79,"[Range 1].[State]","[Range 1].[State].&amp;[WV]"), " ")</f>
        <v>0</v>
      </c>
      <c r="AR291" s="46">
        <f>IFERROR(IF(AP291&gt;0,(((AQ291-AP291)/AP291)*100),0), " ")</f>
        <v>0</v>
      </c>
      <c r="AS291" s="336">
        <f>IFERROR(GETPIVOTDATA("[Measures].[mOldOstIS]",'Pivot Table Totals'!$A$79,"[Range 1].[State]","[Range 1].[State].&amp;[WV]"), " ")</f>
        <v>22472</v>
      </c>
      <c r="AT291" s="336">
        <f>IFERROR(GETPIVOTDATA("[Measures].[mNewOstIS]",'Pivot Table Totals'!$A$79,"[Range 1].[State]","[Range 1].[State].&amp;[WV]"), " ")</f>
        <v>23472</v>
      </c>
      <c r="AU291" s="46">
        <f>IFERROR(IF(AS291&gt;0,(((AT291-AS291)/AS291)*100),0), " ")</f>
        <v>4.449982200071199</v>
      </c>
      <c r="AV291" s="336">
        <f>IFERROR(GETPIVOTDATA("[Measures].[mOldOstOS]",'Pivot Table Totals'!$A$79,"[Range 1].[State]","[Range 1].[State].&amp;[WV]"), " ")</f>
        <v>53710</v>
      </c>
      <c r="AW291" s="336">
        <f>IFERROR(GETPIVOTDATA("[Measures].[mNewOstOS]",'Pivot Table Totals'!$A$79,"[Range 1].[State]","[Range 1].[State].&amp;[WV]"), " ")</f>
        <v>54710</v>
      </c>
      <c r="AX291" s="46">
        <f>IFERROR(IF(AV291&gt;0,(((AW291-AV291)/AV291)*100),0), " ")</f>
        <v>1.8618506795754979</v>
      </c>
      <c r="AY291" s="336">
        <f>IFERROR(GETPIVOTDATA("[Measures].[m[OldVetIS]",'Pivot Table Totals'!$A$79,"[Range 1].[State]","[Range 1].[State].&amp;[WV]"), " ")</f>
        <v>0</v>
      </c>
      <c r="AZ291" s="336">
        <f>IFERROR(GETPIVOTDATA("[Measures].[mNewVetIS]",'Pivot Table Totals'!$A$79,"[Range 1].[State]","[Range 1].[State].&amp;[WV]"), " ")</f>
        <v>0</v>
      </c>
      <c r="BA291" s="46">
        <f>IFERROR(IF(AY291&gt;0,(((AZ291-AY291)/AY291)*100),0), " ")</f>
        <v>0</v>
      </c>
      <c r="BB291" s="336">
        <f>IFERROR(GETPIVOTDATA("[Measures].[mOldVetOS]",'Pivot Table Totals'!$A$79,"[Range 1].[State]","[Range 1].[State].&amp;[WV]"), " ")</f>
        <v>0</v>
      </c>
      <c r="BC291" s="336">
        <f>IFERROR(GETPIVOTDATA("[Measures].[mNewVetOS]",'Pivot Table Totals'!$A$79,"[Range 1].[State]","[Range 1].[State].&amp;[WV]"), " ")</f>
        <v>0</v>
      </c>
      <c r="BD291" s="46">
        <f>IFERROR(IF(BB291&gt;0,(((BC291-BB291)/BB291)*100),0), " ")</f>
        <v>0</v>
      </c>
    </row>
    <row r="292" spans="1:56">
      <c r="E292" s="57"/>
      <c r="H292" s="57"/>
      <c r="K292" s="57"/>
      <c r="N292" s="57"/>
      <c r="Q292" s="57"/>
      <c r="T292" s="57"/>
      <c r="W292" s="57"/>
      <c r="Z292" s="57"/>
      <c r="AC292" s="57"/>
      <c r="AF292" s="57"/>
      <c r="AI292" s="57"/>
      <c r="AL292" s="57"/>
      <c r="AO292" s="57"/>
      <c r="AR292" s="57"/>
      <c r="AU292" s="57"/>
      <c r="AX292" s="57"/>
      <c r="BA292" s="57"/>
      <c r="BD292" s="57"/>
    </row>
  </sheetData>
  <pageMargins left="0.5" right="0.5" top="1" bottom="1" header="0.5" footer="0.75"/>
  <pageSetup scale="75" pageOrder="overThenDown" orientation="landscape" r:id="rId1"/>
  <headerFooter alignWithMargins="0">
    <oddHeader>&amp;L&amp;"Arial,Bold"&amp;10SREB-State Data Exchange&amp;C&amp;"Arial,Bold"&amp;10Preliminary Tables&amp;R&amp;"Arial,Bold"&amp;10Part 7: Median Annual Tuition and Fees</oddHeader>
    <oddFooter>&amp;L&amp;"Arial,Bold"&amp;10For Agency Review Only&amp;R&amp;"Arial,Bold"&amp;10October 2009</oddFooter>
  </headerFooter>
  <rowBreaks count="15" manualBreakCount="15">
    <brk id="36" max="16383" man="1"/>
    <brk id="53" max="16383" man="1"/>
    <brk id="70" max="16383" man="1"/>
    <brk id="87" max="16383" man="1"/>
    <brk id="104" max="16383" man="1"/>
    <brk id="121" max="16383" man="1"/>
    <brk id="138" max="16383" man="1"/>
    <brk id="155" max="16383" man="1"/>
    <brk id="172" max="16383" man="1"/>
    <brk id="189" max="16383" man="1"/>
    <brk id="206" max="16383" man="1"/>
    <brk id="223" max="16383" man="1"/>
    <brk id="240" max="16383" man="1"/>
    <brk id="257" max="16383" man="1"/>
    <brk id="274" max="16383" man="1"/>
  </rowBreaks>
  <colBreaks count="2" manualBreakCount="2">
    <brk id="20" min="19" max="290" man="1"/>
    <brk id="38" min="19" max="29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B1975-EC14-4C54-8241-1F30CF97B44B}">
  <sheetPr codeName="Sheet4">
    <tabColor rgb="FF00B050"/>
  </sheetPr>
  <dimension ref="A1:AK111"/>
  <sheetViews>
    <sheetView tabSelected="1" topLeftCell="A21" workbookViewId="0">
      <selection activeCell="J32" sqref="J32"/>
    </sheetView>
  </sheetViews>
  <sheetFormatPr defaultRowHeight="15"/>
  <cols>
    <col min="1" max="1" width="9.77734375" bestFit="1" customWidth="1"/>
    <col min="2" max="3" width="10.6640625" bestFit="1" customWidth="1"/>
    <col min="4" max="4" width="11.5546875" bestFit="1" customWidth="1"/>
    <col min="5" max="7" width="9.33203125" bestFit="1" customWidth="1"/>
    <col min="8" max="8" width="10.21875" bestFit="1" customWidth="1"/>
    <col min="9" max="9" width="10.6640625" bestFit="1" customWidth="1"/>
    <col min="10" max="11" width="11.5546875" bestFit="1" customWidth="1"/>
    <col min="12" max="12" width="12.44140625" bestFit="1" customWidth="1"/>
    <col min="13" max="13" width="10.6640625" bestFit="1" customWidth="1"/>
    <col min="14" max="15" width="11.5546875" bestFit="1" customWidth="1"/>
    <col min="16" max="16" width="12.44140625" bestFit="1" customWidth="1"/>
    <col min="17" max="17" width="10.5546875" bestFit="1" customWidth="1"/>
    <col min="18" max="19" width="11.44140625" bestFit="1" customWidth="1"/>
    <col min="20" max="20" width="12.33203125" bestFit="1" customWidth="1"/>
    <col min="21" max="21" width="10.109375" bestFit="1" customWidth="1"/>
    <col min="22" max="22" width="12" bestFit="1" customWidth="1"/>
    <col min="23" max="23" width="11" bestFit="1" customWidth="1"/>
    <col min="24" max="24" width="11.88671875" bestFit="1" customWidth="1"/>
    <col min="25" max="25" width="10.109375" bestFit="1" customWidth="1"/>
    <col min="26" max="27" width="11" bestFit="1" customWidth="1"/>
    <col min="28" max="28" width="11.88671875" bestFit="1" customWidth="1"/>
    <col min="29" max="29" width="10" bestFit="1" customWidth="1"/>
    <col min="30" max="31" width="12" bestFit="1" customWidth="1"/>
    <col min="32" max="32" width="11.77734375" bestFit="1" customWidth="1"/>
    <col min="33" max="33" width="10.44140625" bestFit="1" customWidth="1"/>
    <col min="34" max="35" width="10.77734375" bestFit="1" customWidth="1"/>
    <col min="36" max="37" width="11.6640625" bestFit="1" customWidth="1"/>
  </cols>
  <sheetData>
    <row r="1" spans="1:36" ht="15.75">
      <c r="A1" s="300" t="s">
        <v>885</v>
      </c>
    </row>
    <row r="2" spans="1:36">
      <c r="A2" s="297" t="s">
        <v>19</v>
      </c>
      <c r="B2" t="s" vm="1">
        <v>887</v>
      </c>
    </row>
    <row r="3" spans="1:36" ht="15.75" thickBot="1"/>
    <row r="4" spans="1:36" ht="15.75" thickBot="1">
      <c r="A4" s="307" t="s">
        <v>844</v>
      </c>
      <c r="B4" s="308" t="s">
        <v>845</v>
      </c>
      <c r="C4" s="309" t="s">
        <v>847</v>
      </c>
      <c r="D4" s="308" t="s">
        <v>849</v>
      </c>
      <c r="E4" s="309" t="s">
        <v>843</v>
      </c>
      <c r="F4" s="308" t="s">
        <v>846</v>
      </c>
      <c r="G4" s="309" t="s">
        <v>850</v>
      </c>
      <c r="H4" s="308" t="s">
        <v>848</v>
      </c>
      <c r="I4" s="309" t="s">
        <v>841</v>
      </c>
      <c r="J4" s="308" t="s">
        <v>842</v>
      </c>
      <c r="K4" s="309" t="s">
        <v>840</v>
      </c>
      <c r="L4" s="308" t="s">
        <v>839</v>
      </c>
      <c r="M4" s="309" t="s">
        <v>851</v>
      </c>
      <c r="N4" s="308" t="s">
        <v>852</v>
      </c>
      <c r="O4" s="301" t="s">
        <v>877</v>
      </c>
      <c r="P4" t="s">
        <v>878</v>
      </c>
      <c r="Q4" s="307" t="s">
        <v>854</v>
      </c>
      <c r="R4" s="308" t="s">
        <v>855</v>
      </c>
      <c r="S4" s="309" t="s">
        <v>856</v>
      </c>
      <c r="T4" s="308" t="s">
        <v>857</v>
      </c>
      <c r="U4" s="309" t="s">
        <v>858</v>
      </c>
      <c r="V4" s="308" t="s">
        <v>859</v>
      </c>
      <c r="W4" s="309" t="s">
        <v>860</v>
      </c>
      <c r="X4" s="308" t="s">
        <v>861</v>
      </c>
      <c r="Y4" s="320" t="s">
        <v>862</v>
      </c>
      <c r="Z4" t="s">
        <v>872</v>
      </c>
      <c r="AA4" s="307" t="s">
        <v>867</v>
      </c>
      <c r="AB4" s="308" t="s">
        <v>868</v>
      </c>
      <c r="AC4" s="309" t="s">
        <v>873</v>
      </c>
      <c r="AD4" s="308" t="s">
        <v>874</v>
      </c>
      <c r="AE4" s="309" t="s">
        <v>875</v>
      </c>
      <c r="AF4" s="308" t="s">
        <v>876</v>
      </c>
      <c r="AG4" s="328" t="s">
        <v>880</v>
      </c>
      <c r="AH4" s="316" t="s">
        <v>881</v>
      </c>
      <c r="AI4" s="329" t="s">
        <v>883</v>
      </c>
      <c r="AJ4" s="308" t="s">
        <v>884</v>
      </c>
    </row>
    <row r="5" spans="1:36" ht="15.75" thickBot="1">
      <c r="A5" s="303">
        <v>9254.5</v>
      </c>
      <c r="B5" s="304">
        <v>9456</v>
      </c>
      <c r="C5" s="303">
        <v>21444</v>
      </c>
      <c r="D5" s="304">
        <v>21525</v>
      </c>
      <c r="E5" s="303">
        <v>10278</v>
      </c>
      <c r="F5" s="304">
        <v>10474</v>
      </c>
      <c r="G5" s="303">
        <v>20902</v>
      </c>
      <c r="H5" s="304">
        <v>20902.666666666701</v>
      </c>
      <c r="I5" s="303">
        <v>22751</v>
      </c>
      <c r="J5" s="304">
        <v>22934.45</v>
      </c>
      <c r="K5" s="303">
        <v>38929.5</v>
      </c>
      <c r="L5" s="304">
        <v>39350.449999999997</v>
      </c>
      <c r="M5" s="303">
        <v>33205.5</v>
      </c>
      <c r="N5" s="304">
        <v>33965.5</v>
      </c>
      <c r="O5" s="303">
        <v>62175.5</v>
      </c>
      <c r="P5" s="304">
        <v>62709.5</v>
      </c>
      <c r="Q5" s="331">
        <v>33046</v>
      </c>
      <c r="R5" s="332">
        <v>32102</v>
      </c>
      <c r="S5" s="333">
        <v>68726</v>
      </c>
      <c r="T5" s="332">
        <v>69420</v>
      </c>
      <c r="U5" s="333">
        <v>24130</v>
      </c>
      <c r="V5" s="332">
        <v>24385</v>
      </c>
      <c r="W5" s="333">
        <v>43164</v>
      </c>
      <c r="X5" s="332">
        <v>44737</v>
      </c>
      <c r="Y5" s="334">
        <v>17149.5</v>
      </c>
      <c r="Z5" s="304">
        <v>22019.7</v>
      </c>
      <c r="AA5" s="331">
        <v>36517.5</v>
      </c>
      <c r="AB5" s="332">
        <v>41192.699999999997</v>
      </c>
      <c r="AC5" s="333"/>
      <c r="AD5" s="332"/>
      <c r="AE5" s="333"/>
      <c r="AF5" s="332"/>
      <c r="AG5" s="312">
        <v>25435</v>
      </c>
      <c r="AH5" s="327">
        <v>26086</v>
      </c>
      <c r="AI5" s="331">
        <v>50456</v>
      </c>
      <c r="AJ5" s="332">
        <v>55687</v>
      </c>
    </row>
    <row r="6" spans="1:36" hidden="1"/>
    <row r="7" spans="1:36" hidden="1"/>
    <row r="8" spans="1:36" hidden="1"/>
    <row r="9" spans="1:36" hidden="1"/>
    <row r="10" spans="1:36" hidden="1"/>
    <row r="11" spans="1:36" hidden="1"/>
    <row r="12" spans="1:36" hidden="1"/>
    <row r="13" spans="1:36" hidden="1"/>
    <row r="14" spans="1:36" hidden="1"/>
    <row r="15" spans="1:36" hidden="1"/>
    <row r="16" spans="1:36" hidden="1"/>
    <row r="17" spans="1:36" hidden="1"/>
    <row r="18" spans="1:36" hidden="1"/>
    <row r="19" spans="1:36" ht="15.75" hidden="1" thickBot="1"/>
    <row r="20" spans="1:36" hidden="1"/>
    <row r="28" spans="1:36" ht="15.75">
      <c r="A28" s="330" t="s">
        <v>888</v>
      </c>
    </row>
    <row r="29" spans="1:36">
      <c r="A29" s="297" t="s">
        <v>19</v>
      </c>
      <c r="B29" t="s" vm="2">
        <v>887</v>
      </c>
    </row>
    <row r="30" spans="1:36" ht="15.75" thickBot="1"/>
    <row r="31" spans="1:36" ht="15.75" thickBot="1">
      <c r="A31" s="307" t="s">
        <v>844</v>
      </c>
      <c r="B31" s="308" t="s">
        <v>845</v>
      </c>
      <c r="C31" s="309" t="s">
        <v>847</v>
      </c>
      <c r="D31" s="308" t="s">
        <v>849</v>
      </c>
      <c r="E31" s="309" t="s">
        <v>843</v>
      </c>
      <c r="F31" s="308" t="s">
        <v>846</v>
      </c>
      <c r="G31" s="309" t="s">
        <v>850</v>
      </c>
      <c r="H31" s="308" t="s">
        <v>848</v>
      </c>
      <c r="I31" s="309" t="s">
        <v>841</v>
      </c>
      <c r="J31" s="308" t="s">
        <v>842</v>
      </c>
      <c r="K31" s="309" t="s">
        <v>840</v>
      </c>
      <c r="L31" s="308" t="s">
        <v>839</v>
      </c>
      <c r="M31" s="309" t="s">
        <v>851</v>
      </c>
      <c r="N31" s="308" t="s">
        <v>852</v>
      </c>
      <c r="O31" s="301" t="s">
        <v>877</v>
      </c>
      <c r="P31" t="s">
        <v>878</v>
      </c>
      <c r="Q31" s="307" t="s">
        <v>854</v>
      </c>
      <c r="R31" s="308" t="s">
        <v>855</v>
      </c>
      <c r="S31" s="309" t="s">
        <v>856</v>
      </c>
      <c r="T31" s="308" t="s">
        <v>857</v>
      </c>
      <c r="U31" s="309" t="s">
        <v>858</v>
      </c>
      <c r="V31" s="308" t="s">
        <v>859</v>
      </c>
      <c r="W31" s="309" t="s">
        <v>860</v>
      </c>
      <c r="X31" s="308" t="s">
        <v>861</v>
      </c>
      <c r="Y31" s="320" t="s">
        <v>862</v>
      </c>
      <c r="Z31" t="s">
        <v>872</v>
      </c>
      <c r="AA31" s="307" t="s">
        <v>867</v>
      </c>
      <c r="AB31" s="308" t="s">
        <v>868</v>
      </c>
      <c r="AC31" s="309" t="s">
        <v>873</v>
      </c>
      <c r="AD31" s="308" t="s">
        <v>874</v>
      </c>
      <c r="AE31" s="309" t="s">
        <v>875</v>
      </c>
      <c r="AF31" s="308" t="s">
        <v>876</v>
      </c>
      <c r="AG31" s="328" t="s">
        <v>880</v>
      </c>
      <c r="AH31" s="316" t="s">
        <v>881</v>
      </c>
      <c r="AI31" s="329" t="s">
        <v>883</v>
      </c>
      <c r="AJ31" s="308" t="s">
        <v>884</v>
      </c>
    </row>
    <row r="32" spans="1:36" ht="15.75" thickBot="1">
      <c r="A32" s="303">
        <v>3790</v>
      </c>
      <c r="B32" s="304">
        <v>3790</v>
      </c>
      <c r="C32" s="303">
        <v>8784</v>
      </c>
      <c r="D32" s="304">
        <v>8701</v>
      </c>
      <c r="E32" s="303">
        <v>0</v>
      </c>
      <c r="F32" s="304">
        <v>0</v>
      </c>
      <c r="G32" s="303">
        <v>0</v>
      </c>
      <c r="H32" s="304">
        <v>0</v>
      </c>
      <c r="I32" s="303"/>
      <c r="J32" s="304"/>
      <c r="K32" s="303"/>
      <c r="L32" s="304"/>
      <c r="M32" s="303"/>
      <c r="N32" s="304"/>
      <c r="O32" s="303"/>
      <c r="P32" s="304"/>
      <c r="Q32" s="331"/>
      <c r="R32" s="332"/>
      <c r="S32" s="333"/>
      <c r="T32" s="332"/>
      <c r="U32" s="333"/>
      <c r="V32" s="332"/>
      <c r="W32" s="333"/>
      <c r="X32" s="332"/>
      <c r="Y32" s="334"/>
      <c r="Z32" s="304"/>
      <c r="AA32" s="331"/>
      <c r="AB32" s="332"/>
      <c r="AC32" s="333"/>
      <c r="AD32" s="332"/>
      <c r="AE32" s="333"/>
      <c r="AF32" s="332"/>
      <c r="AG32" s="312"/>
      <c r="AH32" s="327"/>
      <c r="AI32" s="331"/>
      <c r="AJ32" s="332"/>
    </row>
    <row r="33" hidden="1"/>
    <row r="34" hidden="1"/>
    <row r="35" hidden="1"/>
    <row r="36" hidden="1"/>
    <row r="37" hidden="1"/>
    <row r="38" hidden="1"/>
    <row r="39" hidden="1"/>
    <row r="40" hidden="1"/>
    <row r="41" hidden="1"/>
    <row r="42" hidden="1"/>
    <row r="43" hidden="1"/>
    <row r="44" hidden="1"/>
    <row r="45" hidden="1"/>
    <row r="46" ht="15.75" hidden="1" thickBot="1"/>
    <row r="47" hidden="1"/>
    <row r="56" spans="1:36" ht="15.75">
      <c r="A56" s="300" t="s">
        <v>886</v>
      </c>
    </row>
    <row r="57" spans="1:36">
      <c r="A57" s="297" t="s">
        <v>19</v>
      </c>
      <c r="B57" t="s" vm="3">
        <v>887</v>
      </c>
    </row>
    <row r="58" spans="1:36" ht="15.75" thickBot="1"/>
    <row r="59" spans="1:36" ht="15.75" thickBot="1">
      <c r="A59" s="307" t="s">
        <v>844</v>
      </c>
      <c r="B59" s="308" t="s">
        <v>845</v>
      </c>
      <c r="C59" s="309" t="s">
        <v>847</v>
      </c>
      <c r="D59" s="308" t="s">
        <v>849</v>
      </c>
      <c r="E59" s="309" t="s">
        <v>843</v>
      </c>
      <c r="F59" s="308" t="s">
        <v>846</v>
      </c>
      <c r="G59" s="309" t="s">
        <v>850</v>
      </c>
      <c r="H59" s="308" t="s">
        <v>848</v>
      </c>
      <c r="I59" s="309" t="s">
        <v>841</v>
      </c>
      <c r="J59" s="308" t="s">
        <v>842</v>
      </c>
      <c r="K59" s="309" t="s">
        <v>840</v>
      </c>
      <c r="L59" s="308" t="s">
        <v>839</v>
      </c>
      <c r="M59" s="309" t="s">
        <v>851</v>
      </c>
      <c r="N59" s="308" t="s">
        <v>852</v>
      </c>
      <c r="O59" s="301" t="s">
        <v>877</v>
      </c>
      <c r="P59" t="s">
        <v>878</v>
      </c>
      <c r="Q59" s="307" t="s">
        <v>854</v>
      </c>
      <c r="R59" s="308" t="s">
        <v>855</v>
      </c>
      <c r="S59" s="309" t="s">
        <v>856</v>
      </c>
      <c r="T59" s="308" t="s">
        <v>857</v>
      </c>
      <c r="U59" s="309" t="s">
        <v>858</v>
      </c>
      <c r="V59" s="308" t="s">
        <v>859</v>
      </c>
      <c r="W59" s="309" t="s">
        <v>860</v>
      </c>
      <c r="X59" s="308" t="s">
        <v>861</v>
      </c>
      <c r="Y59" s="320" t="s">
        <v>862</v>
      </c>
      <c r="Z59" t="s">
        <v>872</v>
      </c>
      <c r="AA59" s="307" t="s">
        <v>867</v>
      </c>
      <c r="AB59" s="308" t="s">
        <v>868</v>
      </c>
      <c r="AC59" s="309" t="s">
        <v>873</v>
      </c>
      <c r="AD59" s="308" t="s">
        <v>874</v>
      </c>
      <c r="AE59" s="309" t="s">
        <v>875</v>
      </c>
      <c r="AF59" s="308" t="s">
        <v>876</v>
      </c>
      <c r="AG59" s="328" t="s">
        <v>880</v>
      </c>
      <c r="AH59" s="316" t="s">
        <v>881</v>
      </c>
      <c r="AI59" s="329" t="s">
        <v>883</v>
      </c>
      <c r="AJ59" s="308" t="s">
        <v>884</v>
      </c>
    </row>
    <row r="60" spans="1:36" ht="15.75" thickBot="1">
      <c r="A60" s="303">
        <v>3726</v>
      </c>
      <c r="B60" s="304">
        <v>3727</v>
      </c>
      <c r="C60" s="303">
        <v>4500</v>
      </c>
      <c r="D60" s="304">
        <v>4500</v>
      </c>
      <c r="E60" s="303"/>
      <c r="F60" s="304"/>
      <c r="G60" s="303"/>
      <c r="H60" s="304"/>
      <c r="I60" s="303"/>
      <c r="J60" s="304"/>
      <c r="K60" s="303"/>
      <c r="L60" s="304"/>
      <c r="M60" s="303"/>
      <c r="N60" s="304"/>
      <c r="O60" s="303"/>
      <c r="P60" s="304"/>
      <c r="Q60" s="331"/>
      <c r="R60" s="332"/>
      <c r="S60" s="333"/>
      <c r="T60" s="332"/>
      <c r="U60" s="333"/>
      <c r="V60" s="332"/>
      <c r="W60" s="333"/>
      <c r="X60" s="332"/>
      <c r="Y60" s="334"/>
      <c r="Z60" s="304"/>
      <c r="AA60" s="331"/>
      <c r="AB60" s="332"/>
      <c r="AC60" s="333"/>
      <c r="AD60" s="332"/>
      <c r="AE60" s="333"/>
      <c r="AF60" s="332"/>
      <c r="AG60" s="312"/>
      <c r="AH60" s="327"/>
      <c r="AI60" s="331"/>
      <c r="AJ60" s="332"/>
    </row>
    <row r="74" spans="1:37" ht="15.75" thickBot="1"/>
    <row r="75" spans="1:37">
      <c r="A75" s="313"/>
      <c r="B75" s="313" t="s">
        <v>863</v>
      </c>
      <c r="C75" s="302" t="s">
        <v>864</v>
      </c>
      <c r="D75" s="313" t="s">
        <v>865</v>
      </c>
      <c r="E75" s="302" t="s">
        <v>866</v>
      </c>
      <c r="F75" s="313" t="s">
        <v>1</v>
      </c>
      <c r="G75" s="302" t="s">
        <v>864</v>
      </c>
      <c r="H75" s="317" t="s">
        <v>1</v>
      </c>
      <c r="I75" s="302" t="s">
        <v>866</v>
      </c>
      <c r="J75" s="313" t="s">
        <v>2</v>
      </c>
      <c r="K75" s="302" t="s">
        <v>864</v>
      </c>
      <c r="L75" s="317" t="s">
        <v>2</v>
      </c>
      <c r="M75" s="302" t="s">
        <v>866</v>
      </c>
      <c r="N75" s="313" t="s">
        <v>869</v>
      </c>
      <c r="O75" s="302" t="s">
        <v>864</v>
      </c>
      <c r="P75" s="317" t="s">
        <v>869</v>
      </c>
      <c r="Q75" s="302" t="s">
        <v>866</v>
      </c>
      <c r="R75" s="313" t="s">
        <v>870</v>
      </c>
      <c r="S75" s="302" t="s">
        <v>864</v>
      </c>
      <c r="T75" s="317" t="s">
        <v>870</v>
      </c>
      <c r="U75" s="302" t="s">
        <v>866</v>
      </c>
      <c r="V75" s="317" t="s">
        <v>871</v>
      </c>
      <c r="W75" s="302" t="s">
        <v>864</v>
      </c>
      <c r="X75" s="317" t="s">
        <v>871</v>
      </c>
      <c r="Y75" s="302" t="s">
        <v>866</v>
      </c>
      <c r="Z75" s="317" t="s">
        <v>6</v>
      </c>
      <c r="AA75" s="302" t="s">
        <v>864</v>
      </c>
      <c r="AB75" s="317" t="s">
        <v>6</v>
      </c>
      <c r="AC75" s="302" t="s">
        <v>866</v>
      </c>
      <c r="AD75" s="321" t="s">
        <v>7</v>
      </c>
      <c r="AE75" s="302" t="s">
        <v>864</v>
      </c>
      <c r="AF75" s="321" t="s">
        <v>7</v>
      </c>
      <c r="AG75" s="302" t="s">
        <v>879</v>
      </c>
      <c r="AH75" s="313" t="s">
        <v>882</v>
      </c>
      <c r="AI75" s="302" t="s">
        <v>864</v>
      </c>
      <c r="AJ75" s="313" t="s">
        <v>882</v>
      </c>
      <c r="AK75" s="302" t="s">
        <v>866</v>
      </c>
    </row>
    <row r="76" spans="1:37" ht="15.75" thickBot="1">
      <c r="A76" s="314"/>
      <c r="B76" s="314" t="s">
        <v>540</v>
      </c>
      <c r="C76" s="315" t="s">
        <v>541</v>
      </c>
      <c r="D76" s="314" t="s">
        <v>540</v>
      </c>
      <c r="E76" s="315" t="s">
        <v>541</v>
      </c>
      <c r="F76" s="314" t="s">
        <v>540</v>
      </c>
      <c r="G76" s="315" t="s">
        <v>541</v>
      </c>
      <c r="H76" s="316" t="s">
        <v>540</v>
      </c>
      <c r="I76" s="315" t="s">
        <v>541</v>
      </c>
      <c r="J76" s="314" t="s">
        <v>540</v>
      </c>
      <c r="K76" s="315" t="s">
        <v>541</v>
      </c>
      <c r="L76" s="316" t="s">
        <v>540</v>
      </c>
      <c r="M76" s="315" t="s">
        <v>541</v>
      </c>
      <c r="N76" s="314" t="s">
        <v>540</v>
      </c>
      <c r="O76" s="315" t="s">
        <v>541</v>
      </c>
      <c r="P76" s="316" t="s">
        <v>540</v>
      </c>
      <c r="Q76" s="315" t="s">
        <v>541</v>
      </c>
      <c r="R76" s="314" t="s">
        <v>540</v>
      </c>
      <c r="S76" s="315" t="s">
        <v>541</v>
      </c>
      <c r="T76" s="316" t="s">
        <v>540</v>
      </c>
      <c r="U76" s="315" t="s">
        <v>541</v>
      </c>
      <c r="V76" s="316" t="s">
        <v>540</v>
      </c>
      <c r="W76" s="315" t="s">
        <v>541</v>
      </c>
      <c r="X76" s="316" t="s">
        <v>540</v>
      </c>
      <c r="Y76" s="315" t="s">
        <v>541</v>
      </c>
      <c r="Z76" s="316" t="s">
        <v>540</v>
      </c>
      <c r="AA76" s="315" t="s">
        <v>541</v>
      </c>
      <c r="AB76" s="316" t="s">
        <v>540</v>
      </c>
      <c r="AC76" s="315" t="s">
        <v>541</v>
      </c>
      <c r="AD76" s="322" t="s">
        <v>541</v>
      </c>
      <c r="AE76" s="315" t="s">
        <v>540</v>
      </c>
      <c r="AF76" s="322" t="s">
        <v>541</v>
      </c>
      <c r="AG76" s="315" t="s">
        <v>540</v>
      </c>
      <c r="AH76" s="314" t="s">
        <v>540</v>
      </c>
      <c r="AI76" s="315" t="s">
        <v>541</v>
      </c>
      <c r="AJ76" s="314" t="s">
        <v>540</v>
      </c>
      <c r="AK76" s="315" t="s">
        <v>541</v>
      </c>
    </row>
    <row r="77" spans="1:37" ht="16.5" hidden="1" thickBot="1">
      <c r="A77" s="300" t="s">
        <v>889</v>
      </c>
    </row>
    <row r="78" spans="1:37" ht="15.75" hidden="1" thickBot="1">
      <c r="A78" s="297" t="s">
        <v>853</v>
      </c>
      <c r="B78" s="307" t="s">
        <v>844</v>
      </c>
      <c r="C78" s="308" t="s">
        <v>845</v>
      </c>
      <c r="D78" s="309" t="s">
        <v>847</v>
      </c>
      <c r="E78" s="308" t="s">
        <v>849</v>
      </c>
      <c r="F78" s="309" t="s">
        <v>843</v>
      </c>
      <c r="G78" s="308" t="s">
        <v>846</v>
      </c>
      <c r="H78" s="309" t="s">
        <v>850</v>
      </c>
      <c r="I78" s="308" t="s">
        <v>848</v>
      </c>
      <c r="J78" s="309" t="s">
        <v>841</v>
      </c>
      <c r="K78" s="308" t="s">
        <v>842</v>
      </c>
      <c r="L78" s="309" t="s">
        <v>840</v>
      </c>
      <c r="M78" s="308" t="s">
        <v>839</v>
      </c>
      <c r="N78" s="309" t="s">
        <v>851</v>
      </c>
      <c r="O78" s="308" t="s">
        <v>852</v>
      </c>
      <c r="P78" s="301" t="s">
        <v>877</v>
      </c>
      <c r="Q78" t="s">
        <v>878</v>
      </c>
      <c r="R78" s="307" t="s">
        <v>854</v>
      </c>
      <c r="S78" s="308" t="s">
        <v>855</v>
      </c>
      <c r="T78" s="309" t="s">
        <v>856</v>
      </c>
      <c r="U78" s="308" t="s">
        <v>857</v>
      </c>
      <c r="V78" s="309" t="s">
        <v>858</v>
      </c>
      <c r="W78" s="308" t="s">
        <v>859</v>
      </c>
      <c r="X78" s="309" t="s">
        <v>860</v>
      </c>
      <c r="Y78" s="308" t="s">
        <v>861</v>
      </c>
      <c r="Z78" s="320" t="s">
        <v>862</v>
      </c>
      <c r="AA78" t="s">
        <v>872</v>
      </c>
      <c r="AB78" s="307" t="s">
        <v>867</v>
      </c>
      <c r="AC78" s="308" t="s">
        <v>868</v>
      </c>
      <c r="AD78" s="309" t="s">
        <v>873</v>
      </c>
      <c r="AE78" s="308" t="s">
        <v>874</v>
      </c>
      <c r="AF78" s="309" t="s">
        <v>875</v>
      </c>
      <c r="AG78" s="308" t="s">
        <v>876</v>
      </c>
      <c r="AH78" s="328" t="s">
        <v>880</v>
      </c>
      <c r="AI78" s="316" t="s">
        <v>881</v>
      </c>
      <c r="AJ78" s="329" t="s">
        <v>883</v>
      </c>
      <c r="AK78" s="308" t="s">
        <v>884</v>
      </c>
    </row>
    <row r="79" spans="1:37">
      <c r="A79" s="298">
        <v>1</v>
      </c>
      <c r="B79" s="303">
        <v>11534</v>
      </c>
      <c r="C79" s="304">
        <v>11740</v>
      </c>
      <c r="D79" s="303">
        <v>30602</v>
      </c>
      <c r="E79" s="304">
        <v>30602</v>
      </c>
      <c r="F79" s="303">
        <v>11945</v>
      </c>
      <c r="G79" s="304">
        <v>12164</v>
      </c>
      <c r="H79" s="303">
        <v>29361</v>
      </c>
      <c r="I79" s="304">
        <v>29618</v>
      </c>
      <c r="J79" s="303">
        <v>23487.5</v>
      </c>
      <c r="K79" s="304">
        <v>23733.45</v>
      </c>
      <c r="L79" s="303">
        <v>38977.5</v>
      </c>
      <c r="M79" s="304">
        <v>40267</v>
      </c>
      <c r="N79" s="303">
        <v>37322</v>
      </c>
      <c r="O79" s="304">
        <v>37640</v>
      </c>
      <c r="P79" s="303">
        <v>62714</v>
      </c>
      <c r="Q79" s="304">
        <v>62714</v>
      </c>
      <c r="R79" s="323">
        <v>35582</v>
      </c>
      <c r="S79" s="324">
        <v>32102</v>
      </c>
      <c r="T79" s="325">
        <v>73220</v>
      </c>
      <c r="U79" s="324">
        <v>75417</v>
      </c>
      <c r="V79" s="325">
        <v>23246</v>
      </c>
      <c r="W79" s="324">
        <v>24257.5</v>
      </c>
      <c r="X79" s="325">
        <v>44179</v>
      </c>
      <c r="Y79" s="324">
        <v>46412</v>
      </c>
      <c r="Z79" s="326">
        <v>17149.5</v>
      </c>
      <c r="AA79" s="304">
        <v>22019.7</v>
      </c>
      <c r="AB79" s="323">
        <v>36517.5</v>
      </c>
      <c r="AC79" s="324">
        <v>41192.699999999997</v>
      </c>
      <c r="AD79" s="325"/>
      <c r="AE79" s="324"/>
      <c r="AF79" s="325"/>
      <c r="AG79" s="324"/>
      <c r="AH79" s="303">
        <v>25435</v>
      </c>
      <c r="AI79" s="304">
        <v>26086</v>
      </c>
      <c r="AJ79" s="323">
        <v>50456</v>
      </c>
      <c r="AK79" s="324">
        <v>55687</v>
      </c>
    </row>
    <row r="80" spans="1:37">
      <c r="A80" s="298">
        <v>2</v>
      </c>
      <c r="B80" s="303">
        <v>9538</v>
      </c>
      <c r="C80" s="304">
        <v>10222</v>
      </c>
      <c r="D80" s="303">
        <v>23516</v>
      </c>
      <c r="E80" s="304">
        <v>23574</v>
      </c>
      <c r="F80" s="303">
        <v>10746.666666666701</v>
      </c>
      <c r="G80" s="304">
        <v>11013.333333333299</v>
      </c>
      <c r="H80" s="303">
        <v>21416</v>
      </c>
      <c r="I80" s="304">
        <v>22144</v>
      </c>
      <c r="J80" s="303">
        <v>24346.5</v>
      </c>
      <c r="K80" s="304">
        <v>24946</v>
      </c>
      <c r="L80" s="303">
        <v>35224</v>
      </c>
      <c r="M80" s="304">
        <v>35984</v>
      </c>
      <c r="N80" s="303">
        <v>31378</v>
      </c>
      <c r="O80" s="304">
        <v>32820</v>
      </c>
      <c r="P80" s="303">
        <v>44829</v>
      </c>
      <c r="Q80" s="304">
        <v>44862</v>
      </c>
      <c r="R80" s="305">
        <v>33046</v>
      </c>
      <c r="S80" s="306">
        <v>33046</v>
      </c>
      <c r="T80" s="303">
        <v>33046</v>
      </c>
      <c r="U80" s="306">
        <v>33046</v>
      </c>
      <c r="V80" s="303">
        <v>39586</v>
      </c>
      <c r="W80" s="306">
        <v>39619</v>
      </c>
      <c r="X80" s="303">
        <v>39586</v>
      </c>
      <c r="Y80" s="306">
        <v>39619</v>
      </c>
      <c r="Z80" s="318"/>
      <c r="AA80" s="304"/>
      <c r="AB80" s="305"/>
      <c r="AC80" s="306"/>
      <c r="AD80" s="303"/>
      <c r="AE80" s="306"/>
      <c r="AF80" s="303"/>
      <c r="AG80" s="306"/>
      <c r="AH80" s="303"/>
      <c r="AI80" s="304"/>
      <c r="AJ80" s="305"/>
      <c r="AK80" s="306"/>
    </row>
    <row r="81" spans="1:37">
      <c r="A81" s="298">
        <v>3</v>
      </c>
      <c r="B81" s="303">
        <v>9255</v>
      </c>
      <c r="C81" s="304">
        <v>9500.5</v>
      </c>
      <c r="D81" s="303">
        <v>21396</v>
      </c>
      <c r="E81" s="304">
        <v>21506</v>
      </c>
      <c r="F81" s="303">
        <v>10212</v>
      </c>
      <c r="G81" s="304">
        <v>10233.333333333299</v>
      </c>
      <c r="H81" s="303">
        <v>20468</v>
      </c>
      <c r="I81" s="304">
        <v>20773.333333333299</v>
      </c>
      <c r="J81" s="303">
        <v>21618.855</v>
      </c>
      <c r="K81" s="304">
        <v>21618.855</v>
      </c>
      <c r="L81" s="303">
        <v>37463.5</v>
      </c>
      <c r="M81" s="304">
        <v>37463.5</v>
      </c>
      <c r="N81" s="303">
        <v>24004</v>
      </c>
      <c r="O81" s="304">
        <v>24324</v>
      </c>
      <c r="P81" s="303">
        <v>56788</v>
      </c>
      <c r="Q81" s="304">
        <v>57682</v>
      </c>
      <c r="R81" s="305"/>
      <c r="S81" s="306"/>
      <c r="T81" s="303"/>
      <c r="U81" s="306"/>
      <c r="V81" s="303">
        <v>22430</v>
      </c>
      <c r="W81" s="306">
        <v>23508</v>
      </c>
      <c r="X81" s="303">
        <v>37050</v>
      </c>
      <c r="Y81" s="306">
        <v>38796</v>
      </c>
      <c r="Z81" s="318"/>
      <c r="AA81" s="304"/>
      <c r="AB81" s="305"/>
      <c r="AC81" s="306"/>
      <c r="AD81" s="303"/>
      <c r="AE81" s="306"/>
      <c r="AF81" s="303"/>
      <c r="AG81" s="306"/>
      <c r="AH81" s="303"/>
      <c r="AI81" s="304"/>
      <c r="AJ81" s="305"/>
      <c r="AK81" s="306"/>
    </row>
    <row r="82" spans="1:37">
      <c r="A82" s="298">
        <v>4</v>
      </c>
      <c r="B82" s="303">
        <v>8499.5</v>
      </c>
      <c r="C82" s="304">
        <v>8563</v>
      </c>
      <c r="D82" s="303">
        <v>19443</v>
      </c>
      <c r="E82" s="304">
        <v>19416.5</v>
      </c>
      <c r="F82" s="303">
        <v>8314.5</v>
      </c>
      <c r="G82" s="304">
        <v>8438</v>
      </c>
      <c r="H82" s="303">
        <v>19045</v>
      </c>
      <c r="I82" s="304">
        <v>18599</v>
      </c>
      <c r="J82" s="303"/>
      <c r="K82" s="304"/>
      <c r="L82" s="303"/>
      <c r="M82" s="304"/>
      <c r="N82" s="303">
        <v>31056</v>
      </c>
      <c r="O82" s="304">
        <v>33186</v>
      </c>
      <c r="P82" s="303">
        <v>59980</v>
      </c>
      <c r="Q82" s="304">
        <v>62110</v>
      </c>
      <c r="R82" s="305">
        <v>27674</v>
      </c>
      <c r="S82" s="306">
        <v>30604</v>
      </c>
      <c r="T82" s="303">
        <v>64940</v>
      </c>
      <c r="U82" s="306">
        <v>69038</v>
      </c>
      <c r="V82" s="303">
        <v>31490</v>
      </c>
      <c r="W82" s="306">
        <v>32120</v>
      </c>
      <c r="X82" s="303">
        <v>60240</v>
      </c>
      <c r="Y82" s="306">
        <v>61445</v>
      </c>
      <c r="Z82" s="318"/>
      <c r="AA82" s="304"/>
      <c r="AB82" s="305"/>
      <c r="AC82" s="306"/>
      <c r="AD82" s="303"/>
      <c r="AE82" s="306"/>
      <c r="AF82" s="303"/>
      <c r="AG82" s="306"/>
      <c r="AH82" s="303"/>
      <c r="AI82" s="304"/>
      <c r="AJ82" s="305"/>
      <c r="AK82" s="306"/>
    </row>
    <row r="83" spans="1:37">
      <c r="A83" s="298">
        <v>5</v>
      </c>
      <c r="B83" s="303">
        <v>7917</v>
      </c>
      <c r="C83" s="304">
        <v>8575</v>
      </c>
      <c r="D83" s="303">
        <v>20285</v>
      </c>
      <c r="E83" s="304">
        <v>20285</v>
      </c>
      <c r="F83" s="303">
        <v>8922</v>
      </c>
      <c r="G83" s="304">
        <v>9214.34</v>
      </c>
      <c r="H83" s="303">
        <v>18800</v>
      </c>
      <c r="I83" s="304">
        <v>19256</v>
      </c>
      <c r="J83" s="303"/>
      <c r="K83" s="304"/>
      <c r="L83" s="303"/>
      <c r="M83" s="304"/>
      <c r="N83" s="303"/>
      <c r="O83" s="304"/>
      <c r="P83" s="303"/>
      <c r="Q83" s="304"/>
      <c r="R83" s="305"/>
      <c r="S83" s="306"/>
      <c r="T83" s="303"/>
      <c r="U83" s="306"/>
      <c r="V83" s="303"/>
      <c r="W83" s="306"/>
      <c r="X83" s="303"/>
      <c r="Y83" s="306"/>
      <c r="Z83" s="318"/>
      <c r="AA83" s="304"/>
      <c r="AB83" s="305"/>
      <c r="AC83" s="306"/>
      <c r="AD83" s="303"/>
      <c r="AE83" s="306"/>
      <c r="AF83" s="303"/>
      <c r="AG83" s="306"/>
      <c r="AH83" s="303"/>
      <c r="AI83" s="304"/>
      <c r="AJ83" s="305"/>
      <c r="AK83" s="306"/>
    </row>
    <row r="84" spans="1:37">
      <c r="A84" s="298">
        <v>6</v>
      </c>
      <c r="B84" s="303">
        <v>7449.5</v>
      </c>
      <c r="C84" s="304">
        <v>7533.5</v>
      </c>
      <c r="D84" s="303">
        <v>15501.5</v>
      </c>
      <c r="E84" s="304">
        <v>15855.5</v>
      </c>
      <c r="F84" s="303">
        <v>8946</v>
      </c>
      <c r="G84" s="304">
        <v>8923</v>
      </c>
      <c r="H84" s="303">
        <v>18290.5</v>
      </c>
      <c r="I84" s="304">
        <v>17302.5</v>
      </c>
      <c r="J84" s="303"/>
      <c r="K84" s="304"/>
      <c r="L84" s="303"/>
      <c r="M84" s="304"/>
      <c r="N84" s="303"/>
      <c r="O84" s="304"/>
      <c r="P84" s="303"/>
      <c r="Q84" s="304"/>
      <c r="R84" s="305"/>
      <c r="S84" s="306"/>
      <c r="T84" s="303"/>
      <c r="U84" s="306"/>
      <c r="V84" s="303"/>
      <c r="W84" s="306"/>
      <c r="X84" s="303"/>
      <c r="Y84" s="306"/>
      <c r="Z84" s="318"/>
      <c r="AA84" s="304"/>
      <c r="AB84" s="305"/>
      <c r="AC84" s="306"/>
      <c r="AD84" s="303"/>
      <c r="AE84" s="306"/>
      <c r="AF84" s="303"/>
      <c r="AG84" s="306"/>
      <c r="AH84" s="303"/>
      <c r="AI84" s="304"/>
      <c r="AJ84" s="305"/>
      <c r="AK84" s="306"/>
    </row>
    <row r="85" spans="1:37">
      <c r="A85" s="298">
        <v>7</v>
      </c>
      <c r="B85" s="303">
        <v>3150.9</v>
      </c>
      <c r="C85" s="304">
        <v>3176</v>
      </c>
      <c r="D85" s="303">
        <v>11737.4</v>
      </c>
      <c r="E85" s="304">
        <v>11765</v>
      </c>
      <c r="F85" s="303">
        <v>0</v>
      </c>
      <c r="G85" s="304">
        <v>0</v>
      </c>
      <c r="H85" s="303">
        <v>0</v>
      </c>
      <c r="I85" s="304">
        <v>0</v>
      </c>
      <c r="J85" s="303"/>
      <c r="K85" s="304"/>
      <c r="L85" s="303"/>
      <c r="M85" s="304"/>
      <c r="N85" s="303"/>
      <c r="O85" s="304"/>
      <c r="P85" s="303"/>
      <c r="Q85" s="304"/>
      <c r="R85" s="305"/>
      <c r="S85" s="306"/>
      <c r="T85" s="303"/>
      <c r="U85" s="306"/>
      <c r="V85" s="303"/>
      <c r="W85" s="306"/>
      <c r="X85" s="303"/>
      <c r="Y85" s="306"/>
      <c r="Z85" s="318"/>
      <c r="AA85" s="304"/>
      <c r="AB85" s="305"/>
      <c r="AC85" s="306"/>
      <c r="AD85" s="303"/>
      <c r="AE85" s="306"/>
      <c r="AF85" s="303"/>
      <c r="AG85" s="306"/>
      <c r="AH85" s="303"/>
      <c r="AI85" s="304"/>
      <c r="AJ85" s="305"/>
      <c r="AK85" s="306"/>
    </row>
    <row r="86" spans="1:37">
      <c r="A86" s="298">
        <v>8</v>
      </c>
      <c r="B86" s="303">
        <v>3390</v>
      </c>
      <c r="C86" s="304">
        <v>3700</v>
      </c>
      <c r="D86" s="303">
        <v>8576</v>
      </c>
      <c r="E86" s="304">
        <v>8659</v>
      </c>
      <c r="F86" s="303">
        <v>0</v>
      </c>
      <c r="G86" s="304">
        <v>0</v>
      </c>
      <c r="H86" s="303">
        <v>0</v>
      </c>
      <c r="I86" s="304">
        <v>0</v>
      </c>
      <c r="J86" s="303"/>
      <c r="K86" s="304"/>
      <c r="L86" s="303"/>
      <c r="M86" s="304"/>
      <c r="N86" s="303"/>
      <c r="O86" s="304"/>
      <c r="P86" s="303"/>
      <c r="Q86" s="304"/>
      <c r="R86" s="305"/>
      <c r="S86" s="306"/>
      <c r="T86" s="303"/>
      <c r="U86" s="306"/>
      <c r="V86" s="303"/>
      <c r="W86" s="306"/>
      <c r="X86" s="303"/>
      <c r="Y86" s="306"/>
      <c r="Z86" s="318"/>
      <c r="AA86" s="304"/>
      <c r="AB86" s="305"/>
      <c r="AC86" s="306"/>
      <c r="AD86" s="303"/>
      <c r="AE86" s="306"/>
      <c r="AF86" s="303"/>
      <c r="AG86" s="306"/>
      <c r="AH86" s="303"/>
      <c r="AI86" s="304"/>
      <c r="AJ86" s="305"/>
      <c r="AK86" s="306"/>
    </row>
    <row r="87" spans="1:37">
      <c r="A87" s="298">
        <v>9</v>
      </c>
      <c r="B87" s="303">
        <v>4128</v>
      </c>
      <c r="C87" s="304">
        <v>3915</v>
      </c>
      <c r="D87" s="303">
        <v>8680</v>
      </c>
      <c r="E87" s="304">
        <v>8550</v>
      </c>
      <c r="F87" s="303">
        <v>0</v>
      </c>
      <c r="G87" s="304">
        <v>0</v>
      </c>
      <c r="H87" s="303">
        <v>0</v>
      </c>
      <c r="I87" s="304">
        <v>0</v>
      </c>
      <c r="J87" s="303"/>
      <c r="K87" s="304"/>
      <c r="L87" s="303"/>
      <c r="M87" s="304"/>
      <c r="N87" s="303"/>
      <c r="O87" s="304"/>
      <c r="P87" s="303"/>
      <c r="Q87" s="304"/>
      <c r="R87" s="305"/>
      <c r="S87" s="306"/>
      <c r="T87" s="303"/>
      <c r="U87" s="306"/>
      <c r="V87" s="303"/>
      <c r="W87" s="306"/>
      <c r="X87" s="303"/>
      <c r="Y87" s="306"/>
      <c r="Z87" s="318"/>
      <c r="AA87" s="304"/>
      <c r="AB87" s="305"/>
      <c r="AC87" s="306"/>
      <c r="AD87" s="303"/>
      <c r="AE87" s="306"/>
      <c r="AF87" s="303"/>
      <c r="AG87" s="306"/>
      <c r="AH87" s="303"/>
      <c r="AI87" s="304"/>
      <c r="AJ87" s="305"/>
      <c r="AK87" s="306"/>
    </row>
    <row r="88" spans="1:37">
      <c r="A88" s="298">
        <v>10</v>
      </c>
      <c r="B88" s="303">
        <v>4050</v>
      </c>
      <c r="C88" s="304">
        <v>4070</v>
      </c>
      <c r="D88" s="303">
        <v>8721</v>
      </c>
      <c r="E88" s="304">
        <v>8700</v>
      </c>
      <c r="F88" s="303">
        <v>0</v>
      </c>
      <c r="G88" s="304">
        <v>0</v>
      </c>
      <c r="H88" s="303">
        <v>0</v>
      </c>
      <c r="I88" s="304">
        <v>0</v>
      </c>
      <c r="J88" s="303"/>
      <c r="K88" s="304"/>
      <c r="L88" s="303"/>
      <c r="M88" s="304"/>
      <c r="N88" s="303"/>
      <c r="O88" s="304"/>
      <c r="P88" s="303"/>
      <c r="Q88" s="304"/>
      <c r="R88" s="305"/>
      <c r="S88" s="306"/>
      <c r="T88" s="303"/>
      <c r="U88" s="306"/>
      <c r="V88" s="303"/>
      <c r="W88" s="306"/>
      <c r="X88" s="303"/>
      <c r="Y88" s="306"/>
      <c r="Z88" s="318"/>
      <c r="AA88" s="304"/>
      <c r="AB88" s="305"/>
      <c r="AC88" s="306"/>
      <c r="AD88" s="303"/>
      <c r="AE88" s="306"/>
      <c r="AF88" s="303"/>
      <c r="AG88" s="306"/>
      <c r="AH88" s="303"/>
      <c r="AI88" s="304"/>
      <c r="AJ88" s="305"/>
      <c r="AK88" s="306"/>
    </row>
    <row r="89" spans="1:37">
      <c r="A89" s="298">
        <v>12</v>
      </c>
      <c r="B89" s="303">
        <v>3678</v>
      </c>
      <c r="C89" s="304">
        <v>3709</v>
      </c>
      <c r="D89" s="303">
        <v>6662</v>
      </c>
      <c r="E89" s="304">
        <v>6664</v>
      </c>
      <c r="F89" s="303"/>
      <c r="G89" s="304"/>
      <c r="H89" s="303"/>
      <c r="I89" s="304"/>
      <c r="J89" s="303"/>
      <c r="K89" s="304"/>
      <c r="L89" s="303"/>
      <c r="M89" s="304"/>
      <c r="N89" s="303"/>
      <c r="O89" s="304"/>
      <c r="P89" s="303"/>
      <c r="Q89" s="304"/>
      <c r="R89" s="305"/>
      <c r="S89" s="306"/>
      <c r="T89" s="303"/>
      <c r="U89" s="306"/>
      <c r="V89" s="303"/>
      <c r="W89" s="306"/>
      <c r="X89" s="303"/>
      <c r="Y89" s="306"/>
      <c r="Z89" s="318"/>
      <c r="AA89" s="304"/>
      <c r="AB89" s="305"/>
      <c r="AC89" s="306"/>
      <c r="AD89" s="303"/>
      <c r="AE89" s="306"/>
      <c r="AF89" s="303"/>
      <c r="AG89" s="306"/>
      <c r="AH89" s="303"/>
      <c r="AI89" s="304"/>
      <c r="AJ89" s="305"/>
      <c r="AK89" s="306"/>
    </row>
    <row r="90" spans="1:37">
      <c r="A90" s="298">
        <v>13</v>
      </c>
      <c r="B90" s="303">
        <v>2340</v>
      </c>
      <c r="C90" s="304">
        <v>2452.5</v>
      </c>
      <c r="D90" s="303">
        <v>3600</v>
      </c>
      <c r="E90" s="304">
        <v>4050</v>
      </c>
      <c r="F90" s="303"/>
      <c r="G90" s="304"/>
      <c r="H90" s="303"/>
      <c r="I90" s="304"/>
      <c r="J90" s="303"/>
      <c r="K90" s="304"/>
      <c r="L90" s="303"/>
      <c r="M90" s="304"/>
      <c r="N90" s="303"/>
      <c r="O90" s="304"/>
      <c r="P90" s="303"/>
      <c r="Q90" s="304"/>
      <c r="R90" s="305"/>
      <c r="S90" s="306"/>
      <c r="T90" s="303"/>
      <c r="U90" s="306"/>
      <c r="V90" s="303"/>
      <c r="W90" s="306"/>
      <c r="X90" s="303"/>
      <c r="Y90" s="306"/>
      <c r="Z90" s="318"/>
      <c r="AA90" s="304"/>
      <c r="AB90" s="305"/>
      <c r="AC90" s="306"/>
      <c r="AD90" s="303"/>
      <c r="AE90" s="306"/>
      <c r="AF90" s="303"/>
      <c r="AG90" s="306"/>
      <c r="AH90" s="303"/>
      <c r="AI90" s="304"/>
      <c r="AJ90" s="305"/>
      <c r="AK90" s="306"/>
    </row>
    <row r="91" spans="1:37">
      <c r="A91" s="298">
        <v>14</v>
      </c>
      <c r="B91" s="303">
        <v>6058</v>
      </c>
      <c r="C91" s="304">
        <v>6435</v>
      </c>
      <c r="D91" s="303"/>
      <c r="E91" s="304"/>
      <c r="F91" s="303"/>
      <c r="G91" s="304"/>
      <c r="H91" s="303"/>
      <c r="I91" s="304"/>
      <c r="J91" s="303"/>
      <c r="K91" s="304"/>
      <c r="L91" s="303"/>
      <c r="M91" s="304"/>
      <c r="N91" s="303"/>
      <c r="O91" s="304"/>
      <c r="P91" s="303"/>
      <c r="Q91" s="304"/>
      <c r="R91" s="305"/>
      <c r="S91" s="306"/>
      <c r="T91" s="303"/>
      <c r="U91" s="306"/>
      <c r="V91" s="303"/>
      <c r="W91" s="306"/>
      <c r="X91" s="303"/>
      <c r="Y91" s="306"/>
      <c r="Z91" s="318"/>
      <c r="AA91" s="304"/>
      <c r="AB91" s="305"/>
      <c r="AC91" s="306"/>
      <c r="AD91" s="303"/>
      <c r="AE91" s="306"/>
      <c r="AF91" s="303"/>
      <c r="AG91" s="306"/>
      <c r="AH91" s="303"/>
      <c r="AI91" s="304"/>
      <c r="AJ91" s="305"/>
      <c r="AK91" s="306"/>
    </row>
    <row r="92" spans="1:37">
      <c r="A92" s="298">
        <v>15</v>
      </c>
      <c r="B92" s="303">
        <v>7609</v>
      </c>
      <c r="C92" s="304">
        <v>7616</v>
      </c>
      <c r="D92" s="303">
        <v>20302</v>
      </c>
      <c r="E92" s="304">
        <v>18878</v>
      </c>
      <c r="F92" s="303">
        <v>9639.9999999999854</v>
      </c>
      <c r="G92" s="304">
        <v>10577.333333333299</v>
      </c>
      <c r="H92" s="303">
        <v>21647</v>
      </c>
      <c r="I92" s="304">
        <v>23145.5</v>
      </c>
      <c r="J92" s="303">
        <v>26075</v>
      </c>
      <c r="K92" s="304">
        <v>26485</v>
      </c>
      <c r="L92" s="303">
        <v>40184</v>
      </c>
      <c r="M92" s="304">
        <v>40789.5</v>
      </c>
      <c r="N92" s="303">
        <v>29465.333333333299</v>
      </c>
      <c r="O92" s="304">
        <v>30201.333333333299</v>
      </c>
      <c r="P92" s="303">
        <v>47933.333333333299</v>
      </c>
      <c r="Q92" s="304">
        <v>51385.333333333299</v>
      </c>
      <c r="R92" s="305">
        <v>42208</v>
      </c>
      <c r="S92" s="306">
        <v>42208</v>
      </c>
      <c r="T92" s="303">
        <v>63869</v>
      </c>
      <c r="U92" s="306">
        <v>65312</v>
      </c>
      <c r="V92" s="303">
        <v>27685.5</v>
      </c>
      <c r="W92" s="306">
        <v>29321</v>
      </c>
      <c r="X92" s="303">
        <v>42325</v>
      </c>
      <c r="Y92" s="306">
        <v>42325</v>
      </c>
      <c r="Z92" s="318"/>
      <c r="AA92" s="304"/>
      <c r="AB92" s="305"/>
      <c r="AC92" s="306"/>
      <c r="AD92" s="303">
        <v>24744</v>
      </c>
      <c r="AE92" s="306">
        <v>24881.33333333335</v>
      </c>
      <c r="AF92" s="303">
        <v>50821.66666666665</v>
      </c>
      <c r="AG92" s="306">
        <v>50959</v>
      </c>
      <c r="AH92" s="303"/>
      <c r="AI92" s="304"/>
      <c r="AJ92" s="305"/>
      <c r="AK92" s="306"/>
    </row>
    <row r="93" spans="1:37" ht="15.75" thickBot="1">
      <c r="A93" s="298" t="s">
        <v>837</v>
      </c>
      <c r="B93" s="303">
        <v>4553</v>
      </c>
      <c r="C93" s="304">
        <v>4620</v>
      </c>
      <c r="D93" s="303">
        <v>10530</v>
      </c>
      <c r="E93" s="304">
        <v>10622.9</v>
      </c>
      <c r="F93" s="303">
        <v>8766</v>
      </c>
      <c r="G93" s="304">
        <v>8965</v>
      </c>
      <c r="H93" s="303">
        <v>19030</v>
      </c>
      <c r="I93" s="304">
        <v>18854</v>
      </c>
      <c r="J93" s="303">
        <v>22751</v>
      </c>
      <c r="K93" s="304">
        <v>22934.45</v>
      </c>
      <c r="L93" s="303">
        <v>38929.5</v>
      </c>
      <c r="M93" s="304">
        <v>39350.449999999997</v>
      </c>
      <c r="N93" s="303">
        <v>31378</v>
      </c>
      <c r="O93" s="304">
        <v>32820</v>
      </c>
      <c r="P93" s="303">
        <v>60838</v>
      </c>
      <c r="Q93" s="304">
        <v>61114.29</v>
      </c>
      <c r="R93" s="310">
        <v>35660</v>
      </c>
      <c r="S93" s="311">
        <v>35170</v>
      </c>
      <c r="T93" s="312">
        <v>67947</v>
      </c>
      <c r="U93" s="311">
        <v>69229</v>
      </c>
      <c r="V93" s="312">
        <v>24232.5</v>
      </c>
      <c r="W93" s="311">
        <v>24683.16666666665</v>
      </c>
      <c r="X93" s="312">
        <v>42843</v>
      </c>
      <c r="Y93" s="311">
        <v>44211.5</v>
      </c>
      <c r="Z93" s="319">
        <v>17149.5</v>
      </c>
      <c r="AA93" s="304">
        <v>22019.7</v>
      </c>
      <c r="AB93" s="310">
        <v>36517.5</v>
      </c>
      <c r="AC93" s="311">
        <v>41192.699999999997</v>
      </c>
      <c r="AD93" s="312">
        <v>24744</v>
      </c>
      <c r="AE93" s="311">
        <v>24881.33333333335</v>
      </c>
      <c r="AF93" s="312">
        <v>50821.66666666665</v>
      </c>
      <c r="AG93" s="311">
        <v>50959</v>
      </c>
      <c r="AH93" s="312">
        <v>25435</v>
      </c>
      <c r="AI93" s="327">
        <v>26086</v>
      </c>
      <c r="AJ93" s="310">
        <v>50456</v>
      </c>
      <c r="AK93" s="311">
        <v>55687</v>
      </c>
    </row>
    <row r="109" spans="1:36" ht="15.75" thickBot="1">
      <c r="A109" s="298" t="s">
        <v>543</v>
      </c>
    </row>
    <row r="110" spans="1:36" ht="15.75" thickBot="1">
      <c r="A110" s="307" t="s">
        <v>844</v>
      </c>
      <c r="B110" s="308" t="s">
        <v>845</v>
      </c>
      <c r="C110" s="309" t="s">
        <v>847</v>
      </c>
      <c r="D110" s="308" t="s">
        <v>849</v>
      </c>
      <c r="E110" s="309" t="s">
        <v>843</v>
      </c>
      <c r="F110" s="308" t="s">
        <v>846</v>
      </c>
      <c r="G110" s="309" t="s">
        <v>850</v>
      </c>
      <c r="H110" s="308" t="s">
        <v>848</v>
      </c>
      <c r="I110" s="309" t="s">
        <v>841</v>
      </c>
      <c r="J110" s="308" t="s">
        <v>842</v>
      </c>
      <c r="K110" s="309" t="s">
        <v>840</v>
      </c>
      <c r="L110" s="308" t="s">
        <v>839</v>
      </c>
      <c r="M110" s="309" t="s">
        <v>851</v>
      </c>
      <c r="N110" s="308" t="s">
        <v>852</v>
      </c>
      <c r="O110" s="301" t="s">
        <v>877</v>
      </c>
      <c r="P110" t="s">
        <v>878</v>
      </c>
      <c r="Q110" s="307" t="s">
        <v>854</v>
      </c>
      <c r="R110" s="308" t="s">
        <v>855</v>
      </c>
      <c r="S110" s="309" t="s">
        <v>856</v>
      </c>
      <c r="T110" s="308" t="s">
        <v>857</v>
      </c>
      <c r="U110" s="309" t="s">
        <v>858</v>
      </c>
      <c r="V110" s="308" t="s">
        <v>859</v>
      </c>
      <c r="W110" s="309" t="s">
        <v>860</v>
      </c>
      <c r="X110" s="308" t="s">
        <v>861</v>
      </c>
      <c r="Y110" s="320" t="s">
        <v>862</v>
      </c>
      <c r="Z110" t="s">
        <v>872</v>
      </c>
      <c r="AA110" s="307" t="s">
        <v>867</v>
      </c>
      <c r="AB110" s="308" t="s">
        <v>868</v>
      </c>
      <c r="AC110" s="309" t="s">
        <v>873</v>
      </c>
      <c r="AD110" s="308" t="s">
        <v>874</v>
      </c>
      <c r="AE110" s="309" t="s">
        <v>875</v>
      </c>
      <c r="AF110" s="308" t="s">
        <v>876</v>
      </c>
      <c r="AG110" s="328" t="s">
        <v>880</v>
      </c>
      <c r="AH110" s="316" t="s">
        <v>881</v>
      </c>
      <c r="AI110" s="329" t="s">
        <v>883</v>
      </c>
      <c r="AJ110" s="308" t="s">
        <v>884</v>
      </c>
    </row>
    <row r="111" spans="1:36" ht="15.75" thickBot="1">
      <c r="A111" s="303">
        <v>4553</v>
      </c>
      <c r="B111" s="304">
        <v>4620</v>
      </c>
      <c r="C111" s="303">
        <v>10530</v>
      </c>
      <c r="D111" s="304">
        <v>10622.9</v>
      </c>
      <c r="E111" s="303">
        <v>8766</v>
      </c>
      <c r="F111" s="304">
        <v>8965</v>
      </c>
      <c r="G111" s="303">
        <v>19030</v>
      </c>
      <c r="H111" s="304">
        <v>18854</v>
      </c>
      <c r="I111" s="303">
        <v>22751</v>
      </c>
      <c r="J111" s="304">
        <v>22934.45</v>
      </c>
      <c r="K111" s="303">
        <v>38929.5</v>
      </c>
      <c r="L111" s="304">
        <v>39350.449999999997</v>
      </c>
      <c r="M111" s="303">
        <v>31378</v>
      </c>
      <c r="N111" s="304">
        <v>32820</v>
      </c>
      <c r="O111" s="303">
        <v>60838</v>
      </c>
      <c r="P111" s="304">
        <v>61114.29</v>
      </c>
      <c r="Q111" s="331">
        <v>35660</v>
      </c>
      <c r="R111" s="332">
        <v>35170</v>
      </c>
      <c r="S111" s="333">
        <v>67947</v>
      </c>
      <c r="T111" s="332">
        <v>69229</v>
      </c>
      <c r="U111" s="333">
        <v>24232.5</v>
      </c>
      <c r="V111" s="332">
        <v>24683.16666666665</v>
      </c>
      <c r="W111" s="333">
        <v>42843</v>
      </c>
      <c r="X111" s="332">
        <v>44211.5</v>
      </c>
      <c r="Y111" s="334">
        <v>17149.5</v>
      </c>
      <c r="Z111" s="304">
        <v>22019.7</v>
      </c>
      <c r="AA111" s="331">
        <v>36517.5</v>
      </c>
      <c r="AB111" s="332">
        <v>41192.699999999997</v>
      </c>
      <c r="AC111" s="333">
        <v>24744</v>
      </c>
      <c r="AD111" s="332">
        <v>24881.33333333335</v>
      </c>
      <c r="AE111" s="333">
        <v>50821.66666666665</v>
      </c>
      <c r="AF111" s="332">
        <v>50959</v>
      </c>
      <c r="AG111" s="312">
        <v>25435</v>
      </c>
      <c r="AH111" s="327">
        <v>26086</v>
      </c>
      <c r="AI111" s="331">
        <v>50456</v>
      </c>
      <c r="AJ111" s="332">
        <v>55687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5CD8-49F8-430B-8EF4-0BA853292023}">
  <sheetPr codeName="Sheet5">
    <tabColor rgb="FF00B050"/>
  </sheetPr>
  <dimension ref="A1:AO16"/>
  <sheetViews>
    <sheetView workbookViewId="0">
      <selection activeCell="F17" sqref="F17"/>
    </sheetView>
  </sheetViews>
  <sheetFormatPr defaultRowHeight="15"/>
  <cols>
    <col min="1" max="1" width="16" bestFit="1" customWidth="1"/>
    <col min="2" max="2" width="32.5546875" bestFit="1" customWidth="1"/>
    <col min="3" max="3" width="47.33203125" bestFit="1" customWidth="1"/>
    <col min="4" max="4" width="19" bestFit="1" customWidth="1"/>
    <col min="5" max="5" width="15.88671875" bestFit="1" customWidth="1"/>
    <col min="6" max="6" width="19" bestFit="1" customWidth="1"/>
    <col min="7" max="8" width="20.109375" bestFit="1" customWidth="1"/>
    <col min="9" max="9" width="21" bestFit="1" customWidth="1"/>
    <col min="10" max="10" width="17.6640625" bestFit="1" customWidth="1"/>
    <col min="11" max="12" width="18.5546875" bestFit="1" customWidth="1"/>
    <col min="13" max="13" width="19.44140625" bestFit="1" customWidth="1"/>
    <col min="14" max="14" width="20.109375" bestFit="1" customWidth="1"/>
    <col min="15" max="16" width="21" bestFit="1" customWidth="1"/>
    <col min="17" max="17" width="21.88671875" bestFit="1" customWidth="1"/>
    <col min="18" max="18" width="20.109375" bestFit="1" customWidth="1"/>
    <col min="19" max="20" width="21" bestFit="1" customWidth="1"/>
    <col min="21" max="21" width="21.88671875" bestFit="1" customWidth="1"/>
    <col min="22" max="22" width="19.88671875" bestFit="1" customWidth="1"/>
    <col min="23" max="24" width="20.88671875" bestFit="1" customWidth="1"/>
    <col min="25" max="25" width="21.77734375" bestFit="1" customWidth="1"/>
    <col min="26" max="26" width="19.33203125" bestFit="1" customWidth="1"/>
    <col min="27" max="28" width="20.33203125" bestFit="1" customWidth="1"/>
    <col min="29" max="29" width="21.33203125" bestFit="1" customWidth="1"/>
    <col min="30" max="30" width="19.33203125" bestFit="1" customWidth="1"/>
    <col min="31" max="32" width="20.33203125" bestFit="1" customWidth="1"/>
    <col min="33" max="33" width="21.33203125" bestFit="1" customWidth="1"/>
    <col min="34" max="34" width="19.21875" bestFit="1" customWidth="1"/>
    <col min="35" max="36" width="20.33203125" bestFit="1" customWidth="1"/>
    <col min="37" max="37" width="21.21875" bestFit="1" customWidth="1"/>
    <col min="38" max="38" width="19.109375" bestFit="1" customWidth="1"/>
    <col min="39" max="40" width="20.109375" bestFit="1" customWidth="1"/>
    <col min="41" max="41" width="21.109375" bestFit="1" customWidth="1"/>
  </cols>
  <sheetData>
    <row r="1" spans="1:41" ht="15.75">
      <c r="A1" s="300" t="s">
        <v>967</v>
      </c>
    </row>
    <row r="3" spans="1:41">
      <c r="A3" t="s">
        <v>921</v>
      </c>
      <c r="B3" t="s">
        <v>922</v>
      </c>
      <c r="C3" t="s">
        <v>923</v>
      </c>
      <c r="D3" t="s">
        <v>924</v>
      </c>
      <c r="E3" t="s">
        <v>925</v>
      </c>
      <c r="F3" t="s">
        <v>926</v>
      </c>
      <c r="G3" t="s">
        <v>927</v>
      </c>
      <c r="H3" t="s">
        <v>928</v>
      </c>
      <c r="I3" t="s">
        <v>929</v>
      </c>
      <c r="J3" t="s">
        <v>930</v>
      </c>
      <c r="K3" t="s">
        <v>931</v>
      </c>
      <c r="L3" t="s">
        <v>932</v>
      </c>
      <c r="M3" t="s">
        <v>933</v>
      </c>
      <c r="N3" t="s">
        <v>934</v>
      </c>
      <c r="O3" t="s">
        <v>935</v>
      </c>
      <c r="P3" t="s">
        <v>936</v>
      </c>
      <c r="Q3" t="s">
        <v>937</v>
      </c>
      <c r="R3" t="s">
        <v>938</v>
      </c>
      <c r="S3" t="s">
        <v>939</v>
      </c>
      <c r="T3" t="s">
        <v>940</v>
      </c>
      <c r="U3" t="s">
        <v>941</v>
      </c>
      <c r="V3" t="s">
        <v>942</v>
      </c>
      <c r="W3" t="s">
        <v>943</v>
      </c>
      <c r="X3" t="s">
        <v>944</v>
      </c>
      <c r="Y3" t="s">
        <v>945</v>
      </c>
      <c r="Z3" t="s">
        <v>946</v>
      </c>
      <c r="AA3" t="s">
        <v>947</v>
      </c>
      <c r="AB3" t="s">
        <v>948</v>
      </c>
      <c r="AC3" t="s">
        <v>949</v>
      </c>
      <c r="AD3" t="s">
        <v>950</v>
      </c>
      <c r="AE3" t="s">
        <v>951</v>
      </c>
      <c r="AF3" t="s">
        <v>952</v>
      </c>
      <c r="AG3" t="s">
        <v>953</v>
      </c>
      <c r="AH3" t="s">
        <v>954</v>
      </c>
      <c r="AI3" t="s">
        <v>955</v>
      </c>
      <c r="AJ3" t="s">
        <v>956</v>
      </c>
      <c r="AK3" t="s">
        <v>957</v>
      </c>
      <c r="AL3" t="s">
        <v>958</v>
      </c>
      <c r="AM3" t="s">
        <v>959</v>
      </c>
      <c r="AN3" t="s">
        <v>960</v>
      </c>
      <c r="AO3" t="s">
        <v>961</v>
      </c>
    </row>
    <row r="4" spans="1:41">
      <c r="A4" t="s">
        <v>148</v>
      </c>
      <c r="B4" t="s">
        <v>962</v>
      </c>
      <c r="D4" t="s">
        <v>963</v>
      </c>
      <c r="E4">
        <v>6</v>
      </c>
      <c r="F4">
        <v>4574</v>
      </c>
      <c r="G4">
        <v>4574</v>
      </c>
      <c r="H4">
        <v>13205.9</v>
      </c>
      <c r="I4">
        <v>13206</v>
      </c>
    </row>
    <row r="5" spans="1:41">
      <c r="A5" t="s">
        <v>148</v>
      </c>
      <c r="B5" t="s">
        <v>964</v>
      </c>
      <c r="D5" t="s">
        <v>965</v>
      </c>
      <c r="E5">
        <v>6</v>
      </c>
      <c r="F5">
        <v>4324</v>
      </c>
      <c r="G5">
        <v>4324</v>
      </c>
      <c r="H5">
        <v>12955.9</v>
      </c>
      <c r="I5">
        <v>12956</v>
      </c>
    </row>
    <row r="6" spans="1:41">
      <c r="A6" t="s">
        <v>148</v>
      </c>
      <c r="B6" t="s">
        <v>165</v>
      </c>
      <c r="D6" t="s">
        <v>966</v>
      </c>
      <c r="E6">
        <v>6</v>
      </c>
      <c r="F6">
        <v>5751.9</v>
      </c>
      <c r="G6">
        <v>5752</v>
      </c>
      <c r="H6">
        <v>16734</v>
      </c>
      <c r="I6">
        <v>16734</v>
      </c>
    </row>
    <row r="7" spans="1:41">
      <c r="A7" t="s">
        <v>148</v>
      </c>
      <c r="B7" t="s">
        <v>968</v>
      </c>
      <c r="D7" t="s">
        <v>969</v>
      </c>
      <c r="E7">
        <v>6</v>
      </c>
      <c r="F7">
        <v>4206</v>
      </c>
      <c r="G7">
        <v>4206</v>
      </c>
      <c r="H7">
        <v>12837.9</v>
      </c>
      <c r="I7">
        <v>12838</v>
      </c>
    </row>
    <row r="8" spans="1:41">
      <c r="A8" t="s">
        <v>148</v>
      </c>
      <c r="B8" t="s">
        <v>970</v>
      </c>
      <c r="C8" t="s">
        <v>971</v>
      </c>
      <c r="D8" t="s">
        <v>972</v>
      </c>
      <c r="E8">
        <v>6</v>
      </c>
      <c r="F8">
        <v>4430</v>
      </c>
      <c r="G8">
        <v>4430</v>
      </c>
      <c r="H8">
        <v>13061.9</v>
      </c>
      <c r="I8">
        <v>13062</v>
      </c>
    </row>
    <row r="9" spans="1:41">
      <c r="F9">
        <f>MEDIAN(Table_ExternalData_1[Range 1'[OldUGIS']])</f>
        <v>4430</v>
      </c>
    </row>
    <row r="12" spans="1:41">
      <c r="F12" s="391">
        <v>4574</v>
      </c>
    </row>
    <row r="13" spans="1:41">
      <c r="F13" s="391">
        <v>4324</v>
      </c>
    </row>
    <row r="14" spans="1:41">
      <c r="F14" s="391">
        <v>5751.9</v>
      </c>
    </row>
    <row r="15" spans="1:41">
      <c r="F15" s="391">
        <v>4206</v>
      </c>
    </row>
    <row r="16" spans="1:41">
      <c r="F16" s="391">
        <v>4430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4B2A-6C04-4E27-9ECF-297CA52DC3D6}">
  <sheetPr codeName="Sheet6">
    <tabColor rgb="FF00B050"/>
  </sheetPr>
  <dimension ref="A1:AK306"/>
  <sheetViews>
    <sheetView zoomScale="80" zoomScaleNormal="80" zoomScaleSheetLayoutView="98" workbookViewId="0">
      <pane xSplit="8" ySplit="11" topLeftCell="I173" activePane="bottomRight" state="frozen"/>
      <selection pane="topRight" activeCell="I1" sqref="I1"/>
      <selection pane="bottomLeft" activeCell="A12" sqref="A12"/>
      <selection pane="bottomRight" activeCell="E166" sqref="E166"/>
    </sheetView>
  </sheetViews>
  <sheetFormatPr defaultRowHeight="15"/>
  <cols>
    <col min="1" max="1" width="13" bestFit="1" customWidth="1"/>
    <col min="2" max="2" width="10.109375" bestFit="1" customWidth="1"/>
    <col min="3" max="3" width="11" bestFit="1" customWidth="1"/>
    <col min="4" max="4" width="11" style="161" bestFit="1" customWidth="1"/>
    <col min="5" max="5" width="11.77734375" bestFit="1" customWidth="1"/>
    <col min="6" max="7" width="12" bestFit="1" customWidth="1"/>
    <col min="8" max="8" width="9.6640625" bestFit="1" customWidth="1"/>
    <col min="9" max="9" width="12" bestFit="1" customWidth="1"/>
    <col min="10" max="10" width="11.21875" bestFit="1" customWidth="1"/>
    <col min="11" max="12" width="12.109375" bestFit="1" customWidth="1"/>
    <col min="13" max="13" width="13" bestFit="1" customWidth="1"/>
    <col min="14" max="14" width="12" bestFit="1" customWidth="1"/>
    <col min="15" max="16" width="12.109375" bestFit="1" customWidth="1"/>
    <col min="17" max="17" width="13" bestFit="1" customWidth="1"/>
    <col min="18" max="18" width="11" bestFit="1" customWidth="1"/>
    <col min="19" max="20" width="11.77734375" bestFit="1" customWidth="1"/>
    <col min="21" max="21" width="12.77734375" bestFit="1" customWidth="1"/>
    <col min="22" max="22" width="10.5546875" bestFit="1" customWidth="1"/>
    <col min="23" max="23" width="12" bestFit="1" customWidth="1"/>
    <col min="24" max="24" width="11.33203125" bestFit="1" customWidth="1"/>
    <col min="25" max="25" width="12.21875" bestFit="1" customWidth="1"/>
    <col min="26" max="26" width="10.5546875" bestFit="1" customWidth="1"/>
    <col min="27" max="28" width="11.33203125" bestFit="1" customWidth="1"/>
    <col min="29" max="29" width="12.21875" bestFit="1" customWidth="1"/>
    <col min="30" max="30" width="10.21875" bestFit="1" customWidth="1"/>
    <col min="31" max="32" width="12" bestFit="1" customWidth="1"/>
    <col min="33" max="33" width="11.88671875" bestFit="1" customWidth="1"/>
    <col min="34" max="34" width="11" bestFit="1" customWidth="1"/>
    <col min="35" max="36" width="11.21875" bestFit="1" customWidth="1"/>
    <col min="37" max="37" width="12.109375" bestFit="1" customWidth="1"/>
    <col min="38" max="38" width="17.109375" bestFit="1" customWidth="1"/>
  </cols>
  <sheetData>
    <row r="1" spans="1:37">
      <c r="B1" s="313" t="s">
        <v>863</v>
      </c>
      <c r="C1" s="302" t="s">
        <v>864</v>
      </c>
      <c r="D1" s="313" t="s">
        <v>865</v>
      </c>
      <c r="E1" s="302" t="s">
        <v>866</v>
      </c>
      <c r="F1" s="313" t="s">
        <v>1</v>
      </c>
      <c r="G1" s="302" t="s">
        <v>864</v>
      </c>
      <c r="H1" s="317" t="s">
        <v>1</v>
      </c>
      <c r="I1" s="302" t="s">
        <v>866</v>
      </c>
      <c r="J1" s="313" t="s">
        <v>2</v>
      </c>
      <c r="K1" s="302" t="s">
        <v>864</v>
      </c>
      <c r="L1" s="317" t="s">
        <v>2</v>
      </c>
      <c r="M1" s="302" t="s">
        <v>866</v>
      </c>
      <c r="N1" s="313" t="s">
        <v>869</v>
      </c>
      <c r="O1" s="302" t="s">
        <v>864</v>
      </c>
      <c r="P1" s="317" t="s">
        <v>869</v>
      </c>
      <c r="Q1" s="302" t="s">
        <v>866</v>
      </c>
      <c r="R1" s="313" t="s">
        <v>870</v>
      </c>
      <c r="S1" s="302" t="s">
        <v>864</v>
      </c>
      <c r="T1" s="317" t="s">
        <v>870</v>
      </c>
      <c r="U1" s="302" t="s">
        <v>866</v>
      </c>
      <c r="V1" s="317" t="s">
        <v>871</v>
      </c>
      <c r="W1" s="302" t="s">
        <v>864</v>
      </c>
      <c r="X1" s="317" t="s">
        <v>871</v>
      </c>
      <c r="Y1" s="302" t="s">
        <v>866</v>
      </c>
      <c r="Z1" s="317" t="s">
        <v>6</v>
      </c>
      <c r="AA1" s="302" t="s">
        <v>864</v>
      </c>
      <c r="AB1" s="317" t="s">
        <v>6</v>
      </c>
      <c r="AC1" s="302" t="s">
        <v>866</v>
      </c>
      <c r="AD1" s="321" t="s">
        <v>7</v>
      </c>
      <c r="AE1" s="302" t="s">
        <v>864</v>
      </c>
      <c r="AF1" s="321" t="s">
        <v>7</v>
      </c>
      <c r="AG1" s="302" t="s">
        <v>879</v>
      </c>
      <c r="AH1" s="313" t="s">
        <v>882</v>
      </c>
      <c r="AI1" s="302" t="s">
        <v>864</v>
      </c>
      <c r="AJ1" s="313" t="s">
        <v>882</v>
      </c>
      <c r="AK1" s="302" t="s">
        <v>866</v>
      </c>
    </row>
    <row r="2" spans="1:37" ht="17.100000000000001" customHeight="1" thickBot="1">
      <c r="B2" s="314" t="s">
        <v>540</v>
      </c>
      <c r="C2" s="315" t="s">
        <v>541</v>
      </c>
      <c r="D2" s="314" t="s">
        <v>540</v>
      </c>
      <c r="E2" s="315" t="s">
        <v>541</v>
      </c>
      <c r="F2" s="314" t="s">
        <v>540</v>
      </c>
      <c r="G2" s="315" t="s">
        <v>541</v>
      </c>
      <c r="H2" s="316" t="s">
        <v>540</v>
      </c>
      <c r="I2" s="315" t="s">
        <v>541</v>
      </c>
      <c r="J2" s="314" t="s">
        <v>540</v>
      </c>
      <c r="K2" s="315" t="s">
        <v>541</v>
      </c>
      <c r="L2" s="316" t="s">
        <v>540</v>
      </c>
      <c r="M2" s="315" t="s">
        <v>541</v>
      </c>
      <c r="N2" s="314" t="s">
        <v>540</v>
      </c>
      <c r="O2" s="315" t="s">
        <v>541</v>
      </c>
      <c r="P2" s="316" t="s">
        <v>540</v>
      </c>
      <c r="Q2" s="315" t="s">
        <v>541</v>
      </c>
      <c r="R2" s="314" t="s">
        <v>540</v>
      </c>
      <c r="S2" s="315" t="s">
        <v>541</v>
      </c>
      <c r="T2" s="316" t="s">
        <v>540</v>
      </c>
      <c r="U2" s="315" t="s">
        <v>541</v>
      </c>
      <c r="V2" s="316" t="s">
        <v>540</v>
      </c>
      <c r="W2" s="315" t="s">
        <v>541</v>
      </c>
      <c r="X2" s="316" t="s">
        <v>540</v>
      </c>
      <c r="Y2" s="315" t="s">
        <v>541</v>
      </c>
      <c r="Z2" s="316" t="s">
        <v>540</v>
      </c>
      <c r="AA2" s="315" t="s">
        <v>541</v>
      </c>
      <c r="AB2" s="316" t="s">
        <v>540</v>
      </c>
      <c r="AC2" s="315" t="s">
        <v>541</v>
      </c>
      <c r="AD2" s="322" t="s">
        <v>541</v>
      </c>
      <c r="AE2" s="315" t="s">
        <v>540</v>
      </c>
      <c r="AF2" s="322" t="s">
        <v>541</v>
      </c>
      <c r="AG2" s="315" t="s">
        <v>540</v>
      </c>
      <c r="AH2" s="314" t="s">
        <v>540</v>
      </c>
      <c r="AI2" s="315" t="s">
        <v>541</v>
      </c>
      <c r="AJ2" s="314" t="s">
        <v>540</v>
      </c>
      <c r="AK2" s="315" t="s">
        <v>541</v>
      </c>
    </row>
    <row r="3" spans="1:37" ht="15.75" thickBot="1">
      <c r="A3" s="297" t="s">
        <v>853</v>
      </c>
      <c r="B3" s="307" t="s">
        <v>844</v>
      </c>
      <c r="C3" s="308" t="s">
        <v>845</v>
      </c>
      <c r="D3" s="309" t="s">
        <v>847</v>
      </c>
      <c r="E3" s="308" t="s">
        <v>849</v>
      </c>
      <c r="F3" s="309" t="s">
        <v>843</v>
      </c>
      <c r="G3" s="308" t="s">
        <v>846</v>
      </c>
      <c r="H3" s="309" t="s">
        <v>850</v>
      </c>
      <c r="I3" s="308" t="s">
        <v>848</v>
      </c>
      <c r="J3" s="309" t="s">
        <v>841</v>
      </c>
      <c r="K3" s="308" t="s">
        <v>842</v>
      </c>
      <c r="L3" s="309" t="s">
        <v>840</v>
      </c>
      <c r="M3" s="308" t="s">
        <v>839</v>
      </c>
      <c r="N3" s="309" t="s">
        <v>851</v>
      </c>
      <c r="O3" s="308" t="s">
        <v>852</v>
      </c>
      <c r="P3" s="301" t="s">
        <v>877</v>
      </c>
      <c r="Q3" t="s">
        <v>878</v>
      </c>
      <c r="R3" s="307" t="s">
        <v>854</v>
      </c>
      <c r="S3" s="308" t="s">
        <v>855</v>
      </c>
      <c r="T3" s="309" t="s">
        <v>856</v>
      </c>
      <c r="U3" s="308" t="s">
        <v>857</v>
      </c>
      <c r="V3" s="309" t="s">
        <v>858</v>
      </c>
      <c r="W3" s="308" t="s">
        <v>859</v>
      </c>
      <c r="X3" s="309" t="s">
        <v>860</v>
      </c>
      <c r="Y3" s="308" t="s">
        <v>861</v>
      </c>
      <c r="Z3" s="320" t="s">
        <v>862</v>
      </c>
      <c r="AA3" t="s">
        <v>872</v>
      </c>
      <c r="AB3" s="307" t="s">
        <v>867</v>
      </c>
      <c r="AC3" s="308" t="s">
        <v>868</v>
      </c>
      <c r="AD3" s="309" t="s">
        <v>873</v>
      </c>
      <c r="AE3" s="308" t="s">
        <v>874</v>
      </c>
      <c r="AF3" s="309" t="s">
        <v>875</v>
      </c>
      <c r="AG3" s="308" t="s">
        <v>876</v>
      </c>
      <c r="AH3" s="328" t="s">
        <v>880</v>
      </c>
      <c r="AI3" s="316" t="s">
        <v>881</v>
      </c>
      <c r="AJ3" s="329" t="s">
        <v>883</v>
      </c>
      <c r="AK3" s="308" t="s">
        <v>884</v>
      </c>
    </row>
    <row r="4" spans="1:37">
      <c r="A4" s="298" t="s">
        <v>56</v>
      </c>
      <c r="B4" s="549"/>
      <c r="C4" s="550"/>
      <c r="D4" s="549"/>
      <c r="E4" s="550"/>
      <c r="F4" s="549"/>
      <c r="G4" s="550"/>
      <c r="H4" s="549"/>
      <c r="I4" s="550"/>
      <c r="J4" s="549"/>
      <c r="K4" s="550"/>
      <c r="L4" s="549"/>
      <c r="M4" s="550"/>
      <c r="N4" s="549"/>
      <c r="O4" s="550"/>
      <c r="P4" s="549"/>
      <c r="Q4" s="550"/>
      <c r="R4" s="551"/>
      <c r="S4" s="552"/>
      <c r="T4" s="555"/>
      <c r="U4" s="552"/>
      <c r="V4" s="555"/>
      <c r="W4" s="552"/>
      <c r="X4" s="555"/>
      <c r="Y4" s="552"/>
      <c r="Z4" s="556"/>
      <c r="AA4" s="550"/>
      <c r="AB4" s="551"/>
      <c r="AC4" s="552"/>
      <c r="AD4" s="555"/>
      <c r="AE4" s="552"/>
      <c r="AF4" s="555"/>
      <c r="AG4" s="552"/>
      <c r="AH4" s="549"/>
      <c r="AI4" s="550"/>
      <c r="AJ4" s="551"/>
      <c r="AK4" s="552"/>
    </row>
    <row r="5" spans="1:37">
      <c r="A5" s="299">
        <v>1</v>
      </c>
      <c r="B5" s="303">
        <v>11620</v>
      </c>
      <c r="C5" s="304">
        <v>11620</v>
      </c>
      <c r="D5" s="303">
        <v>31090</v>
      </c>
      <c r="E5" s="304">
        <v>31090</v>
      </c>
      <c r="F5" s="303">
        <v>11470</v>
      </c>
      <c r="G5" s="304">
        <v>11470</v>
      </c>
      <c r="H5" s="303">
        <v>30940</v>
      </c>
      <c r="I5" s="304">
        <v>30940</v>
      </c>
      <c r="J5" s="303">
        <v>23910</v>
      </c>
      <c r="K5" s="304">
        <v>23910</v>
      </c>
      <c r="L5" s="303">
        <v>43360</v>
      </c>
      <c r="M5" s="304">
        <v>43360</v>
      </c>
      <c r="N5" s="303">
        <v>29702</v>
      </c>
      <c r="O5" s="304">
        <v>29998</v>
      </c>
      <c r="P5" s="303">
        <v>62714</v>
      </c>
      <c r="Q5" s="304">
        <v>62714</v>
      </c>
      <c r="R5" s="305">
        <v>29484</v>
      </c>
      <c r="S5" s="306">
        <v>29782</v>
      </c>
      <c r="T5" s="303">
        <v>68726</v>
      </c>
      <c r="U5" s="306">
        <v>69420</v>
      </c>
      <c r="V5" s="303">
        <v>22362</v>
      </c>
      <c r="W5" s="306">
        <v>22392</v>
      </c>
      <c r="X5" s="303">
        <v>42522</v>
      </c>
      <c r="Y5" s="306">
        <v>42552</v>
      </c>
      <c r="Z5" s="318">
        <v>27492</v>
      </c>
      <c r="AA5" s="304">
        <v>27858</v>
      </c>
      <c r="AB5" s="305">
        <v>54012</v>
      </c>
      <c r="AC5" s="306">
        <v>54012</v>
      </c>
      <c r="AD5" s="303"/>
      <c r="AE5" s="306"/>
      <c r="AF5" s="303"/>
      <c r="AG5" s="306"/>
      <c r="AH5" s="303">
        <v>24296</v>
      </c>
      <c r="AI5" s="304">
        <v>24326</v>
      </c>
      <c r="AJ5" s="305">
        <v>50456</v>
      </c>
      <c r="AK5" s="306">
        <v>50486</v>
      </c>
    </row>
    <row r="6" spans="1:37">
      <c r="A6" s="299">
        <v>2</v>
      </c>
      <c r="B6" s="303">
        <v>10704</v>
      </c>
      <c r="C6" s="304">
        <v>10950</v>
      </c>
      <c r="D6" s="303">
        <v>21837</v>
      </c>
      <c r="E6" s="304">
        <v>22308</v>
      </c>
      <c r="F6" s="303">
        <v>11363</v>
      </c>
      <c r="G6" s="304">
        <v>11560</v>
      </c>
      <c r="H6" s="303">
        <v>23566</v>
      </c>
      <c r="I6" s="304">
        <v>23943</v>
      </c>
      <c r="J6" s="303"/>
      <c r="K6" s="304"/>
      <c r="L6" s="303"/>
      <c r="M6" s="304"/>
      <c r="N6" s="303">
        <v>31378</v>
      </c>
      <c r="O6" s="304">
        <v>32820</v>
      </c>
      <c r="P6" s="303">
        <v>62382</v>
      </c>
      <c r="Q6" s="304">
        <v>64754</v>
      </c>
      <c r="R6" s="305"/>
      <c r="S6" s="306"/>
      <c r="T6" s="303"/>
      <c r="U6" s="306"/>
      <c r="V6" s="303"/>
      <c r="W6" s="306"/>
      <c r="X6" s="303"/>
      <c r="Y6" s="306"/>
      <c r="Z6" s="318"/>
      <c r="AA6" s="304"/>
      <c r="AB6" s="305"/>
      <c r="AC6" s="306"/>
      <c r="AD6" s="303"/>
      <c r="AE6" s="306"/>
      <c r="AF6" s="303"/>
      <c r="AG6" s="306"/>
      <c r="AH6" s="303"/>
      <c r="AI6" s="304"/>
      <c r="AJ6" s="305"/>
      <c r="AK6" s="306"/>
    </row>
    <row r="7" spans="1:37">
      <c r="A7" s="299">
        <v>3</v>
      </c>
      <c r="B7" s="303">
        <v>10918</v>
      </c>
      <c r="C7" s="304">
        <v>10918</v>
      </c>
      <c r="D7" s="303">
        <v>20840</v>
      </c>
      <c r="E7" s="304">
        <v>20840</v>
      </c>
      <c r="F7" s="303">
        <v>10930</v>
      </c>
      <c r="G7" s="304">
        <v>10930</v>
      </c>
      <c r="H7" s="303">
        <v>21508</v>
      </c>
      <c r="I7" s="304">
        <v>21574</v>
      </c>
      <c r="J7" s="303"/>
      <c r="K7" s="304"/>
      <c r="L7" s="303"/>
      <c r="M7" s="304"/>
      <c r="N7" s="303"/>
      <c r="O7" s="304"/>
      <c r="P7" s="303"/>
      <c r="Q7" s="304"/>
      <c r="R7" s="305"/>
      <c r="S7" s="306"/>
      <c r="T7" s="303"/>
      <c r="U7" s="306"/>
      <c r="V7" s="303"/>
      <c r="W7" s="306"/>
      <c r="X7" s="303"/>
      <c r="Y7" s="306"/>
      <c r="Z7" s="318"/>
      <c r="AA7" s="304"/>
      <c r="AB7" s="305"/>
      <c r="AC7" s="306"/>
      <c r="AD7" s="303"/>
      <c r="AE7" s="306"/>
      <c r="AF7" s="303"/>
      <c r="AG7" s="306"/>
      <c r="AH7" s="303"/>
      <c r="AI7" s="304"/>
      <c r="AJ7" s="305"/>
      <c r="AK7" s="306"/>
    </row>
    <row r="8" spans="1:37">
      <c r="A8" s="299">
        <v>4</v>
      </c>
      <c r="B8" s="303">
        <v>11029</v>
      </c>
      <c r="C8" s="304">
        <v>11079</v>
      </c>
      <c r="D8" s="303">
        <v>19743</v>
      </c>
      <c r="E8" s="304">
        <v>19793</v>
      </c>
      <c r="F8" s="303">
        <v>10946</v>
      </c>
      <c r="G8" s="304">
        <v>10996</v>
      </c>
      <c r="H8" s="303">
        <v>20342</v>
      </c>
      <c r="I8" s="304">
        <v>20392</v>
      </c>
      <c r="J8" s="303"/>
      <c r="K8" s="304"/>
      <c r="L8" s="303"/>
      <c r="M8" s="304"/>
      <c r="N8" s="303"/>
      <c r="O8" s="304"/>
      <c r="P8" s="303"/>
      <c r="Q8" s="304"/>
      <c r="R8" s="305"/>
      <c r="S8" s="306"/>
      <c r="T8" s="303"/>
      <c r="U8" s="306"/>
      <c r="V8" s="303"/>
      <c r="W8" s="306"/>
      <c r="X8" s="303"/>
      <c r="Y8" s="306"/>
      <c r="Z8" s="318"/>
      <c r="AA8" s="304"/>
      <c r="AB8" s="305"/>
      <c r="AC8" s="306"/>
      <c r="AD8" s="303"/>
      <c r="AE8" s="306"/>
      <c r="AF8" s="303"/>
      <c r="AG8" s="306"/>
      <c r="AH8" s="303"/>
      <c r="AI8" s="304"/>
      <c r="AJ8" s="305"/>
      <c r="AK8" s="306"/>
    </row>
    <row r="9" spans="1:37">
      <c r="A9" s="299">
        <v>5</v>
      </c>
      <c r="B9" s="303">
        <v>10709</v>
      </c>
      <c r="C9" s="304">
        <v>11384</v>
      </c>
      <c r="D9" s="303">
        <v>20309</v>
      </c>
      <c r="E9" s="304">
        <v>21269</v>
      </c>
      <c r="F9" s="303">
        <v>10038</v>
      </c>
      <c r="G9" s="304">
        <v>10782</v>
      </c>
      <c r="H9" s="303">
        <v>19878</v>
      </c>
      <c r="I9" s="304">
        <v>20190</v>
      </c>
      <c r="J9" s="303"/>
      <c r="K9" s="304"/>
      <c r="L9" s="303"/>
      <c r="M9" s="304"/>
      <c r="N9" s="303"/>
      <c r="O9" s="304"/>
      <c r="P9" s="303"/>
      <c r="Q9" s="304"/>
      <c r="R9" s="305"/>
      <c r="S9" s="306"/>
      <c r="T9" s="303"/>
      <c r="U9" s="306"/>
      <c r="V9" s="303"/>
      <c r="W9" s="306"/>
      <c r="X9" s="303"/>
      <c r="Y9" s="306"/>
      <c r="Z9" s="318"/>
      <c r="AA9" s="304"/>
      <c r="AB9" s="305"/>
      <c r="AC9" s="306"/>
      <c r="AD9" s="303"/>
      <c r="AE9" s="306"/>
      <c r="AF9" s="303"/>
      <c r="AG9" s="306"/>
      <c r="AH9" s="303"/>
      <c r="AI9" s="304"/>
      <c r="AJ9" s="305"/>
      <c r="AK9" s="306"/>
    </row>
    <row r="10" spans="1:37">
      <c r="A10" s="299">
        <v>8</v>
      </c>
      <c r="B10" s="303">
        <v>4920</v>
      </c>
      <c r="C10" s="304">
        <v>4920</v>
      </c>
      <c r="D10" s="303">
        <v>8910</v>
      </c>
      <c r="E10" s="304">
        <v>8610</v>
      </c>
      <c r="F10" s="303"/>
      <c r="G10" s="304"/>
      <c r="H10" s="303"/>
      <c r="I10" s="304"/>
      <c r="J10" s="303"/>
      <c r="K10" s="304"/>
      <c r="L10" s="303"/>
      <c r="M10" s="304"/>
      <c r="N10" s="303"/>
      <c r="O10" s="304"/>
      <c r="P10" s="303"/>
      <c r="Q10" s="304"/>
      <c r="R10" s="305"/>
      <c r="S10" s="306"/>
      <c r="T10" s="303"/>
      <c r="U10" s="306"/>
      <c r="V10" s="303"/>
      <c r="W10" s="306"/>
      <c r="X10" s="303"/>
      <c r="Y10" s="306"/>
      <c r="Z10" s="318"/>
      <c r="AA10" s="304"/>
      <c r="AB10" s="305"/>
      <c r="AC10" s="306"/>
      <c r="AD10" s="303"/>
      <c r="AE10" s="306"/>
      <c r="AF10" s="303"/>
      <c r="AG10" s="306"/>
      <c r="AH10" s="303"/>
      <c r="AI10" s="304"/>
      <c r="AJ10" s="305"/>
      <c r="AK10" s="306"/>
    </row>
    <row r="11" spans="1:37">
      <c r="A11" s="299">
        <v>9</v>
      </c>
      <c r="B11" s="303">
        <v>4860</v>
      </c>
      <c r="C11" s="304">
        <v>4860</v>
      </c>
      <c r="D11" s="303">
        <v>8850</v>
      </c>
      <c r="E11" s="304">
        <v>8550</v>
      </c>
      <c r="F11" s="303"/>
      <c r="G11" s="304"/>
      <c r="H11" s="303"/>
      <c r="I11" s="304"/>
      <c r="J11" s="303"/>
      <c r="K11" s="304"/>
      <c r="L11" s="303"/>
      <c r="M11" s="304"/>
      <c r="N11" s="303"/>
      <c r="O11" s="304"/>
      <c r="P11" s="303"/>
      <c r="Q11" s="304"/>
      <c r="R11" s="305"/>
      <c r="S11" s="306"/>
      <c r="T11" s="303"/>
      <c r="U11" s="306"/>
      <c r="V11" s="303"/>
      <c r="W11" s="306"/>
      <c r="X11" s="303"/>
      <c r="Y11" s="306"/>
      <c r="Z11" s="318"/>
      <c r="AA11" s="304"/>
      <c r="AB11" s="305"/>
      <c r="AC11" s="306"/>
      <c r="AD11" s="303"/>
      <c r="AE11" s="306"/>
      <c r="AF11" s="303"/>
      <c r="AG11" s="306"/>
      <c r="AH11" s="303"/>
      <c r="AI11" s="304"/>
      <c r="AJ11" s="305"/>
      <c r="AK11" s="306"/>
    </row>
    <row r="12" spans="1:37">
      <c r="A12" s="299">
        <v>10</v>
      </c>
      <c r="B12" s="303">
        <v>4860</v>
      </c>
      <c r="C12" s="304">
        <v>4860</v>
      </c>
      <c r="D12" s="303">
        <v>8850</v>
      </c>
      <c r="E12" s="304">
        <v>8550</v>
      </c>
      <c r="F12" s="303"/>
      <c r="G12" s="304"/>
      <c r="H12" s="303"/>
      <c r="I12" s="304"/>
      <c r="J12" s="303"/>
      <c r="K12" s="304"/>
      <c r="L12" s="303"/>
      <c r="M12" s="304"/>
      <c r="N12" s="303"/>
      <c r="O12" s="304"/>
      <c r="P12" s="303"/>
      <c r="Q12" s="304"/>
      <c r="R12" s="305"/>
      <c r="S12" s="306"/>
      <c r="T12" s="303"/>
      <c r="U12" s="306"/>
      <c r="V12" s="303"/>
      <c r="W12" s="306"/>
      <c r="X12" s="303"/>
      <c r="Y12" s="306"/>
      <c r="Z12" s="318"/>
      <c r="AA12" s="304"/>
      <c r="AB12" s="305"/>
      <c r="AC12" s="306"/>
      <c r="AD12" s="303"/>
      <c r="AE12" s="306"/>
      <c r="AF12" s="303"/>
      <c r="AG12" s="306"/>
      <c r="AH12" s="303"/>
      <c r="AI12" s="304"/>
      <c r="AJ12" s="305"/>
      <c r="AK12" s="306"/>
    </row>
    <row r="13" spans="1:37">
      <c r="A13" s="299">
        <v>12</v>
      </c>
      <c r="B13" s="303">
        <v>4770</v>
      </c>
      <c r="C13" s="304">
        <v>4770</v>
      </c>
      <c r="D13" s="303">
        <v>8760</v>
      </c>
      <c r="E13" s="304">
        <v>8460</v>
      </c>
      <c r="F13" s="303"/>
      <c r="G13" s="304"/>
      <c r="H13" s="303"/>
      <c r="I13" s="304"/>
      <c r="J13" s="303"/>
      <c r="K13" s="304"/>
      <c r="L13" s="303"/>
      <c r="M13" s="304"/>
      <c r="N13" s="303"/>
      <c r="O13" s="304"/>
      <c r="P13" s="303"/>
      <c r="Q13" s="304"/>
      <c r="R13" s="305"/>
      <c r="S13" s="306"/>
      <c r="T13" s="303"/>
      <c r="U13" s="306"/>
      <c r="V13" s="303"/>
      <c r="W13" s="306"/>
      <c r="X13" s="303"/>
      <c r="Y13" s="306"/>
      <c r="Z13" s="318"/>
      <c r="AA13" s="304"/>
      <c r="AB13" s="305"/>
      <c r="AC13" s="306"/>
      <c r="AD13" s="303"/>
      <c r="AE13" s="306"/>
      <c r="AF13" s="303"/>
      <c r="AG13" s="306"/>
      <c r="AH13" s="303"/>
      <c r="AI13" s="304"/>
      <c r="AJ13" s="305"/>
      <c r="AK13" s="306"/>
    </row>
    <row r="14" spans="1:37">
      <c r="A14" s="299">
        <v>13</v>
      </c>
      <c r="B14" s="303">
        <v>4900</v>
      </c>
      <c r="C14" s="304">
        <v>4900</v>
      </c>
      <c r="D14" s="303">
        <v>8820</v>
      </c>
      <c r="E14" s="304">
        <v>8520</v>
      </c>
      <c r="F14" s="303"/>
      <c r="G14" s="304"/>
      <c r="H14" s="303"/>
      <c r="I14" s="304"/>
      <c r="J14" s="303"/>
      <c r="K14" s="304"/>
      <c r="L14" s="303"/>
      <c r="M14" s="304"/>
      <c r="N14" s="303"/>
      <c r="O14" s="304"/>
      <c r="P14" s="303"/>
      <c r="Q14" s="304"/>
      <c r="R14" s="305"/>
      <c r="S14" s="306"/>
      <c r="T14" s="303"/>
      <c r="U14" s="306"/>
      <c r="V14" s="303"/>
      <c r="W14" s="306"/>
      <c r="X14" s="303"/>
      <c r="Y14" s="306"/>
      <c r="Z14" s="318"/>
      <c r="AA14" s="304"/>
      <c r="AB14" s="305"/>
      <c r="AC14" s="306"/>
      <c r="AD14" s="303"/>
      <c r="AE14" s="306"/>
      <c r="AF14" s="303"/>
      <c r="AG14" s="306"/>
      <c r="AH14" s="303"/>
      <c r="AI14" s="304"/>
      <c r="AJ14" s="305"/>
      <c r="AK14" s="306"/>
    </row>
    <row r="15" spans="1:37">
      <c r="A15" s="299">
        <v>15</v>
      </c>
      <c r="B15" s="303">
        <v>9190</v>
      </c>
      <c r="C15" s="304">
        <v>8890</v>
      </c>
      <c r="D15" s="303">
        <v>15190</v>
      </c>
      <c r="E15" s="304">
        <v>14890</v>
      </c>
      <c r="F15" s="303"/>
      <c r="G15" s="304"/>
      <c r="H15" s="303"/>
      <c r="I15" s="304"/>
      <c r="J15" s="303"/>
      <c r="K15" s="304"/>
      <c r="L15" s="303"/>
      <c r="M15" s="304"/>
      <c r="N15" s="303"/>
      <c r="O15" s="304"/>
      <c r="P15" s="303"/>
      <c r="Q15" s="304"/>
      <c r="R15" s="305"/>
      <c r="S15" s="306"/>
      <c r="T15" s="303"/>
      <c r="U15" s="306"/>
      <c r="V15" s="303"/>
      <c r="W15" s="306"/>
      <c r="X15" s="303"/>
      <c r="Y15" s="306"/>
      <c r="Z15" s="318"/>
      <c r="AA15" s="304"/>
      <c r="AB15" s="305"/>
      <c r="AC15" s="306"/>
      <c r="AD15" s="303"/>
      <c r="AE15" s="306"/>
      <c r="AF15" s="303"/>
      <c r="AG15" s="306"/>
      <c r="AH15" s="303"/>
      <c r="AI15" s="304"/>
      <c r="AJ15" s="305"/>
      <c r="AK15" s="306"/>
    </row>
    <row r="16" spans="1:37">
      <c r="A16" s="298" t="s">
        <v>87</v>
      </c>
      <c r="B16" s="549"/>
      <c r="C16" s="550"/>
      <c r="D16" s="549"/>
      <c r="E16" s="550"/>
      <c r="F16" s="549"/>
      <c r="G16" s="550"/>
      <c r="H16" s="549"/>
      <c r="I16" s="550"/>
      <c r="J16" s="549"/>
      <c r="K16" s="550"/>
      <c r="L16" s="549"/>
      <c r="M16" s="550"/>
      <c r="N16" s="549"/>
      <c r="O16" s="550"/>
      <c r="P16" s="549"/>
      <c r="Q16" s="550"/>
      <c r="R16" s="553"/>
      <c r="S16" s="554"/>
      <c r="T16" s="549"/>
      <c r="U16" s="554"/>
      <c r="V16" s="549"/>
      <c r="W16" s="554"/>
      <c r="X16" s="549"/>
      <c r="Y16" s="554"/>
      <c r="Z16" s="557"/>
      <c r="AA16" s="550"/>
      <c r="AB16" s="553"/>
      <c r="AC16" s="554"/>
      <c r="AD16" s="549"/>
      <c r="AE16" s="554"/>
      <c r="AF16" s="549"/>
      <c r="AG16" s="554"/>
      <c r="AH16" s="549"/>
      <c r="AI16" s="550"/>
      <c r="AJ16" s="553"/>
      <c r="AK16" s="554"/>
    </row>
    <row r="17" spans="1:37">
      <c r="A17" s="299">
        <v>1</v>
      </c>
      <c r="B17" s="303">
        <v>9385</v>
      </c>
      <c r="C17" s="304">
        <v>9572</v>
      </c>
      <c r="D17" s="303">
        <v>25873</v>
      </c>
      <c r="E17" s="304">
        <v>26389</v>
      </c>
      <c r="F17" s="303">
        <v>11789</v>
      </c>
      <c r="G17" s="304">
        <v>12024</v>
      </c>
      <c r="H17" s="303">
        <v>29494</v>
      </c>
      <c r="I17" s="304">
        <v>30084</v>
      </c>
      <c r="J17" s="303">
        <v>13283</v>
      </c>
      <c r="K17" s="304">
        <v>13707</v>
      </c>
      <c r="L17" s="303">
        <v>29791</v>
      </c>
      <c r="M17" s="304">
        <v>30528</v>
      </c>
      <c r="N17" s="303"/>
      <c r="O17" s="304"/>
      <c r="P17" s="303"/>
      <c r="Q17" s="304"/>
      <c r="R17" s="305"/>
      <c r="S17" s="306"/>
      <c r="T17" s="303"/>
      <c r="U17" s="306"/>
      <c r="V17" s="303"/>
      <c r="W17" s="306"/>
      <c r="X17" s="303"/>
      <c r="Y17" s="306"/>
      <c r="Z17" s="318"/>
      <c r="AA17" s="304"/>
      <c r="AB17" s="305"/>
      <c r="AC17" s="306"/>
      <c r="AD17" s="303"/>
      <c r="AE17" s="306"/>
      <c r="AF17" s="303"/>
      <c r="AG17" s="306"/>
      <c r="AH17" s="303"/>
      <c r="AI17" s="304"/>
      <c r="AJ17" s="305"/>
      <c r="AK17" s="306"/>
    </row>
    <row r="18" spans="1:37">
      <c r="A18" s="299">
        <v>2</v>
      </c>
      <c r="B18" s="303">
        <v>9529</v>
      </c>
      <c r="C18" s="304">
        <v>9529</v>
      </c>
      <c r="D18" s="303">
        <v>21784</v>
      </c>
      <c r="E18" s="304">
        <v>21784</v>
      </c>
      <c r="F18" s="303">
        <v>10119</v>
      </c>
      <c r="G18" s="304">
        <v>10119</v>
      </c>
      <c r="H18" s="303">
        <v>19839</v>
      </c>
      <c r="I18" s="304">
        <v>19839</v>
      </c>
      <c r="J18" s="303">
        <v>13693</v>
      </c>
      <c r="K18" s="304">
        <v>13693</v>
      </c>
      <c r="L18" s="303">
        <v>26448</v>
      </c>
      <c r="M18" s="304">
        <v>26448</v>
      </c>
      <c r="N18" s="303"/>
      <c r="O18" s="304"/>
      <c r="P18" s="303"/>
      <c r="Q18" s="304"/>
      <c r="R18" s="305"/>
      <c r="S18" s="306"/>
      <c r="T18" s="303"/>
      <c r="U18" s="306"/>
      <c r="V18" s="303"/>
      <c r="W18" s="306"/>
      <c r="X18" s="303"/>
      <c r="Y18" s="306"/>
      <c r="Z18" s="318"/>
      <c r="AA18" s="304"/>
      <c r="AB18" s="305"/>
      <c r="AC18" s="306"/>
      <c r="AD18" s="303"/>
      <c r="AE18" s="306"/>
      <c r="AF18" s="303"/>
      <c r="AG18" s="306"/>
      <c r="AH18" s="303"/>
      <c r="AI18" s="304"/>
      <c r="AJ18" s="305"/>
      <c r="AK18" s="306"/>
    </row>
    <row r="19" spans="1:37">
      <c r="A19" s="299">
        <v>3</v>
      </c>
      <c r="B19" s="303">
        <v>9188</v>
      </c>
      <c r="C19" s="304">
        <v>9539</v>
      </c>
      <c r="D19" s="303">
        <v>15998</v>
      </c>
      <c r="E19" s="304">
        <v>16433</v>
      </c>
      <c r="F19" s="303">
        <v>8633</v>
      </c>
      <c r="G19" s="304">
        <v>8944</v>
      </c>
      <c r="H19" s="303">
        <v>15324</v>
      </c>
      <c r="I19" s="304">
        <v>15694</v>
      </c>
      <c r="J19" s="303"/>
      <c r="K19" s="304"/>
      <c r="L19" s="303"/>
      <c r="M19" s="304"/>
      <c r="N19" s="303"/>
      <c r="O19" s="304"/>
      <c r="P19" s="303"/>
      <c r="Q19" s="304"/>
      <c r="R19" s="305"/>
      <c r="S19" s="306"/>
      <c r="T19" s="303"/>
      <c r="U19" s="306"/>
      <c r="V19" s="303"/>
      <c r="W19" s="306"/>
      <c r="X19" s="303"/>
      <c r="Y19" s="306"/>
      <c r="Z19" s="318"/>
      <c r="AA19" s="304"/>
      <c r="AB19" s="305"/>
      <c r="AC19" s="306"/>
      <c r="AD19" s="303"/>
      <c r="AE19" s="306"/>
      <c r="AF19" s="303"/>
      <c r="AG19" s="306"/>
      <c r="AH19" s="303"/>
      <c r="AI19" s="304"/>
      <c r="AJ19" s="305"/>
      <c r="AK19" s="306"/>
    </row>
    <row r="20" spans="1:37">
      <c r="A20" s="299">
        <v>4</v>
      </c>
      <c r="B20" s="303">
        <v>8811</v>
      </c>
      <c r="C20" s="304">
        <v>9310</v>
      </c>
      <c r="D20" s="303">
        <v>13480</v>
      </c>
      <c r="E20" s="304">
        <v>13879</v>
      </c>
      <c r="F20" s="303">
        <v>8766</v>
      </c>
      <c r="G20" s="304">
        <v>9223</v>
      </c>
      <c r="H20" s="303">
        <v>12606</v>
      </c>
      <c r="I20" s="304">
        <v>13176</v>
      </c>
      <c r="J20" s="303"/>
      <c r="K20" s="304"/>
      <c r="L20" s="303"/>
      <c r="M20" s="304"/>
      <c r="N20" s="303"/>
      <c r="O20" s="304"/>
      <c r="P20" s="303"/>
      <c r="Q20" s="304"/>
      <c r="R20" s="305"/>
      <c r="S20" s="306"/>
      <c r="T20" s="303"/>
      <c r="U20" s="306"/>
      <c r="V20" s="303"/>
      <c r="W20" s="306"/>
      <c r="X20" s="303"/>
      <c r="Y20" s="306"/>
      <c r="Z20" s="318"/>
      <c r="AA20" s="304"/>
      <c r="AB20" s="305"/>
      <c r="AC20" s="306"/>
      <c r="AD20" s="303"/>
      <c r="AE20" s="306"/>
      <c r="AF20" s="303"/>
      <c r="AG20" s="306"/>
      <c r="AH20" s="303"/>
      <c r="AI20" s="304"/>
      <c r="AJ20" s="305"/>
      <c r="AK20" s="306"/>
    </row>
    <row r="21" spans="1:37">
      <c r="A21" s="299">
        <v>6</v>
      </c>
      <c r="B21" s="303">
        <v>7701.5</v>
      </c>
      <c r="C21" s="304">
        <v>7701.5</v>
      </c>
      <c r="D21" s="303">
        <v>15501.5</v>
      </c>
      <c r="E21" s="304">
        <v>15501.5</v>
      </c>
      <c r="F21" s="303">
        <v>8838</v>
      </c>
      <c r="G21" s="304">
        <v>8838</v>
      </c>
      <c r="H21" s="303">
        <v>14994</v>
      </c>
      <c r="I21" s="304">
        <v>14994</v>
      </c>
      <c r="J21" s="303"/>
      <c r="K21" s="304"/>
      <c r="L21" s="303"/>
      <c r="M21" s="304"/>
      <c r="N21" s="303"/>
      <c r="O21" s="304"/>
      <c r="P21" s="303"/>
      <c r="Q21" s="304"/>
      <c r="R21" s="305"/>
      <c r="S21" s="306"/>
      <c r="T21" s="303"/>
      <c r="U21" s="306"/>
      <c r="V21" s="303"/>
      <c r="W21" s="306"/>
      <c r="X21" s="303"/>
      <c r="Y21" s="306"/>
      <c r="Z21" s="318"/>
      <c r="AA21" s="304"/>
      <c r="AB21" s="305"/>
      <c r="AC21" s="306"/>
      <c r="AD21" s="303"/>
      <c r="AE21" s="306"/>
      <c r="AF21" s="303"/>
      <c r="AG21" s="306"/>
      <c r="AH21" s="303"/>
      <c r="AI21" s="304"/>
      <c r="AJ21" s="305"/>
      <c r="AK21" s="306"/>
    </row>
    <row r="22" spans="1:37">
      <c r="A22" s="299">
        <v>8</v>
      </c>
      <c r="B22" s="303">
        <v>3258</v>
      </c>
      <c r="C22" s="304">
        <v>3288</v>
      </c>
      <c r="D22" s="303">
        <v>5508</v>
      </c>
      <c r="E22" s="304">
        <v>5538</v>
      </c>
      <c r="F22" s="303"/>
      <c r="G22" s="304"/>
      <c r="H22" s="303"/>
      <c r="I22" s="304"/>
      <c r="J22" s="303"/>
      <c r="K22" s="304"/>
      <c r="L22" s="303"/>
      <c r="M22" s="304"/>
      <c r="N22" s="303"/>
      <c r="O22" s="304"/>
      <c r="P22" s="303"/>
      <c r="Q22" s="304"/>
      <c r="R22" s="305"/>
      <c r="S22" s="306"/>
      <c r="T22" s="303"/>
      <c r="U22" s="306"/>
      <c r="V22" s="303"/>
      <c r="W22" s="306"/>
      <c r="X22" s="303"/>
      <c r="Y22" s="306"/>
      <c r="Z22" s="318"/>
      <c r="AA22" s="304"/>
      <c r="AB22" s="305"/>
      <c r="AC22" s="306"/>
      <c r="AD22" s="303"/>
      <c r="AE22" s="306"/>
      <c r="AF22" s="303"/>
      <c r="AG22" s="306"/>
      <c r="AH22" s="303"/>
      <c r="AI22" s="304"/>
      <c r="AJ22" s="305"/>
      <c r="AK22" s="306"/>
    </row>
    <row r="23" spans="1:37">
      <c r="A23" s="299">
        <v>9</v>
      </c>
      <c r="B23" s="303">
        <v>4665</v>
      </c>
      <c r="C23" s="304">
        <v>4665</v>
      </c>
      <c r="D23" s="303">
        <v>6360</v>
      </c>
      <c r="E23" s="304">
        <v>6360</v>
      </c>
      <c r="F23" s="303"/>
      <c r="G23" s="304"/>
      <c r="H23" s="303"/>
      <c r="I23" s="304"/>
      <c r="J23" s="303"/>
      <c r="K23" s="304"/>
      <c r="L23" s="303"/>
      <c r="M23" s="304"/>
      <c r="N23" s="303"/>
      <c r="O23" s="304"/>
      <c r="P23" s="303"/>
      <c r="Q23" s="304"/>
      <c r="R23" s="305"/>
      <c r="S23" s="306"/>
      <c r="T23" s="303"/>
      <c r="U23" s="306"/>
      <c r="V23" s="303"/>
      <c r="W23" s="306"/>
      <c r="X23" s="303"/>
      <c r="Y23" s="306"/>
      <c r="Z23" s="318"/>
      <c r="AA23" s="304"/>
      <c r="AB23" s="305"/>
      <c r="AC23" s="306"/>
      <c r="AD23" s="303"/>
      <c r="AE23" s="306"/>
      <c r="AF23" s="303"/>
      <c r="AG23" s="306"/>
      <c r="AH23" s="303"/>
      <c r="AI23" s="304"/>
      <c r="AJ23" s="305"/>
      <c r="AK23" s="306"/>
    </row>
    <row r="24" spans="1:37">
      <c r="A24" s="299">
        <v>10</v>
      </c>
      <c r="B24" s="303">
        <v>3570</v>
      </c>
      <c r="C24" s="304">
        <v>3570</v>
      </c>
      <c r="D24" s="303">
        <v>5400</v>
      </c>
      <c r="E24" s="304">
        <v>5400</v>
      </c>
      <c r="F24" s="303"/>
      <c r="G24" s="304"/>
      <c r="H24" s="303"/>
      <c r="I24" s="304"/>
      <c r="J24" s="303"/>
      <c r="K24" s="304"/>
      <c r="L24" s="303"/>
      <c r="M24" s="304"/>
      <c r="N24" s="303"/>
      <c r="O24" s="304"/>
      <c r="P24" s="303"/>
      <c r="Q24" s="304"/>
      <c r="R24" s="305"/>
      <c r="S24" s="306"/>
      <c r="T24" s="303"/>
      <c r="U24" s="306"/>
      <c r="V24" s="303"/>
      <c r="W24" s="306"/>
      <c r="X24" s="303"/>
      <c r="Y24" s="306"/>
      <c r="Z24" s="318"/>
      <c r="AA24" s="304"/>
      <c r="AB24" s="305"/>
      <c r="AC24" s="306"/>
      <c r="AD24" s="303"/>
      <c r="AE24" s="306"/>
      <c r="AF24" s="303"/>
      <c r="AG24" s="306"/>
      <c r="AH24" s="303"/>
      <c r="AI24" s="304"/>
      <c r="AJ24" s="305"/>
      <c r="AK24" s="306"/>
    </row>
    <row r="25" spans="1:37">
      <c r="A25" s="299">
        <v>15</v>
      </c>
      <c r="B25" s="303">
        <v>7658</v>
      </c>
      <c r="C25" s="304">
        <v>7528</v>
      </c>
      <c r="D25" s="303">
        <v>15386</v>
      </c>
      <c r="E25" s="304">
        <v>15256</v>
      </c>
      <c r="F25" s="303">
        <v>8606</v>
      </c>
      <c r="G25" s="304">
        <v>8476</v>
      </c>
      <c r="H25" s="303">
        <v>16688</v>
      </c>
      <c r="I25" s="304">
        <v>16558</v>
      </c>
      <c r="J25" s="303"/>
      <c r="K25" s="304"/>
      <c r="L25" s="303"/>
      <c r="M25" s="304"/>
      <c r="N25" s="303">
        <v>34668</v>
      </c>
      <c r="O25" s="304">
        <v>34538</v>
      </c>
      <c r="P25" s="303">
        <v>66838</v>
      </c>
      <c r="Q25" s="304">
        <v>66708</v>
      </c>
      <c r="R25" s="305"/>
      <c r="S25" s="306"/>
      <c r="T25" s="303"/>
      <c r="U25" s="306"/>
      <c r="V25" s="303">
        <v>20938</v>
      </c>
      <c r="W25" s="306">
        <v>20808</v>
      </c>
      <c r="X25" s="303">
        <v>40218</v>
      </c>
      <c r="Y25" s="306">
        <v>40088</v>
      </c>
      <c r="Z25" s="318"/>
      <c r="AA25" s="304"/>
      <c r="AB25" s="305"/>
      <c r="AC25" s="306"/>
      <c r="AD25" s="303"/>
      <c r="AE25" s="306"/>
      <c r="AF25" s="303"/>
      <c r="AG25" s="306"/>
      <c r="AH25" s="303"/>
      <c r="AI25" s="304"/>
      <c r="AJ25" s="305"/>
      <c r="AK25" s="306"/>
    </row>
    <row r="26" spans="1:37">
      <c r="A26" s="298" t="s">
        <v>117</v>
      </c>
      <c r="B26" s="549"/>
      <c r="C26" s="550"/>
      <c r="D26" s="549"/>
      <c r="E26" s="550"/>
      <c r="F26" s="549"/>
      <c r="G26" s="550"/>
      <c r="H26" s="549"/>
      <c r="I26" s="550"/>
      <c r="J26" s="549"/>
      <c r="K26" s="550"/>
      <c r="L26" s="549"/>
      <c r="M26" s="550"/>
      <c r="N26" s="549"/>
      <c r="O26" s="550"/>
      <c r="P26" s="549"/>
      <c r="Q26" s="550"/>
      <c r="R26" s="553"/>
      <c r="S26" s="554"/>
      <c r="T26" s="549"/>
      <c r="U26" s="554"/>
      <c r="V26" s="549"/>
      <c r="W26" s="554"/>
      <c r="X26" s="549"/>
      <c r="Y26" s="554"/>
      <c r="Z26" s="557"/>
      <c r="AA26" s="550"/>
      <c r="AB26" s="553"/>
      <c r="AC26" s="554"/>
      <c r="AD26" s="549"/>
      <c r="AE26" s="554"/>
      <c r="AF26" s="549"/>
      <c r="AG26" s="554"/>
      <c r="AH26" s="549"/>
      <c r="AI26" s="550"/>
      <c r="AJ26" s="553"/>
      <c r="AK26" s="554"/>
    </row>
    <row r="27" spans="1:37">
      <c r="A27" s="299">
        <v>1</v>
      </c>
      <c r="B27" s="303">
        <v>14660</v>
      </c>
      <c r="C27" s="304">
        <v>15020</v>
      </c>
      <c r="D27" s="303">
        <v>36090</v>
      </c>
      <c r="E27" s="304">
        <v>36880</v>
      </c>
      <c r="F27" s="303">
        <v>35192</v>
      </c>
      <c r="G27" s="304">
        <v>18128</v>
      </c>
      <c r="H27" s="303">
        <v>35192</v>
      </c>
      <c r="I27" s="304">
        <v>18128</v>
      </c>
      <c r="J27" s="303"/>
      <c r="K27" s="304"/>
      <c r="L27" s="303"/>
      <c r="M27" s="304"/>
      <c r="N27" s="303"/>
      <c r="O27" s="304"/>
      <c r="P27" s="303"/>
      <c r="Q27" s="304"/>
      <c r="R27" s="305"/>
      <c r="S27" s="306"/>
      <c r="T27" s="303"/>
      <c r="U27" s="306"/>
      <c r="V27" s="303"/>
      <c r="W27" s="306"/>
      <c r="X27" s="303"/>
      <c r="Y27" s="306"/>
      <c r="Z27" s="318"/>
      <c r="AA27" s="304"/>
      <c r="AB27" s="305"/>
      <c r="AC27" s="306"/>
      <c r="AD27" s="303"/>
      <c r="AE27" s="306"/>
      <c r="AF27" s="303"/>
      <c r="AG27" s="306"/>
      <c r="AH27" s="303"/>
      <c r="AI27" s="304"/>
      <c r="AJ27" s="305"/>
      <c r="AK27" s="306"/>
    </row>
    <row r="28" spans="1:37">
      <c r="A28" s="299">
        <v>3</v>
      </c>
      <c r="B28" s="303">
        <v>8358</v>
      </c>
      <c r="C28" s="304">
        <v>8358</v>
      </c>
      <c r="D28" s="303">
        <v>18280</v>
      </c>
      <c r="E28" s="304">
        <v>18280</v>
      </c>
      <c r="F28" s="303">
        <v>5510</v>
      </c>
      <c r="G28" s="304">
        <v>5510</v>
      </c>
      <c r="H28" s="303">
        <v>11726</v>
      </c>
      <c r="I28" s="304">
        <v>11726</v>
      </c>
      <c r="J28" s="303"/>
      <c r="K28" s="304"/>
      <c r="L28" s="303"/>
      <c r="M28" s="304"/>
      <c r="N28" s="303"/>
      <c r="O28" s="304"/>
      <c r="P28" s="303"/>
      <c r="Q28" s="304"/>
      <c r="R28" s="305"/>
      <c r="S28" s="306"/>
      <c r="T28" s="303"/>
      <c r="U28" s="306"/>
      <c r="V28" s="303"/>
      <c r="W28" s="306"/>
      <c r="X28" s="303"/>
      <c r="Y28" s="306"/>
      <c r="Z28" s="318"/>
      <c r="AA28" s="304"/>
      <c r="AB28" s="305"/>
      <c r="AC28" s="306"/>
      <c r="AD28" s="303"/>
      <c r="AE28" s="306"/>
      <c r="AF28" s="303"/>
      <c r="AG28" s="306"/>
      <c r="AH28" s="303"/>
      <c r="AI28" s="304"/>
      <c r="AJ28" s="305"/>
      <c r="AK28" s="306"/>
    </row>
    <row r="29" spans="1:37">
      <c r="A29" s="299">
        <v>7</v>
      </c>
      <c r="B29" s="303">
        <v>4945</v>
      </c>
      <c r="C29" s="304">
        <v>4945</v>
      </c>
      <c r="D29" s="303">
        <v>11808</v>
      </c>
      <c r="E29" s="304">
        <v>11808</v>
      </c>
      <c r="F29" s="303"/>
      <c r="G29" s="304"/>
      <c r="H29" s="303"/>
      <c r="I29" s="304"/>
      <c r="J29" s="303"/>
      <c r="K29" s="304"/>
      <c r="L29" s="303"/>
      <c r="M29" s="304"/>
      <c r="N29" s="303"/>
      <c r="O29" s="304"/>
      <c r="P29" s="303"/>
      <c r="Q29" s="304"/>
      <c r="R29" s="305"/>
      <c r="S29" s="306"/>
      <c r="T29" s="303"/>
      <c r="U29" s="306"/>
      <c r="V29" s="303"/>
      <c r="W29" s="306"/>
      <c r="X29" s="303"/>
      <c r="Y29" s="306"/>
      <c r="Z29" s="318"/>
      <c r="AA29" s="304"/>
      <c r="AB29" s="305"/>
      <c r="AC29" s="306"/>
      <c r="AD29" s="303"/>
      <c r="AE29" s="306"/>
      <c r="AF29" s="303"/>
      <c r="AG29" s="306"/>
      <c r="AH29" s="303"/>
      <c r="AI29" s="304"/>
      <c r="AJ29" s="305"/>
      <c r="AK29" s="306"/>
    </row>
    <row r="30" spans="1:37">
      <c r="A30" s="298" t="s">
        <v>121</v>
      </c>
      <c r="B30" s="549"/>
      <c r="C30" s="550"/>
      <c r="D30" s="549"/>
      <c r="E30" s="550"/>
      <c r="F30" s="549"/>
      <c r="G30" s="550"/>
      <c r="H30" s="549"/>
      <c r="I30" s="550"/>
      <c r="J30" s="549"/>
      <c r="K30" s="550"/>
      <c r="L30" s="549"/>
      <c r="M30" s="550"/>
      <c r="N30" s="549"/>
      <c r="O30" s="550"/>
      <c r="P30" s="549"/>
      <c r="Q30" s="550"/>
      <c r="R30" s="553"/>
      <c r="S30" s="554"/>
      <c r="T30" s="549"/>
      <c r="U30" s="554"/>
      <c r="V30" s="549"/>
      <c r="W30" s="554"/>
      <c r="X30" s="549"/>
      <c r="Y30" s="554"/>
      <c r="Z30" s="557"/>
      <c r="AA30" s="550"/>
      <c r="AB30" s="553"/>
      <c r="AC30" s="554"/>
      <c r="AD30" s="549"/>
      <c r="AE30" s="554"/>
      <c r="AF30" s="549"/>
      <c r="AG30" s="554"/>
      <c r="AH30" s="549"/>
      <c r="AI30" s="550"/>
      <c r="AJ30" s="553"/>
      <c r="AK30" s="554"/>
    </row>
    <row r="31" spans="1:37">
      <c r="A31" s="299">
        <v>7</v>
      </c>
      <c r="B31" s="303">
        <v>3129</v>
      </c>
      <c r="C31" s="304">
        <v>3129</v>
      </c>
      <c r="D31" s="303">
        <v>11779.05</v>
      </c>
      <c r="E31" s="304">
        <v>11779.05</v>
      </c>
      <c r="F31" s="303"/>
      <c r="G31" s="304"/>
      <c r="H31" s="303"/>
      <c r="I31" s="304"/>
      <c r="J31" s="303"/>
      <c r="K31" s="304"/>
      <c r="L31" s="303"/>
      <c r="M31" s="304"/>
      <c r="N31" s="303"/>
      <c r="O31" s="304"/>
      <c r="P31" s="303"/>
      <c r="Q31" s="304"/>
      <c r="R31" s="305"/>
      <c r="S31" s="306"/>
      <c r="T31" s="303"/>
      <c r="U31" s="306"/>
      <c r="V31" s="303"/>
      <c r="W31" s="306"/>
      <c r="X31" s="303"/>
      <c r="Y31" s="306"/>
      <c r="Z31" s="318"/>
      <c r="AA31" s="304"/>
      <c r="AB31" s="305"/>
      <c r="AC31" s="306"/>
      <c r="AD31" s="303"/>
      <c r="AE31" s="306"/>
      <c r="AF31" s="303"/>
      <c r="AG31" s="306"/>
      <c r="AH31" s="303"/>
      <c r="AI31" s="304"/>
      <c r="AJ31" s="305"/>
      <c r="AK31" s="306"/>
    </row>
    <row r="32" spans="1:37">
      <c r="A32" s="299">
        <v>8</v>
      </c>
      <c r="B32" s="303">
        <v>3070.2</v>
      </c>
      <c r="C32" s="304">
        <v>3070.2</v>
      </c>
      <c r="D32" s="303">
        <v>11495.1</v>
      </c>
      <c r="E32" s="304">
        <v>11495.1</v>
      </c>
      <c r="F32" s="303"/>
      <c r="G32" s="304"/>
      <c r="H32" s="303"/>
      <c r="I32" s="304"/>
      <c r="J32" s="303"/>
      <c r="K32" s="304"/>
      <c r="L32" s="303"/>
      <c r="M32" s="304"/>
      <c r="N32" s="303"/>
      <c r="O32" s="304"/>
      <c r="P32" s="303"/>
      <c r="Q32" s="304"/>
      <c r="R32" s="305"/>
      <c r="S32" s="306"/>
      <c r="T32" s="303"/>
      <c r="U32" s="306"/>
      <c r="V32" s="303"/>
      <c r="W32" s="306"/>
      <c r="X32" s="303"/>
      <c r="Y32" s="306"/>
      <c r="Z32" s="318"/>
      <c r="AA32" s="304"/>
      <c r="AB32" s="305"/>
      <c r="AC32" s="306"/>
      <c r="AD32" s="303"/>
      <c r="AE32" s="306"/>
      <c r="AF32" s="303"/>
      <c r="AG32" s="306"/>
      <c r="AH32" s="303"/>
      <c r="AI32" s="304"/>
      <c r="AJ32" s="305"/>
      <c r="AK32" s="306"/>
    </row>
    <row r="33" spans="1:37">
      <c r="A33" s="299">
        <v>10</v>
      </c>
      <c r="B33" s="303">
        <v>3135.3</v>
      </c>
      <c r="C33" s="304">
        <v>2914.8</v>
      </c>
      <c r="D33" s="303">
        <v>12525.45</v>
      </c>
      <c r="E33" s="304">
        <v>11572.95</v>
      </c>
      <c r="F33" s="303"/>
      <c r="G33" s="304"/>
      <c r="H33" s="303"/>
      <c r="I33" s="304"/>
      <c r="J33" s="303"/>
      <c r="K33" s="304"/>
      <c r="L33" s="303"/>
      <c r="M33" s="304"/>
      <c r="N33" s="303"/>
      <c r="O33" s="304"/>
      <c r="P33" s="303"/>
      <c r="Q33" s="304"/>
      <c r="R33" s="305"/>
      <c r="S33" s="306"/>
      <c r="T33" s="303"/>
      <c r="U33" s="306"/>
      <c r="V33" s="303"/>
      <c r="W33" s="306"/>
      <c r="X33" s="303"/>
      <c r="Y33" s="306"/>
      <c r="Z33" s="318"/>
      <c r="AA33" s="304"/>
      <c r="AB33" s="305"/>
      <c r="AC33" s="306"/>
      <c r="AD33" s="303"/>
      <c r="AE33" s="306"/>
      <c r="AF33" s="303"/>
      <c r="AG33" s="306"/>
      <c r="AH33" s="303"/>
      <c r="AI33" s="304"/>
      <c r="AJ33" s="305"/>
      <c r="AK33" s="306"/>
    </row>
    <row r="34" spans="1:37">
      <c r="A34" s="298" t="s">
        <v>148</v>
      </c>
      <c r="B34" s="549"/>
      <c r="C34" s="550"/>
      <c r="D34" s="549"/>
      <c r="E34" s="550"/>
      <c r="F34" s="549"/>
      <c r="G34" s="550"/>
      <c r="H34" s="549"/>
      <c r="I34" s="550"/>
      <c r="J34" s="549"/>
      <c r="K34" s="550"/>
      <c r="L34" s="549"/>
      <c r="M34" s="550"/>
      <c r="N34" s="549"/>
      <c r="O34" s="550"/>
      <c r="P34" s="549"/>
      <c r="Q34" s="550"/>
      <c r="R34" s="553"/>
      <c r="S34" s="554"/>
      <c r="T34" s="549"/>
      <c r="U34" s="554"/>
      <c r="V34" s="549"/>
      <c r="W34" s="554"/>
      <c r="X34" s="549"/>
      <c r="Y34" s="554"/>
      <c r="Z34" s="557"/>
      <c r="AA34" s="550"/>
      <c r="AB34" s="553"/>
      <c r="AC34" s="554"/>
      <c r="AD34" s="549"/>
      <c r="AE34" s="554"/>
      <c r="AF34" s="549"/>
      <c r="AG34" s="554"/>
      <c r="AH34" s="549"/>
      <c r="AI34" s="550"/>
      <c r="AJ34" s="553"/>
      <c r="AK34" s="554"/>
    </row>
    <row r="35" spans="1:37">
      <c r="A35" s="299">
        <v>1</v>
      </c>
      <c r="B35" s="303">
        <v>11578</v>
      </c>
      <c r="C35" s="304">
        <v>11578</v>
      </c>
      <c r="D35" s="303">
        <v>30617</v>
      </c>
      <c r="E35" s="304">
        <v>30617</v>
      </c>
      <c r="F35" s="303">
        <v>11424</v>
      </c>
      <c r="G35" s="304">
        <v>11424</v>
      </c>
      <c r="H35" s="303">
        <v>29910</v>
      </c>
      <c r="I35" s="304">
        <v>29910</v>
      </c>
      <c r="J35" s="303">
        <v>18895</v>
      </c>
      <c r="K35" s="304">
        <v>21104</v>
      </c>
      <c r="L35" s="303">
        <v>38078</v>
      </c>
      <c r="M35" s="304">
        <v>40267</v>
      </c>
      <c r="N35" s="303"/>
      <c r="O35" s="304"/>
      <c r="P35" s="303"/>
      <c r="Q35" s="304"/>
      <c r="R35" s="305"/>
      <c r="S35" s="306"/>
      <c r="T35" s="303"/>
      <c r="U35" s="306"/>
      <c r="V35" s="303">
        <v>18926</v>
      </c>
      <c r="W35" s="306">
        <v>20892</v>
      </c>
      <c r="X35" s="303">
        <v>39634</v>
      </c>
      <c r="Y35" s="306">
        <v>41600</v>
      </c>
      <c r="Z35" s="318"/>
      <c r="AA35" s="304"/>
      <c r="AB35" s="305"/>
      <c r="AC35" s="306"/>
      <c r="AD35" s="303"/>
      <c r="AE35" s="306"/>
      <c r="AF35" s="303"/>
      <c r="AG35" s="306"/>
      <c r="AH35" s="303">
        <v>19804</v>
      </c>
      <c r="AI35" s="304">
        <v>21770</v>
      </c>
      <c r="AJ35" s="305">
        <v>49466</v>
      </c>
      <c r="AK35" s="306">
        <v>51432</v>
      </c>
    </row>
    <row r="36" spans="1:37">
      <c r="A36" s="299">
        <v>2</v>
      </c>
      <c r="B36" s="303">
        <v>12852</v>
      </c>
      <c r="C36" s="304">
        <v>12852</v>
      </c>
      <c r="D36" s="303">
        <v>33964</v>
      </c>
      <c r="E36" s="304">
        <v>33964</v>
      </c>
      <c r="F36" s="303">
        <v>16258</v>
      </c>
      <c r="G36" s="304">
        <v>17346</v>
      </c>
      <c r="H36" s="303">
        <v>31334</v>
      </c>
      <c r="I36" s="304">
        <v>32422</v>
      </c>
      <c r="J36" s="303"/>
      <c r="K36" s="304"/>
      <c r="L36" s="303"/>
      <c r="M36" s="304"/>
      <c r="N36" s="303"/>
      <c r="O36" s="304"/>
      <c r="P36" s="303"/>
      <c r="Q36" s="304"/>
      <c r="R36" s="305"/>
      <c r="S36" s="306"/>
      <c r="T36" s="303"/>
      <c r="U36" s="306"/>
      <c r="V36" s="303"/>
      <c r="W36" s="306"/>
      <c r="X36" s="303"/>
      <c r="Y36" s="306"/>
      <c r="Z36" s="318"/>
      <c r="AA36" s="304"/>
      <c r="AB36" s="305"/>
      <c r="AC36" s="306"/>
      <c r="AD36" s="303"/>
      <c r="AE36" s="306"/>
      <c r="AF36" s="303"/>
      <c r="AG36" s="306"/>
      <c r="AH36" s="303"/>
      <c r="AI36" s="304"/>
      <c r="AJ36" s="305"/>
      <c r="AK36" s="306"/>
    </row>
    <row r="37" spans="1:37">
      <c r="A37" s="299">
        <v>3</v>
      </c>
      <c r="B37" s="303">
        <v>7596</v>
      </c>
      <c r="C37" s="304">
        <v>7596</v>
      </c>
      <c r="D37" s="303">
        <v>21463</v>
      </c>
      <c r="E37" s="304">
        <v>21463</v>
      </c>
      <c r="F37" s="303">
        <v>8523</v>
      </c>
      <c r="G37" s="304">
        <v>8523</v>
      </c>
      <c r="H37" s="303">
        <v>26079</v>
      </c>
      <c r="I37" s="304">
        <v>26079</v>
      </c>
      <c r="J37" s="303"/>
      <c r="K37" s="304"/>
      <c r="L37" s="303"/>
      <c r="M37" s="304"/>
      <c r="N37" s="303"/>
      <c r="O37" s="304"/>
      <c r="P37" s="303"/>
      <c r="Q37" s="304"/>
      <c r="R37" s="305"/>
      <c r="S37" s="306"/>
      <c r="T37" s="303"/>
      <c r="U37" s="306"/>
      <c r="V37" s="303"/>
      <c r="W37" s="306"/>
      <c r="X37" s="303"/>
      <c r="Y37" s="306"/>
      <c r="Z37" s="318"/>
      <c r="AA37" s="304"/>
      <c r="AB37" s="305"/>
      <c r="AC37" s="306"/>
      <c r="AD37" s="303"/>
      <c r="AE37" s="306"/>
      <c r="AF37" s="303"/>
      <c r="AG37" s="306"/>
      <c r="AH37" s="303"/>
      <c r="AI37" s="304"/>
      <c r="AJ37" s="305"/>
      <c r="AK37" s="306"/>
    </row>
    <row r="38" spans="1:37">
      <c r="A38" s="299">
        <v>4</v>
      </c>
      <c r="B38" s="303">
        <v>7334</v>
      </c>
      <c r="C38" s="304">
        <v>7334</v>
      </c>
      <c r="D38" s="303">
        <v>21152</v>
      </c>
      <c r="E38" s="304">
        <v>21152</v>
      </c>
      <c r="F38" s="303">
        <v>6892</v>
      </c>
      <c r="G38" s="304">
        <v>6892</v>
      </c>
      <c r="H38" s="303">
        <v>20902</v>
      </c>
      <c r="I38" s="304">
        <v>20902</v>
      </c>
      <c r="J38" s="303"/>
      <c r="K38" s="304"/>
      <c r="L38" s="303"/>
      <c r="M38" s="304"/>
      <c r="N38" s="303">
        <v>31056</v>
      </c>
      <c r="O38" s="304">
        <v>33186</v>
      </c>
      <c r="P38" s="303">
        <v>59980</v>
      </c>
      <c r="Q38" s="304">
        <v>62110</v>
      </c>
      <c r="R38" s="305">
        <v>27674</v>
      </c>
      <c r="S38" s="306">
        <v>30604</v>
      </c>
      <c r="T38" s="303">
        <v>64940</v>
      </c>
      <c r="U38" s="306">
        <v>69038</v>
      </c>
      <c r="V38" s="303"/>
      <c r="W38" s="306"/>
      <c r="X38" s="303"/>
      <c r="Y38" s="306"/>
      <c r="Z38" s="318"/>
      <c r="AA38" s="304"/>
      <c r="AB38" s="305"/>
      <c r="AC38" s="306"/>
      <c r="AD38" s="303"/>
      <c r="AE38" s="306"/>
      <c r="AF38" s="303"/>
      <c r="AG38" s="306"/>
      <c r="AH38" s="303"/>
      <c r="AI38" s="304"/>
      <c r="AJ38" s="305"/>
      <c r="AK38" s="306"/>
    </row>
    <row r="39" spans="1:37">
      <c r="A39" s="299">
        <v>5</v>
      </c>
      <c r="B39" s="303">
        <v>6848</v>
      </c>
      <c r="C39" s="304">
        <v>6848</v>
      </c>
      <c r="D39" s="303">
        <v>20250</v>
      </c>
      <c r="E39" s="304">
        <v>20250</v>
      </c>
      <c r="F39" s="303">
        <v>6106</v>
      </c>
      <c r="G39" s="304">
        <v>6106</v>
      </c>
      <c r="H39" s="303">
        <v>17978</v>
      </c>
      <c r="I39" s="304">
        <v>17978</v>
      </c>
      <c r="J39" s="303"/>
      <c r="K39" s="304"/>
      <c r="L39" s="303"/>
      <c r="M39" s="304"/>
      <c r="N39" s="303"/>
      <c r="O39" s="304"/>
      <c r="P39" s="303"/>
      <c r="Q39" s="304"/>
      <c r="R39" s="305"/>
      <c r="S39" s="306"/>
      <c r="T39" s="303"/>
      <c r="U39" s="306"/>
      <c r="V39" s="303"/>
      <c r="W39" s="306"/>
      <c r="X39" s="303"/>
      <c r="Y39" s="306"/>
      <c r="Z39" s="318"/>
      <c r="AA39" s="304"/>
      <c r="AB39" s="305"/>
      <c r="AC39" s="306"/>
      <c r="AD39" s="303"/>
      <c r="AE39" s="306"/>
      <c r="AF39" s="303"/>
      <c r="AG39" s="306"/>
      <c r="AH39" s="303"/>
      <c r="AI39" s="304"/>
      <c r="AJ39" s="305"/>
      <c r="AK39" s="306"/>
    </row>
    <row r="40" spans="1:37">
      <c r="A40" s="299">
        <v>6</v>
      </c>
      <c r="B40" s="303">
        <v>4430</v>
      </c>
      <c r="C40" s="304">
        <v>4430</v>
      </c>
      <c r="D40" s="303">
        <v>13062</v>
      </c>
      <c r="E40" s="304">
        <v>13062</v>
      </c>
      <c r="F40" s="303"/>
      <c r="G40" s="304"/>
      <c r="H40" s="303"/>
      <c r="I40" s="304"/>
      <c r="J40" s="303"/>
      <c r="K40" s="304"/>
      <c r="L40" s="303"/>
      <c r="M40" s="304"/>
      <c r="N40" s="303"/>
      <c r="O40" s="304"/>
      <c r="P40" s="303"/>
      <c r="Q40" s="304"/>
      <c r="R40" s="305"/>
      <c r="S40" s="306"/>
      <c r="T40" s="303"/>
      <c r="U40" s="306"/>
      <c r="V40" s="303"/>
      <c r="W40" s="306"/>
      <c r="X40" s="303"/>
      <c r="Y40" s="306"/>
      <c r="Z40" s="318"/>
      <c r="AA40" s="304"/>
      <c r="AB40" s="305"/>
      <c r="AC40" s="306"/>
      <c r="AD40" s="303"/>
      <c r="AE40" s="306"/>
      <c r="AF40" s="303"/>
      <c r="AG40" s="306"/>
      <c r="AH40" s="303"/>
      <c r="AI40" s="304"/>
      <c r="AJ40" s="305"/>
      <c r="AK40" s="306"/>
    </row>
    <row r="41" spans="1:37">
      <c r="A41" s="299">
        <v>7</v>
      </c>
      <c r="B41" s="303">
        <v>3897</v>
      </c>
      <c r="C41" s="304">
        <v>3897</v>
      </c>
      <c r="D41" s="303">
        <v>11837</v>
      </c>
      <c r="E41" s="304">
        <v>11837</v>
      </c>
      <c r="F41" s="303"/>
      <c r="G41" s="304"/>
      <c r="H41" s="303"/>
      <c r="I41" s="304"/>
      <c r="J41" s="303"/>
      <c r="K41" s="304"/>
      <c r="L41" s="303"/>
      <c r="M41" s="304"/>
      <c r="N41" s="303"/>
      <c r="O41" s="304"/>
      <c r="P41" s="303"/>
      <c r="Q41" s="304"/>
      <c r="R41" s="305"/>
      <c r="S41" s="306"/>
      <c r="T41" s="303"/>
      <c r="U41" s="306"/>
      <c r="V41" s="303"/>
      <c r="W41" s="306"/>
      <c r="X41" s="303"/>
      <c r="Y41" s="306"/>
      <c r="Z41" s="318"/>
      <c r="AA41" s="304"/>
      <c r="AB41" s="305"/>
      <c r="AC41" s="306"/>
      <c r="AD41" s="303"/>
      <c r="AE41" s="306"/>
      <c r="AF41" s="303"/>
      <c r="AG41" s="306"/>
      <c r="AH41" s="303"/>
      <c r="AI41" s="304"/>
      <c r="AJ41" s="305"/>
      <c r="AK41" s="306"/>
    </row>
    <row r="42" spans="1:37">
      <c r="A42" s="299">
        <v>12</v>
      </c>
      <c r="B42" s="303">
        <v>3664</v>
      </c>
      <c r="C42" s="304">
        <v>3669</v>
      </c>
      <c r="D42" s="303">
        <v>6664</v>
      </c>
      <c r="E42" s="304">
        <v>6669</v>
      </c>
      <c r="F42" s="303"/>
      <c r="G42" s="304"/>
      <c r="H42" s="303"/>
      <c r="I42" s="304"/>
      <c r="J42" s="303"/>
      <c r="K42" s="304"/>
      <c r="L42" s="303"/>
      <c r="M42" s="304"/>
      <c r="N42" s="303"/>
      <c r="O42" s="304"/>
      <c r="P42" s="303"/>
      <c r="Q42" s="304"/>
      <c r="R42" s="305"/>
      <c r="S42" s="306"/>
      <c r="T42" s="303"/>
      <c r="U42" s="306"/>
      <c r="V42" s="303"/>
      <c r="W42" s="306"/>
      <c r="X42" s="303"/>
      <c r="Y42" s="306"/>
      <c r="Z42" s="318"/>
      <c r="AA42" s="304"/>
      <c r="AB42" s="305"/>
      <c r="AC42" s="306"/>
      <c r="AD42" s="303"/>
      <c r="AE42" s="306"/>
      <c r="AF42" s="303"/>
      <c r="AG42" s="306"/>
      <c r="AH42" s="303"/>
      <c r="AI42" s="304"/>
      <c r="AJ42" s="305"/>
      <c r="AK42" s="306"/>
    </row>
    <row r="43" spans="1:37">
      <c r="A43" s="298" t="s">
        <v>197</v>
      </c>
      <c r="B43" s="549"/>
      <c r="C43" s="550"/>
      <c r="D43" s="549"/>
      <c r="E43" s="550"/>
      <c r="F43" s="549"/>
      <c r="G43" s="550"/>
      <c r="H43" s="549"/>
      <c r="I43" s="550"/>
      <c r="J43" s="549"/>
      <c r="K43" s="550"/>
      <c r="L43" s="549"/>
      <c r="M43" s="550"/>
      <c r="N43" s="549"/>
      <c r="O43" s="550"/>
      <c r="P43" s="549"/>
      <c r="Q43" s="550"/>
      <c r="R43" s="553"/>
      <c r="S43" s="554"/>
      <c r="T43" s="549"/>
      <c r="U43" s="554"/>
      <c r="V43" s="549"/>
      <c r="W43" s="554"/>
      <c r="X43" s="549"/>
      <c r="Y43" s="554"/>
      <c r="Z43" s="557"/>
      <c r="AA43" s="550"/>
      <c r="AB43" s="553"/>
      <c r="AC43" s="554"/>
      <c r="AD43" s="549"/>
      <c r="AE43" s="554"/>
      <c r="AF43" s="549"/>
      <c r="AG43" s="554"/>
      <c r="AH43" s="549"/>
      <c r="AI43" s="550"/>
      <c r="AJ43" s="553"/>
      <c r="AK43" s="554"/>
    </row>
    <row r="44" spans="1:37">
      <c r="A44" s="299">
        <v>1</v>
      </c>
      <c r="B44" s="303">
        <v>12323</v>
      </c>
      <c r="C44" s="304">
        <v>12490</v>
      </c>
      <c r="D44" s="303">
        <v>29901</v>
      </c>
      <c r="E44" s="304">
        <v>30162</v>
      </c>
      <c r="F44" s="303">
        <v>13497</v>
      </c>
      <c r="G44" s="304">
        <v>13697</v>
      </c>
      <c r="H44" s="303">
        <v>30393</v>
      </c>
      <c r="I44" s="304">
        <v>30691</v>
      </c>
      <c r="J44" s="303">
        <v>24135.5</v>
      </c>
      <c r="K44" s="304">
        <v>24508</v>
      </c>
      <c r="L44" s="303">
        <v>39831</v>
      </c>
      <c r="M44" s="304">
        <v>40161</v>
      </c>
      <c r="N44" s="303">
        <v>41218</v>
      </c>
      <c r="O44" s="304">
        <v>41738</v>
      </c>
      <c r="P44" s="303">
        <v>68790</v>
      </c>
      <c r="Q44" s="304">
        <v>69695</v>
      </c>
      <c r="R44" s="305">
        <v>35660</v>
      </c>
      <c r="S44" s="306">
        <v>36089.5</v>
      </c>
      <c r="T44" s="303">
        <v>75504</v>
      </c>
      <c r="U44" s="306">
        <v>76529</v>
      </c>
      <c r="V44" s="303">
        <v>28662</v>
      </c>
      <c r="W44" s="306">
        <v>28907</v>
      </c>
      <c r="X44" s="303">
        <v>53686</v>
      </c>
      <c r="Y44" s="306">
        <v>54222</v>
      </c>
      <c r="Z44" s="318"/>
      <c r="AA44" s="304"/>
      <c r="AB44" s="305"/>
      <c r="AC44" s="306"/>
      <c r="AD44" s="303"/>
      <c r="AE44" s="306"/>
      <c r="AF44" s="303"/>
      <c r="AG44" s="306"/>
      <c r="AH44" s="303"/>
      <c r="AI44" s="304"/>
      <c r="AJ44" s="305"/>
      <c r="AK44" s="306"/>
    </row>
    <row r="45" spans="1:37">
      <c r="A45" s="299">
        <v>3</v>
      </c>
      <c r="B45" s="303">
        <v>9866</v>
      </c>
      <c r="C45" s="304">
        <v>10052</v>
      </c>
      <c r="D45" s="303">
        <v>19938</v>
      </c>
      <c r="E45" s="304">
        <v>20324</v>
      </c>
      <c r="F45" s="303">
        <v>14016</v>
      </c>
      <c r="G45" s="304">
        <v>13740</v>
      </c>
      <c r="H45" s="303">
        <v>19440</v>
      </c>
      <c r="I45" s="304">
        <v>19632</v>
      </c>
      <c r="J45" s="303">
        <v>22200</v>
      </c>
      <c r="K45" s="304">
        <v>22200</v>
      </c>
      <c r="L45" s="303">
        <v>35910</v>
      </c>
      <c r="M45" s="304">
        <v>35910</v>
      </c>
      <c r="N45" s="303"/>
      <c r="O45" s="304"/>
      <c r="P45" s="303"/>
      <c r="Q45" s="304"/>
      <c r="R45" s="305"/>
      <c r="S45" s="306"/>
      <c r="T45" s="303"/>
      <c r="U45" s="306"/>
      <c r="V45" s="303"/>
      <c r="W45" s="306"/>
      <c r="X45" s="303"/>
      <c r="Y45" s="306"/>
      <c r="Z45" s="318"/>
      <c r="AA45" s="304"/>
      <c r="AB45" s="305"/>
      <c r="AC45" s="306"/>
      <c r="AD45" s="303"/>
      <c r="AE45" s="306"/>
      <c r="AF45" s="303"/>
      <c r="AG45" s="306"/>
      <c r="AH45" s="303"/>
      <c r="AI45" s="304"/>
      <c r="AJ45" s="305"/>
      <c r="AK45" s="306"/>
    </row>
    <row r="46" spans="1:37">
      <c r="A46" s="299">
        <v>4</v>
      </c>
      <c r="B46" s="303">
        <v>8800</v>
      </c>
      <c r="C46" s="304">
        <v>8800</v>
      </c>
      <c r="D46" s="303">
        <v>12650</v>
      </c>
      <c r="E46" s="304">
        <v>12650</v>
      </c>
      <c r="F46" s="303">
        <v>11180</v>
      </c>
      <c r="G46" s="304">
        <v>11180</v>
      </c>
      <c r="H46" s="303">
        <v>16220</v>
      </c>
      <c r="I46" s="304">
        <v>16220</v>
      </c>
      <c r="J46" s="303"/>
      <c r="K46" s="304"/>
      <c r="L46" s="303"/>
      <c r="M46" s="304"/>
      <c r="N46" s="303"/>
      <c r="O46" s="304"/>
      <c r="P46" s="303"/>
      <c r="Q46" s="304"/>
      <c r="R46" s="305"/>
      <c r="S46" s="306"/>
      <c r="T46" s="303"/>
      <c r="U46" s="306"/>
      <c r="V46" s="303"/>
      <c r="W46" s="306"/>
      <c r="X46" s="303"/>
      <c r="Y46" s="306"/>
      <c r="Z46" s="318"/>
      <c r="AA46" s="304"/>
      <c r="AB46" s="305"/>
      <c r="AC46" s="306"/>
      <c r="AD46" s="303"/>
      <c r="AE46" s="306"/>
      <c r="AF46" s="303"/>
      <c r="AG46" s="306"/>
      <c r="AH46" s="303"/>
      <c r="AI46" s="304"/>
      <c r="AJ46" s="305"/>
      <c r="AK46" s="306"/>
    </row>
    <row r="47" spans="1:37">
      <c r="A47" s="299">
        <v>8</v>
      </c>
      <c r="B47" s="303">
        <v>5610</v>
      </c>
      <c r="C47" s="304">
        <v>5610</v>
      </c>
      <c r="D47" s="303">
        <v>19050</v>
      </c>
      <c r="E47" s="304">
        <v>19050</v>
      </c>
      <c r="F47" s="303"/>
      <c r="G47" s="304"/>
      <c r="H47" s="303"/>
      <c r="I47" s="304"/>
      <c r="J47" s="303"/>
      <c r="K47" s="304"/>
      <c r="L47" s="303"/>
      <c r="M47" s="304"/>
      <c r="N47" s="303"/>
      <c r="O47" s="304"/>
      <c r="P47" s="303"/>
      <c r="Q47" s="304"/>
      <c r="R47" s="305"/>
      <c r="S47" s="306"/>
      <c r="T47" s="303"/>
      <c r="U47" s="306"/>
      <c r="V47" s="303"/>
      <c r="W47" s="306"/>
      <c r="X47" s="303"/>
      <c r="Y47" s="306"/>
      <c r="Z47" s="318"/>
      <c r="AA47" s="304"/>
      <c r="AB47" s="305"/>
      <c r="AC47" s="306"/>
      <c r="AD47" s="303"/>
      <c r="AE47" s="306"/>
      <c r="AF47" s="303"/>
      <c r="AG47" s="306"/>
      <c r="AH47" s="303"/>
      <c r="AI47" s="304"/>
      <c r="AJ47" s="305"/>
      <c r="AK47" s="306"/>
    </row>
    <row r="48" spans="1:37">
      <c r="A48" s="299">
        <v>9</v>
      </c>
      <c r="B48" s="303">
        <v>5610</v>
      </c>
      <c r="C48" s="304">
        <v>5610</v>
      </c>
      <c r="D48" s="303">
        <v>19050</v>
      </c>
      <c r="E48" s="304">
        <v>19050</v>
      </c>
      <c r="F48" s="303"/>
      <c r="G48" s="304"/>
      <c r="H48" s="303"/>
      <c r="I48" s="304"/>
      <c r="J48" s="303"/>
      <c r="K48" s="304"/>
      <c r="L48" s="303"/>
      <c r="M48" s="304"/>
      <c r="N48" s="303"/>
      <c r="O48" s="304"/>
      <c r="P48" s="303"/>
      <c r="Q48" s="304"/>
      <c r="R48" s="305"/>
      <c r="S48" s="306"/>
      <c r="T48" s="303"/>
      <c r="U48" s="306"/>
      <c r="V48" s="303"/>
      <c r="W48" s="306"/>
      <c r="X48" s="303"/>
      <c r="Y48" s="306"/>
      <c r="Z48" s="318"/>
      <c r="AA48" s="304"/>
      <c r="AB48" s="305"/>
      <c r="AC48" s="306"/>
      <c r="AD48" s="303"/>
      <c r="AE48" s="306"/>
      <c r="AF48" s="303"/>
      <c r="AG48" s="306"/>
      <c r="AH48" s="303"/>
      <c r="AI48" s="304"/>
      <c r="AJ48" s="305"/>
      <c r="AK48" s="306"/>
    </row>
    <row r="49" spans="1:37">
      <c r="A49" s="299">
        <v>10</v>
      </c>
      <c r="B49" s="303">
        <v>5610</v>
      </c>
      <c r="C49" s="304">
        <v>5610</v>
      </c>
      <c r="D49" s="303">
        <v>19050</v>
      </c>
      <c r="E49" s="304">
        <v>19050</v>
      </c>
      <c r="F49" s="303"/>
      <c r="G49" s="304"/>
      <c r="H49" s="303"/>
      <c r="I49" s="304"/>
      <c r="J49" s="303"/>
      <c r="K49" s="304"/>
      <c r="L49" s="303"/>
      <c r="M49" s="304"/>
      <c r="N49" s="303"/>
      <c r="O49" s="304"/>
      <c r="P49" s="303"/>
      <c r="Q49" s="304"/>
      <c r="R49" s="305"/>
      <c r="S49" s="306"/>
      <c r="T49" s="303"/>
      <c r="U49" s="306"/>
      <c r="V49" s="303"/>
      <c r="W49" s="306"/>
      <c r="X49" s="303"/>
      <c r="Y49" s="306"/>
      <c r="Z49" s="318"/>
      <c r="AA49" s="304"/>
      <c r="AB49" s="305"/>
      <c r="AC49" s="306"/>
      <c r="AD49" s="303"/>
      <c r="AE49" s="306"/>
      <c r="AF49" s="303"/>
      <c r="AG49" s="306"/>
      <c r="AH49" s="303"/>
      <c r="AI49" s="304"/>
      <c r="AJ49" s="305"/>
      <c r="AK49" s="306"/>
    </row>
    <row r="50" spans="1:37">
      <c r="A50" s="299">
        <v>12</v>
      </c>
      <c r="B50" s="303">
        <v>5610</v>
      </c>
      <c r="C50" s="304">
        <v>5610</v>
      </c>
      <c r="D50" s="303">
        <v>19050</v>
      </c>
      <c r="E50" s="304">
        <v>19050</v>
      </c>
      <c r="F50" s="303"/>
      <c r="G50" s="304"/>
      <c r="H50" s="303"/>
      <c r="I50" s="304"/>
      <c r="J50" s="303"/>
      <c r="K50" s="304"/>
      <c r="L50" s="303"/>
      <c r="M50" s="304"/>
      <c r="N50" s="303"/>
      <c r="O50" s="304"/>
      <c r="P50" s="303"/>
      <c r="Q50" s="304"/>
      <c r="R50" s="305"/>
      <c r="S50" s="306"/>
      <c r="T50" s="303"/>
      <c r="U50" s="306"/>
      <c r="V50" s="303"/>
      <c r="W50" s="306"/>
      <c r="X50" s="303"/>
      <c r="Y50" s="306"/>
      <c r="Z50" s="318"/>
      <c r="AA50" s="304"/>
      <c r="AB50" s="305"/>
      <c r="AC50" s="306"/>
      <c r="AD50" s="303"/>
      <c r="AE50" s="306"/>
      <c r="AF50" s="303"/>
      <c r="AG50" s="306"/>
      <c r="AH50" s="303"/>
      <c r="AI50" s="304"/>
      <c r="AJ50" s="305"/>
      <c r="AK50" s="306"/>
    </row>
    <row r="51" spans="1:37">
      <c r="A51" s="298" t="s">
        <v>222</v>
      </c>
      <c r="B51" s="549"/>
      <c r="C51" s="550"/>
      <c r="D51" s="549"/>
      <c r="E51" s="550"/>
      <c r="F51" s="549"/>
      <c r="G51" s="550"/>
      <c r="H51" s="549"/>
      <c r="I51" s="550"/>
      <c r="J51" s="549"/>
      <c r="K51" s="550"/>
      <c r="L51" s="549"/>
      <c r="M51" s="550"/>
      <c r="N51" s="549"/>
      <c r="O51" s="550"/>
      <c r="P51" s="549"/>
      <c r="Q51" s="550"/>
      <c r="R51" s="553"/>
      <c r="S51" s="554"/>
      <c r="T51" s="549"/>
      <c r="U51" s="554"/>
      <c r="V51" s="549"/>
      <c r="W51" s="554"/>
      <c r="X51" s="549"/>
      <c r="Y51" s="554"/>
      <c r="Z51" s="557"/>
      <c r="AA51" s="550"/>
      <c r="AB51" s="553"/>
      <c r="AC51" s="554"/>
      <c r="AD51" s="549"/>
      <c r="AE51" s="554"/>
      <c r="AF51" s="549"/>
      <c r="AG51" s="554"/>
      <c r="AH51" s="549"/>
      <c r="AI51" s="550"/>
      <c r="AJ51" s="553"/>
      <c r="AK51" s="554"/>
    </row>
    <row r="52" spans="1:37">
      <c r="A52" s="299">
        <v>1</v>
      </c>
      <c r="B52" s="303">
        <v>11962</v>
      </c>
      <c r="C52" s="304">
        <v>11958</v>
      </c>
      <c r="D52" s="303">
        <v>28639</v>
      </c>
      <c r="E52" s="304">
        <v>28635</v>
      </c>
      <c r="F52" s="303">
        <v>13035</v>
      </c>
      <c r="G52" s="304">
        <v>13031</v>
      </c>
      <c r="H52" s="303">
        <v>29970</v>
      </c>
      <c r="I52" s="304">
        <v>29966</v>
      </c>
      <c r="J52" s="303">
        <v>23673</v>
      </c>
      <c r="K52" s="304">
        <v>23668.9</v>
      </c>
      <c r="L52" s="303">
        <v>39113</v>
      </c>
      <c r="M52" s="304">
        <v>39108.9</v>
      </c>
      <c r="N52" s="303"/>
      <c r="O52" s="304"/>
      <c r="P52" s="303"/>
      <c r="Q52" s="304"/>
      <c r="R52" s="305"/>
      <c r="S52" s="306"/>
      <c r="T52" s="303"/>
      <c r="U52" s="306"/>
      <c r="V52" s="303"/>
      <c r="W52" s="306"/>
      <c r="X52" s="303"/>
      <c r="Y52" s="306"/>
      <c r="Z52" s="318"/>
      <c r="AA52" s="304"/>
      <c r="AB52" s="305"/>
      <c r="AC52" s="306"/>
      <c r="AD52" s="303"/>
      <c r="AE52" s="306"/>
      <c r="AF52" s="303"/>
      <c r="AG52" s="306"/>
      <c r="AH52" s="303">
        <v>27399</v>
      </c>
      <c r="AI52" s="304">
        <v>27395</v>
      </c>
      <c r="AJ52" s="305">
        <v>56499</v>
      </c>
      <c r="AK52" s="306">
        <v>56495</v>
      </c>
    </row>
    <row r="53" spans="1:37">
      <c r="A53" s="299">
        <v>2</v>
      </c>
      <c r="B53" s="303">
        <v>10634</v>
      </c>
      <c r="C53" s="304">
        <v>10635</v>
      </c>
      <c r="D53" s="303">
        <v>19547.2</v>
      </c>
      <c r="E53" s="304">
        <v>19548</v>
      </c>
      <c r="F53" s="303">
        <v>10053</v>
      </c>
      <c r="G53" s="304">
        <v>10053</v>
      </c>
      <c r="H53" s="303">
        <v>16794</v>
      </c>
      <c r="I53" s="304">
        <v>16794</v>
      </c>
      <c r="J53" s="303"/>
      <c r="K53" s="304"/>
      <c r="L53" s="303"/>
      <c r="M53" s="304"/>
      <c r="N53" s="303"/>
      <c r="O53" s="304"/>
      <c r="P53" s="303"/>
      <c r="Q53" s="304"/>
      <c r="R53" s="305"/>
      <c r="S53" s="306"/>
      <c r="T53" s="303"/>
      <c r="U53" s="306"/>
      <c r="V53" s="303"/>
      <c r="W53" s="306"/>
      <c r="X53" s="303"/>
      <c r="Y53" s="306"/>
      <c r="Z53" s="318"/>
      <c r="AA53" s="304"/>
      <c r="AB53" s="305"/>
      <c r="AC53" s="306"/>
      <c r="AD53" s="303"/>
      <c r="AE53" s="306"/>
      <c r="AF53" s="303"/>
      <c r="AG53" s="306"/>
      <c r="AH53" s="303"/>
      <c r="AI53" s="304"/>
      <c r="AJ53" s="305"/>
      <c r="AK53" s="306"/>
    </row>
    <row r="54" spans="1:37">
      <c r="A54" s="299">
        <v>3</v>
      </c>
      <c r="B54" s="303">
        <v>8950.5</v>
      </c>
      <c r="C54" s="304">
        <v>9024.83</v>
      </c>
      <c r="D54" s="303">
        <v>20336</v>
      </c>
      <c r="E54" s="304">
        <v>20334.830000000002</v>
      </c>
      <c r="F54" s="303">
        <v>9375</v>
      </c>
      <c r="G54" s="304">
        <v>9369</v>
      </c>
      <c r="H54" s="303">
        <v>20668.5</v>
      </c>
      <c r="I54" s="304">
        <v>20667.34</v>
      </c>
      <c r="J54" s="303"/>
      <c r="K54" s="304"/>
      <c r="L54" s="303"/>
      <c r="M54" s="304"/>
      <c r="N54" s="303"/>
      <c r="O54" s="304"/>
      <c r="P54" s="303"/>
      <c r="Q54" s="304"/>
      <c r="R54" s="305"/>
      <c r="S54" s="306"/>
      <c r="T54" s="303"/>
      <c r="U54" s="306"/>
      <c r="V54" s="303">
        <v>24493</v>
      </c>
      <c r="W54" s="306">
        <v>24481</v>
      </c>
      <c r="X54" s="303">
        <v>44749</v>
      </c>
      <c r="Y54" s="306">
        <v>44737</v>
      </c>
      <c r="Z54" s="318"/>
      <c r="AA54" s="304"/>
      <c r="AB54" s="305"/>
      <c r="AC54" s="306"/>
      <c r="AD54" s="303"/>
      <c r="AE54" s="306"/>
      <c r="AF54" s="303"/>
      <c r="AG54" s="306"/>
      <c r="AH54" s="303"/>
      <c r="AI54" s="304"/>
      <c r="AJ54" s="305"/>
      <c r="AK54" s="306"/>
    </row>
    <row r="55" spans="1:37">
      <c r="A55" s="299">
        <v>4</v>
      </c>
      <c r="B55" s="303">
        <v>7805</v>
      </c>
      <c r="C55" s="304">
        <v>7829</v>
      </c>
      <c r="D55" s="303">
        <v>18074</v>
      </c>
      <c r="E55" s="304">
        <v>18098</v>
      </c>
      <c r="F55" s="303">
        <v>8134.3249999999998</v>
      </c>
      <c r="G55" s="304">
        <v>8102</v>
      </c>
      <c r="H55" s="303">
        <v>18391.434999999998</v>
      </c>
      <c r="I55" s="304">
        <v>18278.95</v>
      </c>
      <c r="J55" s="303"/>
      <c r="K55" s="304"/>
      <c r="L55" s="303"/>
      <c r="M55" s="304"/>
      <c r="N55" s="303"/>
      <c r="O55" s="304"/>
      <c r="P55" s="303"/>
      <c r="Q55" s="304"/>
      <c r="R55" s="305"/>
      <c r="S55" s="306"/>
      <c r="T55" s="303"/>
      <c r="U55" s="306"/>
      <c r="V55" s="303"/>
      <c r="W55" s="306"/>
      <c r="X55" s="303"/>
      <c r="Y55" s="306"/>
      <c r="Z55" s="318"/>
      <c r="AA55" s="304"/>
      <c r="AB55" s="305"/>
      <c r="AC55" s="306"/>
      <c r="AD55" s="303"/>
      <c r="AE55" s="306"/>
      <c r="AF55" s="303"/>
      <c r="AG55" s="306"/>
      <c r="AH55" s="303"/>
      <c r="AI55" s="304"/>
      <c r="AJ55" s="305"/>
      <c r="AK55" s="306"/>
    </row>
    <row r="56" spans="1:37">
      <c r="A56" s="299">
        <v>5</v>
      </c>
      <c r="B56" s="303">
        <v>7287.3339999999998</v>
      </c>
      <c r="C56" s="304">
        <v>7381.34</v>
      </c>
      <c r="D56" s="303">
        <v>16188.34</v>
      </c>
      <c r="E56" s="304">
        <v>16282.34</v>
      </c>
      <c r="F56" s="303">
        <v>9120.34</v>
      </c>
      <c r="G56" s="304">
        <v>9214.34</v>
      </c>
      <c r="H56" s="303">
        <v>16062.34</v>
      </c>
      <c r="I56" s="304">
        <v>16156.34</v>
      </c>
      <c r="J56" s="303"/>
      <c r="K56" s="304"/>
      <c r="L56" s="303"/>
      <c r="M56" s="304"/>
      <c r="N56" s="303"/>
      <c r="O56" s="304"/>
      <c r="P56" s="303"/>
      <c r="Q56" s="304"/>
      <c r="R56" s="305"/>
      <c r="S56" s="306"/>
      <c r="T56" s="303"/>
      <c r="U56" s="306"/>
      <c r="V56" s="303"/>
      <c r="W56" s="306"/>
      <c r="X56" s="303"/>
      <c r="Y56" s="306"/>
      <c r="Z56" s="318"/>
      <c r="AA56" s="304"/>
      <c r="AB56" s="305"/>
      <c r="AC56" s="306"/>
      <c r="AD56" s="303"/>
      <c r="AE56" s="306"/>
      <c r="AF56" s="303"/>
      <c r="AG56" s="306"/>
      <c r="AH56" s="303"/>
      <c r="AI56" s="304"/>
      <c r="AJ56" s="305"/>
      <c r="AK56" s="306"/>
    </row>
    <row r="57" spans="1:37">
      <c r="A57" s="299">
        <v>6</v>
      </c>
      <c r="B57" s="303">
        <v>6910.1</v>
      </c>
      <c r="C57" s="304">
        <v>6910.02</v>
      </c>
      <c r="D57" s="303">
        <v>14175.86</v>
      </c>
      <c r="E57" s="304">
        <v>14175.78</v>
      </c>
      <c r="F57" s="303"/>
      <c r="G57" s="304"/>
      <c r="H57" s="303"/>
      <c r="I57" s="304"/>
      <c r="J57" s="303"/>
      <c r="K57" s="304"/>
      <c r="L57" s="303"/>
      <c r="M57" s="304"/>
      <c r="N57" s="303"/>
      <c r="O57" s="304"/>
      <c r="P57" s="303"/>
      <c r="Q57" s="304"/>
      <c r="R57" s="305"/>
      <c r="S57" s="306"/>
      <c r="T57" s="303"/>
      <c r="U57" s="306"/>
      <c r="V57" s="303"/>
      <c r="W57" s="306"/>
      <c r="X57" s="303"/>
      <c r="Y57" s="306"/>
      <c r="Z57" s="318"/>
      <c r="AA57" s="304"/>
      <c r="AB57" s="305"/>
      <c r="AC57" s="306"/>
      <c r="AD57" s="303"/>
      <c r="AE57" s="306"/>
      <c r="AF57" s="303"/>
      <c r="AG57" s="306"/>
      <c r="AH57" s="303"/>
      <c r="AI57" s="304"/>
      <c r="AJ57" s="305"/>
      <c r="AK57" s="306"/>
    </row>
    <row r="58" spans="1:37">
      <c r="A58" s="299">
        <v>8</v>
      </c>
      <c r="B58" s="303">
        <v>4250.2</v>
      </c>
      <c r="C58" s="304">
        <v>4300.2</v>
      </c>
      <c r="D58" s="303">
        <v>4250.2</v>
      </c>
      <c r="E58" s="304">
        <v>4300.2</v>
      </c>
      <c r="F58" s="303"/>
      <c r="G58" s="304"/>
      <c r="H58" s="303"/>
      <c r="I58" s="304"/>
      <c r="J58" s="303"/>
      <c r="K58" s="304"/>
      <c r="L58" s="303"/>
      <c r="M58" s="304"/>
      <c r="N58" s="303"/>
      <c r="O58" s="304"/>
      <c r="P58" s="303"/>
      <c r="Q58" s="304"/>
      <c r="R58" s="305"/>
      <c r="S58" s="306"/>
      <c r="T58" s="303"/>
      <c r="U58" s="306"/>
      <c r="V58" s="303"/>
      <c r="W58" s="306"/>
      <c r="X58" s="303"/>
      <c r="Y58" s="306"/>
      <c r="Z58" s="318"/>
      <c r="AA58" s="304"/>
      <c r="AB58" s="305"/>
      <c r="AC58" s="306"/>
      <c r="AD58" s="303"/>
      <c r="AE58" s="306"/>
      <c r="AF58" s="303"/>
      <c r="AG58" s="306"/>
      <c r="AH58" s="303"/>
      <c r="AI58" s="304"/>
      <c r="AJ58" s="305"/>
      <c r="AK58" s="306"/>
    </row>
    <row r="59" spans="1:37">
      <c r="A59" s="299">
        <v>9</v>
      </c>
      <c r="B59" s="303">
        <v>4283.04</v>
      </c>
      <c r="C59" s="304">
        <v>4283.04</v>
      </c>
      <c r="D59" s="303">
        <v>4283.04</v>
      </c>
      <c r="E59" s="304">
        <v>4283.04</v>
      </c>
      <c r="F59" s="303"/>
      <c r="G59" s="304"/>
      <c r="H59" s="303"/>
      <c r="I59" s="304"/>
      <c r="J59" s="303"/>
      <c r="K59" s="304"/>
      <c r="L59" s="303"/>
      <c r="M59" s="304"/>
      <c r="N59" s="303"/>
      <c r="O59" s="304"/>
      <c r="P59" s="303"/>
      <c r="Q59" s="304"/>
      <c r="R59" s="305"/>
      <c r="S59" s="306"/>
      <c r="T59" s="303"/>
      <c r="U59" s="306"/>
      <c r="V59" s="303"/>
      <c r="W59" s="306"/>
      <c r="X59" s="303"/>
      <c r="Y59" s="306"/>
      <c r="Z59" s="318"/>
      <c r="AA59" s="304"/>
      <c r="AB59" s="305"/>
      <c r="AC59" s="306"/>
      <c r="AD59" s="303"/>
      <c r="AE59" s="306"/>
      <c r="AF59" s="303"/>
      <c r="AG59" s="306"/>
      <c r="AH59" s="303"/>
      <c r="AI59" s="304"/>
      <c r="AJ59" s="305"/>
      <c r="AK59" s="306"/>
    </row>
    <row r="60" spans="1:37">
      <c r="A60" s="299">
        <v>10</v>
      </c>
      <c r="B60" s="303">
        <v>4218.04</v>
      </c>
      <c r="C60" s="304">
        <v>4182.04</v>
      </c>
      <c r="D60" s="303">
        <v>4218.04</v>
      </c>
      <c r="E60" s="304">
        <v>4182.04</v>
      </c>
      <c r="F60" s="303"/>
      <c r="G60" s="304"/>
      <c r="H60" s="303"/>
      <c r="I60" s="304"/>
      <c r="J60" s="303"/>
      <c r="K60" s="304"/>
      <c r="L60" s="303"/>
      <c r="M60" s="304"/>
      <c r="N60" s="303"/>
      <c r="O60" s="304"/>
      <c r="P60" s="303"/>
      <c r="Q60" s="304"/>
      <c r="R60" s="305"/>
      <c r="S60" s="306"/>
      <c r="T60" s="303"/>
      <c r="U60" s="306"/>
      <c r="V60" s="303"/>
      <c r="W60" s="306"/>
      <c r="X60" s="303"/>
      <c r="Y60" s="306"/>
      <c r="Z60" s="318"/>
      <c r="AA60" s="304"/>
      <c r="AB60" s="305"/>
      <c r="AC60" s="306"/>
      <c r="AD60" s="303"/>
      <c r="AE60" s="306"/>
      <c r="AF60" s="303"/>
      <c r="AG60" s="306"/>
      <c r="AH60" s="303"/>
      <c r="AI60" s="304"/>
      <c r="AJ60" s="305"/>
      <c r="AK60" s="306"/>
    </row>
    <row r="61" spans="1:37">
      <c r="A61" s="299">
        <v>12</v>
      </c>
      <c r="B61" s="303">
        <v>4114.04</v>
      </c>
      <c r="C61" s="304">
        <v>4193.9549999999999</v>
      </c>
      <c r="D61" s="303">
        <v>4114.04</v>
      </c>
      <c r="E61" s="304">
        <v>4193.9549999999999</v>
      </c>
      <c r="F61" s="303"/>
      <c r="G61" s="304"/>
      <c r="H61" s="303"/>
      <c r="I61" s="304"/>
      <c r="J61" s="303"/>
      <c r="K61" s="304"/>
      <c r="L61" s="303"/>
      <c r="M61" s="304"/>
      <c r="N61" s="303"/>
      <c r="O61" s="304"/>
      <c r="P61" s="303"/>
      <c r="Q61" s="304"/>
      <c r="R61" s="305"/>
      <c r="S61" s="306"/>
      <c r="T61" s="303"/>
      <c r="U61" s="306"/>
      <c r="V61" s="303"/>
      <c r="W61" s="306"/>
      <c r="X61" s="303"/>
      <c r="Y61" s="306"/>
      <c r="Z61" s="318"/>
      <c r="AA61" s="304"/>
      <c r="AB61" s="305"/>
      <c r="AC61" s="306"/>
      <c r="AD61" s="303"/>
      <c r="AE61" s="306"/>
      <c r="AF61" s="303"/>
      <c r="AG61" s="306"/>
      <c r="AH61" s="303"/>
      <c r="AI61" s="304"/>
      <c r="AJ61" s="305"/>
      <c r="AK61" s="306"/>
    </row>
    <row r="62" spans="1:37">
      <c r="A62" s="299">
        <v>13</v>
      </c>
      <c r="B62" s="303">
        <v>4109.3500000000004</v>
      </c>
      <c r="C62" s="304">
        <v>4109.3500000000004</v>
      </c>
      <c r="D62" s="303">
        <v>4109.3500000000004</v>
      </c>
      <c r="E62" s="304">
        <v>4109.3500000000004</v>
      </c>
      <c r="F62" s="303"/>
      <c r="G62" s="304"/>
      <c r="H62" s="303"/>
      <c r="I62" s="304"/>
      <c r="J62" s="303"/>
      <c r="K62" s="304"/>
      <c r="L62" s="303"/>
      <c r="M62" s="304"/>
      <c r="N62" s="303"/>
      <c r="O62" s="304"/>
      <c r="P62" s="303"/>
      <c r="Q62" s="304"/>
      <c r="R62" s="305"/>
      <c r="S62" s="306"/>
      <c r="T62" s="303"/>
      <c r="U62" s="306"/>
      <c r="V62" s="303"/>
      <c r="W62" s="306"/>
      <c r="X62" s="303"/>
      <c r="Y62" s="306"/>
      <c r="Z62" s="318"/>
      <c r="AA62" s="304"/>
      <c r="AB62" s="305"/>
      <c r="AC62" s="306"/>
      <c r="AD62" s="303"/>
      <c r="AE62" s="306"/>
      <c r="AF62" s="303"/>
      <c r="AG62" s="306"/>
      <c r="AH62" s="303"/>
      <c r="AI62" s="304"/>
      <c r="AJ62" s="305"/>
      <c r="AK62" s="306"/>
    </row>
    <row r="63" spans="1:37">
      <c r="A63" s="299">
        <v>15</v>
      </c>
      <c r="B63" s="303"/>
      <c r="C63" s="304"/>
      <c r="D63" s="303"/>
      <c r="E63" s="304"/>
      <c r="F63" s="303"/>
      <c r="G63" s="304"/>
      <c r="H63" s="303"/>
      <c r="I63" s="304"/>
      <c r="J63" s="303">
        <v>17434</v>
      </c>
      <c r="K63" s="304">
        <v>17434</v>
      </c>
      <c r="L63" s="303">
        <v>30034</v>
      </c>
      <c r="M63" s="304">
        <v>30034</v>
      </c>
      <c r="N63" s="303">
        <v>31140.1</v>
      </c>
      <c r="O63" s="304">
        <v>31140.1</v>
      </c>
      <c r="P63" s="303">
        <v>61139.770000000004</v>
      </c>
      <c r="Q63" s="304">
        <v>61139.770000000004</v>
      </c>
      <c r="R63" s="305">
        <v>34403</v>
      </c>
      <c r="S63" s="306">
        <v>34403</v>
      </c>
      <c r="T63" s="303">
        <v>63869</v>
      </c>
      <c r="U63" s="306">
        <v>63869</v>
      </c>
      <c r="V63" s="303"/>
      <c r="W63" s="306"/>
      <c r="X63" s="303"/>
      <c r="Y63" s="306"/>
      <c r="Z63" s="318"/>
      <c r="AA63" s="304"/>
      <c r="AB63" s="305"/>
      <c r="AC63" s="306"/>
      <c r="AD63" s="303"/>
      <c r="AE63" s="306"/>
      <c r="AF63" s="303"/>
      <c r="AG63" s="306"/>
      <c r="AH63" s="303"/>
      <c r="AI63" s="304"/>
      <c r="AJ63" s="305"/>
      <c r="AK63" s="306"/>
    </row>
    <row r="64" spans="1:37">
      <c r="A64" s="298" t="s">
        <v>252</v>
      </c>
      <c r="B64" s="549"/>
      <c r="C64" s="550"/>
      <c r="D64" s="549"/>
      <c r="E64" s="550"/>
      <c r="F64" s="549"/>
      <c r="G64" s="550"/>
      <c r="H64" s="549"/>
      <c r="I64" s="550"/>
      <c r="J64" s="549"/>
      <c r="K64" s="550"/>
      <c r="L64" s="549"/>
      <c r="M64" s="550"/>
      <c r="N64" s="549"/>
      <c r="O64" s="550"/>
      <c r="P64" s="549"/>
      <c r="Q64" s="550"/>
      <c r="R64" s="553"/>
      <c r="S64" s="554"/>
      <c r="T64" s="549"/>
      <c r="U64" s="554"/>
      <c r="V64" s="549"/>
      <c r="W64" s="554"/>
      <c r="X64" s="549"/>
      <c r="Y64" s="554"/>
      <c r="Z64" s="557"/>
      <c r="AA64" s="550"/>
      <c r="AB64" s="553"/>
      <c r="AC64" s="554"/>
      <c r="AD64" s="549"/>
      <c r="AE64" s="554"/>
      <c r="AF64" s="549"/>
      <c r="AG64" s="554"/>
      <c r="AH64" s="549"/>
      <c r="AI64" s="550"/>
      <c r="AJ64" s="553"/>
      <c r="AK64" s="554"/>
    </row>
    <row r="65" spans="1:37">
      <c r="A65" s="299">
        <v>1</v>
      </c>
      <c r="B65" s="303">
        <v>10779</v>
      </c>
      <c r="C65" s="304">
        <v>10955</v>
      </c>
      <c r="D65" s="303">
        <v>36891</v>
      </c>
      <c r="E65" s="304">
        <v>38638</v>
      </c>
      <c r="F65" s="303">
        <v>19485</v>
      </c>
      <c r="G65" s="304">
        <v>20362</v>
      </c>
      <c r="H65" s="303">
        <v>40941</v>
      </c>
      <c r="I65" s="304">
        <v>42585</v>
      </c>
      <c r="J65" s="303"/>
      <c r="K65" s="304"/>
      <c r="L65" s="303"/>
      <c r="M65" s="304"/>
      <c r="N65" s="303"/>
      <c r="O65" s="304"/>
      <c r="P65" s="303"/>
      <c r="Q65" s="304"/>
      <c r="R65" s="305"/>
      <c r="S65" s="306"/>
      <c r="T65" s="303"/>
      <c r="U65" s="306"/>
      <c r="V65" s="303"/>
      <c r="W65" s="306"/>
      <c r="X65" s="303"/>
      <c r="Y65" s="306"/>
      <c r="Z65" s="318"/>
      <c r="AA65" s="304"/>
      <c r="AB65" s="305"/>
      <c r="AC65" s="306"/>
      <c r="AD65" s="303"/>
      <c r="AE65" s="306"/>
      <c r="AF65" s="303"/>
      <c r="AG65" s="306"/>
      <c r="AH65" s="303">
        <v>25435</v>
      </c>
      <c r="AI65" s="304">
        <v>26086</v>
      </c>
      <c r="AJ65" s="305">
        <v>54568</v>
      </c>
      <c r="AK65" s="306">
        <v>55687</v>
      </c>
    </row>
    <row r="66" spans="1:37">
      <c r="A66" s="299">
        <v>2</v>
      </c>
      <c r="B66" s="303">
        <v>9828</v>
      </c>
      <c r="C66" s="304">
        <v>10144</v>
      </c>
      <c r="D66" s="303">
        <v>22881</v>
      </c>
      <c r="E66" s="304">
        <v>23475</v>
      </c>
      <c r="F66" s="303">
        <v>16074</v>
      </c>
      <c r="G66" s="304">
        <v>16518</v>
      </c>
      <c r="H66" s="303">
        <v>27015</v>
      </c>
      <c r="I66" s="304">
        <v>27426</v>
      </c>
      <c r="J66" s="303"/>
      <c r="K66" s="304"/>
      <c r="L66" s="303"/>
      <c r="M66" s="304"/>
      <c r="N66" s="303"/>
      <c r="O66" s="304"/>
      <c r="P66" s="303"/>
      <c r="Q66" s="304"/>
      <c r="R66" s="305"/>
      <c r="S66" s="306"/>
      <c r="T66" s="303"/>
      <c r="U66" s="306"/>
      <c r="V66" s="303"/>
      <c r="W66" s="306"/>
      <c r="X66" s="303"/>
      <c r="Y66" s="306"/>
      <c r="Z66" s="318"/>
      <c r="AA66" s="304"/>
      <c r="AB66" s="305"/>
      <c r="AC66" s="306"/>
      <c r="AD66" s="303"/>
      <c r="AE66" s="306"/>
      <c r="AF66" s="303"/>
      <c r="AG66" s="306"/>
      <c r="AH66" s="303"/>
      <c r="AI66" s="304"/>
      <c r="AJ66" s="305"/>
      <c r="AK66" s="306"/>
    </row>
    <row r="67" spans="1:37">
      <c r="A67" s="299">
        <v>3</v>
      </c>
      <c r="B67" s="303">
        <v>9647</v>
      </c>
      <c r="C67" s="304">
        <v>9914</v>
      </c>
      <c r="D67" s="303">
        <v>22895</v>
      </c>
      <c r="E67" s="304">
        <v>24033</v>
      </c>
      <c r="F67" s="303">
        <v>17269</v>
      </c>
      <c r="G67" s="304">
        <v>19005.125</v>
      </c>
      <c r="H67" s="303">
        <v>27133</v>
      </c>
      <c r="I67" s="304">
        <v>28030.2181818182</v>
      </c>
      <c r="J67" s="303">
        <v>32850</v>
      </c>
      <c r="K67" s="304">
        <v>33592</v>
      </c>
      <c r="L67" s="303">
        <v>47958</v>
      </c>
      <c r="M67" s="304">
        <v>49004</v>
      </c>
      <c r="N67" s="303"/>
      <c r="O67" s="304"/>
      <c r="P67" s="303"/>
      <c r="Q67" s="304"/>
      <c r="R67" s="305"/>
      <c r="S67" s="306"/>
      <c r="T67" s="303"/>
      <c r="U67" s="306"/>
      <c r="V67" s="303"/>
      <c r="W67" s="306"/>
      <c r="X67" s="303"/>
      <c r="Y67" s="306"/>
      <c r="Z67" s="318"/>
      <c r="AA67" s="304"/>
      <c r="AB67" s="305"/>
      <c r="AC67" s="306"/>
      <c r="AD67" s="303"/>
      <c r="AE67" s="306"/>
      <c r="AF67" s="303"/>
      <c r="AG67" s="306"/>
      <c r="AH67" s="303"/>
      <c r="AI67" s="304"/>
      <c r="AJ67" s="305"/>
      <c r="AK67" s="306"/>
    </row>
    <row r="68" spans="1:37">
      <c r="A68" s="299">
        <v>4</v>
      </c>
      <c r="B68" s="303">
        <v>8984</v>
      </c>
      <c r="C68" s="304">
        <v>9159</v>
      </c>
      <c r="D68" s="303">
        <v>19623</v>
      </c>
      <c r="E68" s="304">
        <v>19900.5</v>
      </c>
      <c r="F68" s="303">
        <v>12763.5</v>
      </c>
      <c r="G68" s="304">
        <v>12958</v>
      </c>
      <c r="H68" s="303">
        <v>18308</v>
      </c>
      <c r="I68" s="304">
        <v>18635</v>
      </c>
      <c r="J68" s="303"/>
      <c r="K68" s="304"/>
      <c r="L68" s="303"/>
      <c r="M68" s="304"/>
      <c r="N68" s="303"/>
      <c r="O68" s="304"/>
      <c r="P68" s="303"/>
      <c r="Q68" s="304"/>
      <c r="R68" s="305"/>
      <c r="S68" s="306"/>
      <c r="T68" s="303"/>
      <c r="U68" s="306"/>
      <c r="V68" s="303">
        <v>31490</v>
      </c>
      <c r="W68" s="306">
        <v>32120</v>
      </c>
      <c r="X68" s="303">
        <v>60240</v>
      </c>
      <c r="Y68" s="306">
        <v>61445</v>
      </c>
      <c r="Z68" s="318"/>
      <c r="AA68" s="304"/>
      <c r="AB68" s="305"/>
      <c r="AC68" s="306"/>
      <c r="AD68" s="303"/>
      <c r="AE68" s="306"/>
      <c r="AF68" s="303"/>
      <c r="AG68" s="306"/>
      <c r="AH68" s="303"/>
      <c r="AI68" s="304"/>
      <c r="AJ68" s="305"/>
      <c r="AK68" s="306"/>
    </row>
    <row r="69" spans="1:37">
      <c r="A69" s="299">
        <v>5</v>
      </c>
      <c r="B69" s="303">
        <v>6716</v>
      </c>
      <c r="C69" s="304">
        <v>6809</v>
      </c>
      <c r="D69" s="303">
        <v>13113</v>
      </c>
      <c r="E69" s="304">
        <v>13334</v>
      </c>
      <c r="F69" s="303">
        <v>10278</v>
      </c>
      <c r="G69" s="304">
        <v>10446</v>
      </c>
      <c r="H69" s="303">
        <v>17214</v>
      </c>
      <c r="I69" s="304">
        <v>17526</v>
      </c>
      <c r="J69" s="303"/>
      <c r="K69" s="304"/>
      <c r="L69" s="303"/>
      <c r="M69" s="304"/>
      <c r="N69" s="303"/>
      <c r="O69" s="304"/>
      <c r="P69" s="303"/>
      <c r="Q69" s="304"/>
      <c r="R69" s="305"/>
      <c r="S69" s="306"/>
      <c r="T69" s="303"/>
      <c r="U69" s="306"/>
      <c r="V69" s="303"/>
      <c r="W69" s="306"/>
      <c r="X69" s="303"/>
      <c r="Y69" s="306"/>
      <c r="Z69" s="318"/>
      <c r="AA69" s="304"/>
      <c r="AB69" s="305"/>
      <c r="AC69" s="306"/>
      <c r="AD69" s="303"/>
      <c r="AE69" s="306"/>
      <c r="AF69" s="303"/>
      <c r="AG69" s="306"/>
      <c r="AH69" s="303"/>
      <c r="AI69" s="304"/>
      <c r="AJ69" s="305"/>
      <c r="AK69" s="306"/>
    </row>
    <row r="70" spans="1:37">
      <c r="A70" s="299">
        <v>6</v>
      </c>
      <c r="B70" s="303">
        <v>15124</v>
      </c>
      <c r="C70" s="304">
        <v>15124</v>
      </c>
      <c r="D70" s="303">
        <v>31200</v>
      </c>
      <c r="E70" s="304">
        <v>31200</v>
      </c>
      <c r="F70" s="303"/>
      <c r="G70" s="304"/>
      <c r="H70" s="303"/>
      <c r="I70" s="304"/>
      <c r="J70" s="303"/>
      <c r="K70" s="304"/>
      <c r="L70" s="303"/>
      <c r="M70" s="304"/>
      <c r="N70" s="303"/>
      <c r="O70" s="304"/>
      <c r="P70" s="303"/>
      <c r="Q70" s="304"/>
      <c r="R70" s="305"/>
      <c r="S70" s="306"/>
      <c r="T70" s="303"/>
      <c r="U70" s="306"/>
      <c r="V70" s="303"/>
      <c r="W70" s="306"/>
      <c r="X70" s="303"/>
      <c r="Y70" s="306"/>
      <c r="Z70" s="318"/>
      <c r="AA70" s="304"/>
      <c r="AB70" s="305"/>
      <c r="AC70" s="306"/>
      <c r="AD70" s="303"/>
      <c r="AE70" s="306"/>
      <c r="AF70" s="303"/>
      <c r="AG70" s="306"/>
      <c r="AH70" s="303"/>
      <c r="AI70" s="304"/>
      <c r="AJ70" s="305"/>
      <c r="AK70" s="306"/>
    </row>
    <row r="71" spans="1:37">
      <c r="A71" s="299">
        <v>8</v>
      </c>
      <c r="B71" s="303">
        <v>5016</v>
      </c>
      <c r="C71" s="304">
        <v>5016</v>
      </c>
      <c r="D71" s="303">
        <v>12516</v>
      </c>
      <c r="E71" s="304">
        <v>12516</v>
      </c>
      <c r="F71" s="303"/>
      <c r="G71" s="304"/>
      <c r="H71" s="303"/>
      <c r="I71" s="304"/>
      <c r="J71" s="303"/>
      <c r="K71" s="304"/>
      <c r="L71" s="303"/>
      <c r="M71" s="304"/>
      <c r="N71" s="303"/>
      <c r="O71" s="304"/>
      <c r="P71" s="303"/>
      <c r="Q71" s="304"/>
      <c r="R71" s="305"/>
      <c r="S71" s="306"/>
      <c r="T71" s="303"/>
      <c r="U71" s="306"/>
      <c r="V71" s="303"/>
      <c r="W71" s="306"/>
      <c r="X71" s="303"/>
      <c r="Y71" s="306"/>
      <c r="Z71" s="318"/>
      <c r="AA71" s="304"/>
      <c r="AB71" s="305"/>
      <c r="AC71" s="306"/>
      <c r="AD71" s="303"/>
      <c r="AE71" s="306"/>
      <c r="AF71" s="303"/>
      <c r="AG71" s="306"/>
      <c r="AH71" s="303"/>
      <c r="AI71" s="304"/>
      <c r="AJ71" s="305"/>
      <c r="AK71" s="306"/>
    </row>
    <row r="72" spans="1:37">
      <c r="A72" s="299">
        <v>9</v>
      </c>
      <c r="B72" s="303">
        <v>4726</v>
      </c>
      <c r="C72" s="304">
        <v>4750</v>
      </c>
      <c r="D72" s="303">
        <v>10701</v>
      </c>
      <c r="E72" s="304">
        <v>10618.5</v>
      </c>
      <c r="F72" s="303"/>
      <c r="G72" s="304"/>
      <c r="H72" s="303"/>
      <c r="I72" s="304"/>
      <c r="J72" s="303"/>
      <c r="K72" s="304"/>
      <c r="L72" s="303"/>
      <c r="M72" s="304"/>
      <c r="N72" s="303"/>
      <c r="O72" s="304"/>
      <c r="P72" s="303"/>
      <c r="Q72" s="304"/>
      <c r="R72" s="305"/>
      <c r="S72" s="306"/>
      <c r="T72" s="303"/>
      <c r="U72" s="306"/>
      <c r="V72" s="303"/>
      <c r="W72" s="306"/>
      <c r="X72" s="303"/>
      <c r="Y72" s="306"/>
      <c r="Z72" s="318"/>
      <c r="AA72" s="304"/>
      <c r="AB72" s="305"/>
      <c r="AC72" s="306"/>
      <c r="AD72" s="303"/>
      <c r="AE72" s="306"/>
      <c r="AF72" s="303"/>
      <c r="AG72" s="306"/>
      <c r="AH72" s="303"/>
      <c r="AI72" s="304"/>
      <c r="AJ72" s="305"/>
      <c r="AK72" s="306"/>
    </row>
    <row r="73" spans="1:37">
      <c r="A73" s="299">
        <v>10</v>
      </c>
      <c r="B73" s="303">
        <v>4770</v>
      </c>
      <c r="C73" s="304">
        <v>4770</v>
      </c>
      <c r="D73" s="303">
        <v>9990</v>
      </c>
      <c r="E73" s="304">
        <v>10350</v>
      </c>
      <c r="F73" s="303"/>
      <c r="G73" s="304"/>
      <c r="H73" s="303"/>
      <c r="I73" s="304"/>
      <c r="J73" s="303"/>
      <c r="K73" s="304"/>
      <c r="L73" s="303"/>
      <c r="M73" s="304"/>
      <c r="N73" s="303"/>
      <c r="O73" s="304"/>
      <c r="P73" s="303"/>
      <c r="Q73" s="304"/>
      <c r="R73" s="305"/>
      <c r="S73" s="306"/>
      <c r="T73" s="303"/>
      <c r="U73" s="306"/>
      <c r="V73" s="303"/>
      <c r="W73" s="306"/>
      <c r="X73" s="303"/>
      <c r="Y73" s="306"/>
      <c r="Z73" s="318"/>
      <c r="AA73" s="304"/>
      <c r="AB73" s="305"/>
      <c r="AC73" s="306"/>
      <c r="AD73" s="303"/>
      <c r="AE73" s="306"/>
      <c r="AF73" s="303"/>
      <c r="AG73" s="306"/>
      <c r="AH73" s="303"/>
      <c r="AI73" s="304"/>
      <c r="AJ73" s="305"/>
      <c r="AK73" s="306"/>
    </row>
    <row r="74" spans="1:37">
      <c r="A74" s="299">
        <v>15</v>
      </c>
      <c r="B74" s="303">
        <v>9386.5</v>
      </c>
      <c r="C74" s="304">
        <v>8976.9375</v>
      </c>
      <c r="D74" s="303">
        <v>26174.5</v>
      </c>
      <c r="E74" s="304">
        <v>24749.5</v>
      </c>
      <c r="F74" s="303">
        <v>20007</v>
      </c>
      <c r="G74" s="304">
        <v>20162.551428571402</v>
      </c>
      <c r="H74" s="303">
        <v>33879</v>
      </c>
      <c r="I74" s="304">
        <v>30376.608372093</v>
      </c>
      <c r="J74" s="303">
        <v>34716</v>
      </c>
      <c r="K74" s="304">
        <v>35536</v>
      </c>
      <c r="L74" s="303">
        <v>50334</v>
      </c>
      <c r="M74" s="304">
        <v>51545</v>
      </c>
      <c r="N74" s="303">
        <v>39736</v>
      </c>
      <c r="O74" s="304">
        <v>39743</v>
      </c>
      <c r="P74" s="303">
        <v>68381</v>
      </c>
      <c r="Q74" s="304">
        <v>68838</v>
      </c>
      <c r="R74" s="305">
        <v>43999</v>
      </c>
      <c r="S74" s="306">
        <v>46082</v>
      </c>
      <c r="T74" s="303">
        <v>80156</v>
      </c>
      <c r="U74" s="306">
        <v>84047</v>
      </c>
      <c r="V74" s="303">
        <v>28640</v>
      </c>
      <c r="W74" s="306">
        <v>29442</v>
      </c>
      <c r="X74" s="303">
        <v>46291</v>
      </c>
      <c r="Y74" s="306">
        <v>47067</v>
      </c>
      <c r="Z74" s="318"/>
      <c r="AA74" s="304"/>
      <c r="AB74" s="305"/>
      <c r="AC74" s="306"/>
      <c r="AD74" s="303"/>
      <c r="AE74" s="306"/>
      <c r="AF74" s="303"/>
      <c r="AG74" s="306"/>
      <c r="AH74" s="303"/>
      <c r="AI74" s="304"/>
      <c r="AJ74" s="305"/>
      <c r="AK74" s="306"/>
    </row>
    <row r="75" spans="1:37">
      <c r="A75" s="298" t="s">
        <v>278</v>
      </c>
      <c r="B75" s="549"/>
      <c r="C75" s="550"/>
      <c r="D75" s="549"/>
      <c r="E75" s="550"/>
      <c r="F75" s="549"/>
      <c r="G75" s="550"/>
      <c r="H75" s="549"/>
      <c r="I75" s="550"/>
      <c r="J75" s="549"/>
      <c r="K75" s="550"/>
      <c r="L75" s="549"/>
      <c r="M75" s="550"/>
      <c r="N75" s="549"/>
      <c r="O75" s="550"/>
      <c r="P75" s="549"/>
      <c r="Q75" s="550"/>
      <c r="R75" s="553"/>
      <c r="S75" s="554"/>
      <c r="T75" s="549"/>
      <c r="U75" s="554"/>
      <c r="V75" s="549"/>
      <c r="W75" s="554"/>
      <c r="X75" s="549"/>
      <c r="Y75" s="554"/>
      <c r="Z75" s="557"/>
      <c r="AA75" s="550"/>
      <c r="AB75" s="553"/>
      <c r="AC75" s="554"/>
      <c r="AD75" s="549"/>
      <c r="AE75" s="554"/>
      <c r="AF75" s="549"/>
      <c r="AG75" s="554"/>
      <c r="AH75" s="549"/>
      <c r="AI75" s="550"/>
      <c r="AJ75" s="553"/>
      <c r="AK75" s="554"/>
    </row>
    <row r="76" spans="1:37">
      <c r="A76" s="299">
        <v>1</v>
      </c>
      <c r="B76" s="303">
        <v>8896</v>
      </c>
      <c r="C76" s="304">
        <v>9204</v>
      </c>
      <c r="D76" s="303">
        <v>23950</v>
      </c>
      <c r="E76" s="304">
        <v>24900</v>
      </c>
      <c r="F76" s="303">
        <v>8896</v>
      </c>
      <c r="G76" s="304">
        <v>9204</v>
      </c>
      <c r="H76" s="303">
        <v>23950</v>
      </c>
      <c r="I76" s="304">
        <v>24900</v>
      </c>
      <c r="J76" s="303">
        <v>16980</v>
      </c>
      <c r="K76" s="304">
        <v>17450</v>
      </c>
      <c r="L76" s="303">
        <v>37045</v>
      </c>
      <c r="M76" s="304">
        <v>37515</v>
      </c>
      <c r="N76" s="303">
        <v>31197</v>
      </c>
      <c r="O76" s="304">
        <v>32133</v>
      </c>
      <c r="P76" s="303">
        <v>73460</v>
      </c>
      <c r="Q76" s="304">
        <v>75664</v>
      </c>
      <c r="R76" s="305">
        <v>31167</v>
      </c>
      <c r="S76" s="306">
        <v>32102</v>
      </c>
      <c r="T76" s="303">
        <v>73220</v>
      </c>
      <c r="U76" s="306">
        <v>75417</v>
      </c>
      <c r="V76" s="303">
        <v>26582</v>
      </c>
      <c r="W76" s="306">
        <v>26798</v>
      </c>
      <c r="X76" s="303">
        <v>53660</v>
      </c>
      <c r="Y76" s="306">
        <v>54446</v>
      </c>
      <c r="Z76" s="318"/>
      <c r="AA76" s="304"/>
      <c r="AB76" s="305"/>
      <c r="AC76" s="306"/>
      <c r="AD76" s="303"/>
      <c r="AE76" s="306"/>
      <c r="AF76" s="303"/>
      <c r="AG76" s="306"/>
      <c r="AH76" s="303">
        <v>27397</v>
      </c>
      <c r="AI76" s="304">
        <v>28158</v>
      </c>
      <c r="AJ76" s="305">
        <v>48597</v>
      </c>
      <c r="AK76" s="306">
        <v>49358</v>
      </c>
    </row>
    <row r="77" spans="1:37">
      <c r="A77" s="299">
        <v>2</v>
      </c>
      <c r="B77" s="303">
        <v>8445</v>
      </c>
      <c r="C77" s="304">
        <v>8445</v>
      </c>
      <c r="D77" s="303">
        <v>9445</v>
      </c>
      <c r="E77" s="304">
        <v>9445</v>
      </c>
      <c r="F77" s="303">
        <v>8445</v>
      </c>
      <c r="G77" s="304">
        <v>8445</v>
      </c>
      <c r="H77" s="303">
        <v>9445</v>
      </c>
      <c r="I77" s="304">
        <v>9445</v>
      </c>
      <c r="J77" s="303"/>
      <c r="K77" s="304"/>
      <c r="L77" s="303"/>
      <c r="M77" s="304"/>
      <c r="N77" s="303"/>
      <c r="O77" s="304"/>
      <c r="P77" s="303"/>
      <c r="Q77" s="304"/>
      <c r="R77" s="305"/>
      <c r="S77" s="306"/>
      <c r="T77" s="303"/>
      <c r="U77" s="306"/>
      <c r="V77" s="303"/>
      <c r="W77" s="306"/>
      <c r="X77" s="303"/>
      <c r="Y77" s="306"/>
      <c r="Z77" s="318"/>
      <c r="AA77" s="304"/>
      <c r="AB77" s="305"/>
      <c r="AC77" s="306"/>
      <c r="AD77" s="303"/>
      <c r="AE77" s="306"/>
      <c r="AF77" s="303"/>
      <c r="AG77" s="306"/>
      <c r="AH77" s="303"/>
      <c r="AI77" s="304"/>
      <c r="AJ77" s="305"/>
      <c r="AK77" s="306"/>
    </row>
    <row r="78" spans="1:37">
      <c r="A78" s="299">
        <v>4</v>
      </c>
      <c r="B78" s="303">
        <v>7716</v>
      </c>
      <c r="C78" s="304">
        <v>7966</v>
      </c>
      <c r="D78" s="303">
        <v>7716</v>
      </c>
      <c r="E78" s="304">
        <v>7966</v>
      </c>
      <c r="F78" s="303">
        <v>7716</v>
      </c>
      <c r="G78" s="304">
        <v>7966</v>
      </c>
      <c r="H78" s="303">
        <v>7716</v>
      </c>
      <c r="I78" s="304">
        <v>7966</v>
      </c>
      <c r="J78" s="303"/>
      <c r="K78" s="304"/>
      <c r="L78" s="303"/>
      <c r="M78" s="304"/>
      <c r="N78" s="303"/>
      <c r="O78" s="304"/>
      <c r="P78" s="303"/>
      <c r="Q78" s="304"/>
      <c r="R78" s="305"/>
      <c r="S78" s="306"/>
      <c r="T78" s="303"/>
      <c r="U78" s="306"/>
      <c r="V78" s="303"/>
      <c r="W78" s="306"/>
      <c r="X78" s="303"/>
      <c r="Y78" s="306"/>
      <c r="Z78" s="318"/>
      <c r="AA78" s="304"/>
      <c r="AB78" s="305"/>
      <c r="AC78" s="306"/>
      <c r="AD78" s="303"/>
      <c r="AE78" s="306"/>
      <c r="AF78" s="303"/>
      <c r="AG78" s="306"/>
      <c r="AH78" s="303"/>
      <c r="AI78" s="304"/>
      <c r="AJ78" s="305"/>
      <c r="AK78" s="306"/>
    </row>
    <row r="79" spans="1:37">
      <c r="A79" s="299">
        <v>8</v>
      </c>
      <c r="B79" s="303">
        <v>3345</v>
      </c>
      <c r="C79" s="304">
        <v>3445</v>
      </c>
      <c r="D79" s="303">
        <v>6095</v>
      </c>
      <c r="E79" s="304">
        <v>6355</v>
      </c>
      <c r="F79" s="303"/>
      <c r="G79" s="304"/>
      <c r="H79" s="303"/>
      <c r="I79" s="304"/>
      <c r="J79" s="303"/>
      <c r="K79" s="304"/>
      <c r="L79" s="303"/>
      <c r="M79" s="304"/>
      <c r="N79" s="303"/>
      <c r="O79" s="304"/>
      <c r="P79" s="303"/>
      <c r="Q79" s="304"/>
      <c r="R79" s="305"/>
      <c r="S79" s="306"/>
      <c r="T79" s="303"/>
      <c r="U79" s="306"/>
      <c r="V79" s="303"/>
      <c r="W79" s="306"/>
      <c r="X79" s="303"/>
      <c r="Y79" s="306"/>
      <c r="Z79" s="318"/>
      <c r="AA79" s="304"/>
      <c r="AB79" s="305"/>
      <c r="AC79" s="306"/>
      <c r="AD79" s="303"/>
      <c r="AE79" s="306"/>
      <c r="AF79" s="303"/>
      <c r="AG79" s="306"/>
      <c r="AH79" s="303"/>
      <c r="AI79" s="304"/>
      <c r="AJ79" s="305"/>
      <c r="AK79" s="306"/>
    </row>
    <row r="80" spans="1:37">
      <c r="A80" s="299">
        <v>9</v>
      </c>
      <c r="B80" s="303">
        <v>3410</v>
      </c>
      <c r="C80" s="304">
        <v>3410</v>
      </c>
      <c r="D80" s="303">
        <v>5454</v>
      </c>
      <c r="E80" s="304">
        <v>5508</v>
      </c>
      <c r="F80" s="303"/>
      <c r="G80" s="304"/>
      <c r="H80" s="303"/>
      <c r="I80" s="304"/>
      <c r="J80" s="303"/>
      <c r="K80" s="304"/>
      <c r="L80" s="303"/>
      <c r="M80" s="304"/>
      <c r="N80" s="303"/>
      <c r="O80" s="304"/>
      <c r="P80" s="303"/>
      <c r="Q80" s="304"/>
      <c r="R80" s="305"/>
      <c r="S80" s="306"/>
      <c r="T80" s="303"/>
      <c r="U80" s="306"/>
      <c r="V80" s="303"/>
      <c r="W80" s="306"/>
      <c r="X80" s="303"/>
      <c r="Y80" s="306"/>
      <c r="Z80" s="318"/>
      <c r="AA80" s="304"/>
      <c r="AB80" s="305"/>
      <c r="AC80" s="306"/>
      <c r="AD80" s="303"/>
      <c r="AE80" s="306"/>
      <c r="AF80" s="303"/>
      <c r="AG80" s="306"/>
      <c r="AH80" s="303"/>
      <c r="AI80" s="304"/>
      <c r="AJ80" s="305"/>
      <c r="AK80" s="306"/>
    </row>
    <row r="81" spans="1:37">
      <c r="A81" s="299">
        <v>10</v>
      </c>
      <c r="B81" s="303">
        <v>3225</v>
      </c>
      <c r="C81" s="304">
        <v>3325</v>
      </c>
      <c r="D81" s="303">
        <v>6125</v>
      </c>
      <c r="E81" s="304">
        <v>6225</v>
      </c>
      <c r="F81" s="303"/>
      <c r="G81" s="304"/>
      <c r="H81" s="303"/>
      <c r="I81" s="304"/>
      <c r="J81" s="303"/>
      <c r="K81" s="304"/>
      <c r="L81" s="303"/>
      <c r="M81" s="304"/>
      <c r="N81" s="303"/>
      <c r="O81" s="304"/>
      <c r="P81" s="303"/>
      <c r="Q81" s="304"/>
      <c r="R81" s="305"/>
      <c r="S81" s="306"/>
      <c r="T81" s="303"/>
      <c r="U81" s="306"/>
      <c r="V81" s="303"/>
      <c r="W81" s="306"/>
      <c r="X81" s="303"/>
      <c r="Y81" s="306"/>
      <c r="Z81" s="318"/>
      <c r="AA81" s="304"/>
      <c r="AB81" s="305"/>
      <c r="AC81" s="306"/>
      <c r="AD81" s="303"/>
      <c r="AE81" s="306"/>
      <c r="AF81" s="303"/>
      <c r="AG81" s="306"/>
      <c r="AH81" s="303"/>
      <c r="AI81" s="304"/>
      <c r="AJ81" s="305"/>
      <c r="AK81" s="306"/>
    </row>
    <row r="82" spans="1:37">
      <c r="A82" s="298" t="s">
        <v>287</v>
      </c>
      <c r="B82" s="549"/>
      <c r="C82" s="550"/>
      <c r="D82" s="549"/>
      <c r="E82" s="550"/>
      <c r="F82" s="549"/>
      <c r="G82" s="550"/>
      <c r="H82" s="549"/>
      <c r="I82" s="550"/>
      <c r="J82" s="549"/>
      <c r="K82" s="550"/>
      <c r="L82" s="549"/>
      <c r="M82" s="550"/>
      <c r="N82" s="549"/>
      <c r="O82" s="550"/>
      <c r="P82" s="549"/>
      <c r="Q82" s="550"/>
      <c r="R82" s="553"/>
      <c r="S82" s="554"/>
      <c r="T82" s="549"/>
      <c r="U82" s="554"/>
      <c r="V82" s="549"/>
      <c r="W82" s="554"/>
      <c r="X82" s="549"/>
      <c r="Y82" s="554"/>
      <c r="Z82" s="557"/>
      <c r="AA82" s="550"/>
      <c r="AB82" s="553"/>
      <c r="AC82" s="554"/>
      <c r="AD82" s="549"/>
      <c r="AE82" s="554"/>
      <c r="AF82" s="549"/>
      <c r="AG82" s="554"/>
      <c r="AH82" s="549"/>
      <c r="AI82" s="550"/>
      <c r="AJ82" s="553"/>
      <c r="AK82" s="554"/>
    </row>
    <row r="83" spans="1:37">
      <c r="A83" s="299">
        <v>1</v>
      </c>
      <c r="B83" s="303">
        <v>8191.5</v>
      </c>
      <c r="C83" s="304">
        <v>8248</v>
      </c>
      <c r="D83" s="303">
        <v>25891</v>
      </c>
      <c r="E83" s="304">
        <v>26271.5</v>
      </c>
      <c r="F83" s="303">
        <v>9936.5</v>
      </c>
      <c r="G83" s="304">
        <v>9984</v>
      </c>
      <c r="H83" s="303">
        <v>25458.5</v>
      </c>
      <c r="I83" s="304">
        <v>25836.5</v>
      </c>
      <c r="J83" s="303">
        <v>24480</v>
      </c>
      <c r="K83" s="304">
        <v>24530</v>
      </c>
      <c r="L83" s="303">
        <v>41626</v>
      </c>
      <c r="M83" s="304">
        <v>44742</v>
      </c>
      <c r="N83" s="303">
        <v>34695</v>
      </c>
      <c r="O83" s="304">
        <v>34745</v>
      </c>
      <c r="P83" s="303">
        <v>62089</v>
      </c>
      <c r="Q83" s="304">
        <v>62705</v>
      </c>
      <c r="R83" s="305">
        <v>40653</v>
      </c>
      <c r="S83" s="306">
        <v>16674</v>
      </c>
      <c r="T83" s="303">
        <v>67168</v>
      </c>
      <c r="U83" s="306">
        <v>35087</v>
      </c>
      <c r="V83" s="303">
        <v>24335</v>
      </c>
      <c r="W83" s="306">
        <v>24385</v>
      </c>
      <c r="X83" s="303">
        <v>46896</v>
      </c>
      <c r="Y83" s="306">
        <v>47512</v>
      </c>
      <c r="Z83" s="318"/>
      <c r="AA83" s="304"/>
      <c r="AB83" s="305"/>
      <c r="AC83" s="306"/>
      <c r="AD83" s="303"/>
      <c r="AE83" s="306"/>
      <c r="AF83" s="303"/>
      <c r="AG83" s="306"/>
      <c r="AH83" s="303">
        <v>19617</v>
      </c>
      <c r="AI83" s="304">
        <v>19647</v>
      </c>
      <c r="AJ83" s="305">
        <v>47658</v>
      </c>
      <c r="AK83" s="306">
        <v>48348</v>
      </c>
    </row>
    <row r="84" spans="1:37">
      <c r="A84" s="299">
        <v>2</v>
      </c>
      <c r="B84" s="303">
        <v>6948</v>
      </c>
      <c r="C84" s="304">
        <v>7015</v>
      </c>
      <c r="D84" s="303">
        <v>21841.5</v>
      </c>
      <c r="E84" s="304">
        <v>21908.5</v>
      </c>
      <c r="F84" s="303">
        <v>7699</v>
      </c>
      <c r="G84" s="304">
        <v>7766</v>
      </c>
      <c r="H84" s="303">
        <v>20673.5</v>
      </c>
      <c r="I84" s="304">
        <v>20740.5</v>
      </c>
      <c r="J84" s="303"/>
      <c r="K84" s="304"/>
      <c r="L84" s="303"/>
      <c r="M84" s="304"/>
      <c r="N84" s="303">
        <v>23154</v>
      </c>
      <c r="O84" s="304">
        <v>23116</v>
      </c>
      <c r="P84" s="303">
        <v>23154</v>
      </c>
      <c r="Q84" s="304">
        <v>23116</v>
      </c>
      <c r="R84" s="305">
        <v>33046</v>
      </c>
      <c r="S84" s="306">
        <v>33046</v>
      </c>
      <c r="T84" s="303">
        <v>33046</v>
      </c>
      <c r="U84" s="306">
        <v>33046</v>
      </c>
      <c r="V84" s="303"/>
      <c r="W84" s="306"/>
      <c r="X84" s="303"/>
      <c r="Y84" s="306"/>
      <c r="Z84" s="318"/>
      <c r="AA84" s="304"/>
      <c r="AB84" s="305"/>
      <c r="AC84" s="306"/>
      <c r="AD84" s="303"/>
      <c r="AE84" s="306"/>
      <c r="AF84" s="303"/>
      <c r="AG84" s="306"/>
      <c r="AH84" s="303"/>
      <c r="AI84" s="304"/>
      <c r="AJ84" s="305"/>
      <c r="AK84" s="306"/>
    </row>
    <row r="85" spans="1:37">
      <c r="A85" s="299">
        <v>3</v>
      </c>
      <c r="B85" s="303">
        <v>6905</v>
      </c>
      <c r="C85" s="304">
        <v>6941</v>
      </c>
      <c r="D85" s="303">
        <v>20291</v>
      </c>
      <c r="E85" s="304">
        <v>20327</v>
      </c>
      <c r="F85" s="303">
        <v>7549</v>
      </c>
      <c r="G85" s="304">
        <v>7577.5</v>
      </c>
      <c r="H85" s="303">
        <v>20940.5</v>
      </c>
      <c r="I85" s="304">
        <v>20969</v>
      </c>
      <c r="J85" s="303">
        <v>16345</v>
      </c>
      <c r="K85" s="304">
        <v>16345</v>
      </c>
      <c r="L85" s="303">
        <v>39017</v>
      </c>
      <c r="M85" s="304">
        <v>39017</v>
      </c>
      <c r="N85" s="303"/>
      <c r="O85" s="304"/>
      <c r="P85" s="303"/>
      <c r="Q85" s="304"/>
      <c r="R85" s="305"/>
      <c r="S85" s="306"/>
      <c r="T85" s="303"/>
      <c r="U85" s="306"/>
      <c r="V85" s="303"/>
      <c r="W85" s="306"/>
      <c r="X85" s="303"/>
      <c r="Y85" s="306"/>
      <c r="Z85" s="318"/>
      <c r="AA85" s="304"/>
      <c r="AB85" s="305"/>
      <c r="AC85" s="306"/>
      <c r="AD85" s="303"/>
      <c r="AE85" s="306"/>
      <c r="AF85" s="303"/>
      <c r="AG85" s="306"/>
      <c r="AH85" s="303"/>
      <c r="AI85" s="304"/>
      <c r="AJ85" s="305"/>
      <c r="AK85" s="306"/>
    </row>
    <row r="86" spans="1:37">
      <c r="A86" s="299">
        <v>4</v>
      </c>
      <c r="B86" s="303">
        <v>5309</v>
      </c>
      <c r="C86" s="304">
        <v>5379</v>
      </c>
      <c r="D86" s="303">
        <v>16917</v>
      </c>
      <c r="E86" s="304">
        <v>16987</v>
      </c>
      <c r="F86" s="303">
        <v>5765</v>
      </c>
      <c r="G86" s="304">
        <v>5835</v>
      </c>
      <c r="H86" s="303">
        <v>16830</v>
      </c>
      <c r="I86" s="304">
        <v>16900</v>
      </c>
      <c r="J86" s="303"/>
      <c r="K86" s="304"/>
      <c r="L86" s="303"/>
      <c r="M86" s="304"/>
      <c r="N86" s="303"/>
      <c r="O86" s="304"/>
      <c r="P86" s="303"/>
      <c r="Q86" s="304"/>
      <c r="R86" s="305"/>
      <c r="S86" s="306"/>
      <c r="T86" s="303"/>
      <c r="U86" s="306"/>
      <c r="V86" s="303"/>
      <c r="W86" s="306"/>
      <c r="X86" s="303"/>
      <c r="Y86" s="306"/>
      <c r="Z86" s="318"/>
      <c r="AA86" s="304"/>
      <c r="AB86" s="305"/>
      <c r="AC86" s="306"/>
      <c r="AD86" s="303"/>
      <c r="AE86" s="306"/>
      <c r="AF86" s="303"/>
      <c r="AG86" s="306"/>
      <c r="AH86" s="303"/>
      <c r="AI86" s="304"/>
      <c r="AJ86" s="305"/>
      <c r="AK86" s="306"/>
    </row>
    <row r="87" spans="1:37">
      <c r="A87" s="299">
        <v>5</v>
      </c>
      <c r="B87" s="303">
        <v>4698.5</v>
      </c>
      <c r="C87" s="304">
        <v>4871</v>
      </c>
      <c r="D87" s="303">
        <v>11822</v>
      </c>
      <c r="E87" s="304">
        <v>12199</v>
      </c>
      <c r="F87" s="303">
        <v>6574</v>
      </c>
      <c r="G87" s="304">
        <v>6746.5</v>
      </c>
      <c r="H87" s="303">
        <v>17663.5</v>
      </c>
      <c r="I87" s="304">
        <v>18291</v>
      </c>
      <c r="J87" s="303"/>
      <c r="K87" s="304"/>
      <c r="L87" s="303"/>
      <c r="M87" s="304"/>
      <c r="N87" s="303"/>
      <c r="O87" s="304"/>
      <c r="P87" s="303"/>
      <c r="Q87" s="304"/>
      <c r="R87" s="305"/>
      <c r="S87" s="306"/>
      <c r="T87" s="303"/>
      <c r="U87" s="306"/>
      <c r="V87" s="303"/>
      <c r="W87" s="306"/>
      <c r="X87" s="303"/>
      <c r="Y87" s="306"/>
      <c r="Z87" s="318"/>
      <c r="AA87" s="304"/>
      <c r="AB87" s="305"/>
      <c r="AC87" s="306"/>
      <c r="AD87" s="303"/>
      <c r="AE87" s="306"/>
      <c r="AF87" s="303"/>
      <c r="AG87" s="306"/>
      <c r="AH87" s="303"/>
      <c r="AI87" s="304"/>
      <c r="AJ87" s="305"/>
      <c r="AK87" s="306"/>
    </row>
    <row r="88" spans="1:37">
      <c r="A88" s="299">
        <v>6</v>
      </c>
      <c r="B88" s="303">
        <v>5252</v>
      </c>
      <c r="C88" s="304">
        <v>5322.5</v>
      </c>
      <c r="D88" s="303">
        <v>15926</v>
      </c>
      <c r="E88" s="304">
        <v>15996.5</v>
      </c>
      <c r="F88" s="303">
        <v>6835.5</v>
      </c>
      <c r="G88" s="304">
        <v>6868.5</v>
      </c>
      <c r="H88" s="303">
        <v>21527.5</v>
      </c>
      <c r="I88" s="304">
        <v>21561</v>
      </c>
      <c r="J88" s="303"/>
      <c r="K88" s="304"/>
      <c r="L88" s="303"/>
      <c r="M88" s="304"/>
      <c r="N88" s="303"/>
      <c r="O88" s="304"/>
      <c r="P88" s="303"/>
      <c r="Q88" s="304"/>
      <c r="R88" s="305"/>
      <c r="S88" s="306"/>
      <c r="T88" s="303"/>
      <c r="U88" s="306"/>
      <c r="V88" s="303"/>
      <c r="W88" s="306"/>
      <c r="X88" s="303"/>
      <c r="Y88" s="306"/>
      <c r="Z88" s="318"/>
      <c r="AA88" s="304"/>
      <c r="AB88" s="305"/>
      <c r="AC88" s="306"/>
      <c r="AD88" s="303"/>
      <c r="AE88" s="306"/>
      <c r="AF88" s="303"/>
      <c r="AG88" s="306"/>
      <c r="AH88" s="303"/>
      <c r="AI88" s="304"/>
      <c r="AJ88" s="305"/>
      <c r="AK88" s="306"/>
    </row>
    <row r="89" spans="1:37">
      <c r="A89" s="299">
        <v>8</v>
      </c>
      <c r="B89" s="303">
        <v>2544</v>
      </c>
      <c r="C89" s="304">
        <v>2626</v>
      </c>
      <c r="D89" s="303">
        <v>8688</v>
      </c>
      <c r="E89" s="304">
        <v>8770</v>
      </c>
      <c r="F89" s="303"/>
      <c r="G89" s="304"/>
      <c r="H89" s="303"/>
      <c r="I89" s="304"/>
      <c r="J89" s="303"/>
      <c r="K89" s="304"/>
      <c r="L89" s="303"/>
      <c r="M89" s="304"/>
      <c r="N89" s="303"/>
      <c r="O89" s="304"/>
      <c r="P89" s="303"/>
      <c r="Q89" s="304"/>
      <c r="R89" s="305"/>
      <c r="S89" s="306"/>
      <c r="T89" s="303"/>
      <c r="U89" s="306"/>
      <c r="V89" s="303"/>
      <c r="W89" s="306"/>
      <c r="X89" s="303"/>
      <c r="Y89" s="306"/>
      <c r="Z89" s="318"/>
      <c r="AA89" s="304"/>
      <c r="AB89" s="305"/>
      <c r="AC89" s="306"/>
      <c r="AD89" s="303"/>
      <c r="AE89" s="306"/>
      <c r="AF89" s="303"/>
      <c r="AG89" s="306"/>
      <c r="AH89" s="303"/>
      <c r="AI89" s="304"/>
      <c r="AJ89" s="305"/>
      <c r="AK89" s="306"/>
    </row>
    <row r="90" spans="1:37">
      <c r="A90" s="299">
        <v>9</v>
      </c>
      <c r="B90" s="303">
        <v>2554</v>
      </c>
      <c r="C90" s="304">
        <v>2537</v>
      </c>
      <c r="D90" s="303">
        <v>8698</v>
      </c>
      <c r="E90" s="304">
        <v>8681</v>
      </c>
      <c r="F90" s="303"/>
      <c r="G90" s="304"/>
      <c r="H90" s="303"/>
      <c r="I90" s="304"/>
      <c r="J90" s="303"/>
      <c r="K90" s="304"/>
      <c r="L90" s="303"/>
      <c r="M90" s="304"/>
      <c r="N90" s="303"/>
      <c r="O90" s="304"/>
      <c r="P90" s="303"/>
      <c r="Q90" s="304"/>
      <c r="R90" s="305"/>
      <c r="S90" s="306"/>
      <c r="T90" s="303"/>
      <c r="U90" s="306"/>
      <c r="V90" s="303"/>
      <c r="W90" s="306"/>
      <c r="X90" s="303"/>
      <c r="Y90" s="306"/>
      <c r="Z90" s="318"/>
      <c r="AA90" s="304"/>
      <c r="AB90" s="305"/>
      <c r="AC90" s="306"/>
      <c r="AD90" s="303"/>
      <c r="AE90" s="306"/>
      <c r="AF90" s="303"/>
      <c r="AG90" s="306"/>
      <c r="AH90" s="303"/>
      <c r="AI90" s="304"/>
      <c r="AJ90" s="305"/>
      <c r="AK90" s="306"/>
    </row>
    <row r="91" spans="1:37">
      <c r="A91" s="299">
        <v>10</v>
      </c>
      <c r="B91" s="303">
        <v>2558</v>
      </c>
      <c r="C91" s="304">
        <v>2562</v>
      </c>
      <c r="D91" s="303">
        <v>8696</v>
      </c>
      <c r="E91" s="304">
        <v>8703.5</v>
      </c>
      <c r="F91" s="303"/>
      <c r="G91" s="304"/>
      <c r="H91" s="303"/>
      <c r="I91" s="304"/>
      <c r="J91" s="303"/>
      <c r="K91" s="304"/>
      <c r="L91" s="303"/>
      <c r="M91" s="304"/>
      <c r="N91" s="303"/>
      <c r="O91" s="304"/>
      <c r="P91" s="303"/>
      <c r="Q91" s="304"/>
      <c r="R91" s="305"/>
      <c r="S91" s="306"/>
      <c r="T91" s="303"/>
      <c r="U91" s="306"/>
      <c r="V91" s="303"/>
      <c r="W91" s="306"/>
      <c r="X91" s="303"/>
      <c r="Y91" s="306"/>
      <c r="Z91" s="318"/>
      <c r="AA91" s="304"/>
      <c r="AB91" s="305"/>
      <c r="AC91" s="306"/>
      <c r="AD91" s="303"/>
      <c r="AE91" s="306"/>
      <c r="AF91" s="303"/>
      <c r="AG91" s="306"/>
      <c r="AH91" s="303"/>
      <c r="AI91" s="304"/>
      <c r="AJ91" s="305"/>
      <c r="AK91" s="306"/>
    </row>
    <row r="92" spans="1:37">
      <c r="A92" s="299">
        <v>15</v>
      </c>
      <c r="B92" s="303">
        <v>9358</v>
      </c>
      <c r="C92" s="304">
        <v>8941</v>
      </c>
      <c r="D92" s="303">
        <v>25901</v>
      </c>
      <c r="E92" s="304">
        <v>26175</v>
      </c>
      <c r="F92" s="303">
        <v>12057</v>
      </c>
      <c r="G92" s="304">
        <v>11640</v>
      </c>
      <c r="H92" s="303">
        <v>26064</v>
      </c>
      <c r="I92" s="304">
        <v>26343</v>
      </c>
      <c r="J92" s="303"/>
      <c r="K92" s="304"/>
      <c r="L92" s="303"/>
      <c r="M92" s="304"/>
      <c r="N92" s="303"/>
      <c r="O92" s="304"/>
      <c r="P92" s="303"/>
      <c r="Q92" s="304"/>
      <c r="R92" s="305"/>
      <c r="S92" s="306"/>
      <c r="T92" s="303"/>
      <c r="U92" s="306"/>
      <c r="V92" s="303"/>
      <c r="W92" s="306"/>
      <c r="X92" s="303"/>
      <c r="Y92" s="306"/>
      <c r="Z92" s="318"/>
      <c r="AA92" s="304"/>
      <c r="AB92" s="305"/>
      <c r="AC92" s="306"/>
      <c r="AD92" s="303"/>
      <c r="AE92" s="306"/>
      <c r="AF92" s="303"/>
      <c r="AG92" s="306"/>
      <c r="AH92" s="303"/>
      <c r="AI92" s="304"/>
      <c r="AJ92" s="305"/>
      <c r="AK92" s="306"/>
    </row>
    <row r="93" spans="1:37">
      <c r="A93" s="298" t="s">
        <v>359</v>
      </c>
      <c r="B93" s="549"/>
      <c r="C93" s="550"/>
      <c r="D93" s="549"/>
      <c r="E93" s="550"/>
      <c r="F93" s="549"/>
      <c r="G93" s="550"/>
      <c r="H93" s="549"/>
      <c r="I93" s="550"/>
      <c r="J93" s="549"/>
      <c r="K93" s="550"/>
      <c r="L93" s="549"/>
      <c r="M93" s="550"/>
      <c r="N93" s="549"/>
      <c r="O93" s="550"/>
      <c r="P93" s="549"/>
      <c r="Q93" s="550"/>
      <c r="R93" s="553"/>
      <c r="S93" s="554"/>
      <c r="T93" s="549"/>
      <c r="U93" s="554"/>
      <c r="V93" s="549"/>
      <c r="W93" s="554"/>
      <c r="X93" s="549"/>
      <c r="Y93" s="554"/>
      <c r="Z93" s="557"/>
      <c r="AA93" s="550"/>
      <c r="AB93" s="553"/>
      <c r="AC93" s="554"/>
      <c r="AD93" s="549"/>
      <c r="AE93" s="554"/>
      <c r="AF93" s="549"/>
      <c r="AG93" s="554"/>
      <c r="AH93" s="549"/>
      <c r="AI93" s="550"/>
      <c r="AJ93" s="553"/>
      <c r="AK93" s="554"/>
    </row>
    <row r="94" spans="1:37">
      <c r="A94" s="299">
        <v>12</v>
      </c>
      <c r="B94" s="303">
        <v>1980</v>
      </c>
      <c r="C94" s="304">
        <v>1980</v>
      </c>
      <c r="D94" s="303">
        <v>3960</v>
      </c>
      <c r="E94" s="304">
        <v>3960</v>
      </c>
      <c r="F94" s="303"/>
      <c r="G94" s="304"/>
      <c r="H94" s="303"/>
      <c r="I94" s="304"/>
      <c r="J94" s="303"/>
      <c r="K94" s="304"/>
      <c r="L94" s="303"/>
      <c r="M94" s="304"/>
      <c r="N94" s="303"/>
      <c r="O94" s="304"/>
      <c r="P94" s="303"/>
      <c r="Q94" s="304"/>
      <c r="R94" s="305"/>
      <c r="S94" s="306"/>
      <c r="T94" s="303"/>
      <c r="U94" s="306"/>
      <c r="V94" s="303"/>
      <c r="W94" s="306"/>
      <c r="X94" s="303"/>
      <c r="Y94" s="306"/>
      <c r="Z94" s="318"/>
      <c r="AA94" s="304"/>
      <c r="AB94" s="305"/>
      <c r="AC94" s="306"/>
      <c r="AD94" s="303"/>
      <c r="AE94" s="306"/>
      <c r="AF94" s="303"/>
      <c r="AG94" s="306"/>
      <c r="AH94" s="303"/>
      <c r="AI94" s="304"/>
      <c r="AJ94" s="305"/>
      <c r="AK94" s="306"/>
    </row>
    <row r="95" spans="1:37">
      <c r="A95" s="299">
        <v>13</v>
      </c>
      <c r="B95" s="303">
        <v>1800</v>
      </c>
      <c r="C95" s="304">
        <v>1890</v>
      </c>
      <c r="D95" s="303">
        <v>3600</v>
      </c>
      <c r="E95" s="304">
        <v>3960</v>
      </c>
      <c r="F95" s="303"/>
      <c r="G95" s="304"/>
      <c r="H95" s="303"/>
      <c r="I95" s="304"/>
      <c r="J95" s="303"/>
      <c r="K95" s="304"/>
      <c r="L95" s="303"/>
      <c r="M95" s="304"/>
      <c r="N95" s="303"/>
      <c r="O95" s="304"/>
      <c r="P95" s="303"/>
      <c r="Q95" s="304"/>
      <c r="R95" s="305"/>
      <c r="S95" s="306"/>
      <c r="T95" s="303"/>
      <c r="U95" s="306"/>
      <c r="V95" s="303"/>
      <c r="W95" s="306"/>
      <c r="X95" s="303"/>
      <c r="Y95" s="306"/>
      <c r="Z95" s="318"/>
      <c r="AA95" s="304"/>
      <c r="AB95" s="305"/>
      <c r="AC95" s="306"/>
      <c r="AD95" s="303"/>
      <c r="AE95" s="306"/>
      <c r="AF95" s="303"/>
      <c r="AG95" s="306"/>
      <c r="AH95" s="303"/>
      <c r="AI95" s="304"/>
      <c r="AJ95" s="305"/>
      <c r="AK95" s="306"/>
    </row>
    <row r="96" spans="1:37">
      <c r="A96" s="298" t="s">
        <v>360</v>
      </c>
      <c r="B96" s="549"/>
      <c r="C96" s="550"/>
      <c r="D96" s="549"/>
      <c r="E96" s="550"/>
      <c r="F96" s="549"/>
      <c r="G96" s="550"/>
      <c r="H96" s="549"/>
      <c r="I96" s="550"/>
      <c r="J96" s="549"/>
      <c r="K96" s="550"/>
      <c r="L96" s="549"/>
      <c r="M96" s="550"/>
      <c r="N96" s="549"/>
      <c r="O96" s="550"/>
      <c r="P96" s="549"/>
      <c r="Q96" s="550"/>
      <c r="R96" s="553"/>
      <c r="S96" s="554"/>
      <c r="T96" s="549"/>
      <c r="U96" s="554"/>
      <c r="V96" s="549"/>
      <c r="W96" s="554"/>
      <c r="X96" s="549"/>
      <c r="Y96" s="554"/>
      <c r="Z96" s="557"/>
      <c r="AA96" s="550"/>
      <c r="AB96" s="553"/>
      <c r="AC96" s="554"/>
      <c r="AD96" s="549"/>
      <c r="AE96" s="554"/>
      <c r="AF96" s="549"/>
      <c r="AG96" s="554"/>
      <c r="AH96" s="549"/>
      <c r="AI96" s="550"/>
      <c r="AJ96" s="553"/>
      <c r="AK96" s="554"/>
    </row>
    <row r="97" spans="1:37">
      <c r="A97" s="299">
        <v>1</v>
      </c>
      <c r="B97" s="303">
        <v>13904</v>
      </c>
      <c r="C97" s="304">
        <v>13904</v>
      </c>
      <c r="D97" s="303">
        <v>36020</v>
      </c>
      <c r="E97" s="304">
        <v>36020</v>
      </c>
      <c r="F97" s="303">
        <v>13039</v>
      </c>
      <c r="G97" s="304">
        <v>13171</v>
      </c>
      <c r="H97" s="303">
        <v>27003</v>
      </c>
      <c r="I97" s="304">
        <v>27270</v>
      </c>
      <c r="J97" s="303">
        <v>21472</v>
      </c>
      <c r="K97" s="304">
        <v>21472</v>
      </c>
      <c r="L97" s="303">
        <v>52480</v>
      </c>
      <c r="M97" s="304">
        <v>52480</v>
      </c>
      <c r="N97" s="303">
        <v>43488</v>
      </c>
      <c r="O97" s="304">
        <v>43488</v>
      </c>
      <c r="P97" s="303">
        <v>87750</v>
      </c>
      <c r="Q97" s="304">
        <v>87750</v>
      </c>
      <c r="R97" s="305"/>
      <c r="S97" s="306"/>
      <c r="T97" s="303"/>
      <c r="U97" s="306"/>
      <c r="V97" s="303">
        <v>24130</v>
      </c>
      <c r="W97" s="306">
        <v>24130</v>
      </c>
      <c r="X97" s="303">
        <v>36424</v>
      </c>
      <c r="Y97" s="306">
        <v>36424</v>
      </c>
      <c r="Z97" s="318"/>
      <c r="AA97" s="304"/>
      <c r="AB97" s="305"/>
      <c r="AC97" s="306"/>
      <c r="AD97" s="303"/>
      <c r="AE97" s="306"/>
      <c r="AF97" s="303"/>
      <c r="AG97" s="306"/>
      <c r="AH97" s="303"/>
      <c r="AI97" s="304"/>
      <c r="AJ97" s="305"/>
      <c r="AK97" s="306"/>
    </row>
    <row r="98" spans="1:37">
      <c r="A98" s="299">
        <v>3</v>
      </c>
      <c r="B98" s="303">
        <v>13140</v>
      </c>
      <c r="C98" s="304">
        <v>13140</v>
      </c>
      <c r="D98" s="303">
        <v>32848</v>
      </c>
      <c r="E98" s="304">
        <v>33978</v>
      </c>
      <c r="F98" s="303">
        <v>11538</v>
      </c>
      <c r="G98" s="304">
        <v>11604</v>
      </c>
      <c r="H98" s="303">
        <v>22212</v>
      </c>
      <c r="I98" s="304">
        <v>22352</v>
      </c>
      <c r="J98" s="303"/>
      <c r="K98" s="304"/>
      <c r="L98" s="303"/>
      <c r="M98" s="304"/>
      <c r="N98" s="303"/>
      <c r="O98" s="304"/>
      <c r="P98" s="303"/>
      <c r="Q98" s="304"/>
      <c r="R98" s="305"/>
      <c r="S98" s="306"/>
      <c r="T98" s="303"/>
      <c r="U98" s="306"/>
      <c r="V98" s="303"/>
      <c r="W98" s="306"/>
      <c r="X98" s="303"/>
      <c r="Y98" s="306"/>
      <c r="Z98" s="318"/>
      <c r="AA98" s="304"/>
      <c r="AB98" s="305"/>
      <c r="AC98" s="306"/>
      <c r="AD98" s="303"/>
      <c r="AE98" s="306"/>
      <c r="AF98" s="303"/>
      <c r="AG98" s="306"/>
      <c r="AH98" s="303"/>
      <c r="AI98" s="304"/>
      <c r="AJ98" s="305"/>
      <c r="AK98" s="306"/>
    </row>
    <row r="99" spans="1:37">
      <c r="A99" s="299">
        <v>4</v>
      </c>
      <c r="B99" s="303">
        <v>11640</v>
      </c>
      <c r="C99" s="304">
        <v>11640</v>
      </c>
      <c r="D99" s="303">
        <v>27394</v>
      </c>
      <c r="E99" s="304">
        <v>27394</v>
      </c>
      <c r="F99" s="303">
        <v>10764</v>
      </c>
      <c r="G99" s="304">
        <v>10764</v>
      </c>
      <c r="H99" s="303">
        <v>19836</v>
      </c>
      <c r="I99" s="304">
        <v>19836</v>
      </c>
      <c r="J99" s="303"/>
      <c r="K99" s="304"/>
      <c r="L99" s="303"/>
      <c r="M99" s="304"/>
      <c r="N99" s="303"/>
      <c r="O99" s="304"/>
      <c r="P99" s="303"/>
      <c r="Q99" s="304"/>
      <c r="R99" s="305"/>
      <c r="S99" s="306"/>
      <c r="T99" s="303"/>
      <c r="U99" s="306"/>
      <c r="V99" s="303"/>
      <c r="W99" s="306"/>
      <c r="X99" s="303"/>
      <c r="Y99" s="306"/>
      <c r="Z99" s="318"/>
      <c r="AA99" s="304"/>
      <c r="AB99" s="305"/>
      <c r="AC99" s="306"/>
      <c r="AD99" s="303"/>
      <c r="AE99" s="306"/>
      <c r="AF99" s="303"/>
      <c r="AG99" s="306"/>
      <c r="AH99" s="303"/>
      <c r="AI99" s="304"/>
      <c r="AJ99" s="305"/>
      <c r="AK99" s="306"/>
    </row>
    <row r="100" spans="1:37">
      <c r="A100" s="299">
        <v>5</v>
      </c>
      <c r="B100" s="303">
        <v>11060</v>
      </c>
      <c r="C100" s="304">
        <v>11060</v>
      </c>
      <c r="D100" s="303">
        <v>21544</v>
      </c>
      <c r="E100" s="304">
        <v>21544</v>
      </c>
      <c r="F100" s="303">
        <v>11460</v>
      </c>
      <c r="G100" s="304">
        <v>11460</v>
      </c>
      <c r="H100" s="303">
        <v>22570</v>
      </c>
      <c r="I100" s="304">
        <v>22570</v>
      </c>
      <c r="J100" s="303"/>
      <c r="K100" s="304"/>
      <c r="L100" s="303"/>
      <c r="M100" s="304"/>
      <c r="N100" s="303"/>
      <c r="O100" s="304"/>
      <c r="P100" s="303"/>
      <c r="Q100" s="304"/>
      <c r="R100" s="305"/>
      <c r="S100" s="306"/>
      <c r="T100" s="303"/>
      <c r="U100" s="306"/>
      <c r="V100" s="303"/>
      <c r="W100" s="306"/>
      <c r="X100" s="303"/>
      <c r="Y100" s="306"/>
      <c r="Z100" s="318"/>
      <c r="AA100" s="304"/>
      <c r="AB100" s="305"/>
      <c r="AC100" s="306"/>
      <c r="AD100" s="303"/>
      <c r="AE100" s="306"/>
      <c r="AF100" s="303"/>
      <c r="AG100" s="306"/>
      <c r="AH100" s="303"/>
      <c r="AI100" s="304"/>
      <c r="AJ100" s="305"/>
      <c r="AK100" s="306"/>
    </row>
    <row r="101" spans="1:37">
      <c r="A101" s="299">
        <v>6</v>
      </c>
      <c r="B101" s="303">
        <v>11488</v>
      </c>
      <c r="C101" s="304">
        <v>11488</v>
      </c>
      <c r="D101" s="303">
        <v>21726</v>
      </c>
      <c r="E101" s="304">
        <v>21726</v>
      </c>
      <c r="F101" s="303">
        <v>11994</v>
      </c>
      <c r="G101" s="304">
        <v>11972</v>
      </c>
      <c r="H101" s="303">
        <v>24022</v>
      </c>
      <c r="I101" s="304">
        <v>19985</v>
      </c>
      <c r="J101" s="303"/>
      <c r="K101" s="304"/>
      <c r="L101" s="303"/>
      <c r="M101" s="304"/>
      <c r="N101" s="303"/>
      <c r="O101" s="304"/>
      <c r="P101" s="303"/>
      <c r="Q101" s="304"/>
      <c r="R101" s="305"/>
      <c r="S101" s="306"/>
      <c r="T101" s="303"/>
      <c r="U101" s="306"/>
      <c r="V101" s="303"/>
      <c r="W101" s="306"/>
      <c r="X101" s="303"/>
      <c r="Y101" s="306"/>
      <c r="Z101" s="318"/>
      <c r="AA101" s="304"/>
      <c r="AB101" s="305"/>
      <c r="AC101" s="306"/>
      <c r="AD101" s="303"/>
      <c r="AE101" s="306"/>
      <c r="AF101" s="303"/>
      <c r="AG101" s="306"/>
      <c r="AH101" s="303"/>
      <c r="AI101" s="304"/>
      <c r="AJ101" s="305"/>
      <c r="AK101" s="306"/>
    </row>
    <row r="102" spans="1:37">
      <c r="A102" s="299">
        <v>8</v>
      </c>
      <c r="B102" s="303">
        <v>5806</v>
      </c>
      <c r="C102" s="304">
        <v>5806</v>
      </c>
      <c r="D102" s="303">
        <v>11234.5</v>
      </c>
      <c r="E102" s="304">
        <v>11234.5</v>
      </c>
      <c r="F102" s="303"/>
      <c r="G102" s="304"/>
      <c r="H102" s="303"/>
      <c r="I102" s="304"/>
      <c r="J102" s="303"/>
      <c r="K102" s="304"/>
      <c r="L102" s="303"/>
      <c r="M102" s="304"/>
      <c r="N102" s="303"/>
      <c r="O102" s="304"/>
      <c r="P102" s="303"/>
      <c r="Q102" s="304"/>
      <c r="R102" s="305"/>
      <c r="S102" s="306"/>
      <c r="T102" s="303"/>
      <c r="U102" s="306"/>
      <c r="V102" s="303"/>
      <c r="W102" s="306"/>
      <c r="X102" s="303"/>
      <c r="Y102" s="306"/>
      <c r="Z102" s="318"/>
      <c r="AA102" s="304"/>
      <c r="AB102" s="305"/>
      <c r="AC102" s="306"/>
      <c r="AD102" s="303"/>
      <c r="AE102" s="306"/>
      <c r="AF102" s="303"/>
      <c r="AG102" s="306"/>
      <c r="AH102" s="303"/>
      <c r="AI102" s="304"/>
      <c r="AJ102" s="305"/>
      <c r="AK102" s="306"/>
    </row>
    <row r="103" spans="1:37">
      <c r="A103" s="299">
        <v>9</v>
      </c>
      <c r="B103" s="303">
        <v>5705</v>
      </c>
      <c r="C103" s="304">
        <v>5705</v>
      </c>
      <c r="D103" s="303">
        <v>11235</v>
      </c>
      <c r="E103" s="304">
        <v>11235</v>
      </c>
      <c r="F103" s="303"/>
      <c r="G103" s="304"/>
      <c r="H103" s="303"/>
      <c r="I103" s="304"/>
      <c r="J103" s="303"/>
      <c r="K103" s="304"/>
      <c r="L103" s="303"/>
      <c r="M103" s="304"/>
      <c r="N103" s="303"/>
      <c r="O103" s="304"/>
      <c r="P103" s="303"/>
      <c r="Q103" s="304"/>
      <c r="R103" s="305"/>
      <c r="S103" s="306"/>
      <c r="T103" s="303"/>
      <c r="U103" s="306"/>
      <c r="V103" s="303"/>
      <c r="W103" s="306"/>
      <c r="X103" s="303"/>
      <c r="Y103" s="306"/>
      <c r="Z103" s="318"/>
      <c r="AA103" s="304"/>
      <c r="AB103" s="305"/>
      <c r="AC103" s="306"/>
      <c r="AD103" s="303"/>
      <c r="AE103" s="306"/>
      <c r="AF103" s="303"/>
      <c r="AG103" s="306"/>
      <c r="AH103" s="303"/>
      <c r="AI103" s="304"/>
      <c r="AJ103" s="305"/>
      <c r="AK103" s="306"/>
    </row>
    <row r="104" spans="1:37">
      <c r="A104" s="299">
        <v>10</v>
      </c>
      <c r="B104" s="303">
        <v>6260</v>
      </c>
      <c r="C104" s="304">
        <v>6283</v>
      </c>
      <c r="D104" s="303">
        <v>12552.5</v>
      </c>
      <c r="E104" s="304">
        <v>12771</v>
      </c>
      <c r="F104" s="303"/>
      <c r="G104" s="304"/>
      <c r="H104" s="303"/>
      <c r="I104" s="304"/>
      <c r="J104" s="303"/>
      <c r="K104" s="304"/>
      <c r="L104" s="303"/>
      <c r="M104" s="304"/>
      <c r="N104" s="303"/>
      <c r="O104" s="304"/>
      <c r="P104" s="303"/>
      <c r="Q104" s="304"/>
      <c r="R104" s="305"/>
      <c r="S104" s="306"/>
      <c r="T104" s="303"/>
      <c r="U104" s="306"/>
      <c r="V104" s="303"/>
      <c r="W104" s="306"/>
      <c r="X104" s="303"/>
      <c r="Y104" s="306"/>
      <c r="Z104" s="318"/>
      <c r="AA104" s="304"/>
      <c r="AB104" s="305"/>
      <c r="AC104" s="306"/>
      <c r="AD104" s="303"/>
      <c r="AE104" s="306"/>
      <c r="AF104" s="303"/>
      <c r="AG104" s="306"/>
      <c r="AH104" s="303"/>
      <c r="AI104" s="304"/>
      <c r="AJ104" s="305"/>
      <c r="AK104" s="306"/>
    </row>
    <row r="105" spans="1:37">
      <c r="A105" s="299">
        <v>15</v>
      </c>
      <c r="B105" s="303">
        <v>14318</v>
      </c>
      <c r="C105" s="304">
        <v>14318</v>
      </c>
      <c r="D105" s="303">
        <v>20302</v>
      </c>
      <c r="E105" s="304">
        <v>18803</v>
      </c>
      <c r="F105" s="303">
        <v>16761</v>
      </c>
      <c r="G105" s="304">
        <v>16761</v>
      </c>
      <c r="H105" s="303">
        <v>22694</v>
      </c>
      <c r="I105" s="304">
        <v>22571</v>
      </c>
      <c r="J105" s="303"/>
      <c r="K105" s="304"/>
      <c r="L105" s="303"/>
      <c r="M105" s="304"/>
      <c r="N105" s="303">
        <v>37029</v>
      </c>
      <c r="O105" s="304">
        <v>37029</v>
      </c>
      <c r="P105" s="303">
        <v>64704</v>
      </c>
      <c r="Q105" s="304">
        <v>64704</v>
      </c>
      <c r="R105" s="305">
        <v>34300</v>
      </c>
      <c r="S105" s="306">
        <v>34300</v>
      </c>
      <c r="T105" s="303">
        <v>60000</v>
      </c>
      <c r="U105" s="306">
        <v>60000</v>
      </c>
      <c r="V105" s="303">
        <v>29321</v>
      </c>
      <c r="W105" s="306">
        <v>29321</v>
      </c>
      <c r="X105" s="303">
        <v>42325</v>
      </c>
      <c r="Y105" s="306">
        <v>42325</v>
      </c>
      <c r="Z105" s="318"/>
      <c r="AA105" s="304"/>
      <c r="AB105" s="305"/>
      <c r="AC105" s="306"/>
      <c r="AD105" s="303"/>
      <c r="AE105" s="306"/>
      <c r="AF105" s="303"/>
      <c r="AG105" s="306"/>
      <c r="AH105" s="303"/>
      <c r="AI105" s="304"/>
      <c r="AJ105" s="305"/>
      <c r="AK105" s="306"/>
    </row>
    <row r="106" spans="1:37">
      <c r="A106" s="298" t="s">
        <v>393</v>
      </c>
      <c r="B106" s="549"/>
      <c r="C106" s="550"/>
      <c r="D106" s="549"/>
      <c r="E106" s="550"/>
      <c r="F106" s="549"/>
      <c r="G106" s="550"/>
      <c r="H106" s="549"/>
      <c r="I106" s="550"/>
      <c r="J106" s="549"/>
      <c r="K106" s="550"/>
      <c r="L106" s="549"/>
      <c r="M106" s="550"/>
      <c r="N106" s="549"/>
      <c r="O106" s="550"/>
      <c r="P106" s="549"/>
      <c r="Q106" s="550"/>
      <c r="R106" s="553"/>
      <c r="S106" s="554"/>
      <c r="T106" s="549"/>
      <c r="U106" s="554"/>
      <c r="V106" s="549"/>
      <c r="W106" s="554"/>
      <c r="X106" s="549"/>
      <c r="Y106" s="554"/>
      <c r="Z106" s="557"/>
      <c r="AA106" s="550"/>
      <c r="AB106" s="553"/>
      <c r="AC106" s="554"/>
      <c r="AD106" s="549"/>
      <c r="AE106" s="554"/>
      <c r="AF106" s="549"/>
      <c r="AG106" s="554"/>
      <c r="AH106" s="549"/>
      <c r="AI106" s="550"/>
      <c r="AJ106" s="553"/>
      <c r="AK106" s="554"/>
    </row>
    <row r="107" spans="1:37">
      <c r="A107" s="299">
        <v>1</v>
      </c>
      <c r="B107" s="303">
        <v>11600</v>
      </c>
      <c r="C107" s="304">
        <v>11650</v>
      </c>
      <c r="D107" s="303">
        <v>24239</v>
      </c>
      <c r="E107" s="304">
        <v>24309</v>
      </c>
      <c r="F107" s="303">
        <v>12660</v>
      </c>
      <c r="G107" s="304">
        <v>12750</v>
      </c>
      <c r="H107" s="303">
        <v>25197</v>
      </c>
      <c r="I107" s="304">
        <v>25310</v>
      </c>
      <c r="J107" s="303">
        <v>18832</v>
      </c>
      <c r="K107" s="304">
        <v>19753</v>
      </c>
      <c r="L107" s="303">
        <v>31345</v>
      </c>
      <c r="M107" s="304">
        <v>31373</v>
      </c>
      <c r="N107" s="303"/>
      <c r="O107" s="304"/>
      <c r="P107" s="303"/>
      <c r="Q107" s="304"/>
      <c r="R107" s="305"/>
      <c r="S107" s="306"/>
      <c r="T107" s="303"/>
      <c r="U107" s="306"/>
      <c r="V107" s="303"/>
      <c r="W107" s="306"/>
      <c r="X107" s="303"/>
      <c r="Y107" s="306"/>
      <c r="Z107" s="318"/>
      <c r="AA107" s="304"/>
      <c r="AB107" s="305"/>
      <c r="AC107" s="306"/>
      <c r="AD107" s="303"/>
      <c r="AE107" s="306"/>
      <c r="AF107" s="303"/>
      <c r="AG107" s="306"/>
      <c r="AH107" s="303">
        <v>29336</v>
      </c>
      <c r="AI107" s="304">
        <v>29886</v>
      </c>
      <c r="AJ107" s="305">
        <v>56602</v>
      </c>
      <c r="AK107" s="306">
        <v>56922</v>
      </c>
    </row>
    <row r="108" spans="1:37">
      <c r="A108" s="299">
        <v>2</v>
      </c>
      <c r="B108" s="303">
        <v>9424</v>
      </c>
      <c r="C108" s="304">
        <v>9592</v>
      </c>
      <c r="D108" s="303">
        <v>28673</v>
      </c>
      <c r="E108" s="304">
        <v>28856</v>
      </c>
      <c r="F108" s="303">
        <v>11903</v>
      </c>
      <c r="G108" s="304">
        <v>12104</v>
      </c>
      <c r="H108" s="303">
        <v>27023</v>
      </c>
      <c r="I108" s="304">
        <v>27242</v>
      </c>
      <c r="J108" s="303"/>
      <c r="K108" s="304"/>
      <c r="L108" s="303"/>
      <c r="M108" s="304"/>
      <c r="N108" s="303">
        <v>34979</v>
      </c>
      <c r="O108" s="304">
        <v>35012</v>
      </c>
      <c r="P108" s="303">
        <v>44829</v>
      </c>
      <c r="Q108" s="304">
        <v>44862</v>
      </c>
      <c r="R108" s="305"/>
      <c r="S108" s="306"/>
      <c r="T108" s="303"/>
      <c r="U108" s="306"/>
      <c r="V108" s="303">
        <v>39586</v>
      </c>
      <c r="W108" s="306">
        <v>39619</v>
      </c>
      <c r="X108" s="303">
        <v>39586</v>
      </c>
      <c r="Y108" s="306">
        <v>39619</v>
      </c>
      <c r="Z108" s="318"/>
      <c r="AA108" s="304"/>
      <c r="AB108" s="305"/>
      <c r="AC108" s="306"/>
      <c r="AD108" s="303"/>
      <c r="AE108" s="306"/>
      <c r="AF108" s="303"/>
      <c r="AG108" s="306"/>
      <c r="AH108" s="303"/>
      <c r="AI108" s="304"/>
      <c r="AJ108" s="305"/>
      <c r="AK108" s="306"/>
    </row>
    <row r="109" spans="1:37">
      <c r="A109" s="299">
        <v>3</v>
      </c>
      <c r="B109" s="303">
        <v>9656</v>
      </c>
      <c r="C109" s="304">
        <v>9848</v>
      </c>
      <c r="D109" s="303">
        <v>14538</v>
      </c>
      <c r="E109" s="304">
        <v>14722</v>
      </c>
      <c r="F109" s="303">
        <v>10931</v>
      </c>
      <c r="G109" s="304">
        <v>11107</v>
      </c>
      <c r="H109" s="303">
        <v>16471</v>
      </c>
      <c r="I109" s="304">
        <v>16647</v>
      </c>
      <c r="J109" s="303"/>
      <c r="K109" s="304"/>
      <c r="L109" s="303"/>
      <c r="M109" s="304"/>
      <c r="N109" s="303"/>
      <c r="O109" s="304"/>
      <c r="P109" s="303"/>
      <c r="Q109" s="304"/>
      <c r="R109" s="305"/>
      <c r="S109" s="306"/>
      <c r="T109" s="303"/>
      <c r="U109" s="306"/>
      <c r="V109" s="303"/>
      <c r="W109" s="306"/>
      <c r="X109" s="303"/>
      <c r="Y109" s="306"/>
      <c r="Z109" s="318"/>
      <c r="AA109" s="304"/>
      <c r="AB109" s="305"/>
      <c r="AC109" s="306"/>
      <c r="AD109" s="303"/>
      <c r="AE109" s="306"/>
      <c r="AF109" s="303"/>
      <c r="AG109" s="306"/>
      <c r="AH109" s="303"/>
      <c r="AI109" s="304"/>
      <c r="AJ109" s="305"/>
      <c r="AK109" s="306"/>
    </row>
    <row r="110" spans="1:37">
      <c r="A110" s="299">
        <v>4</v>
      </c>
      <c r="B110" s="303">
        <v>9748</v>
      </c>
      <c r="C110" s="304">
        <v>9912</v>
      </c>
      <c r="D110" s="303">
        <v>15788</v>
      </c>
      <c r="E110" s="304">
        <v>15952</v>
      </c>
      <c r="F110" s="303">
        <v>10616</v>
      </c>
      <c r="G110" s="304">
        <v>10798</v>
      </c>
      <c r="H110" s="303">
        <v>16656</v>
      </c>
      <c r="I110" s="304">
        <v>16838</v>
      </c>
      <c r="J110" s="303"/>
      <c r="K110" s="304"/>
      <c r="L110" s="303"/>
      <c r="M110" s="304"/>
      <c r="N110" s="303"/>
      <c r="O110" s="304"/>
      <c r="P110" s="303"/>
      <c r="Q110" s="304"/>
      <c r="R110" s="305"/>
      <c r="S110" s="306"/>
      <c r="T110" s="303"/>
      <c r="U110" s="306"/>
      <c r="V110" s="303"/>
      <c r="W110" s="306"/>
      <c r="X110" s="303"/>
      <c r="Y110" s="306"/>
      <c r="Z110" s="318"/>
      <c r="AA110" s="304"/>
      <c r="AB110" s="305"/>
      <c r="AC110" s="306"/>
      <c r="AD110" s="303"/>
      <c r="AE110" s="306"/>
      <c r="AF110" s="303"/>
      <c r="AG110" s="306"/>
      <c r="AH110" s="303"/>
      <c r="AI110" s="304"/>
      <c r="AJ110" s="305"/>
      <c r="AK110" s="306"/>
    </row>
    <row r="111" spans="1:37">
      <c r="A111" s="299">
        <v>8</v>
      </c>
      <c r="B111" s="303">
        <v>4568</v>
      </c>
      <c r="C111" s="304">
        <v>4652</v>
      </c>
      <c r="D111" s="303">
        <v>17774</v>
      </c>
      <c r="E111" s="304">
        <v>18110</v>
      </c>
      <c r="F111" s="303"/>
      <c r="G111" s="304"/>
      <c r="H111" s="303"/>
      <c r="I111" s="304"/>
      <c r="J111" s="303"/>
      <c r="K111" s="304"/>
      <c r="L111" s="303"/>
      <c r="M111" s="304"/>
      <c r="N111" s="303"/>
      <c r="O111" s="304"/>
      <c r="P111" s="303"/>
      <c r="Q111" s="304"/>
      <c r="R111" s="305"/>
      <c r="S111" s="306"/>
      <c r="T111" s="303"/>
      <c r="U111" s="306"/>
      <c r="V111" s="303"/>
      <c r="W111" s="306"/>
      <c r="X111" s="303"/>
      <c r="Y111" s="306"/>
      <c r="Z111" s="318"/>
      <c r="AA111" s="304"/>
      <c r="AB111" s="305"/>
      <c r="AC111" s="306"/>
      <c r="AD111" s="303"/>
      <c r="AE111" s="306"/>
      <c r="AF111" s="303"/>
      <c r="AG111" s="306"/>
      <c r="AH111" s="303"/>
      <c r="AI111" s="304"/>
      <c r="AJ111" s="305"/>
      <c r="AK111" s="306"/>
    </row>
    <row r="112" spans="1:37">
      <c r="A112" s="299">
        <v>9</v>
      </c>
      <c r="B112" s="303">
        <v>4552</v>
      </c>
      <c r="C112" s="304">
        <v>4636</v>
      </c>
      <c r="D112" s="303">
        <v>17758</v>
      </c>
      <c r="E112" s="304">
        <v>18094</v>
      </c>
      <c r="F112" s="303"/>
      <c r="G112" s="304"/>
      <c r="H112" s="303"/>
      <c r="I112" s="304"/>
      <c r="J112" s="303"/>
      <c r="K112" s="304"/>
      <c r="L112" s="303"/>
      <c r="M112" s="304"/>
      <c r="N112" s="303"/>
      <c r="O112" s="304"/>
      <c r="P112" s="303"/>
      <c r="Q112" s="304"/>
      <c r="R112" s="305"/>
      <c r="S112" s="306"/>
      <c r="T112" s="303"/>
      <c r="U112" s="306"/>
      <c r="V112" s="303"/>
      <c r="W112" s="306"/>
      <c r="X112" s="303"/>
      <c r="Y112" s="306"/>
      <c r="Z112" s="318"/>
      <c r="AA112" s="304"/>
      <c r="AB112" s="305"/>
      <c r="AC112" s="306"/>
      <c r="AD112" s="303"/>
      <c r="AE112" s="306"/>
      <c r="AF112" s="303"/>
      <c r="AG112" s="306"/>
      <c r="AH112" s="303"/>
      <c r="AI112" s="304"/>
      <c r="AJ112" s="305"/>
      <c r="AK112" s="306"/>
    </row>
    <row r="113" spans="1:37">
      <c r="A113" s="299">
        <v>10</v>
      </c>
      <c r="B113" s="303">
        <v>4548</v>
      </c>
      <c r="C113" s="304">
        <v>4632</v>
      </c>
      <c r="D113" s="303">
        <v>17754</v>
      </c>
      <c r="E113" s="304">
        <v>18090</v>
      </c>
      <c r="F113" s="303"/>
      <c r="G113" s="304"/>
      <c r="H113" s="303"/>
      <c r="I113" s="304"/>
      <c r="J113" s="303"/>
      <c r="K113" s="304"/>
      <c r="L113" s="303"/>
      <c r="M113" s="304"/>
      <c r="N113" s="303"/>
      <c r="O113" s="304"/>
      <c r="P113" s="303"/>
      <c r="Q113" s="304"/>
      <c r="R113" s="305"/>
      <c r="S113" s="306"/>
      <c r="T113" s="303"/>
      <c r="U113" s="306"/>
      <c r="V113" s="303"/>
      <c r="W113" s="306"/>
      <c r="X113" s="303"/>
      <c r="Y113" s="306"/>
      <c r="Z113" s="318"/>
      <c r="AA113" s="304"/>
      <c r="AB113" s="305"/>
      <c r="AC113" s="306"/>
      <c r="AD113" s="303"/>
      <c r="AE113" s="306"/>
      <c r="AF113" s="303"/>
      <c r="AG113" s="306"/>
      <c r="AH113" s="303"/>
      <c r="AI113" s="304"/>
      <c r="AJ113" s="305"/>
      <c r="AK113" s="306"/>
    </row>
    <row r="114" spans="1:37">
      <c r="A114" s="299">
        <v>13</v>
      </c>
      <c r="B114" s="303">
        <v>3936</v>
      </c>
      <c r="C114" s="304">
        <v>4008</v>
      </c>
      <c r="D114" s="303"/>
      <c r="E114" s="304"/>
      <c r="F114" s="303"/>
      <c r="G114" s="304"/>
      <c r="H114" s="303"/>
      <c r="I114" s="304"/>
      <c r="J114" s="303"/>
      <c r="K114" s="304"/>
      <c r="L114" s="303"/>
      <c r="M114" s="304"/>
      <c r="N114" s="303"/>
      <c r="O114" s="304"/>
      <c r="P114" s="303"/>
      <c r="Q114" s="304"/>
      <c r="R114" s="305"/>
      <c r="S114" s="306"/>
      <c r="T114" s="303"/>
      <c r="U114" s="306"/>
      <c r="V114" s="303"/>
      <c r="W114" s="306"/>
      <c r="X114" s="303"/>
      <c r="Y114" s="306"/>
      <c r="Z114" s="318"/>
      <c r="AA114" s="304"/>
      <c r="AB114" s="305"/>
      <c r="AC114" s="306"/>
      <c r="AD114" s="303"/>
      <c r="AE114" s="306"/>
      <c r="AF114" s="303"/>
      <c r="AG114" s="306"/>
      <c r="AH114" s="303"/>
      <c r="AI114" s="304"/>
      <c r="AJ114" s="305"/>
      <c r="AK114" s="306"/>
    </row>
    <row r="115" spans="1:37">
      <c r="A115" s="299">
        <v>15</v>
      </c>
      <c r="B115" s="303"/>
      <c r="C115" s="304"/>
      <c r="D115" s="303"/>
      <c r="E115" s="304"/>
      <c r="F115" s="303"/>
      <c r="G115" s="304"/>
      <c r="H115" s="303"/>
      <c r="I115" s="304"/>
      <c r="J115" s="303"/>
      <c r="K115" s="304"/>
      <c r="L115" s="303"/>
      <c r="M115" s="304"/>
      <c r="N115" s="303">
        <v>39466</v>
      </c>
      <c r="O115" s="304">
        <v>39776</v>
      </c>
      <c r="P115" s="303">
        <v>65389</v>
      </c>
      <c r="Q115" s="304">
        <v>57060</v>
      </c>
      <c r="R115" s="305">
        <v>38387</v>
      </c>
      <c r="S115" s="306">
        <v>40289</v>
      </c>
      <c r="T115" s="303">
        <v>77147</v>
      </c>
      <c r="U115" s="306">
        <v>79049</v>
      </c>
      <c r="V115" s="303">
        <v>27685.5</v>
      </c>
      <c r="W115" s="306">
        <v>30234</v>
      </c>
      <c r="X115" s="303">
        <v>32689.5</v>
      </c>
      <c r="Y115" s="306">
        <v>35238</v>
      </c>
      <c r="Z115" s="318"/>
      <c r="AA115" s="304"/>
      <c r="AB115" s="305"/>
      <c r="AC115" s="306"/>
      <c r="AD115" s="303"/>
      <c r="AE115" s="306"/>
      <c r="AF115" s="303"/>
      <c r="AG115" s="306"/>
      <c r="AH115" s="303"/>
      <c r="AI115" s="304"/>
      <c r="AJ115" s="305"/>
      <c r="AK115" s="306"/>
    </row>
    <row r="116" spans="1:37">
      <c r="A116" s="298" t="s">
        <v>507</v>
      </c>
      <c r="B116" s="549"/>
      <c r="C116" s="550"/>
      <c r="D116" s="549"/>
      <c r="E116" s="550"/>
      <c r="F116" s="549"/>
      <c r="G116" s="550"/>
      <c r="H116" s="549"/>
      <c r="I116" s="550"/>
      <c r="J116" s="549"/>
      <c r="K116" s="550"/>
      <c r="L116" s="549"/>
      <c r="M116" s="550"/>
      <c r="N116" s="549"/>
      <c r="O116" s="550"/>
      <c r="P116" s="549"/>
      <c r="Q116" s="550"/>
      <c r="R116" s="553"/>
      <c r="S116" s="554"/>
      <c r="T116" s="549"/>
      <c r="U116" s="554"/>
      <c r="V116" s="549"/>
      <c r="W116" s="554"/>
      <c r="X116" s="549"/>
      <c r="Y116" s="554"/>
      <c r="Z116" s="557"/>
      <c r="AA116" s="550"/>
      <c r="AB116" s="553"/>
      <c r="AC116" s="554"/>
      <c r="AD116" s="549"/>
      <c r="AE116" s="554"/>
      <c r="AF116" s="549"/>
      <c r="AG116" s="554"/>
      <c r="AH116" s="549"/>
      <c r="AI116" s="550"/>
      <c r="AJ116" s="553"/>
      <c r="AK116" s="554"/>
    </row>
    <row r="117" spans="1:37">
      <c r="A117" s="299">
        <v>1</v>
      </c>
      <c r="B117" s="303">
        <v>11700</v>
      </c>
      <c r="C117" s="304">
        <v>11845</v>
      </c>
      <c r="D117" s="303">
        <v>27669.5</v>
      </c>
      <c r="E117" s="304">
        <v>27694</v>
      </c>
      <c r="F117" s="303">
        <v>12004</v>
      </c>
      <c r="G117" s="304">
        <v>12035.33333333335</v>
      </c>
      <c r="H117" s="303">
        <v>25032</v>
      </c>
      <c r="I117" s="304">
        <v>24694.66666666665</v>
      </c>
      <c r="J117" s="303">
        <v>24912.48</v>
      </c>
      <c r="K117" s="304">
        <v>24912.48</v>
      </c>
      <c r="L117" s="303">
        <v>36720.480000000003</v>
      </c>
      <c r="M117" s="304">
        <v>36720.480000000003</v>
      </c>
      <c r="N117" s="303"/>
      <c r="O117" s="304"/>
      <c r="P117" s="303"/>
      <c r="Q117" s="304"/>
      <c r="R117" s="305"/>
      <c r="S117" s="306"/>
      <c r="T117" s="303"/>
      <c r="U117" s="306"/>
      <c r="V117" s="303">
        <v>15850</v>
      </c>
      <c r="W117" s="306">
        <v>24594</v>
      </c>
      <c r="X117" s="303">
        <v>35792</v>
      </c>
      <c r="Y117" s="306">
        <v>48600</v>
      </c>
      <c r="Z117" s="318">
        <v>6807</v>
      </c>
      <c r="AA117" s="304">
        <v>16181.4</v>
      </c>
      <c r="AB117" s="305">
        <v>19023</v>
      </c>
      <c r="AC117" s="306">
        <v>28373.4</v>
      </c>
      <c r="AD117" s="303"/>
      <c r="AE117" s="306"/>
      <c r="AF117" s="303"/>
      <c r="AG117" s="306"/>
      <c r="AH117" s="303">
        <v>31430.400000000001</v>
      </c>
      <c r="AI117" s="304">
        <v>35541.333333333299</v>
      </c>
      <c r="AJ117" s="305">
        <v>49426.8</v>
      </c>
      <c r="AK117" s="306">
        <v>56477.333333333299</v>
      </c>
    </row>
    <row r="118" spans="1:37">
      <c r="A118" s="299">
        <v>2</v>
      </c>
      <c r="B118" s="303">
        <v>10158</v>
      </c>
      <c r="C118" s="304">
        <v>10332</v>
      </c>
      <c r="D118" s="303">
        <v>23718</v>
      </c>
      <c r="E118" s="304">
        <v>24100</v>
      </c>
      <c r="F118" s="303">
        <v>10224</v>
      </c>
      <c r="G118" s="304">
        <v>10368</v>
      </c>
      <c r="H118" s="303">
        <v>20560</v>
      </c>
      <c r="I118" s="304">
        <v>20800</v>
      </c>
      <c r="J118" s="303"/>
      <c r="K118" s="304"/>
      <c r="L118" s="303"/>
      <c r="M118" s="304"/>
      <c r="N118" s="303"/>
      <c r="O118" s="304"/>
      <c r="P118" s="303"/>
      <c r="Q118" s="304"/>
      <c r="R118" s="305"/>
      <c r="S118" s="306"/>
      <c r="T118" s="303"/>
      <c r="U118" s="306"/>
      <c r="V118" s="303"/>
      <c r="W118" s="306"/>
      <c r="X118" s="303"/>
      <c r="Y118" s="306"/>
      <c r="Z118" s="318"/>
      <c r="AA118" s="304"/>
      <c r="AB118" s="305"/>
      <c r="AC118" s="306"/>
      <c r="AD118" s="303"/>
      <c r="AE118" s="306"/>
      <c r="AF118" s="303"/>
      <c r="AG118" s="306"/>
      <c r="AH118" s="303"/>
      <c r="AI118" s="304"/>
      <c r="AJ118" s="305"/>
      <c r="AK118" s="306"/>
    </row>
    <row r="119" spans="1:37">
      <c r="A119" s="299">
        <v>3</v>
      </c>
      <c r="B119" s="303">
        <v>9254</v>
      </c>
      <c r="C119" s="304">
        <v>9394</v>
      </c>
      <c r="D119" s="303">
        <v>22734</v>
      </c>
      <c r="E119" s="304">
        <v>22870</v>
      </c>
      <c r="F119" s="303">
        <v>9880</v>
      </c>
      <c r="G119" s="304">
        <v>9782.6666666666697</v>
      </c>
      <c r="H119" s="303">
        <v>20141.333333333299</v>
      </c>
      <c r="I119" s="304">
        <v>20562.666666666701</v>
      </c>
      <c r="J119" s="303">
        <v>21037.71</v>
      </c>
      <c r="K119" s="304">
        <v>21037.71</v>
      </c>
      <c r="L119" s="303">
        <v>28694.71</v>
      </c>
      <c r="M119" s="304">
        <v>28694.71</v>
      </c>
      <c r="N119" s="303"/>
      <c r="O119" s="304"/>
      <c r="P119" s="303"/>
      <c r="Q119" s="304"/>
      <c r="R119" s="305"/>
      <c r="S119" s="306"/>
      <c r="T119" s="303"/>
      <c r="U119" s="306"/>
      <c r="V119" s="303">
        <v>20512</v>
      </c>
      <c r="W119" s="306">
        <v>12780</v>
      </c>
      <c r="X119" s="303">
        <v>33392</v>
      </c>
      <c r="Y119" s="306">
        <v>20484</v>
      </c>
      <c r="Z119" s="318"/>
      <c r="AA119" s="304"/>
      <c r="AB119" s="305"/>
      <c r="AC119" s="306"/>
      <c r="AD119" s="303"/>
      <c r="AE119" s="306"/>
      <c r="AF119" s="303"/>
      <c r="AG119" s="306"/>
      <c r="AH119" s="303"/>
      <c r="AI119" s="304"/>
      <c r="AJ119" s="305"/>
      <c r="AK119" s="306"/>
    </row>
    <row r="120" spans="1:37">
      <c r="A120" s="299">
        <v>4</v>
      </c>
      <c r="B120" s="303">
        <v>8686</v>
      </c>
      <c r="C120" s="304">
        <v>8797</v>
      </c>
      <c r="D120" s="303">
        <v>20874</v>
      </c>
      <c r="E120" s="304">
        <v>21038</v>
      </c>
      <c r="F120" s="303">
        <v>8802.6666666666697</v>
      </c>
      <c r="G120" s="304">
        <v>7658.6666666666697</v>
      </c>
      <c r="H120" s="303">
        <v>19992</v>
      </c>
      <c r="I120" s="304">
        <v>19704</v>
      </c>
      <c r="J120" s="303"/>
      <c r="K120" s="304"/>
      <c r="L120" s="303"/>
      <c r="M120" s="304"/>
      <c r="N120" s="303"/>
      <c r="O120" s="304"/>
      <c r="P120" s="303"/>
      <c r="Q120" s="304"/>
      <c r="R120" s="305"/>
      <c r="S120" s="306"/>
      <c r="T120" s="303"/>
      <c r="U120" s="306"/>
      <c r="V120" s="303"/>
      <c r="W120" s="306"/>
      <c r="X120" s="303"/>
      <c r="Y120" s="306"/>
      <c r="Z120" s="318"/>
      <c r="AA120" s="304"/>
      <c r="AB120" s="305"/>
      <c r="AC120" s="306"/>
      <c r="AD120" s="303"/>
      <c r="AE120" s="306"/>
      <c r="AF120" s="303"/>
      <c r="AG120" s="306"/>
      <c r="AH120" s="303"/>
      <c r="AI120" s="304"/>
      <c r="AJ120" s="305"/>
      <c r="AK120" s="306"/>
    </row>
    <row r="121" spans="1:37">
      <c r="A121" s="299">
        <v>5</v>
      </c>
      <c r="B121" s="303">
        <v>9463</v>
      </c>
      <c r="C121" s="304">
        <v>10875</v>
      </c>
      <c r="D121" s="303">
        <v>30289.5</v>
      </c>
      <c r="E121" s="304">
        <v>30803</v>
      </c>
      <c r="F121" s="303">
        <v>9686.6666666666861</v>
      </c>
      <c r="G121" s="304">
        <v>9914.6666666666497</v>
      </c>
      <c r="H121" s="303">
        <v>20730.66666666665</v>
      </c>
      <c r="I121" s="304">
        <v>21177.33333333335</v>
      </c>
      <c r="J121" s="303"/>
      <c r="K121" s="304"/>
      <c r="L121" s="303"/>
      <c r="M121" s="304"/>
      <c r="N121" s="303"/>
      <c r="O121" s="304"/>
      <c r="P121" s="303"/>
      <c r="Q121" s="304"/>
      <c r="R121" s="305"/>
      <c r="S121" s="306"/>
      <c r="T121" s="303"/>
      <c r="U121" s="306"/>
      <c r="V121" s="303"/>
      <c r="W121" s="306"/>
      <c r="X121" s="303"/>
      <c r="Y121" s="306"/>
      <c r="Z121" s="318"/>
      <c r="AA121" s="304"/>
      <c r="AB121" s="305"/>
      <c r="AC121" s="306"/>
      <c r="AD121" s="303"/>
      <c r="AE121" s="306"/>
      <c r="AF121" s="303"/>
      <c r="AG121" s="306"/>
      <c r="AH121" s="303"/>
      <c r="AI121" s="304"/>
      <c r="AJ121" s="305"/>
      <c r="AK121" s="306"/>
    </row>
    <row r="122" spans="1:37">
      <c r="A122" s="299">
        <v>7</v>
      </c>
      <c r="B122" s="303">
        <v>2878</v>
      </c>
      <c r="C122" s="304">
        <v>4121</v>
      </c>
      <c r="D122" s="303">
        <v>5610</v>
      </c>
      <c r="E122" s="304">
        <v>5880</v>
      </c>
      <c r="F122" s="303">
        <v>0</v>
      </c>
      <c r="G122" s="304">
        <v>0</v>
      </c>
      <c r="H122" s="303">
        <v>0</v>
      </c>
      <c r="I122" s="304">
        <v>0</v>
      </c>
      <c r="J122" s="303"/>
      <c r="K122" s="304"/>
      <c r="L122" s="303"/>
      <c r="M122" s="304"/>
      <c r="N122" s="303"/>
      <c r="O122" s="304"/>
      <c r="P122" s="303"/>
      <c r="Q122" s="304"/>
      <c r="R122" s="305"/>
      <c r="S122" s="306"/>
      <c r="T122" s="303"/>
      <c r="U122" s="306"/>
      <c r="V122" s="303"/>
      <c r="W122" s="306"/>
      <c r="X122" s="303"/>
      <c r="Y122" s="306"/>
      <c r="Z122" s="318"/>
      <c r="AA122" s="304"/>
      <c r="AB122" s="305"/>
      <c r="AC122" s="306"/>
      <c r="AD122" s="303"/>
      <c r="AE122" s="306"/>
      <c r="AF122" s="303"/>
      <c r="AG122" s="306"/>
      <c r="AH122" s="303"/>
      <c r="AI122" s="304"/>
      <c r="AJ122" s="305"/>
      <c r="AK122" s="306"/>
    </row>
    <row r="123" spans="1:37">
      <c r="A123" s="299">
        <v>8</v>
      </c>
      <c r="B123" s="303">
        <v>2918</v>
      </c>
      <c r="C123" s="304">
        <v>2798</v>
      </c>
      <c r="D123" s="303">
        <v>6000</v>
      </c>
      <c r="E123" s="304">
        <v>6000</v>
      </c>
      <c r="F123" s="303">
        <v>0</v>
      </c>
      <c r="G123" s="304">
        <v>0</v>
      </c>
      <c r="H123" s="303">
        <v>0</v>
      </c>
      <c r="I123" s="304">
        <v>0</v>
      </c>
      <c r="J123" s="303"/>
      <c r="K123" s="304"/>
      <c r="L123" s="303"/>
      <c r="M123" s="304"/>
      <c r="N123" s="303"/>
      <c r="O123" s="304"/>
      <c r="P123" s="303"/>
      <c r="Q123" s="304"/>
      <c r="R123" s="305"/>
      <c r="S123" s="306"/>
      <c r="T123" s="303"/>
      <c r="U123" s="306"/>
      <c r="V123" s="303"/>
      <c r="W123" s="306"/>
      <c r="X123" s="303"/>
      <c r="Y123" s="306"/>
      <c r="Z123" s="318"/>
      <c r="AA123" s="304"/>
      <c r="AB123" s="305"/>
      <c r="AC123" s="306"/>
      <c r="AD123" s="303"/>
      <c r="AE123" s="306"/>
      <c r="AF123" s="303"/>
      <c r="AG123" s="306"/>
      <c r="AH123" s="303"/>
      <c r="AI123" s="304"/>
      <c r="AJ123" s="305"/>
      <c r="AK123" s="306"/>
    </row>
    <row r="124" spans="1:37">
      <c r="A124" s="299">
        <v>9</v>
      </c>
      <c r="B124" s="303">
        <v>3199</v>
      </c>
      <c r="C124" s="304">
        <v>3316</v>
      </c>
      <c r="D124" s="303">
        <v>5930</v>
      </c>
      <c r="E124" s="304">
        <v>6045</v>
      </c>
      <c r="F124" s="303">
        <v>0</v>
      </c>
      <c r="G124" s="304">
        <v>0</v>
      </c>
      <c r="H124" s="303">
        <v>0</v>
      </c>
      <c r="I124" s="304">
        <v>0</v>
      </c>
      <c r="J124" s="303"/>
      <c r="K124" s="304"/>
      <c r="L124" s="303"/>
      <c r="M124" s="304"/>
      <c r="N124" s="303"/>
      <c r="O124" s="304"/>
      <c r="P124" s="303"/>
      <c r="Q124" s="304"/>
      <c r="R124" s="305"/>
      <c r="S124" s="306"/>
      <c r="T124" s="303"/>
      <c r="U124" s="306"/>
      <c r="V124" s="303"/>
      <c r="W124" s="306"/>
      <c r="X124" s="303"/>
      <c r="Y124" s="306"/>
      <c r="Z124" s="318"/>
      <c r="AA124" s="304"/>
      <c r="AB124" s="305"/>
      <c r="AC124" s="306"/>
      <c r="AD124" s="303"/>
      <c r="AE124" s="306"/>
      <c r="AF124" s="303"/>
      <c r="AG124" s="306"/>
      <c r="AH124" s="303"/>
      <c r="AI124" s="304"/>
      <c r="AJ124" s="305"/>
      <c r="AK124" s="306"/>
    </row>
    <row r="125" spans="1:37">
      <c r="A125" s="299">
        <v>10</v>
      </c>
      <c r="B125" s="303">
        <v>4046</v>
      </c>
      <c r="C125" s="304">
        <v>3840</v>
      </c>
      <c r="D125" s="303">
        <v>5160</v>
      </c>
      <c r="E125" s="304">
        <v>5220</v>
      </c>
      <c r="F125" s="303">
        <v>0</v>
      </c>
      <c r="G125" s="304">
        <v>0</v>
      </c>
      <c r="H125" s="303">
        <v>0</v>
      </c>
      <c r="I125" s="304">
        <v>0</v>
      </c>
      <c r="J125" s="303"/>
      <c r="K125" s="304"/>
      <c r="L125" s="303"/>
      <c r="M125" s="304"/>
      <c r="N125" s="303"/>
      <c r="O125" s="304"/>
      <c r="P125" s="303"/>
      <c r="Q125" s="304"/>
      <c r="R125" s="305"/>
      <c r="S125" s="306"/>
      <c r="T125" s="303"/>
      <c r="U125" s="306"/>
      <c r="V125" s="303"/>
      <c r="W125" s="306"/>
      <c r="X125" s="303"/>
      <c r="Y125" s="306"/>
      <c r="Z125" s="318"/>
      <c r="AA125" s="304"/>
      <c r="AB125" s="305"/>
      <c r="AC125" s="306"/>
      <c r="AD125" s="303"/>
      <c r="AE125" s="306"/>
      <c r="AF125" s="303"/>
      <c r="AG125" s="306"/>
      <c r="AH125" s="303"/>
      <c r="AI125" s="304"/>
      <c r="AJ125" s="305"/>
      <c r="AK125" s="306"/>
    </row>
    <row r="126" spans="1:37">
      <c r="A126" s="299">
        <v>15</v>
      </c>
      <c r="B126" s="303">
        <v>6299</v>
      </c>
      <c r="C126" s="304">
        <v>6638</v>
      </c>
      <c r="D126" s="303">
        <v>19800.5</v>
      </c>
      <c r="E126" s="304">
        <v>19915</v>
      </c>
      <c r="F126" s="303">
        <v>8452</v>
      </c>
      <c r="G126" s="304">
        <v>9821.9999999999854</v>
      </c>
      <c r="H126" s="303">
        <v>19869.33333333335</v>
      </c>
      <c r="I126" s="304">
        <v>22312</v>
      </c>
      <c r="J126" s="303"/>
      <c r="K126" s="304"/>
      <c r="L126" s="303"/>
      <c r="M126" s="304"/>
      <c r="N126" s="303">
        <v>27596</v>
      </c>
      <c r="O126" s="304">
        <v>28998.666666666701</v>
      </c>
      <c r="P126" s="303">
        <v>45314.666666666701</v>
      </c>
      <c r="Q126" s="304">
        <v>46986.666666666701</v>
      </c>
      <c r="R126" s="305">
        <v>42836</v>
      </c>
      <c r="S126" s="306">
        <v>50912</v>
      </c>
      <c r="T126" s="303">
        <v>57236</v>
      </c>
      <c r="U126" s="306">
        <v>65312</v>
      </c>
      <c r="V126" s="303">
        <v>24042.666666666701</v>
      </c>
      <c r="W126" s="306">
        <v>24885.333333333299</v>
      </c>
      <c r="X126" s="303">
        <v>47666.666666666701</v>
      </c>
      <c r="Y126" s="306">
        <v>46266.666666666701</v>
      </c>
      <c r="Z126" s="318"/>
      <c r="AA126" s="304"/>
      <c r="AB126" s="305"/>
      <c r="AC126" s="306"/>
      <c r="AD126" s="303">
        <v>27016</v>
      </c>
      <c r="AE126" s="306">
        <v>26290.666666666701</v>
      </c>
      <c r="AF126" s="303">
        <v>47933.333333333299</v>
      </c>
      <c r="AG126" s="306">
        <v>47208</v>
      </c>
      <c r="AH126" s="303"/>
      <c r="AI126" s="304"/>
      <c r="AJ126" s="305"/>
      <c r="AK126" s="306"/>
    </row>
    <row r="127" spans="1:37">
      <c r="A127" s="298" t="s">
        <v>445</v>
      </c>
      <c r="B127" s="549"/>
      <c r="C127" s="550"/>
      <c r="D127" s="549"/>
      <c r="E127" s="550"/>
      <c r="F127" s="549"/>
      <c r="G127" s="550"/>
      <c r="H127" s="549"/>
      <c r="I127" s="550"/>
      <c r="J127" s="549"/>
      <c r="K127" s="550"/>
      <c r="L127" s="549"/>
      <c r="M127" s="550"/>
      <c r="N127" s="549"/>
      <c r="O127" s="550"/>
      <c r="P127" s="549"/>
      <c r="Q127" s="550"/>
      <c r="R127" s="553"/>
      <c r="S127" s="554"/>
      <c r="T127" s="549"/>
      <c r="U127" s="554"/>
      <c r="V127" s="549"/>
      <c r="W127" s="554"/>
      <c r="X127" s="549"/>
      <c r="Y127" s="554"/>
      <c r="Z127" s="557"/>
      <c r="AA127" s="550"/>
      <c r="AB127" s="553"/>
      <c r="AC127" s="554"/>
      <c r="AD127" s="549"/>
      <c r="AE127" s="554"/>
      <c r="AF127" s="549"/>
      <c r="AG127" s="554"/>
      <c r="AH127" s="549"/>
      <c r="AI127" s="550"/>
      <c r="AJ127" s="553"/>
      <c r="AK127" s="554"/>
    </row>
    <row r="128" spans="1:37">
      <c r="A128" s="299">
        <v>1</v>
      </c>
      <c r="B128" s="303">
        <v>13749</v>
      </c>
      <c r="C128" s="304">
        <v>14175</v>
      </c>
      <c r="D128" s="303">
        <v>36048</v>
      </c>
      <c r="E128" s="304">
        <v>36456</v>
      </c>
      <c r="F128" s="303">
        <v>16030</v>
      </c>
      <c r="G128" s="304">
        <v>16522</v>
      </c>
      <c r="H128" s="303">
        <v>33648</v>
      </c>
      <c r="I128" s="304">
        <v>33648</v>
      </c>
      <c r="J128" s="303">
        <v>45407</v>
      </c>
      <c r="K128" s="304">
        <v>46167.5</v>
      </c>
      <c r="L128" s="303">
        <v>54600</v>
      </c>
      <c r="M128" s="304">
        <v>55360.5</v>
      </c>
      <c r="N128" s="303">
        <v>46936</v>
      </c>
      <c r="O128" s="304">
        <v>48365</v>
      </c>
      <c r="P128" s="303">
        <v>57742</v>
      </c>
      <c r="Q128" s="304">
        <v>59475</v>
      </c>
      <c r="R128" s="305">
        <v>60215</v>
      </c>
      <c r="S128" s="306">
        <v>61010</v>
      </c>
      <c r="T128" s="303">
        <v>93884</v>
      </c>
      <c r="U128" s="306">
        <v>94679</v>
      </c>
      <c r="V128" s="303">
        <v>31866</v>
      </c>
      <c r="W128" s="306">
        <v>31984</v>
      </c>
      <c r="X128" s="303">
        <v>45194</v>
      </c>
      <c r="Y128" s="306">
        <v>45312</v>
      </c>
      <c r="Z128" s="318"/>
      <c r="AA128" s="304"/>
      <c r="AB128" s="305"/>
      <c r="AC128" s="306"/>
      <c r="AD128" s="303"/>
      <c r="AE128" s="306"/>
      <c r="AF128" s="303"/>
      <c r="AG128" s="306"/>
      <c r="AH128" s="303">
        <v>25435</v>
      </c>
      <c r="AI128" s="304">
        <v>26086</v>
      </c>
      <c r="AJ128" s="305">
        <v>54568</v>
      </c>
      <c r="AK128" s="306">
        <v>55687</v>
      </c>
    </row>
    <row r="129" spans="1:37">
      <c r="A129" s="299">
        <v>2</v>
      </c>
      <c r="B129" s="303">
        <v>23628</v>
      </c>
      <c r="C129" s="304">
        <v>23812</v>
      </c>
      <c r="D129" s="303">
        <v>46854</v>
      </c>
      <c r="E129" s="304">
        <v>47038</v>
      </c>
      <c r="F129" s="303">
        <v>16440</v>
      </c>
      <c r="G129" s="304">
        <v>16618</v>
      </c>
      <c r="H129" s="303">
        <v>34800</v>
      </c>
      <c r="I129" s="304">
        <v>34978</v>
      </c>
      <c r="J129" s="303">
        <v>35000</v>
      </c>
      <c r="K129" s="304">
        <v>36199</v>
      </c>
      <c r="L129" s="303">
        <v>44000</v>
      </c>
      <c r="M129" s="304">
        <v>45520</v>
      </c>
      <c r="N129" s="303"/>
      <c r="O129" s="304"/>
      <c r="P129" s="303"/>
      <c r="Q129" s="304"/>
      <c r="R129" s="305"/>
      <c r="S129" s="306"/>
      <c r="T129" s="303"/>
      <c r="U129" s="306"/>
      <c r="V129" s="303"/>
      <c r="W129" s="306"/>
      <c r="X129" s="303"/>
      <c r="Y129" s="306"/>
      <c r="Z129" s="318"/>
      <c r="AA129" s="304"/>
      <c r="AB129" s="305"/>
      <c r="AC129" s="306"/>
      <c r="AD129" s="303"/>
      <c r="AE129" s="306"/>
      <c r="AF129" s="303"/>
      <c r="AG129" s="306"/>
      <c r="AH129" s="303"/>
      <c r="AI129" s="304"/>
      <c r="AJ129" s="305"/>
      <c r="AK129" s="306"/>
    </row>
    <row r="130" spans="1:37">
      <c r="A130" s="299">
        <v>3</v>
      </c>
      <c r="B130" s="303">
        <v>11416</v>
      </c>
      <c r="C130" s="304">
        <v>11542</v>
      </c>
      <c r="D130" s="303">
        <v>23498</v>
      </c>
      <c r="E130" s="304">
        <v>23624</v>
      </c>
      <c r="F130" s="303">
        <v>11989</v>
      </c>
      <c r="G130" s="304">
        <v>12312</v>
      </c>
      <c r="H130" s="303">
        <v>22994</v>
      </c>
      <c r="I130" s="304">
        <v>22994</v>
      </c>
      <c r="J130" s="303"/>
      <c r="K130" s="304"/>
      <c r="L130" s="303"/>
      <c r="M130" s="304"/>
      <c r="N130" s="303"/>
      <c r="O130" s="304"/>
      <c r="P130" s="303"/>
      <c r="Q130" s="304"/>
      <c r="R130" s="305"/>
      <c r="S130" s="306"/>
      <c r="T130" s="303"/>
      <c r="U130" s="306"/>
      <c r="V130" s="303"/>
      <c r="W130" s="306"/>
      <c r="X130" s="303"/>
      <c r="Y130" s="306"/>
      <c r="Z130" s="318"/>
      <c r="AA130" s="304"/>
      <c r="AB130" s="305"/>
      <c r="AC130" s="306"/>
      <c r="AD130" s="303"/>
      <c r="AE130" s="306"/>
      <c r="AF130" s="303"/>
      <c r="AG130" s="306"/>
      <c r="AH130" s="303"/>
      <c r="AI130" s="304"/>
      <c r="AJ130" s="305"/>
      <c r="AK130" s="306"/>
    </row>
    <row r="131" spans="1:37">
      <c r="A131" s="299">
        <v>4</v>
      </c>
      <c r="B131" s="303">
        <v>9622</v>
      </c>
      <c r="C131" s="304">
        <v>9622</v>
      </c>
      <c r="D131" s="303">
        <v>21550</v>
      </c>
      <c r="E131" s="304">
        <v>21550</v>
      </c>
      <c r="F131" s="303">
        <v>12690</v>
      </c>
      <c r="G131" s="304">
        <v>12690</v>
      </c>
      <c r="H131" s="303">
        <v>25502</v>
      </c>
      <c r="I131" s="304">
        <v>25502</v>
      </c>
      <c r="J131" s="303"/>
      <c r="K131" s="304"/>
      <c r="L131" s="303"/>
      <c r="M131" s="304"/>
      <c r="N131" s="303"/>
      <c r="O131" s="304"/>
      <c r="P131" s="303"/>
      <c r="Q131" s="304"/>
      <c r="R131" s="305"/>
      <c r="S131" s="306"/>
      <c r="T131" s="303"/>
      <c r="U131" s="306"/>
      <c r="V131" s="303"/>
      <c r="W131" s="306"/>
      <c r="X131" s="303"/>
      <c r="Y131" s="306"/>
      <c r="Z131" s="318"/>
      <c r="AA131" s="304"/>
      <c r="AB131" s="305"/>
      <c r="AC131" s="306"/>
      <c r="AD131" s="303"/>
      <c r="AE131" s="306"/>
      <c r="AF131" s="303"/>
      <c r="AG131" s="306"/>
      <c r="AH131" s="303"/>
      <c r="AI131" s="304"/>
      <c r="AJ131" s="305"/>
      <c r="AK131" s="306"/>
    </row>
    <row r="132" spans="1:37">
      <c r="A132" s="299">
        <v>5</v>
      </c>
      <c r="B132" s="303">
        <v>13910</v>
      </c>
      <c r="C132" s="304">
        <v>14090</v>
      </c>
      <c r="D132" s="303">
        <v>30000</v>
      </c>
      <c r="E132" s="304">
        <v>27790</v>
      </c>
      <c r="F132" s="303">
        <v>11661</v>
      </c>
      <c r="G132" s="304">
        <v>11793</v>
      </c>
      <c r="H132" s="303">
        <v>24381</v>
      </c>
      <c r="I132" s="304">
        <v>24513</v>
      </c>
      <c r="J132" s="303"/>
      <c r="K132" s="304"/>
      <c r="L132" s="303"/>
      <c r="M132" s="304"/>
      <c r="N132" s="303"/>
      <c r="O132" s="304"/>
      <c r="P132" s="303"/>
      <c r="Q132" s="304"/>
      <c r="R132" s="305"/>
      <c r="S132" s="306"/>
      <c r="T132" s="303"/>
      <c r="U132" s="306"/>
      <c r="V132" s="303"/>
      <c r="W132" s="306"/>
      <c r="X132" s="303"/>
      <c r="Y132" s="306"/>
      <c r="Z132" s="318"/>
      <c r="AA132" s="304"/>
      <c r="AB132" s="305"/>
      <c r="AC132" s="306"/>
      <c r="AD132" s="303"/>
      <c r="AE132" s="306"/>
      <c r="AF132" s="303"/>
      <c r="AG132" s="306"/>
      <c r="AH132" s="303"/>
      <c r="AI132" s="304"/>
      <c r="AJ132" s="305"/>
      <c r="AK132" s="306"/>
    </row>
    <row r="133" spans="1:37">
      <c r="A133" s="299">
        <v>6</v>
      </c>
      <c r="B133" s="303">
        <v>10837</v>
      </c>
      <c r="C133" s="304">
        <v>11161</v>
      </c>
      <c r="D133" s="303">
        <v>29950</v>
      </c>
      <c r="E133" s="304">
        <v>30328</v>
      </c>
      <c r="F133" s="303"/>
      <c r="G133" s="304"/>
      <c r="H133" s="303"/>
      <c r="I133" s="304"/>
      <c r="J133" s="303"/>
      <c r="K133" s="304"/>
      <c r="L133" s="303"/>
      <c r="M133" s="304"/>
      <c r="N133" s="303"/>
      <c r="O133" s="304"/>
      <c r="P133" s="303"/>
      <c r="Q133" s="304"/>
      <c r="R133" s="305"/>
      <c r="S133" s="306"/>
      <c r="T133" s="303"/>
      <c r="U133" s="306"/>
      <c r="V133" s="303"/>
      <c r="W133" s="306"/>
      <c r="X133" s="303"/>
      <c r="Y133" s="306"/>
      <c r="Z133" s="318"/>
      <c r="AA133" s="304"/>
      <c r="AB133" s="305"/>
      <c r="AC133" s="306"/>
      <c r="AD133" s="303"/>
      <c r="AE133" s="306"/>
      <c r="AF133" s="303"/>
      <c r="AG133" s="306"/>
      <c r="AH133" s="303"/>
      <c r="AI133" s="304"/>
      <c r="AJ133" s="305"/>
      <c r="AK133" s="306"/>
    </row>
    <row r="134" spans="1:37">
      <c r="A134" s="299">
        <v>8</v>
      </c>
      <c r="B134" s="303">
        <v>4620.1000000000004</v>
      </c>
      <c r="C134" s="304">
        <v>4620</v>
      </c>
      <c r="D134" s="303">
        <v>10623</v>
      </c>
      <c r="E134" s="304">
        <v>10622.9</v>
      </c>
      <c r="F134" s="303"/>
      <c r="G134" s="304"/>
      <c r="H134" s="303"/>
      <c r="I134" s="304"/>
      <c r="J134" s="303"/>
      <c r="K134" s="304"/>
      <c r="L134" s="303"/>
      <c r="M134" s="304"/>
      <c r="N134" s="303"/>
      <c r="O134" s="304"/>
      <c r="P134" s="303"/>
      <c r="Q134" s="304"/>
      <c r="R134" s="305"/>
      <c r="S134" s="306"/>
      <c r="T134" s="303"/>
      <c r="U134" s="306"/>
      <c r="V134" s="303"/>
      <c r="W134" s="306"/>
      <c r="X134" s="303"/>
      <c r="Y134" s="306"/>
      <c r="Z134" s="318"/>
      <c r="AA134" s="304"/>
      <c r="AB134" s="305"/>
      <c r="AC134" s="306"/>
      <c r="AD134" s="303"/>
      <c r="AE134" s="306"/>
      <c r="AF134" s="303"/>
      <c r="AG134" s="306"/>
      <c r="AH134" s="303"/>
      <c r="AI134" s="304"/>
      <c r="AJ134" s="305"/>
      <c r="AK134" s="306"/>
    </row>
    <row r="135" spans="1:37">
      <c r="A135" s="299">
        <v>9</v>
      </c>
      <c r="B135" s="303">
        <v>4620.1000000000004</v>
      </c>
      <c r="C135" s="304">
        <v>4620</v>
      </c>
      <c r="D135" s="303">
        <v>10623</v>
      </c>
      <c r="E135" s="304">
        <v>10622.9</v>
      </c>
      <c r="F135" s="303"/>
      <c r="G135" s="304"/>
      <c r="H135" s="303"/>
      <c r="I135" s="304"/>
      <c r="J135" s="303"/>
      <c r="K135" s="304"/>
      <c r="L135" s="303"/>
      <c r="M135" s="304"/>
      <c r="N135" s="303"/>
      <c r="O135" s="304"/>
      <c r="P135" s="303"/>
      <c r="Q135" s="304"/>
      <c r="R135" s="305"/>
      <c r="S135" s="306"/>
      <c r="T135" s="303"/>
      <c r="U135" s="306"/>
      <c r="V135" s="303"/>
      <c r="W135" s="306"/>
      <c r="X135" s="303"/>
      <c r="Y135" s="306"/>
      <c r="Z135" s="318"/>
      <c r="AA135" s="304"/>
      <c r="AB135" s="305"/>
      <c r="AC135" s="306"/>
      <c r="AD135" s="303"/>
      <c r="AE135" s="306"/>
      <c r="AF135" s="303"/>
      <c r="AG135" s="306"/>
      <c r="AH135" s="303"/>
      <c r="AI135" s="304"/>
      <c r="AJ135" s="305"/>
      <c r="AK135" s="306"/>
    </row>
    <row r="136" spans="1:37">
      <c r="A136" s="299">
        <v>10</v>
      </c>
      <c r="B136" s="303">
        <v>4620.1000000000004</v>
      </c>
      <c r="C136" s="304">
        <v>4620</v>
      </c>
      <c r="D136" s="303">
        <v>10623</v>
      </c>
      <c r="E136" s="304">
        <v>10622.9</v>
      </c>
      <c r="F136" s="303"/>
      <c r="G136" s="304"/>
      <c r="H136" s="303"/>
      <c r="I136" s="304"/>
      <c r="J136" s="303"/>
      <c r="K136" s="304"/>
      <c r="L136" s="303"/>
      <c r="M136" s="304"/>
      <c r="N136" s="303"/>
      <c r="O136" s="304"/>
      <c r="P136" s="303"/>
      <c r="Q136" s="304"/>
      <c r="R136" s="305"/>
      <c r="S136" s="306"/>
      <c r="T136" s="303"/>
      <c r="U136" s="306"/>
      <c r="V136" s="303"/>
      <c r="W136" s="306"/>
      <c r="X136" s="303"/>
      <c r="Y136" s="306"/>
      <c r="Z136" s="318"/>
      <c r="AA136" s="304"/>
      <c r="AB136" s="305"/>
      <c r="AC136" s="306"/>
      <c r="AD136" s="303"/>
      <c r="AE136" s="306"/>
      <c r="AF136" s="303"/>
      <c r="AG136" s="306"/>
      <c r="AH136" s="303"/>
      <c r="AI136" s="304"/>
      <c r="AJ136" s="305"/>
      <c r="AK136" s="306"/>
    </row>
    <row r="137" spans="1:37">
      <c r="A137" s="299">
        <v>15</v>
      </c>
      <c r="B137" s="303">
        <v>19210</v>
      </c>
      <c r="C137" s="304">
        <v>19670</v>
      </c>
      <c r="D137" s="303">
        <v>47220</v>
      </c>
      <c r="E137" s="304">
        <v>48324</v>
      </c>
      <c r="F137" s="303"/>
      <c r="G137" s="304"/>
      <c r="H137" s="303"/>
      <c r="I137" s="304"/>
      <c r="J137" s="303"/>
      <c r="K137" s="304"/>
      <c r="L137" s="303"/>
      <c r="M137" s="304"/>
      <c r="N137" s="303"/>
      <c r="O137" s="304"/>
      <c r="P137" s="303"/>
      <c r="Q137" s="304"/>
      <c r="R137" s="305"/>
      <c r="S137" s="306"/>
      <c r="T137" s="303"/>
      <c r="U137" s="306"/>
      <c r="V137" s="303"/>
      <c r="W137" s="306"/>
      <c r="X137" s="303"/>
      <c r="Y137" s="306"/>
      <c r="Z137" s="318"/>
      <c r="AA137" s="304"/>
      <c r="AB137" s="305"/>
      <c r="AC137" s="306"/>
      <c r="AD137" s="303"/>
      <c r="AE137" s="306"/>
      <c r="AF137" s="303"/>
      <c r="AG137" s="306"/>
      <c r="AH137" s="303"/>
      <c r="AI137" s="304"/>
      <c r="AJ137" s="305"/>
      <c r="AK137" s="306"/>
    </row>
    <row r="138" spans="1:37">
      <c r="A138" s="298" t="s">
        <v>485</v>
      </c>
      <c r="B138" s="549"/>
      <c r="C138" s="550"/>
      <c r="D138" s="549"/>
      <c r="E138" s="550"/>
      <c r="F138" s="549"/>
      <c r="G138" s="550"/>
      <c r="H138" s="549"/>
      <c r="I138" s="550"/>
      <c r="J138" s="549"/>
      <c r="K138" s="550"/>
      <c r="L138" s="549"/>
      <c r="M138" s="550"/>
      <c r="N138" s="549"/>
      <c r="O138" s="550"/>
      <c r="P138" s="549"/>
      <c r="Q138" s="550"/>
      <c r="R138" s="553"/>
      <c r="S138" s="554"/>
      <c r="T138" s="549"/>
      <c r="U138" s="554"/>
      <c r="V138" s="549"/>
      <c r="W138" s="554"/>
      <c r="X138" s="549"/>
      <c r="Y138" s="554"/>
      <c r="Z138" s="557"/>
      <c r="AA138" s="550"/>
      <c r="AB138" s="553"/>
      <c r="AC138" s="554"/>
      <c r="AD138" s="549"/>
      <c r="AE138" s="554"/>
      <c r="AF138" s="549"/>
      <c r="AG138" s="554"/>
      <c r="AH138" s="549"/>
      <c r="AI138" s="550"/>
      <c r="AJ138" s="553"/>
      <c r="AK138" s="554"/>
    </row>
    <row r="139" spans="1:37">
      <c r="A139" s="299">
        <v>1</v>
      </c>
      <c r="B139" s="303">
        <v>8976</v>
      </c>
      <c r="C139" s="304">
        <v>9144</v>
      </c>
      <c r="D139" s="303">
        <v>25320</v>
      </c>
      <c r="E139" s="304">
        <v>25824</v>
      </c>
      <c r="F139" s="303">
        <v>10134</v>
      </c>
      <c r="G139" s="304">
        <v>10332</v>
      </c>
      <c r="H139" s="303">
        <v>26154</v>
      </c>
      <c r="I139" s="304">
        <v>26676</v>
      </c>
      <c r="J139" s="303">
        <v>24228</v>
      </c>
      <c r="K139" s="304">
        <v>24714</v>
      </c>
      <c r="L139" s="303">
        <v>40248</v>
      </c>
      <c r="M139" s="304">
        <v>41058</v>
      </c>
      <c r="N139" s="303">
        <v>31716</v>
      </c>
      <c r="O139" s="304">
        <v>31914</v>
      </c>
      <c r="P139" s="303">
        <v>62262</v>
      </c>
      <c r="Q139" s="304">
        <v>62784</v>
      </c>
      <c r="R139" s="305">
        <v>25506</v>
      </c>
      <c r="S139" s="306">
        <v>26010</v>
      </c>
      <c r="T139" s="303">
        <v>56574</v>
      </c>
      <c r="U139" s="306">
        <v>57708</v>
      </c>
      <c r="V139" s="303">
        <v>21780</v>
      </c>
      <c r="W139" s="306">
        <v>21988</v>
      </c>
      <c r="X139" s="303">
        <v>43164</v>
      </c>
      <c r="Y139" s="306">
        <v>43686</v>
      </c>
      <c r="Z139" s="318"/>
      <c r="AA139" s="304"/>
      <c r="AB139" s="305"/>
      <c r="AC139" s="306"/>
      <c r="AD139" s="303"/>
      <c r="AE139" s="306"/>
      <c r="AF139" s="303"/>
      <c r="AG139" s="306"/>
      <c r="AH139" s="303"/>
      <c r="AI139" s="304"/>
      <c r="AJ139" s="305"/>
      <c r="AK139" s="306"/>
    </row>
    <row r="140" spans="1:37">
      <c r="A140" s="299">
        <v>3</v>
      </c>
      <c r="B140" s="303">
        <v>8512</v>
      </c>
      <c r="C140" s="304">
        <v>8552</v>
      </c>
      <c r="D140" s="303">
        <v>19366</v>
      </c>
      <c r="E140" s="304">
        <v>19606</v>
      </c>
      <c r="F140" s="303">
        <v>8828</v>
      </c>
      <c r="G140" s="304">
        <v>8882</v>
      </c>
      <c r="H140" s="303">
        <v>21162</v>
      </c>
      <c r="I140" s="304">
        <v>21434</v>
      </c>
      <c r="J140" s="303"/>
      <c r="K140" s="304"/>
      <c r="L140" s="303"/>
      <c r="M140" s="304"/>
      <c r="N140" s="303">
        <v>24004</v>
      </c>
      <c r="O140" s="304">
        <v>24324</v>
      </c>
      <c r="P140" s="303">
        <v>56788</v>
      </c>
      <c r="Q140" s="304">
        <v>57682</v>
      </c>
      <c r="R140" s="305"/>
      <c r="S140" s="306"/>
      <c r="T140" s="303"/>
      <c r="U140" s="306"/>
      <c r="V140" s="303">
        <v>22430</v>
      </c>
      <c r="W140" s="306">
        <v>23508</v>
      </c>
      <c r="X140" s="303">
        <v>37050</v>
      </c>
      <c r="Y140" s="306">
        <v>38796</v>
      </c>
      <c r="Z140" s="318"/>
      <c r="AA140" s="304"/>
      <c r="AB140" s="305"/>
      <c r="AC140" s="306"/>
      <c r="AD140" s="303"/>
      <c r="AE140" s="306"/>
      <c r="AF140" s="303"/>
      <c r="AG140" s="306"/>
      <c r="AH140" s="303"/>
      <c r="AI140" s="304"/>
      <c r="AJ140" s="305"/>
      <c r="AK140" s="306"/>
    </row>
    <row r="141" spans="1:37">
      <c r="A141" s="299">
        <v>4</v>
      </c>
      <c r="B141" s="303">
        <v>8031</v>
      </c>
      <c r="C141" s="304">
        <v>8229</v>
      </c>
      <c r="D141" s="303">
        <v>14845</v>
      </c>
      <c r="E141" s="304">
        <v>15182</v>
      </c>
      <c r="F141" s="303">
        <v>8252</v>
      </c>
      <c r="G141" s="304">
        <v>8335</v>
      </c>
      <c r="H141" s="303">
        <v>13655</v>
      </c>
      <c r="I141" s="304">
        <v>13738</v>
      </c>
      <c r="J141" s="303"/>
      <c r="K141" s="304"/>
      <c r="L141" s="303"/>
      <c r="M141" s="304"/>
      <c r="N141" s="303"/>
      <c r="O141" s="304"/>
      <c r="P141" s="303"/>
      <c r="Q141" s="304"/>
      <c r="R141" s="305"/>
      <c r="S141" s="306"/>
      <c r="T141" s="303"/>
      <c r="U141" s="306"/>
      <c r="V141" s="303"/>
      <c r="W141" s="306"/>
      <c r="X141" s="303"/>
      <c r="Y141" s="306"/>
      <c r="Z141" s="318"/>
      <c r="AA141" s="304"/>
      <c r="AB141" s="305"/>
      <c r="AC141" s="306"/>
      <c r="AD141" s="303"/>
      <c r="AE141" s="306"/>
      <c r="AF141" s="303"/>
      <c r="AG141" s="306"/>
      <c r="AH141" s="303"/>
      <c r="AI141" s="304"/>
      <c r="AJ141" s="305"/>
      <c r="AK141" s="306"/>
    </row>
    <row r="142" spans="1:37">
      <c r="A142" s="299">
        <v>5</v>
      </c>
      <c r="B142" s="303">
        <v>7784</v>
      </c>
      <c r="C142" s="304">
        <v>7892</v>
      </c>
      <c r="D142" s="303">
        <v>17702</v>
      </c>
      <c r="E142" s="304">
        <v>17880</v>
      </c>
      <c r="F142" s="303">
        <v>8644</v>
      </c>
      <c r="G142" s="304">
        <v>8730</v>
      </c>
      <c r="H142" s="303">
        <v>15072</v>
      </c>
      <c r="I142" s="304">
        <v>15230</v>
      </c>
      <c r="J142" s="303"/>
      <c r="K142" s="304"/>
      <c r="L142" s="303"/>
      <c r="M142" s="304"/>
      <c r="N142" s="303"/>
      <c r="O142" s="304"/>
      <c r="P142" s="303"/>
      <c r="Q142" s="304"/>
      <c r="R142" s="305"/>
      <c r="S142" s="306"/>
      <c r="T142" s="303"/>
      <c r="U142" s="306"/>
      <c r="V142" s="303"/>
      <c r="W142" s="306"/>
      <c r="X142" s="303"/>
      <c r="Y142" s="306"/>
      <c r="Z142" s="318"/>
      <c r="AA142" s="304"/>
      <c r="AB142" s="305"/>
      <c r="AC142" s="306"/>
      <c r="AD142" s="303"/>
      <c r="AE142" s="306"/>
      <c r="AF142" s="303"/>
      <c r="AG142" s="306"/>
      <c r="AH142" s="303"/>
      <c r="AI142" s="304"/>
      <c r="AJ142" s="305"/>
      <c r="AK142" s="306"/>
    </row>
    <row r="143" spans="1:37">
      <c r="A143" s="299">
        <v>6</v>
      </c>
      <c r="B143" s="303">
        <v>7584</v>
      </c>
      <c r="C143" s="304">
        <v>7886</v>
      </c>
      <c r="D143" s="303">
        <v>14448</v>
      </c>
      <c r="E143" s="304">
        <v>15282</v>
      </c>
      <c r="F143" s="303"/>
      <c r="G143" s="304"/>
      <c r="H143" s="303"/>
      <c r="I143" s="304"/>
      <c r="J143" s="303"/>
      <c r="K143" s="304"/>
      <c r="L143" s="303"/>
      <c r="M143" s="304"/>
      <c r="N143" s="303"/>
      <c r="O143" s="304"/>
      <c r="P143" s="303"/>
      <c r="Q143" s="304"/>
      <c r="R143" s="305"/>
      <c r="S143" s="306"/>
      <c r="T143" s="303"/>
      <c r="U143" s="306"/>
      <c r="V143" s="303"/>
      <c r="W143" s="306"/>
      <c r="X143" s="303"/>
      <c r="Y143" s="306"/>
      <c r="Z143" s="318"/>
      <c r="AA143" s="304"/>
      <c r="AB143" s="305"/>
      <c r="AC143" s="306"/>
      <c r="AD143" s="303"/>
      <c r="AE143" s="306"/>
      <c r="AF143" s="303"/>
      <c r="AG143" s="306"/>
      <c r="AH143" s="303"/>
      <c r="AI143" s="304"/>
      <c r="AJ143" s="305"/>
      <c r="AK143" s="306"/>
    </row>
    <row r="144" spans="1:37">
      <c r="A144" s="299">
        <v>7</v>
      </c>
      <c r="B144" s="303">
        <v>4238</v>
      </c>
      <c r="C144" s="304">
        <v>4286</v>
      </c>
      <c r="D144" s="303">
        <v>10118</v>
      </c>
      <c r="E144" s="304">
        <v>10238</v>
      </c>
      <c r="F144" s="303"/>
      <c r="G144" s="304"/>
      <c r="H144" s="303"/>
      <c r="I144" s="304"/>
      <c r="J144" s="303"/>
      <c r="K144" s="304"/>
      <c r="L144" s="303"/>
      <c r="M144" s="304"/>
      <c r="N144" s="303"/>
      <c r="O144" s="304"/>
      <c r="P144" s="303"/>
      <c r="Q144" s="304"/>
      <c r="R144" s="305"/>
      <c r="S144" s="306"/>
      <c r="T144" s="303"/>
      <c r="U144" s="306"/>
      <c r="V144" s="303"/>
      <c r="W144" s="306"/>
      <c r="X144" s="303"/>
      <c r="Y144" s="306"/>
      <c r="Z144" s="318"/>
      <c r="AA144" s="304"/>
      <c r="AB144" s="305"/>
      <c r="AC144" s="306"/>
      <c r="AD144" s="303"/>
      <c r="AE144" s="306"/>
      <c r="AF144" s="303"/>
      <c r="AG144" s="306"/>
      <c r="AH144" s="303"/>
      <c r="AI144" s="304"/>
      <c r="AJ144" s="305"/>
      <c r="AK144" s="306"/>
    </row>
    <row r="145" spans="1:37">
      <c r="A145" s="299">
        <v>9</v>
      </c>
      <c r="B145" s="303">
        <v>4128</v>
      </c>
      <c r="C145" s="304">
        <v>4128</v>
      </c>
      <c r="D145" s="303">
        <v>7464</v>
      </c>
      <c r="E145" s="304">
        <v>7464</v>
      </c>
      <c r="F145" s="303"/>
      <c r="G145" s="304"/>
      <c r="H145" s="303"/>
      <c r="I145" s="304"/>
      <c r="J145" s="303"/>
      <c r="K145" s="304"/>
      <c r="L145" s="303"/>
      <c r="M145" s="304"/>
      <c r="N145" s="303"/>
      <c r="O145" s="304"/>
      <c r="P145" s="303"/>
      <c r="Q145" s="304"/>
      <c r="R145" s="305"/>
      <c r="S145" s="306"/>
      <c r="T145" s="303"/>
      <c r="U145" s="306"/>
      <c r="V145" s="303"/>
      <c r="W145" s="306"/>
      <c r="X145" s="303"/>
      <c r="Y145" s="306"/>
      <c r="Z145" s="318"/>
      <c r="AA145" s="304"/>
      <c r="AB145" s="305"/>
      <c r="AC145" s="306"/>
      <c r="AD145" s="303"/>
      <c r="AE145" s="306"/>
      <c r="AF145" s="303"/>
      <c r="AG145" s="306"/>
      <c r="AH145" s="303"/>
      <c r="AI145" s="304"/>
      <c r="AJ145" s="305"/>
      <c r="AK145" s="306"/>
    </row>
    <row r="146" spans="1:37">
      <c r="A146" s="299">
        <v>10</v>
      </c>
      <c r="B146" s="303">
        <v>4372</v>
      </c>
      <c r="C146" s="304">
        <v>4502</v>
      </c>
      <c r="D146" s="303">
        <v>10720</v>
      </c>
      <c r="E146" s="304">
        <v>10720</v>
      </c>
      <c r="F146" s="303"/>
      <c r="G146" s="304"/>
      <c r="H146" s="303"/>
      <c r="I146" s="304"/>
      <c r="J146" s="303"/>
      <c r="K146" s="304"/>
      <c r="L146" s="303"/>
      <c r="M146" s="304"/>
      <c r="N146" s="303"/>
      <c r="O146" s="304"/>
      <c r="P146" s="303"/>
      <c r="Q146" s="304"/>
      <c r="R146" s="305"/>
      <c r="S146" s="306"/>
      <c r="T146" s="303"/>
      <c r="U146" s="306"/>
      <c r="V146" s="303"/>
      <c r="W146" s="306"/>
      <c r="X146" s="303"/>
      <c r="Y146" s="306"/>
      <c r="Z146" s="318"/>
      <c r="AA146" s="304"/>
      <c r="AB146" s="305"/>
      <c r="AC146" s="306"/>
      <c r="AD146" s="303"/>
      <c r="AE146" s="306"/>
      <c r="AF146" s="303"/>
      <c r="AG146" s="306"/>
      <c r="AH146" s="303"/>
      <c r="AI146" s="304"/>
      <c r="AJ146" s="305"/>
      <c r="AK146" s="306"/>
    </row>
    <row r="147" spans="1:37">
      <c r="A147" s="299">
        <v>14</v>
      </c>
      <c r="B147" s="303">
        <v>6058</v>
      </c>
      <c r="C147" s="304">
        <v>6435</v>
      </c>
      <c r="D147" s="303"/>
      <c r="E147" s="304"/>
      <c r="F147" s="303"/>
      <c r="G147" s="304"/>
      <c r="H147" s="303"/>
      <c r="I147" s="304"/>
      <c r="J147" s="303"/>
      <c r="K147" s="304"/>
      <c r="L147" s="303"/>
      <c r="M147" s="304"/>
      <c r="N147" s="303"/>
      <c r="O147" s="304"/>
      <c r="P147" s="303"/>
      <c r="Q147" s="304"/>
      <c r="R147" s="305"/>
      <c r="S147" s="306"/>
      <c r="T147" s="303"/>
      <c r="U147" s="306"/>
      <c r="V147" s="303"/>
      <c r="W147" s="306"/>
      <c r="X147" s="303"/>
      <c r="Y147" s="306"/>
      <c r="Z147" s="318"/>
      <c r="AA147" s="304"/>
      <c r="AB147" s="305"/>
      <c r="AC147" s="306"/>
      <c r="AD147" s="303"/>
      <c r="AE147" s="306"/>
      <c r="AF147" s="303"/>
      <c r="AG147" s="306"/>
      <c r="AH147" s="303"/>
      <c r="AI147" s="304"/>
      <c r="AJ147" s="305"/>
      <c r="AK147" s="306"/>
    </row>
    <row r="148" spans="1:37">
      <c r="A148" s="299">
        <v>15</v>
      </c>
      <c r="B148" s="303">
        <v>5500</v>
      </c>
      <c r="C148" s="304">
        <v>5500</v>
      </c>
      <c r="D148" s="303"/>
      <c r="E148" s="304"/>
      <c r="F148" s="303"/>
      <c r="G148" s="304"/>
      <c r="H148" s="303"/>
      <c r="I148" s="304"/>
      <c r="J148" s="303"/>
      <c r="K148" s="304"/>
      <c r="L148" s="303"/>
      <c r="M148" s="304"/>
      <c r="N148" s="303"/>
      <c r="O148" s="304"/>
      <c r="P148" s="303"/>
      <c r="Q148" s="304"/>
      <c r="R148" s="305"/>
      <c r="S148" s="306"/>
      <c r="T148" s="303"/>
      <c r="U148" s="306"/>
      <c r="V148" s="303"/>
      <c r="W148" s="306"/>
      <c r="X148" s="303"/>
      <c r="Y148" s="306"/>
      <c r="Z148" s="318"/>
      <c r="AA148" s="304"/>
      <c r="AB148" s="305"/>
      <c r="AC148" s="306"/>
      <c r="AD148" s="303">
        <v>22472</v>
      </c>
      <c r="AE148" s="306">
        <v>23472</v>
      </c>
      <c r="AF148" s="303">
        <v>53710</v>
      </c>
      <c r="AG148" s="306">
        <v>54710</v>
      </c>
      <c r="AH148" s="303"/>
      <c r="AI148" s="304"/>
      <c r="AJ148" s="305"/>
      <c r="AK148" s="306"/>
    </row>
    <row r="149" spans="1:37" ht="15.75" thickBot="1">
      <c r="A149" s="298" t="s">
        <v>837</v>
      </c>
      <c r="B149" s="303">
        <v>4553</v>
      </c>
      <c r="C149" s="304">
        <v>4620</v>
      </c>
      <c r="D149" s="303">
        <v>10530</v>
      </c>
      <c r="E149" s="304">
        <v>10622.9</v>
      </c>
      <c r="F149" s="303">
        <v>8766</v>
      </c>
      <c r="G149" s="304">
        <v>8965</v>
      </c>
      <c r="H149" s="303">
        <v>19030</v>
      </c>
      <c r="I149" s="304">
        <v>18854</v>
      </c>
      <c r="J149" s="303">
        <v>22751</v>
      </c>
      <c r="K149" s="304">
        <v>22934.45</v>
      </c>
      <c r="L149" s="303">
        <v>38929.5</v>
      </c>
      <c r="M149" s="304">
        <v>39350.449999999997</v>
      </c>
      <c r="N149" s="303">
        <v>31378</v>
      </c>
      <c r="O149" s="304">
        <v>32820</v>
      </c>
      <c r="P149" s="303">
        <v>60838</v>
      </c>
      <c r="Q149" s="304">
        <v>61114.29</v>
      </c>
      <c r="R149" s="310">
        <v>35660</v>
      </c>
      <c r="S149" s="311">
        <v>35170</v>
      </c>
      <c r="T149" s="312">
        <v>67947</v>
      </c>
      <c r="U149" s="311">
        <v>69229</v>
      </c>
      <c r="V149" s="312">
        <v>24232.5</v>
      </c>
      <c r="W149" s="311">
        <v>24683.16666666665</v>
      </c>
      <c r="X149" s="312">
        <v>42843</v>
      </c>
      <c r="Y149" s="311">
        <v>44211.5</v>
      </c>
      <c r="Z149" s="319">
        <v>17149.5</v>
      </c>
      <c r="AA149" s="304">
        <v>22019.7</v>
      </c>
      <c r="AB149" s="310">
        <v>36517.5</v>
      </c>
      <c r="AC149" s="311">
        <v>41192.699999999997</v>
      </c>
      <c r="AD149" s="312">
        <v>24744</v>
      </c>
      <c r="AE149" s="311">
        <v>24881.33333333335</v>
      </c>
      <c r="AF149" s="312">
        <v>50821.66666666665</v>
      </c>
      <c r="AG149" s="311">
        <v>50959</v>
      </c>
      <c r="AH149" s="312">
        <v>25435</v>
      </c>
      <c r="AI149" s="327">
        <v>26086</v>
      </c>
      <c r="AJ149" s="310">
        <v>50456</v>
      </c>
      <c r="AK149" s="311">
        <v>55687</v>
      </c>
    </row>
    <row r="150" spans="1:37">
      <c r="D150"/>
    </row>
    <row r="151" spans="1:37">
      <c r="D151"/>
    </row>
    <row r="152" spans="1:37">
      <c r="D152"/>
    </row>
    <row r="153" spans="1:37">
      <c r="D153"/>
    </row>
    <row r="154" spans="1:37">
      <c r="D154"/>
    </row>
    <row r="155" spans="1:37">
      <c r="D155"/>
    </row>
    <row r="156" spans="1:37">
      <c r="D156"/>
    </row>
    <row r="157" spans="1:37">
      <c r="D157"/>
    </row>
    <row r="158" spans="1:37">
      <c r="D158"/>
    </row>
    <row r="159" spans="1:37">
      <c r="D159"/>
    </row>
    <row r="160" spans="1:37">
      <c r="D160"/>
    </row>
    <row r="161" spans="1:37">
      <c r="D161"/>
    </row>
    <row r="162" spans="1:37" ht="15.75" thickBot="1"/>
    <row r="163" spans="1:37" ht="15.75" thickBot="1">
      <c r="A163" s="297" t="s">
        <v>853</v>
      </c>
      <c r="B163" s="307" t="s">
        <v>844</v>
      </c>
      <c r="C163" s="308" t="s">
        <v>845</v>
      </c>
      <c r="D163" s="309" t="s">
        <v>847</v>
      </c>
      <c r="E163" s="308" t="s">
        <v>849</v>
      </c>
      <c r="F163" s="309" t="s">
        <v>843</v>
      </c>
      <c r="G163" s="308" t="s">
        <v>846</v>
      </c>
      <c r="H163" s="309" t="s">
        <v>850</v>
      </c>
      <c r="I163" s="308" t="s">
        <v>848</v>
      </c>
      <c r="J163" s="309" t="s">
        <v>841</v>
      </c>
      <c r="K163" s="308" t="s">
        <v>842</v>
      </c>
      <c r="L163" s="309" t="s">
        <v>840</v>
      </c>
      <c r="M163" s="308" t="s">
        <v>839</v>
      </c>
      <c r="N163" s="309" t="s">
        <v>851</v>
      </c>
      <c r="O163" s="308" t="s">
        <v>852</v>
      </c>
      <c r="P163" s="301" t="s">
        <v>877</v>
      </c>
      <c r="Q163" t="s">
        <v>878</v>
      </c>
      <c r="R163" s="307" t="s">
        <v>854</v>
      </c>
      <c r="S163" s="308" t="s">
        <v>855</v>
      </c>
      <c r="T163" s="309" t="s">
        <v>856</v>
      </c>
      <c r="U163" s="308" t="s">
        <v>857</v>
      </c>
      <c r="V163" s="309" t="s">
        <v>858</v>
      </c>
      <c r="W163" s="308" t="s">
        <v>859</v>
      </c>
      <c r="X163" s="309" t="s">
        <v>860</v>
      </c>
      <c r="Y163" s="308" t="s">
        <v>861</v>
      </c>
      <c r="Z163" s="320" t="s">
        <v>862</v>
      </c>
      <c r="AA163" t="s">
        <v>872</v>
      </c>
      <c r="AB163" s="307" t="s">
        <v>867</v>
      </c>
      <c r="AC163" s="308" t="s">
        <v>868</v>
      </c>
      <c r="AD163" s="309" t="s">
        <v>873</v>
      </c>
      <c r="AE163" s="308" t="s">
        <v>874</v>
      </c>
      <c r="AF163" s="309" t="s">
        <v>875</v>
      </c>
      <c r="AG163" s="308" t="s">
        <v>876</v>
      </c>
      <c r="AH163" s="328" t="s">
        <v>880</v>
      </c>
      <c r="AI163" s="316" t="s">
        <v>881</v>
      </c>
      <c r="AJ163" s="329" t="s">
        <v>883</v>
      </c>
      <c r="AK163" s="308" t="s">
        <v>884</v>
      </c>
    </row>
    <row r="164" spans="1:37">
      <c r="A164" s="298">
        <v>1</v>
      </c>
      <c r="B164" s="303">
        <v>11534</v>
      </c>
      <c r="C164" s="304">
        <v>11740</v>
      </c>
      <c r="D164" s="303">
        <v>30602</v>
      </c>
      <c r="E164" s="304">
        <v>30602</v>
      </c>
      <c r="F164" s="303">
        <v>11945</v>
      </c>
      <c r="G164" s="304">
        <v>12164</v>
      </c>
      <c r="H164" s="303">
        <v>29361</v>
      </c>
      <c r="I164" s="304">
        <v>29618</v>
      </c>
      <c r="J164" s="303">
        <v>23487.5</v>
      </c>
      <c r="K164" s="304">
        <v>23733.45</v>
      </c>
      <c r="L164" s="303">
        <v>38977.5</v>
      </c>
      <c r="M164" s="304">
        <v>40267</v>
      </c>
      <c r="N164" s="303">
        <v>37322</v>
      </c>
      <c r="O164" s="304">
        <v>37640</v>
      </c>
      <c r="P164" s="303">
        <v>62714</v>
      </c>
      <c r="Q164" s="304">
        <v>62714</v>
      </c>
      <c r="R164" s="323">
        <v>35582</v>
      </c>
      <c r="S164" s="324">
        <v>32102</v>
      </c>
      <c r="T164" s="325">
        <v>73220</v>
      </c>
      <c r="U164" s="324">
        <v>75417</v>
      </c>
      <c r="V164" s="325">
        <v>23246</v>
      </c>
      <c r="W164" s="324">
        <v>24257.5</v>
      </c>
      <c r="X164" s="325">
        <v>44179</v>
      </c>
      <c r="Y164" s="324">
        <v>46412</v>
      </c>
      <c r="Z164" s="326">
        <v>17149.5</v>
      </c>
      <c r="AA164" s="304">
        <v>22019.7</v>
      </c>
      <c r="AB164" s="323">
        <v>36517.5</v>
      </c>
      <c r="AC164" s="324">
        <v>41192.699999999997</v>
      </c>
      <c r="AD164" s="325"/>
      <c r="AE164" s="324"/>
      <c r="AF164" s="325"/>
      <c r="AG164" s="324"/>
      <c r="AH164" s="303">
        <v>25435</v>
      </c>
      <c r="AI164" s="304">
        <v>26086</v>
      </c>
      <c r="AJ164" s="323">
        <v>50456</v>
      </c>
      <c r="AK164" s="324">
        <v>55687</v>
      </c>
    </row>
    <row r="165" spans="1:37">
      <c r="A165" s="298">
        <v>2</v>
      </c>
      <c r="B165" s="303">
        <v>9538</v>
      </c>
      <c r="C165" s="304">
        <v>10222</v>
      </c>
      <c r="D165" s="303">
        <v>23516</v>
      </c>
      <c r="E165" s="304">
        <v>23574</v>
      </c>
      <c r="F165" s="303">
        <v>10746.666666666701</v>
      </c>
      <c r="G165" s="304">
        <v>11013.333333333299</v>
      </c>
      <c r="H165" s="303">
        <v>21416</v>
      </c>
      <c r="I165" s="304">
        <v>22144</v>
      </c>
      <c r="J165" s="303">
        <v>24346.5</v>
      </c>
      <c r="K165" s="304">
        <v>24946</v>
      </c>
      <c r="L165" s="303">
        <v>35224</v>
      </c>
      <c r="M165" s="304">
        <v>35984</v>
      </c>
      <c r="N165" s="303">
        <v>31378</v>
      </c>
      <c r="O165" s="304">
        <v>32820</v>
      </c>
      <c r="P165" s="303">
        <v>44829</v>
      </c>
      <c r="Q165" s="304">
        <v>44862</v>
      </c>
      <c r="R165" s="305">
        <v>33046</v>
      </c>
      <c r="S165" s="306">
        <v>33046</v>
      </c>
      <c r="T165" s="303">
        <v>33046</v>
      </c>
      <c r="U165" s="306">
        <v>33046</v>
      </c>
      <c r="V165" s="303">
        <v>39586</v>
      </c>
      <c r="W165" s="306">
        <v>39619</v>
      </c>
      <c r="X165" s="303">
        <v>39586</v>
      </c>
      <c r="Y165" s="306">
        <v>39619</v>
      </c>
      <c r="Z165" s="318"/>
      <c r="AA165" s="304"/>
      <c r="AB165" s="305"/>
      <c r="AC165" s="306"/>
      <c r="AD165" s="303"/>
      <c r="AE165" s="306"/>
      <c r="AF165" s="303"/>
      <c r="AG165" s="306"/>
      <c r="AH165" s="303"/>
      <c r="AI165" s="304"/>
      <c r="AJ165" s="305"/>
      <c r="AK165" s="306"/>
    </row>
    <row r="166" spans="1:37">
      <c r="A166" s="298">
        <v>3</v>
      </c>
      <c r="B166" s="303">
        <v>9255</v>
      </c>
      <c r="C166" s="304">
        <v>9500.5</v>
      </c>
      <c r="D166" s="303">
        <v>21396</v>
      </c>
      <c r="E166" s="304">
        <v>21506</v>
      </c>
      <c r="F166" s="303">
        <v>10212</v>
      </c>
      <c r="G166" s="304">
        <v>10233.333333333299</v>
      </c>
      <c r="H166" s="303">
        <v>20468</v>
      </c>
      <c r="I166" s="304">
        <v>20773.333333333299</v>
      </c>
      <c r="J166" s="303">
        <v>21618.855</v>
      </c>
      <c r="K166" s="304">
        <v>21618.855</v>
      </c>
      <c r="L166" s="303">
        <v>37463.5</v>
      </c>
      <c r="M166" s="304">
        <v>37463.5</v>
      </c>
      <c r="N166" s="303">
        <v>24004</v>
      </c>
      <c r="O166" s="304">
        <v>24324</v>
      </c>
      <c r="P166" s="303">
        <v>56788</v>
      </c>
      <c r="Q166" s="304">
        <v>57682</v>
      </c>
      <c r="R166" s="305"/>
      <c r="S166" s="306"/>
      <c r="T166" s="303"/>
      <c r="U166" s="306"/>
      <c r="V166" s="303">
        <v>22430</v>
      </c>
      <c r="W166" s="306">
        <v>23508</v>
      </c>
      <c r="X166" s="303">
        <v>37050</v>
      </c>
      <c r="Y166" s="306">
        <v>38796</v>
      </c>
      <c r="Z166" s="318"/>
      <c r="AA166" s="304"/>
      <c r="AB166" s="305"/>
      <c r="AC166" s="306"/>
      <c r="AD166" s="303"/>
      <c r="AE166" s="306"/>
      <c r="AF166" s="303"/>
      <c r="AG166" s="306"/>
      <c r="AH166" s="303"/>
      <c r="AI166" s="304"/>
      <c r="AJ166" s="305"/>
      <c r="AK166" s="306"/>
    </row>
    <row r="167" spans="1:37">
      <c r="A167" s="298">
        <v>4</v>
      </c>
      <c r="B167" s="303">
        <v>8499.5</v>
      </c>
      <c r="C167" s="304">
        <v>8563</v>
      </c>
      <c r="D167" s="303">
        <v>19443</v>
      </c>
      <c r="E167" s="304">
        <v>19416.5</v>
      </c>
      <c r="F167" s="303">
        <v>8314.5</v>
      </c>
      <c r="G167" s="304">
        <v>8438</v>
      </c>
      <c r="H167" s="303">
        <v>19045</v>
      </c>
      <c r="I167" s="304">
        <v>18599</v>
      </c>
      <c r="J167" s="303"/>
      <c r="K167" s="304"/>
      <c r="L167" s="303"/>
      <c r="M167" s="304"/>
      <c r="N167" s="303">
        <v>31056</v>
      </c>
      <c r="O167" s="304">
        <v>33186</v>
      </c>
      <c r="P167" s="303">
        <v>59980</v>
      </c>
      <c r="Q167" s="304">
        <v>62110</v>
      </c>
      <c r="R167" s="305">
        <v>27674</v>
      </c>
      <c r="S167" s="306">
        <v>30604</v>
      </c>
      <c r="T167" s="303">
        <v>64940</v>
      </c>
      <c r="U167" s="306">
        <v>69038</v>
      </c>
      <c r="V167" s="303">
        <v>31490</v>
      </c>
      <c r="W167" s="306">
        <v>32120</v>
      </c>
      <c r="X167" s="303">
        <v>60240</v>
      </c>
      <c r="Y167" s="306">
        <v>61445</v>
      </c>
      <c r="Z167" s="318"/>
      <c r="AA167" s="304"/>
      <c r="AB167" s="305"/>
      <c r="AC167" s="306"/>
      <c r="AD167" s="303"/>
      <c r="AE167" s="306"/>
      <c r="AF167" s="303"/>
      <c r="AG167" s="306"/>
      <c r="AH167" s="303"/>
      <c r="AI167" s="304"/>
      <c r="AJ167" s="305"/>
      <c r="AK167" s="306"/>
    </row>
    <row r="168" spans="1:37">
      <c r="A168" s="298">
        <v>5</v>
      </c>
      <c r="B168" s="303">
        <v>7917</v>
      </c>
      <c r="C168" s="304">
        <v>8575</v>
      </c>
      <c r="D168" s="303">
        <v>20285</v>
      </c>
      <c r="E168" s="304">
        <v>20285</v>
      </c>
      <c r="F168" s="303">
        <v>8922</v>
      </c>
      <c r="G168" s="304">
        <v>9214.34</v>
      </c>
      <c r="H168" s="303">
        <v>18800</v>
      </c>
      <c r="I168" s="304">
        <v>19256</v>
      </c>
      <c r="J168" s="303"/>
      <c r="K168" s="304"/>
      <c r="L168" s="303"/>
      <c r="M168" s="304"/>
      <c r="N168" s="303"/>
      <c r="O168" s="304"/>
      <c r="P168" s="303"/>
      <c r="Q168" s="304"/>
      <c r="R168" s="305"/>
      <c r="S168" s="306"/>
      <c r="T168" s="303"/>
      <c r="U168" s="306"/>
      <c r="V168" s="303"/>
      <c r="W168" s="306"/>
      <c r="X168" s="303"/>
      <c r="Y168" s="306"/>
      <c r="Z168" s="318"/>
      <c r="AA168" s="304"/>
      <c r="AB168" s="305"/>
      <c r="AC168" s="306"/>
      <c r="AD168" s="303"/>
      <c r="AE168" s="306"/>
      <c r="AF168" s="303"/>
      <c r="AG168" s="306"/>
      <c r="AH168" s="303"/>
      <c r="AI168" s="304"/>
      <c r="AJ168" s="305"/>
      <c r="AK168" s="306"/>
    </row>
    <row r="169" spans="1:37">
      <c r="A169" s="298">
        <v>6</v>
      </c>
      <c r="B169" s="303">
        <v>7449.5</v>
      </c>
      <c r="C169" s="304">
        <v>7533.5</v>
      </c>
      <c r="D169" s="303">
        <v>15501.5</v>
      </c>
      <c r="E169" s="304">
        <v>15855.5</v>
      </c>
      <c r="F169" s="303">
        <v>8946</v>
      </c>
      <c r="G169" s="304">
        <v>8923</v>
      </c>
      <c r="H169" s="303">
        <v>18290.5</v>
      </c>
      <c r="I169" s="304">
        <v>17302.5</v>
      </c>
      <c r="J169" s="303"/>
      <c r="K169" s="304"/>
      <c r="L169" s="303"/>
      <c r="M169" s="304"/>
      <c r="N169" s="303"/>
      <c r="O169" s="304"/>
      <c r="P169" s="303"/>
      <c r="Q169" s="304"/>
      <c r="R169" s="305"/>
      <c r="S169" s="306"/>
      <c r="T169" s="303"/>
      <c r="U169" s="306"/>
      <c r="V169" s="303"/>
      <c r="W169" s="306"/>
      <c r="X169" s="303"/>
      <c r="Y169" s="306"/>
      <c r="Z169" s="318"/>
      <c r="AA169" s="304"/>
      <c r="AB169" s="305"/>
      <c r="AC169" s="306"/>
      <c r="AD169" s="303"/>
      <c r="AE169" s="306"/>
      <c r="AF169" s="303"/>
      <c r="AG169" s="306"/>
      <c r="AH169" s="303"/>
      <c r="AI169" s="304"/>
      <c r="AJ169" s="305"/>
      <c r="AK169" s="306"/>
    </row>
    <row r="170" spans="1:37">
      <c r="A170" s="298">
        <v>7</v>
      </c>
      <c r="B170" s="303">
        <v>3150.9</v>
      </c>
      <c r="C170" s="304">
        <v>3176</v>
      </c>
      <c r="D170" s="303">
        <v>11737.4</v>
      </c>
      <c r="E170" s="304">
        <v>11765</v>
      </c>
      <c r="F170" s="303">
        <v>0</v>
      </c>
      <c r="G170" s="304">
        <v>0</v>
      </c>
      <c r="H170" s="303">
        <v>0</v>
      </c>
      <c r="I170" s="304">
        <v>0</v>
      </c>
      <c r="J170" s="303"/>
      <c r="K170" s="304"/>
      <c r="L170" s="303"/>
      <c r="M170" s="304"/>
      <c r="N170" s="303"/>
      <c r="O170" s="304"/>
      <c r="P170" s="303"/>
      <c r="Q170" s="304"/>
      <c r="R170" s="305"/>
      <c r="S170" s="306"/>
      <c r="T170" s="303"/>
      <c r="U170" s="306"/>
      <c r="V170" s="303"/>
      <c r="W170" s="306"/>
      <c r="X170" s="303"/>
      <c r="Y170" s="306"/>
      <c r="Z170" s="318"/>
      <c r="AA170" s="304"/>
      <c r="AB170" s="305"/>
      <c r="AC170" s="306"/>
      <c r="AD170" s="303"/>
      <c r="AE170" s="306"/>
      <c r="AF170" s="303"/>
      <c r="AG170" s="306"/>
      <c r="AH170" s="303"/>
      <c r="AI170" s="304"/>
      <c r="AJ170" s="305"/>
      <c r="AK170" s="306"/>
    </row>
    <row r="171" spans="1:37">
      <c r="A171" s="298">
        <v>8</v>
      </c>
      <c r="B171" s="303">
        <v>3390</v>
      </c>
      <c r="C171" s="304">
        <v>3700</v>
      </c>
      <c r="D171" s="303">
        <v>8576</v>
      </c>
      <c r="E171" s="304">
        <v>8659</v>
      </c>
      <c r="F171" s="303">
        <v>0</v>
      </c>
      <c r="G171" s="304">
        <v>0</v>
      </c>
      <c r="H171" s="303">
        <v>0</v>
      </c>
      <c r="I171" s="304">
        <v>0</v>
      </c>
      <c r="J171" s="303"/>
      <c r="K171" s="304"/>
      <c r="L171" s="303"/>
      <c r="M171" s="304"/>
      <c r="N171" s="303"/>
      <c r="O171" s="304"/>
      <c r="P171" s="303"/>
      <c r="Q171" s="304"/>
      <c r="R171" s="305"/>
      <c r="S171" s="306"/>
      <c r="T171" s="303"/>
      <c r="U171" s="306"/>
      <c r="V171" s="303"/>
      <c r="W171" s="306"/>
      <c r="X171" s="303"/>
      <c r="Y171" s="306"/>
      <c r="Z171" s="318"/>
      <c r="AA171" s="304"/>
      <c r="AB171" s="305"/>
      <c r="AC171" s="306"/>
      <c r="AD171" s="303"/>
      <c r="AE171" s="306"/>
      <c r="AF171" s="303"/>
      <c r="AG171" s="306"/>
      <c r="AH171" s="303"/>
      <c r="AI171" s="304"/>
      <c r="AJ171" s="305"/>
      <c r="AK171" s="306"/>
    </row>
    <row r="172" spans="1:37">
      <c r="A172" s="298">
        <v>9</v>
      </c>
      <c r="B172" s="303">
        <v>4128</v>
      </c>
      <c r="C172" s="304">
        <v>3915</v>
      </c>
      <c r="D172" s="303">
        <v>8680</v>
      </c>
      <c r="E172" s="304">
        <v>8550</v>
      </c>
      <c r="F172" s="303">
        <v>0</v>
      </c>
      <c r="G172" s="304">
        <v>0</v>
      </c>
      <c r="H172" s="303">
        <v>0</v>
      </c>
      <c r="I172" s="304">
        <v>0</v>
      </c>
      <c r="J172" s="303"/>
      <c r="K172" s="304"/>
      <c r="L172" s="303"/>
      <c r="M172" s="304"/>
      <c r="N172" s="303"/>
      <c r="O172" s="304"/>
      <c r="P172" s="303"/>
      <c r="Q172" s="304"/>
      <c r="R172" s="305"/>
      <c r="S172" s="306"/>
      <c r="T172" s="303"/>
      <c r="U172" s="306"/>
      <c r="V172" s="303"/>
      <c r="W172" s="306"/>
      <c r="X172" s="303"/>
      <c r="Y172" s="306"/>
      <c r="Z172" s="318"/>
      <c r="AA172" s="304"/>
      <c r="AB172" s="305"/>
      <c r="AC172" s="306"/>
      <c r="AD172" s="303"/>
      <c r="AE172" s="306"/>
      <c r="AF172" s="303"/>
      <c r="AG172" s="306"/>
      <c r="AH172" s="303"/>
      <c r="AI172" s="304"/>
      <c r="AJ172" s="305"/>
      <c r="AK172" s="306"/>
    </row>
    <row r="173" spans="1:37">
      <c r="A173" s="298">
        <v>10</v>
      </c>
      <c r="B173" s="303">
        <v>4050</v>
      </c>
      <c r="C173" s="304">
        <v>4070</v>
      </c>
      <c r="D173" s="303">
        <v>8721</v>
      </c>
      <c r="E173" s="304">
        <v>8700</v>
      </c>
      <c r="F173" s="303">
        <v>0</v>
      </c>
      <c r="G173" s="304">
        <v>0</v>
      </c>
      <c r="H173" s="303">
        <v>0</v>
      </c>
      <c r="I173" s="304">
        <v>0</v>
      </c>
      <c r="J173" s="303"/>
      <c r="K173" s="304"/>
      <c r="L173" s="303"/>
      <c r="M173" s="304"/>
      <c r="N173" s="303"/>
      <c r="O173" s="304"/>
      <c r="P173" s="303"/>
      <c r="Q173" s="304"/>
      <c r="R173" s="305"/>
      <c r="S173" s="306"/>
      <c r="T173" s="303"/>
      <c r="U173" s="306"/>
      <c r="V173" s="303"/>
      <c r="W173" s="306"/>
      <c r="X173" s="303"/>
      <c r="Y173" s="306"/>
      <c r="Z173" s="318"/>
      <c r="AA173" s="304"/>
      <c r="AB173" s="305"/>
      <c r="AC173" s="306"/>
      <c r="AD173" s="303"/>
      <c r="AE173" s="306"/>
      <c r="AF173" s="303"/>
      <c r="AG173" s="306"/>
      <c r="AH173" s="303"/>
      <c r="AI173" s="304"/>
      <c r="AJ173" s="305"/>
      <c r="AK173" s="306"/>
    </row>
    <row r="174" spans="1:37">
      <c r="A174" s="298">
        <v>12</v>
      </c>
      <c r="B174" s="303">
        <v>3678</v>
      </c>
      <c r="C174" s="304">
        <v>3709</v>
      </c>
      <c r="D174" s="303">
        <v>6662</v>
      </c>
      <c r="E174" s="304">
        <v>6664</v>
      </c>
      <c r="F174" s="303"/>
      <c r="G174" s="304"/>
      <c r="H174" s="303"/>
      <c r="I174" s="304"/>
      <c r="J174" s="303"/>
      <c r="K174" s="304"/>
      <c r="L174" s="303"/>
      <c r="M174" s="304"/>
      <c r="N174" s="303"/>
      <c r="O174" s="304"/>
      <c r="P174" s="303"/>
      <c r="Q174" s="304"/>
      <c r="R174" s="305"/>
      <c r="S174" s="306"/>
      <c r="T174" s="303"/>
      <c r="U174" s="306"/>
      <c r="V174" s="303"/>
      <c r="W174" s="306"/>
      <c r="X174" s="303"/>
      <c r="Y174" s="306"/>
      <c r="Z174" s="318"/>
      <c r="AA174" s="304"/>
      <c r="AB174" s="305"/>
      <c r="AC174" s="306"/>
      <c r="AD174" s="303"/>
      <c r="AE174" s="306"/>
      <c r="AF174" s="303"/>
      <c r="AG174" s="306"/>
      <c r="AH174" s="303"/>
      <c r="AI174" s="304"/>
      <c r="AJ174" s="305"/>
      <c r="AK174" s="306"/>
    </row>
    <row r="175" spans="1:37">
      <c r="A175" s="298">
        <v>13</v>
      </c>
      <c r="B175" s="303">
        <v>2340</v>
      </c>
      <c r="C175" s="304">
        <v>2452.5</v>
      </c>
      <c r="D175" s="303">
        <v>3600</v>
      </c>
      <c r="E175" s="304">
        <v>4050</v>
      </c>
      <c r="F175" s="303"/>
      <c r="G175" s="304"/>
      <c r="H175" s="303"/>
      <c r="I175" s="304"/>
      <c r="J175" s="303"/>
      <c r="K175" s="304"/>
      <c r="L175" s="303"/>
      <c r="M175" s="304"/>
      <c r="N175" s="303"/>
      <c r="O175" s="304"/>
      <c r="P175" s="303"/>
      <c r="Q175" s="304"/>
      <c r="R175" s="305"/>
      <c r="S175" s="306"/>
      <c r="T175" s="303"/>
      <c r="U175" s="306"/>
      <c r="V175" s="303"/>
      <c r="W175" s="306"/>
      <c r="X175" s="303"/>
      <c r="Y175" s="306"/>
      <c r="Z175" s="318"/>
      <c r="AA175" s="304"/>
      <c r="AB175" s="305"/>
      <c r="AC175" s="306"/>
      <c r="AD175" s="303"/>
      <c r="AE175" s="306"/>
      <c r="AF175" s="303"/>
      <c r="AG175" s="306"/>
      <c r="AH175" s="303"/>
      <c r="AI175" s="304"/>
      <c r="AJ175" s="305"/>
      <c r="AK175" s="306"/>
    </row>
    <row r="176" spans="1:37">
      <c r="A176" s="298">
        <v>14</v>
      </c>
      <c r="B176" s="303">
        <v>6058</v>
      </c>
      <c r="C176" s="304">
        <v>6435</v>
      </c>
      <c r="D176" s="303"/>
      <c r="E176" s="304"/>
      <c r="F176" s="303"/>
      <c r="G176" s="304"/>
      <c r="H176" s="303"/>
      <c r="I176" s="304"/>
      <c r="J176" s="303"/>
      <c r="K176" s="304"/>
      <c r="L176" s="303"/>
      <c r="M176" s="304"/>
      <c r="N176" s="303"/>
      <c r="O176" s="304"/>
      <c r="P176" s="303"/>
      <c r="Q176" s="304"/>
      <c r="R176" s="305"/>
      <c r="S176" s="306"/>
      <c r="T176" s="303"/>
      <c r="U176" s="306"/>
      <c r="V176" s="303"/>
      <c r="W176" s="306"/>
      <c r="X176" s="303"/>
      <c r="Y176" s="306"/>
      <c r="Z176" s="318"/>
      <c r="AA176" s="304"/>
      <c r="AB176" s="305"/>
      <c r="AC176" s="306"/>
      <c r="AD176" s="303"/>
      <c r="AE176" s="306"/>
      <c r="AF176" s="303"/>
      <c r="AG176" s="306"/>
      <c r="AH176" s="303"/>
      <c r="AI176" s="304"/>
      <c r="AJ176" s="305"/>
      <c r="AK176" s="306"/>
    </row>
    <row r="177" spans="1:37">
      <c r="A177" s="298">
        <v>15</v>
      </c>
      <c r="B177" s="303">
        <v>7609</v>
      </c>
      <c r="C177" s="304">
        <v>7616</v>
      </c>
      <c r="D177" s="303">
        <v>20302</v>
      </c>
      <c r="E177" s="304">
        <v>18878</v>
      </c>
      <c r="F177" s="303">
        <v>9639.9999999999854</v>
      </c>
      <c r="G177" s="304">
        <v>10577.333333333299</v>
      </c>
      <c r="H177" s="303">
        <v>21647</v>
      </c>
      <c r="I177" s="304">
        <v>23145.5</v>
      </c>
      <c r="J177" s="303">
        <v>26075</v>
      </c>
      <c r="K177" s="304">
        <v>26485</v>
      </c>
      <c r="L177" s="303">
        <v>40184</v>
      </c>
      <c r="M177" s="304">
        <v>40789.5</v>
      </c>
      <c r="N177" s="303">
        <v>29465.333333333299</v>
      </c>
      <c r="O177" s="304">
        <v>30201.333333333299</v>
      </c>
      <c r="P177" s="303">
        <v>47933.333333333299</v>
      </c>
      <c r="Q177" s="304">
        <v>51385.333333333299</v>
      </c>
      <c r="R177" s="305">
        <v>42208</v>
      </c>
      <c r="S177" s="306">
        <v>42208</v>
      </c>
      <c r="T177" s="303">
        <v>63869</v>
      </c>
      <c r="U177" s="306">
        <v>65312</v>
      </c>
      <c r="V177" s="303">
        <v>27685.5</v>
      </c>
      <c r="W177" s="306">
        <v>29321</v>
      </c>
      <c r="X177" s="303">
        <v>42325</v>
      </c>
      <c r="Y177" s="306">
        <v>42325</v>
      </c>
      <c r="Z177" s="318"/>
      <c r="AA177" s="304"/>
      <c r="AB177" s="305"/>
      <c r="AC177" s="306"/>
      <c r="AD177" s="303">
        <v>24744</v>
      </c>
      <c r="AE177" s="306">
        <v>24881.33333333335</v>
      </c>
      <c r="AF177" s="303">
        <v>50821.66666666665</v>
      </c>
      <c r="AG177" s="306">
        <v>50959</v>
      </c>
      <c r="AH177" s="303"/>
      <c r="AI177" s="304"/>
      <c r="AJ177" s="305"/>
      <c r="AK177" s="306"/>
    </row>
    <row r="178" spans="1:37" ht="15.75" thickBot="1">
      <c r="A178" s="298" t="s">
        <v>837</v>
      </c>
      <c r="B178" s="303">
        <v>4553</v>
      </c>
      <c r="C178" s="304">
        <v>4620</v>
      </c>
      <c r="D178" s="303">
        <v>10530</v>
      </c>
      <c r="E178" s="304">
        <v>10622.9</v>
      </c>
      <c r="F178" s="303">
        <v>8766</v>
      </c>
      <c r="G178" s="304">
        <v>8965</v>
      </c>
      <c r="H178" s="303">
        <v>19030</v>
      </c>
      <c r="I178" s="304">
        <v>18854</v>
      </c>
      <c r="J178" s="303">
        <v>22751</v>
      </c>
      <c r="K178" s="304">
        <v>22934.45</v>
      </c>
      <c r="L178" s="303">
        <v>38929.5</v>
      </c>
      <c r="M178" s="304">
        <v>39350.449999999997</v>
      </c>
      <c r="N178" s="303">
        <v>31378</v>
      </c>
      <c r="O178" s="304">
        <v>32820</v>
      </c>
      <c r="P178" s="303">
        <v>60838</v>
      </c>
      <c r="Q178" s="304">
        <v>61114.29</v>
      </c>
      <c r="R178" s="310">
        <v>35660</v>
      </c>
      <c r="S178" s="311">
        <v>35170</v>
      </c>
      <c r="T178" s="312">
        <v>67947</v>
      </c>
      <c r="U178" s="311">
        <v>69229</v>
      </c>
      <c r="V178" s="312">
        <v>24232.5</v>
      </c>
      <c r="W178" s="311">
        <v>24683.16666666665</v>
      </c>
      <c r="X178" s="312">
        <v>42843</v>
      </c>
      <c r="Y178" s="311">
        <v>44211.5</v>
      </c>
      <c r="Z178" s="319">
        <v>17149.5</v>
      </c>
      <c r="AA178" s="304">
        <v>22019.7</v>
      </c>
      <c r="AB178" s="310">
        <v>36517.5</v>
      </c>
      <c r="AC178" s="311">
        <v>41192.699999999997</v>
      </c>
      <c r="AD178" s="312">
        <v>24744</v>
      </c>
      <c r="AE178" s="311">
        <v>24881.33333333335</v>
      </c>
      <c r="AF178" s="312">
        <v>50821.66666666665</v>
      </c>
      <c r="AG178" s="311">
        <v>50959</v>
      </c>
      <c r="AH178" s="312">
        <v>25435</v>
      </c>
      <c r="AI178" s="327">
        <v>26086</v>
      </c>
      <c r="AJ178" s="310">
        <v>50456</v>
      </c>
      <c r="AK178" s="311">
        <v>55687</v>
      </c>
    </row>
    <row r="179" spans="1:37">
      <c r="D179"/>
    </row>
    <row r="180" spans="1:37">
      <c r="D180"/>
    </row>
    <row r="181" spans="1:37">
      <c r="D181"/>
    </row>
    <row r="182" spans="1:37">
      <c r="D182"/>
    </row>
    <row r="183" spans="1:37">
      <c r="D183"/>
    </row>
    <row r="184" spans="1:37">
      <c r="D184"/>
    </row>
    <row r="185" spans="1:37">
      <c r="D185"/>
    </row>
    <row r="186" spans="1:37">
      <c r="D186"/>
    </row>
    <row r="187" spans="1:37">
      <c r="D187"/>
    </row>
    <row r="188" spans="1:37">
      <c r="D188"/>
    </row>
    <row r="189" spans="1:37">
      <c r="D189"/>
    </row>
    <row r="190" spans="1:37">
      <c r="D190"/>
    </row>
    <row r="191" spans="1:37">
      <c r="D191"/>
    </row>
    <row r="192" spans="1:37">
      <c r="D192"/>
    </row>
    <row r="193" spans="4:4">
      <c r="D193"/>
    </row>
    <row r="194" spans="4:4">
      <c r="D194"/>
    </row>
    <row r="195" spans="4:4">
      <c r="D195"/>
    </row>
    <row r="196" spans="4:4">
      <c r="D196"/>
    </row>
    <row r="197" spans="4:4">
      <c r="D197"/>
    </row>
    <row r="198" spans="4:4">
      <c r="D198"/>
    </row>
    <row r="199" spans="4:4">
      <c r="D199"/>
    </row>
    <row r="200" spans="4:4">
      <c r="D200"/>
    </row>
    <row r="201" spans="4:4">
      <c r="D201"/>
    </row>
    <row r="202" spans="4:4">
      <c r="D202"/>
    </row>
    <row r="203" spans="4:4">
      <c r="D203"/>
    </row>
    <row r="204" spans="4:4">
      <c r="D204"/>
    </row>
    <row r="205" spans="4:4">
      <c r="D205"/>
    </row>
    <row r="206" spans="4:4">
      <c r="D206"/>
    </row>
    <row r="207" spans="4:4">
      <c r="D207"/>
    </row>
    <row r="208" spans="4:4">
      <c r="D208"/>
    </row>
    <row r="209" spans="4:4">
      <c r="D209"/>
    </row>
    <row r="210" spans="4:4">
      <c r="D210"/>
    </row>
    <row r="211" spans="4:4">
      <c r="D211"/>
    </row>
    <row r="212" spans="4:4">
      <c r="D212"/>
    </row>
    <row r="213" spans="4:4">
      <c r="D213"/>
    </row>
    <row r="214" spans="4:4">
      <c r="D214"/>
    </row>
    <row r="215" spans="4:4">
      <c r="D215"/>
    </row>
    <row r="216" spans="4:4">
      <c r="D216"/>
    </row>
    <row r="217" spans="4:4">
      <c r="D217"/>
    </row>
    <row r="218" spans="4:4">
      <c r="D218"/>
    </row>
    <row r="219" spans="4:4">
      <c r="D219"/>
    </row>
    <row r="220" spans="4:4">
      <c r="D220"/>
    </row>
    <row r="221" spans="4:4">
      <c r="D221"/>
    </row>
    <row r="222" spans="4:4">
      <c r="D222"/>
    </row>
    <row r="223" spans="4:4">
      <c r="D223"/>
    </row>
    <row r="224" spans="4:4">
      <c r="D224"/>
    </row>
    <row r="225" spans="4:4">
      <c r="D225"/>
    </row>
    <row r="226" spans="4:4">
      <c r="D226"/>
    </row>
    <row r="227" spans="4:4">
      <c r="D227"/>
    </row>
    <row r="228" spans="4:4">
      <c r="D228"/>
    </row>
    <row r="229" spans="4:4">
      <c r="D229"/>
    </row>
    <row r="230" spans="4:4">
      <c r="D230"/>
    </row>
    <row r="231" spans="4:4">
      <c r="D231"/>
    </row>
    <row r="232" spans="4:4">
      <c r="D232"/>
    </row>
    <row r="233" spans="4:4">
      <c r="D233"/>
    </row>
    <row r="234" spans="4:4">
      <c r="D234"/>
    </row>
    <row r="235" spans="4:4">
      <c r="D235"/>
    </row>
    <row r="236" spans="4:4">
      <c r="D236"/>
    </row>
    <row r="237" spans="4:4">
      <c r="D237"/>
    </row>
    <row r="238" spans="4:4">
      <c r="D238"/>
    </row>
    <row r="239" spans="4:4">
      <c r="D239"/>
    </row>
    <row r="240" spans="4: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ht="15.75" thickBot="1">
      <c r="D306"/>
    </row>
  </sheetData>
  <pageMargins left="0.7" right="0.7" top="0.75" bottom="0.75" header="0.3" footer="0.3"/>
  <pageSetup orientation="portrait" horizontalDpi="4294967295" verticalDpi="4294967295"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AB5C-AE8D-4254-BA24-DF1A474AFFD7}">
  <sheetPr codeName="Sheet7">
    <tabColor rgb="FF00B050"/>
  </sheetPr>
  <dimension ref="A1:AK168"/>
  <sheetViews>
    <sheetView topLeftCell="A36" workbookViewId="0">
      <selection activeCell="F60" sqref="F60"/>
    </sheetView>
  </sheetViews>
  <sheetFormatPr defaultRowHeight="15"/>
  <cols>
    <col min="1" max="1" width="9.77734375" bestFit="1" customWidth="1"/>
    <col min="2" max="3" width="10.6640625" bestFit="1" customWidth="1"/>
    <col min="4" max="4" width="11.5546875" bestFit="1" customWidth="1"/>
    <col min="5" max="7" width="9.33203125" bestFit="1" customWidth="1"/>
    <col min="8" max="8" width="10.21875" bestFit="1" customWidth="1"/>
    <col min="9" max="9" width="10.6640625" bestFit="1" customWidth="1"/>
    <col min="10" max="11" width="11.5546875" bestFit="1" customWidth="1"/>
    <col min="12" max="12" width="12.44140625" bestFit="1" customWidth="1"/>
    <col min="13" max="13" width="10.6640625" bestFit="1" customWidth="1"/>
    <col min="14" max="15" width="11.5546875" bestFit="1" customWidth="1"/>
    <col min="16" max="16" width="12.44140625" bestFit="1" customWidth="1"/>
    <col min="17" max="17" width="10.5546875" bestFit="1" customWidth="1"/>
    <col min="18" max="19" width="11.44140625" bestFit="1" customWidth="1"/>
    <col min="20" max="20" width="12.33203125" bestFit="1" customWidth="1"/>
    <col min="21" max="21" width="10.109375" bestFit="1" customWidth="1"/>
    <col min="22" max="22" width="12" bestFit="1" customWidth="1"/>
    <col min="23" max="23" width="11" bestFit="1" customWidth="1"/>
    <col min="24" max="24" width="11.88671875" bestFit="1" customWidth="1"/>
    <col min="25" max="25" width="10.109375" bestFit="1" customWidth="1"/>
    <col min="26" max="27" width="11" bestFit="1" customWidth="1"/>
    <col min="28" max="28" width="11.88671875" bestFit="1" customWidth="1"/>
    <col min="29" max="29" width="10" bestFit="1" customWidth="1"/>
    <col min="30" max="31" width="12" bestFit="1" customWidth="1"/>
    <col min="32" max="32" width="11.77734375" bestFit="1" customWidth="1"/>
    <col min="33" max="33" width="10.44140625" bestFit="1" customWidth="1"/>
    <col min="34" max="35" width="10.77734375" bestFit="1" customWidth="1"/>
    <col min="36" max="36" width="11.6640625" bestFit="1" customWidth="1"/>
    <col min="37" max="37" width="12" bestFit="1" customWidth="1"/>
  </cols>
  <sheetData>
    <row r="1" spans="1:37" ht="15.75">
      <c r="A1" s="300" t="s">
        <v>885</v>
      </c>
    </row>
    <row r="2" spans="1:37">
      <c r="A2" s="297" t="s">
        <v>19</v>
      </c>
      <c r="B2" t="s" vm="1">
        <v>887</v>
      </c>
    </row>
    <row r="3" spans="1:37" ht="15.75" thickBot="1"/>
    <row r="4" spans="1:37" ht="15.75" thickBot="1">
      <c r="A4" s="297" t="s">
        <v>853</v>
      </c>
      <c r="B4" s="307" t="s">
        <v>844</v>
      </c>
      <c r="C4" s="308" t="s">
        <v>845</v>
      </c>
      <c r="D4" s="309" t="s">
        <v>847</v>
      </c>
      <c r="E4" s="308" t="s">
        <v>849</v>
      </c>
      <c r="F4" s="309" t="s">
        <v>843</v>
      </c>
      <c r="G4" s="308" t="s">
        <v>846</v>
      </c>
      <c r="H4" s="309" t="s">
        <v>850</v>
      </c>
      <c r="I4" s="308" t="s">
        <v>848</v>
      </c>
      <c r="J4" s="309" t="s">
        <v>841</v>
      </c>
      <c r="K4" s="308" t="s">
        <v>842</v>
      </c>
      <c r="L4" s="309" t="s">
        <v>840</v>
      </c>
      <c r="M4" s="308" t="s">
        <v>839</v>
      </c>
      <c r="N4" s="309" t="s">
        <v>851</v>
      </c>
      <c r="O4" s="308" t="s">
        <v>852</v>
      </c>
      <c r="P4" s="301" t="s">
        <v>877</v>
      </c>
      <c r="Q4" t="s">
        <v>878</v>
      </c>
      <c r="R4" s="307" t="s">
        <v>854</v>
      </c>
      <c r="S4" s="308" t="s">
        <v>855</v>
      </c>
      <c r="T4" s="309" t="s">
        <v>856</v>
      </c>
      <c r="U4" s="308" t="s">
        <v>857</v>
      </c>
      <c r="V4" s="309" t="s">
        <v>858</v>
      </c>
      <c r="W4" s="308" t="s">
        <v>859</v>
      </c>
      <c r="X4" s="309" t="s">
        <v>860</v>
      </c>
      <c r="Y4" s="308" t="s">
        <v>861</v>
      </c>
      <c r="Z4" s="320" t="s">
        <v>862</v>
      </c>
      <c r="AA4" t="s">
        <v>872</v>
      </c>
      <c r="AB4" s="307" t="s">
        <v>867</v>
      </c>
      <c r="AC4" s="308" t="s">
        <v>868</v>
      </c>
      <c r="AD4" s="309" t="s">
        <v>873</v>
      </c>
      <c r="AE4" s="308" t="s">
        <v>874</v>
      </c>
      <c r="AF4" s="309" t="s">
        <v>875</v>
      </c>
      <c r="AG4" s="308" t="s">
        <v>876</v>
      </c>
      <c r="AH4" s="328" t="s">
        <v>880</v>
      </c>
      <c r="AI4" s="316" t="s">
        <v>881</v>
      </c>
      <c r="AJ4" s="329" t="s">
        <v>883</v>
      </c>
      <c r="AK4" s="308" t="s">
        <v>884</v>
      </c>
    </row>
    <row r="5" spans="1:37">
      <c r="A5" s="298" t="s">
        <v>56</v>
      </c>
      <c r="B5" s="303">
        <v>11029</v>
      </c>
      <c r="C5" s="304">
        <v>11055</v>
      </c>
      <c r="D5" s="303">
        <v>20850</v>
      </c>
      <c r="E5" s="304">
        <v>22060</v>
      </c>
      <c r="F5" s="303">
        <v>11119</v>
      </c>
      <c r="G5" s="304">
        <v>11284</v>
      </c>
      <c r="H5" s="303">
        <v>22045</v>
      </c>
      <c r="I5" s="304">
        <v>22708</v>
      </c>
      <c r="J5" s="303">
        <v>23910</v>
      </c>
      <c r="K5" s="304">
        <v>23910</v>
      </c>
      <c r="L5" s="303">
        <v>43360</v>
      </c>
      <c r="M5" s="304">
        <v>43360</v>
      </c>
      <c r="N5" s="303">
        <v>29702</v>
      </c>
      <c r="O5" s="304">
        <v>29998</v>
      </c>
      <c r="P5" s="303">
        <v>62714</v>
      </c>
      <c r="Q5" s="304">
        <v>62714</v>
      </c>
      <c r="R5" s="323">
        <v>29484</v>
      </c>
      <c r="S5" s="324">
        <v>29782</v>
      </c>
      <c r="T5" s="325">
        <v>68726</v>
      </c>
      <c r="U5" s="324">
        <v>69420</v>
      </c>
      <c r="V5" s="325">
        <v>22362</v>
      </c>
      <c r="W5" s="324">
        <v>22392</v>
      </c>
      <c r="X5" s="325">
        <v>42522</v>
      </c>
      <c r="Y5" s="324">
        <v>42552</v>
      </c>
      <c r="Z5" s="326">
        <v>27492</v>
      </c>
      <c r="AA5" s="304">
        <v>27858</v>
      </c>
      <c r="AB5" s="323">
        <v>54012</v>
      </c>
      <c r="AC5" s="324">
        <v>54012</v>
      </c>
      <c r="AD5" s="325"/>
      <c r="AE5" s="324"/>
      <c r="AF5" s="325"/>
      <c r="AG5" s="324"/>
      <c r="AH5" s="303">
        <v>24296</v>
      </c>
      <c r="AI5" s="304">
        <v>24326</v>
      </c>
      <c r="AJ5" s="323">
        <v>50456</v>
      </c>
      <c r="AK5" s="324">
        <v>50486</v>
      </c>
    </row>
    <row r="6" spans="1:37">
      <c r="A6" s="298" t="s">
        <v>87</v>
      </c>
      <c r="B6" s="303">
        <v>8940</v>
      </c>
      <c r="C6" s="304">
        <v>9380</v>
      </c>
      <c r="D6" s="303">
        <v>15929</v>
      </c>
      <c r="E6" s="304">
        <v>16144.5</v>
      </c>
      <c r="F6" s="303">
        <v>8805</v>
      </c>
      <c r="G6" s="304">
        <v>9207.5</v>
      </c>
      <c r="H6" s="303">
        <v>15259</v>
      </c>
      <c r="I6" s="304">
        <v>15444</v>
      </c>
      <c r="J6" s="303">
        <v>13488</v>
      </c>
      <c r="K6" s="304">
        <v>13700</v>
      </c>
      <c r="L6" s="303">
        <v>28119.5</v>
      </c>
      <c r="M6" s="304">
        <v>28488</v>
      </c>
      <c r="N6" s="303"/>
      <c r="O6" s="304"/>
      <c r="P6" s="303"/>
      <c r="Q6" s="304"/>
      <c r="R6" s="305"/>
      <c r="S6" s="306"/>
      <c r="T6" s="303"/>
      <c r="U6" s="306"/>
      <c r="V6" s="303"/>
      <c r="W6" s="306"/>
      <c r="X6" s="303"/>
      <c r="Y6" s="306"/>
      <c r="Z6" s="318"/>
      <c r="AA6" s="304"/>
      <c r="AB6" s="305"/>
      <c r="AC6" s="306"/>
      <c r="AD6" s="303"/>
      <c r="AE6" s="306"/>
      <c r="AF6" s="303"/>
      <c r="AG6" s="306"/>
      <c r="AH6" s="303"/>
      <c r="AI6" s="304"/>
      <c r="AJ6" s="305"/>
      <c r="AK6" s="306"/>
    </row>
    <row r="7" spans="1:37">
      <c r="A7" s="298" t="s">
        <v>117</v>
      </c>
      <c r="B7" s="303">
        <v>11509</v>
      </c>
      <c r="C7" s="304">
        <v>11689</v>
      </c>
      <c r="D7" s="303">
        <v>27185</v>
      </c>
      <c r="E7" s="304">
        <v>27580</v>
      </c>
      <c r="F7" s="303">
        <v>20351</v>
      </c>
      <c r="G7" s="304">
        <v>11819</v>
      </c>
      <c r="H7" s="303">
        <v>23459</v>
      </c>
      <c r="I7" s="304">
        <v>14927</v>
      </c>
      <c r="J7" s="303"/>
      <c r="K7" s="304"/>
      <c r="L7" s="303"/>
      <c r="M7" s="304"/>
      <c r="N7" s="303"/>
      <c r="O7" s="304"/>
      <c r="P7" s="303"/>
      <c r="Q7" s="304"/>
      <c r="R7" s="305"/>
      <c r="S7" s="306"/>
      <c r="T7" s="303"/>
      <c r="U7" s="306"/>
      <c r="V7" s="303"/>
      <c r="W7" s="306"/>
      <c r="X7" s="303"/>
      <c r="Y7" s="306"/>
      <c r="Z7" s="318"/>
      <c r="AA7" s="304"/>
      <c r="AB7" s="305"/>
      <c r="AC7" s="306"/>
      <c r="AD7" s="303"/>
      <c r="AE7" s="306"/>
      <c r="AF7" s="303"/>
      <c r="AG7" s="306"/>
      <c r="AH7" s="303"/>
      <c r="AI7" s="304"/>
      <c r="AJ7" s="305"/>
      <c r="AK7" s="306"/>
    </row>
    <row r="8" spans="1:37">
      <c r="A8" s="298" t="s">
        <v>148</v>
      </c>
      <c r="B8" s="303">
        <v>7142</v>
      </c>
      <c r="C8" s="304">
        <v>7142</v>
      </c>
      <c r="D8" s="303">
        <v>20752</v>
      </c>
      <c r="E8" s="304">
        <v>20752</v>
      </c>
      <c r="F8" s="303">
        <v>7634</v>
      </c>
      <c r="G8" s="304">
        <v>7634</v>
      </c>
      <c r="H8" s="303">
        <v>23834</v>
      </c>
      <c r="I8" s="304">
        <v>23834</v>
      </c>
      <c r="J8" s="303">
        <v>18895</v>
      </c>
      <c r="K8" s="304">
        <v>21104</v>
      </c>
      <c r="L8" s="303">
        <v>38078</v>
      </c>
      <c r="M8" s="304">
        <v>40267</v>
      </c>
      <c r="N8" s="303">
        <v>31056</v>
      </c>
      <c r="O8" s="304">
        <v>33186</v>
      </c>
      <c r="P8" s="303">
        <v>59980</v>
      </c>
      <c r="Q8" s="304">
        <v>62110</v>
      </c>
      <c r="R8" s="305">
        <v>27674</v>
      </c>
      <c r="S8" s="306">
        <v>30604</v>
      </c>
      <c r="T8" s="303">
        <v>64940</v>
      </c>
      <c r="U8" s="306">
        <v>69038</v>
      </c>
      <c r="V8" s="303">
        <v>18926</v>
      </c>
      <c r="W8" s="306">
        <v>20892</v>
      </c>
      <c r="X8" s="303">
        <v>39634</v>
      </c>
      <c r="Y8" s="306">
        <v>41600</v>
      </c>
      <c r="Z8" s="318"/>
      <c r="AA8" s="304"/>
      <c r="AB8" s="305"/>
      <c r="AC8" s="306"/>
      <c r="AD8" s="303"/>
      <c r="AE8" s="306"/>
      <c r="AF8" s="303"/>
      <c r="AG8" s="306"/>
      <c r="AH8" s="303">
        <v>19804</v>
      </c>
      <c r="AI8" s="304">
        <v>21770</v>
      </c>
      <c r="AJ8" s="305">
        <v>49466</v>
      </c>
      <c r="AK8" s="306">
        <v>51432</v>
      </c>
    </row>
    <row r="9" spans="1:37">
      <c r="A9" s="298" t="s">
        <v>197</v>
      </c>
      <c r="B9" s="303">
        <v>10081</v>
      </c>
      <c r="C9" s="304">
        <v>10224</v>
      </c>
      <c r="D9" s="303">
        <v>20097</v>
      </c>
      <c r="E9" s="304">
        <v>20389</v>
      </c>
      <c r="F9" s="303">
        <v>13639</v>
      </c>
      <c r="G9" s="304">
        <v>13697</v>
      </c>
      <c r="H9" s="303">
        <v>20844</v>
      </c>
      <c r="I9" s="304">
        <v>20148</v>
      </c>
      <c r="J9" s="303">
        <v>23302</v>
      </c>
      <c r="K9" s="304">
        <v>23798</v>
      </c>
      <c r="L9" s="303">
        <v>35910</v>
      </c>
      <c r="M9" s="304">
        <v>35910</v>
      </c>
      <c r="N9" s="303">
        <v>41218</v>
      </c>
      <c r="O9" s="304">
        <v>41738</v>
      </c>
      <c r="P9" s="303">
        <v>68790</v>
      </c>
      <c r="Q9" s="304">
        <v>69695</v>
      </c>
      <c r="R9" s="305">
        <v>35660</v>
      </c>
      <c r="S9" s="306">
        <v>36089.5</v>
      </c>
      <c r="T9" s="303">
        <v>75504</v>
      </c>
      <c r="U9" s="306">
        <v>76529</v>
      </c>
      <c r="V9" s="303">
        <v>28662</v>
      </c>
      <c r="W9" s="306">
        <v>28907</v>
      </c>
      <c r="X9" s="303">
        <v>53686</v>
      </c>
      <c r="Y9" s="306">
        <v>54222</v>
      </c>
      <c r="Z9" s="318"/>
      <c r="AA9" s="304"/>
      <c r="AB9" s="305"/>
      <c r="AC9" s="306"/>
      <c r="AD9" s="303"/>
      <c r="AE9" s="306"/>
      <c r="AF9" s="303"/>
      <c r="AG9" s="306"/>
      <c r="AH9" s="303"/>
      <c r="AI9" s="304"/>
      <c r="AJ9" s="305"/>
      <c r="AK9" s="306"/>
    </row>
    <row r="10" spans="1:37">
      <c r="A10" s="298" t="s">
        <v>222</v>
      </c>
      <c r="B10" s="303">
        <v>8683.5</v>
      </c>
      <c r="C10" s="304">
        <v>8682.33</v>
      </c>
      <c r="D10" s="303">
        <v>19518.599999999999</v>
      </c>
      <c r="E10" s="304">
        <v>19519</v>
      </c>
      <c r="F10" s="303">
        <v>9648</v>
      </c>
      <c r="G10" s="304">
        <v>9648</v>
      </c>
      <c r="H10" s="303">
        <v>19897</v>
      </c>
      <c r="I10" s="304">
        <v>19894.68</v>
      </c>
      <c r="J10" s="303">
        <v>23673</v>
      </c>
      <c r="K10" s="304">
        <v>23668.9</v>
      </c>
      <c r="L10" s="303">
        <v>39113</v>
      </c>
      <c r="M10" s="304">
        <v>39108.9</v>
      </c>
      <c r="N10" s="303"/>
      <c r="O10" s="304"/>
      <c r="P10" s="303"/>
      <c r="Q10" s="304"/>
      <c r="R10" s="305"/>
      <c r="S10" s="306"/>
      <c r="T10" s="303"/>
      <c r="U10" s="306"/>
      <c r="V10" s="303">
        <v>24493</v>
      </c>
      <c r="W10" s="306">
        <v>24481</v>
      </c>
      <c r="X10" s="303">
        <v>44749</v>
      </c>
      <c r="Y10" s="306">
        <v>44737</v>
      </c>
      <c r="Z10" s="318"/>
      <c r="AA10" s="304"/>
      <c r="AB10" s="305"/>
      <c r="AC10" s="306"/>
      <c r="AD10" s="303"/>
      <c r="AE10" s="306"/>
      <c r="AF10" s="303"/>
      <c r="AG10" s="306"/>
      <c r="AH10" s="303">
        <v>27399</v>
      </c>
      <c r="AI10" s="304">
        <v>27395</v>
      </c>
      <c r="AJ10" s="305">
        <v>56499</v>
      </c>
      <c r="AK10" s="306">
        <v>56495</v>
      </c>
    </row>
    <row r="11" spans="1:37">
      <c r="A11" s="298" t="s">
        <v>252</v>
      </c>
      <c r="B11" s="303">
        <v>9410</v>
      </c>
      <c r="C11" s="304">
        <v>9594</v>
      </c>
      <c r="D11" s="303">
        <v>21456</v>
      </c>
      <c r="E11" s="304">
        <v>22550</v>
      </c>
      <c r="F11" s="303">
        <v>13400</v>
      </c>
      <c r="G11" s="304">
        <v>13679</v>
      </c>
      <c r="H11" s="303">
        <v>21807</v>
      </c>
      <c r="I11" s="304">
        <v>22122</v>
      </c>
      <c r="J11" s="303">
        <v>32850</v>
      </c>
      <c r="K11" s="304">
        <v>33592</v>
      </c>
      <c r="L11" s="303">
        <v>47958</v>
      </c>
      <c r="M11" s="304">
        <v>49004</v>
      </c>
      <c r="N11" s="303"/>
      <c r="O11" s="304"/>
      <c r="P11" s="303"/>
      <c r="Q11" s="304"/>
      <c r="R11" s="305"/>
      <c r="S11" s="306"/>
      <c r="T11" s="303"/>
      <c r="U11" s="306"/>
      <c r="V11" s="303">
        <v>31490</v>
      </c>
      <c r="W11" s="306">
        <v>32120</v>
      </c>
      <c r="X11" s="303">
        <v>60240</v>
      </c>
      <c r="Y11" s="306">
        <v>61445</v>
      </c>
      <c r="Z11" s="318"/>
      <c r="AA11" s="304"/>
      <c r="AB11" s="305"/>
      <c r="AC11" s="306"/>
      <c r="AD11" s="303"/>
      <c r="AE11" s="306"/>
      <c r="AF11" s="303"/>
      <c r="AG11" s="306"/>
      <c r="AH11" s="303">
        <v>25435</v>
      </c>
      <c r="AI11" s="304">
        <v>26086</v>
      </c>
      <c r="AJ11" s="305">
        <v>54568</v>
      </c>
      <c r="AK11" s="306">
        <v>55687</v>
      </c>
    </row>
    <row r="12" spans="1:37">
      <c r="A12" s="298" t="s">
        <v>278</v>
      </c>
      <c r="B12" s="303">
        <v>8283</v>
      </c>
      <c r="C12" s="304">
        <v>8402.5</v>
      </c>
      <c r="D12" s="303">
        <v>8783</v>
      </c>
      <c r="E12" s="304">
        <v>8902.5</v>
      </c>
      <c r="F12" s="303">
        <v>8283</v>
      </c>
      <c r="G12" s="304">
        <v>8402.5</v>
      </c>
      <c r="H12" s="303">
        <v>8783</v>
      </c>
      <c r="I12" s="304">
        <v>8902.5</v>
      </c>
      <c r="J12" s="303">
        <v>16980</v>
      </c>
      <c r="K12" s="304">
        <v>17450</v>
      </c>
      <c r="L12" s="303">
        <v>37045</v>
      </c>
      <c r="M12" s="304">
        <v>37515</v>
      </c>
      <c r="N12" s="303">
        <v>31197</v>
      </c>
      <c r="O12" s="304">
        <v>32133</v>
      </c>
      <c r="P12" s="303">
        <v>73460</v>
      </c>
      <c r="Q12" s="304">
        <v>75664</v>
      </c>
      <c r="R12" s="305">
        <v>31167</v>
      </c>
      <c r="S12" s="306">
        <v>32102</v>
      </c>
      <c r="T12" s="303">
        <v>73220</v>
      </c>
      <c r="U12" s="306">
        <v>75417</v>
      </c>
      <c r="V12" s="303">
        <v>26582</v>
      </c>
      <c r="W12" s="306">
        <v>26798</v>
      </c>
      <c r="X12" s="303">
        <v>53660</v>
      </c>
      <c r="Y12" s="306">
        <v>54446</v>
      </c>
      <c r="Z12" s="318"/>
      <c r="AA12" s="304"/>
      <c r="AB12" s="305"/>
      <c r="AC12" s="306"/>
      <c r="AD12" s="303"/>
      <c r="AE12" s="306"/>
      <c r="AF12" s="303"/>
      <c r="AG12" s="306"/>
      <c r="AH12" s="303">
        <v>27397</v>
      </c>
      <c r="AI12" s="304">
        <v>28158</v>
      </c>
      <c r="AJ12" s="305">
        <v>48597</v>
      </c>
      <c r="AK12" s="306">
        <v>49358</v>
      </c>
    </row>
    <row r="13" spans="1:37">
      <c r="A13" s="298" t="s">
        <v>287</v>
      </c>
      <c r="B13" s="303">
        <v>6941</v>
      </c>
      <c r="C13" s="304">
        <v>7188</v>
      </c>
      <c r="D13" s="303">
        <v>20375</v>
      </c>
      <c r="E13" s="304">
        <v>20622</v>
      </c>
      <c r="F13" s="303">
        <v>7536</v>
      </c>
      <c r="G13" s="304">
        <v>7641</v>
      </c>
      <c r="H13" s="303">
        <v>20685</v>
      </c>
      <c r="I13" s="304">
        <v>20743</v>
      </c>
      <c r="J13" s="303">
        <v>20412.5</v>
      </c>
      <c r="K13" s="304">
        <v>20437.5</v>
      </c>
      <c r="L13" s="303">
        <v>40321.5</v>
      </c>
      <c r="M13" s="304">
        <v>41879.5</v>
      </c>
      <c r="N13" s="303">
        <v>28924.5</v>
      </c>
      <c r="O13" s="304">
        <v>28930.5</v>
      </c>
      <c r="P13" s="303">
        <v>42621.5</v>
      </c>
      <c r="Q13" s="304">
        <v>42910.5</v>
      </c>
      <c r="R13" s="305">
        <v>36849.5</v>
      </c>
      <c r="S13" s="306">
        <v>24860</v>
      </c>
      <c r="T13" s="303">
        <v>50107</v>
      </c>
      <c r="U13" s="306">
        <v>34066.5</v>
      </c>
      <c r="V13" s="303">
        <v>24335</v>
      </c>
      <c r="W13" s="306">
        <v>24385</v>
      </c>
      <c r="X13" s="303">
        <v>46896</v>
      </c>
      <c r="Y13" s="306">
        <v>47512</v>
      </c>
      <c r="Z13" s="318"/>
      <c r="AA13" s="304"/>
      <c r="AB13" s="305"/>
      <c r="AC13" s="306"/>
      <c r="AD13" s="303"/>
      <c r="AE13" s="306"/>
      <c r="AF13" s="303"/>
      <c r="AG13" s="306"/>
      <c r="AH13" s="303">
        <v>19617</v>
      </c>
      <c r="AI13" s="304">
        <v>19647</v>
      </c>
      <c r="AJ13" s="305">
        <v>47658</v>
      </c>
      <c r="AK13" s="306">
        <v>48348</v>
      </c>
    </row>
    <row r="14" spans="1:37">
      <c r="A14" s="298" t="s">
        <v>360</v>
      </c>
      <c r="B14" s="303">
        <v>11670</v>
      </c>
      <c r="C14" s="304">
        <v>11670</v>
      </c>
      <c r="D14" s="303">
        <v>25192</v>
      </c>
      <c r="E14" s="304">
        <v>25192</v>
      </c>
      <c r="F14" s="303">
        <v>11538</v>
      </c>
      <c r="G14" s="304">
        <v>11604</v>
      </c>
      <c r="H14" s="303">
        <v>22570</v>
      </c>
      <c r="I14" s="304">
        <v>22570</v>
      </c>
      <c r="J14" s="303">
        <v>21472</v>
      </c>
      <c r="K14" s="304">
        <v>21472</v>
      </c>
      <c r="L14" s="303">
        <v>52480</v>
      </c>
      <c r="M14" s="304">
        <v>52480</v>
      </c>
      <c r="N14" s="303">
        <v>43488</v>
      </c>
      <c r="O14" s="304">
        <v>43488</v>
      </c>
      <c r="P14" s="303">
        <v>87750</v>
      </c>
      <c r="Q14" s="304">
        <v>87750</v>
      </c>
      <c r="R14" s="305"/>
      <c r="S14" s="306"/>
      <c r="T14" s="303"/>
      <c r="U14" s="306"/>
      <c r="V14" s="303">
        <v>24130</v>
      </c>
      <c r="W14" s="306">
        <v>24130</v>
      </c>
      <c r="X14" s="303">
        <v>36424</v>
      </c>
      <c r="Y14" s="306">
        <v>36424</v>
      </c>
      <c r="Z14" s="318"/>
      <c r="AA14" s="304"/>
      <c r="AB14" s="305"/>
      <c r="AC14" s="306"/>
      <c r="AD14" s="303"/>
      <c r="AE14" s="306"/>
      <c r="AF14" s="303"/>
      <c r="AG14" s="306"/>
      <c r="AH14" s="303"/>
      <c r="AI14" s="304"/>
      <c r="AJ14" s="305"/>
      <c r="AK14" s="306"/>
    </row>
    <row r="15" spans="1:37">
      <c r="A15" s="298" t="s">
        <v>393</v>
      </c>
      <c r="B15" s="303">
        <v>9656</v>
      </c>
      <c r="C15" s="304">
        <v>9848</v>
      </c>
      <c r="D15" s="303">
        <v>21539</v>
      </c>
      <c r="E15" s="304">
        <v>21691</v>
      </c>
      <c r="F15" s="303">
        <v>11903</v>
      </c>
      <c r="G15" s="304">
        <v>12104</v>
      </c>
      <c r="H15" s="303">
        <v>18596</v>
      </c>
      <c r="I15" s="304">
        <v>19052</v>
      </c>
      <c r="J15" s="303">
        <v>18832</v>
      </c>
      <c r="K15" s="304">
        <v>19753</v>
      </c>
      <c r="L15" s="303">
        <v>31345</v>
      </c>
      <c r="M15" s="304">
        <v>31373</v>
      </c>
      <c r="N15" s="303">
        <v>34979</v>
      </c>
      <c r="O15" s="304">
        <v>35012</v>
      </c>
      <c r="P15" s="303">
        <v>44829</v>
      </c>
      <c r="Q15" s="304">
        <v>44862</v>
      </c>
      <c r="R15" s="305"/>
      <c r="S15" s="306"/>
      <c r="T15" s="303"/>
      <c r="U15" s="306"/>
      <c r="V15" s="303">
        <v>39586</v>
      </c>
      <c r="W15" s="306">
        <v>39619</v>
      </c>
      <c r="X15" s="303">
        <v>39586</v>
      </c>
      <c r="Y15" s="306">
        <v>39619</v>
      </c>
      <c r="Z15" s="318"/>
      <c r="AA15" s="304"/>
      <c r="AB15" s="305"/>
      <c r="AC15" s="306"/>
      <c r="AD15" s="303"/>
      <c r="AE15" s="306"/>
      <c r="AF15" s="303"/>
      <c r="AG15" s="306"/>
      <c r="AH15" s="303">
        <v>29336</v>
      </c>
      <c r="AI15" s="304">
        <v>29886</v>
      </c>
      <c r="AJ15" s="305">
        <v>56602</v>
      </c>
      <c r="AK15" s="306">
        <v>56922</v>
      </c>
    </row>
    <row r="16" spans="1:37">
      <c r="A16" s="298" t="s">
        <v>507</v>
      </c>
      <c r="B16" s="303">
        <v>9820</v>
      </c>
      <c r="C16" s="304">
        <v>10222</v>
      </c>
      <c r="D16" s="303">
        <v>23342</v>
      </c>
      <c r="E16" s="304">
        <v>23274</v>
      </c>
      <c r="F16" s="303">
        <v>10312</v>
      </c>
      <c r="G16" s="304">
        <v>10616</v>
      </c>
      <c r="H16" s="303">
        <v>20560</v>
      </c>
      <c r="I16" s="304">
        <v>20902.666666666701</v>
      </c>
      <c r="J16" s="303">
        <v>23264.811428571447</v>
      </c>
      <c r="K16" s="304">
        <v>23264.811428571447</v>
      </c>
      <c r="L16" s="303">
        <v>33716.811428571455</v>
      </c>
      <c r="M16" s="304">
        <v>33704.811428571455</v>
      </c>
      <c r="N16" s="303"/>
      <c r="O16" s="304"/>
      <c r="P16" s="303"/>
      <c r="Q16" s="304"/>
      <c r="R16" s="305"/>
      <c r="S16" s="306"/>
      <c r="T16" s="303"/>
      <c r="U16" s="306"/>
      <c r="V16" s="303">
        <v>20512</v>
      </c>
      <c r="W16" s="306">
        <v>21548</v>
      </c>
      <c r="X16" s="303">
        <v>33392</v>
      </c>
      <c r="Y16" s="306">
        <v>47960</v>
      </c>
      <c r="Z16" s="318">
        <v>6807</v>
      </c>
      <c r="AA16" s="304">
        <v>16181.4</v>
      </c>
      <c r="AB16" s="305">
        <v>19023</v>
      </c>
      <c r="AC16" s="306">
        <v>28373.4</v>
      </c>
      <c r="AD16" s="303"/>
      <c r="AE16" s="306"/>
      <c r="AF16" s="303"/>
      <c r="AG16" s="306"/>
      <c r="AH16" s="303">
        <v>31430.400000000001</v>
      </c>
      <c r="AI16" s="304">
        <v>35541.333333333299</v>
      </c>
      <c r="AJ16" s="305">
        <v>49426.8</v>
      </c>
      <c r="AK16" s="306">
        <v>56477.333333333299</v>
      </c>
    </row>
    <row r="17" spans="1:37">
      <c r="A17" s="298" t="s">
        <v>445</v>
      </c>
      <c r="B17" s="303">
        <v>13294</v>
      </c>
      <c r="C17" s="304">
        <v>13474.5</v>
      </c>
      <c r="D17" s="303">
        <v>30175</v>
      </c>
      <c r="E17" s="304">
        <v>30292</v>
      </c>
      <c r="F17" s="303">
        <v>13137</v>
      </c>
      <c r="G17" s="304">
        <v>13137</v>
      </c>
      <c r="H17" s="303">
        <v>29386</v>
      </c>
      <c r="I17" s="304">
        <v>29545</v>
      </c>
      <c r="J17" s="303">
        <v>35000</v>
      </c>
      <c r="K17" s="304">
        <v>36199</v>
      </c>
      <c r="L17" s="303">
        <v>44000</v>
      </c>
      <c r="M17" s="304">
        <v>45520</v>
      </c>
      <c r="N17" s="303">
        <v>46936</v>
      </c>
      <c r="O17" s="304">
        <v>48365</v>
      </c>
      <c r="P17" s="303">
        <v>57742</v>
      </c>
      <c r="Q17" s="304">
        <v>59475</v>
      </c>
      <c r="R17" s="305">
        <v>60215</v>
      </c>
      <c r="S17" s="306">
        <v>61010</v>
      </c>
      <c r="T17" s="303">
        <v>93884</v>
      </c>
      <c r="U17" s="306">
        <v>94679</v>
      </c>
      <c r="V17" s="303">
        <v>31866</v>
      </c>
      <c r="W17" s="306">
        <v>31984</v>
      </c>
      <c r="X17" s="303">
        <v>45194</v>
      </c>
      <c r="Y17" s="306">
        <v>45312</v>
      </c>
      <c r="Z17" s="318"/>
      <c r="AA17" s="304"/>
      <c r="AB17" s="305"/>
      <c r="AC17" s="306"/>
      <c r="AD17" s="303"/>
      <c r="AE17" s="306"/>
      <c r="AF17" s="303"/>
      <c r="AG17" s="306"/>
      <c r="AH17" s="303">
        <v>25435</v>
      </c>
      <c r="AI17" s="304">
        <v>26086</v>
      </c>
      <c r="AJ17" s="305">
        <v>54568</v>
      </c>
      <c r="AK17" s="306">
        <v>55687</v>
      </c>
    </row>
    <row r="18" spans="1:37">
      <c r="A18" s="298" t="s">
        <v>485</v>
      </c>
      <c r="B18" s="303">
        <v>7899</v>
      </c>
      <c r="C18" s="304">
        <v>7998</v>
      </c>
      <c r="D18" s="303">
        <v>17258</v>
      </c>
      <c r="E18" s="304">
        <v>17515</v>
      </c>
      <c r="F18" s="303">
        <v>8644</v>
      </c>
      <c r="G18" s="304">
        <v>8730</v>
      </c>
      <c r="H18" s="303">
        <v>19030</v>
      </c>
      <c r="I18" s="304">
        <v>19030</v>
      </c>
      <c r="J18" s="303">
        <v>24228</v>
      </c>
      <c r="K18" s="304">
        <v>24714</v>
      </c>
      <c r="L18" s="303">
        <v>40248</v>
      </c>
      <c r="M18" s="304">
        <v>41058</v>
      </c>
      <c r="N18" s="303">
        <v>27860</v>
      </c>
      <c r="O18" s="304">
        <v>28119</v>
      </c>
      <c r="P18" s="303">
        <v>59525</v>
      </c>
      <c r="Q18" s="304">
        <v>60233</v>
      </c>
      <c r="R18" s="305">
        <v>25506</v>
      </c>
      <c r="S18" s="306">
        <v>26010</v>
      </c>
      <c r="T18" s="303">
        <v>56574</v>
      </c>
      <c r="U18" s="306">
        <v>57708</v>
      </c>
      <c r="V18" s="303">
        <v>22105</v>
      </c>
      <c r="W18" s="306">
        <v>22748</v>
      </c>
      <c r="X18" s="303">
        <v>40107</v>
      </c>
      <c r="Y18" s="306">
        <v>41241</v>
      </c>
      <c r="Z18" s="318"/>
      <c r="AA18" s="304"/>
      <c r="AB18" s="305"/>
      <c r="AC18" s="306"/>
      <c r="AD18" s="303"/>
      <c r="AE18" s="306"/>
      <c r="AF18" s="303"/>
      <c r="AG18" s="306"/>
      <c r="AH18" s="303"/>
      <c r="AI18" s="304"/>
      <c r="AJ18" s="305"/>
      <c r="AK18" s="306"/>
    </row>
    <row r="19" spans="1:37" ht="15.75" thickBot="1">
      <c r="A19" s="298" t="s">
        <v>837</v>
      </c>
      <c r="B19" s="303">
        <v>9254.5</v>
      </c>
      <c r="C19" s="304">
        <v>9456</v>
      </c>
      <c r="D19" s="303">
        <v>21444</v>
      </c>
      <c r="E19" s="304">
        <v>21525</v>
      </c>
      <c r="F19" s="303">
        <v>10278</v>
      </c>
      <c r="G19" s="304">
        <v>10474</v>
      </c>
      <c r="H19" s="303">
        <v>20902</v>
      </c>
      <c r="I19" s="304">
        <v>20902.666666666701</v>
      </c>
      <c r="J19" s="303">
        <v>22751</v>
      </c>
      <c r="K19" s="304">
        <v>22934.45</v>
      </c>
      <c r="L19" s="303">
        <v>38929.5</v>
      </c>
      <c r="M19" s="304">
        <v>39350.449999999997</v>
      </c>
      <c r="N19" s="303">
        <v>33205.5</v>
      </c>
      <c r="O19" s="304">
        <v>33965.5</v>
      </c>
      <c r="P19" s="303">
        <v>62175.5</v>
      </c>
      <c r="Q19" s="304">
        <v>62709.5</v>
      </c>
      <c r="R19" s="310">
        <v>33046</v>
      </c>
      <c r="S19" s="311">
        <v>32102</v>
      </c>
      <c r="T19" s="312">
        <v>68726</v>
      </c>
      <c r="U19" s="311">
        <v>69420</v>
      </c>
      <c r="V19" s="312">
        <v>24130</v>
      </c>
      <c r="W19" s="311">
        <v>24385</v>
      </c>
      <c r="X19" s="312">
        <v>43164</v>
      </c>
      <c r="Y19" s="311">
        <v>44737</v>
      </c>
      <c r="Z19" s="319">
        <v>17149.5</v>
      </c>
      <c r="AA19" s="304">
        <v>22019.7</v>
      </c>
      <c r="AB19" s="310">
        <v>36517.5</v>
      </c>
      <c r="AC19" s="311">
        <v>41192.699999999997</v>
      </c>
      <c r="AD19" s="312"/>
      <c r="AE19" s="311"/>
      <c r="AF19" s="312"/>
      <c r="AG19" s="311"/>
      <c r="AH19" s="312">
        <v>25435</v>
      </c>
      <c r="AI19" s="327">
        <v>26086</v>
      </c>
      <c r="AJ19" s="310">
        <v>50456</v>
      </c>
      <c r="AK19" s="311">
        <v>55687</v>
      </c>
    </row>
    <row r="28" spans="1:37" ht="15.75">
      <c r="A28" s="330" t="s">
        <v>888</v>
      </c>
    </row>
    <row r="29" spans="1:37">
      <c r="A29" s="297" t="s">
        <v>19</v>
      </c>
      <c r="B29" t="s" vm="2">
        <v>887</v>
      </c>
    </row>
    <row r="30" spans="1:37" ht="15.75" thickBot="1"/>
    <row r="31" spans="1:37" ht="15.75" thickBot="1">
      <c r="A31" s="297" t="s">
        <v>853</v>
      </c>
      <c r="B31" s="307" t="s">
        <v>844</v>
      </c>
      <c r="C31" s="308" t="s">
        <v>845</v>
      </c>
      <c r="D31" s="309" t="s">
        <v>847</v>
      </c>
      <c r="E31" s="308" t="s">
        <v>849</v>
      </c>
      <c r="F31" s="309" t="s">
        <v>843</v>
      </c>
      <c r="G31" s="308" t="s">
        <v>846</v>
      </c>
      <c r="H31" s="309" t="s">
        <v>850</v>
      </c>
      <c r="I31" s="308" t="s">
        <v>848</v>
      </c>
      <c r="J31" s="309" t="s">
        <v>841</v>
      </c>
      <c r="K31" s="308" t="s">
        <v>842</v>
      </c>
      <c r="L31" s="309" t="s">
        <v>840</v>
      </c>
      <c r="M31" s="308" t="s">
        <v>839</v>
      </c>
      <c r="N31" s="309" t="s">
        <v>851</v>
      </c>
      <c r="O31" s="308" t="s">
        <v>852</v>
      </c>
      <c r="P31" s="301" t="s">
        <v>877</v>
      </c>
      <c r="Q31" t="s">
        <v>878</v>
      </c>
      <c r="R31" s="307" t="s">
        <v>854</v>
      </c>
      <c r="S31" s="308" t="s">
        <v>855</v>
      </c>
      <c r="T31" s="309" t="s">
        <v>856</v>
      </c>
      <c r="U31" s="308" t="s">
        <v>857</v>
      </c>
      <c r="V31" s="309" t="s">
        <v>858</v>
      </c>
      <c r="W31" s="308" t="s">
        <v>859</v>
      </c>
      <c r="X31" s="309" t="s">
        <v>860</v>
      </c>
      <c r="Y31" s="308" t="s">
        <v>861</v>
      </c>
      <c r="Z31" s="320" t="s">
        <v>862</v>
      </c>
      <c r="AA31" t="s">
        <v>872</v>
      </c>
      <c r="AB31" s="307" t="s">
        <v>867</v>
      </c>
      <c r="AC31" s="308" t="s">
        <v>868</v>
      </c>
      <c r="AD31" s="309" t="s">
        <v>873</v>
      </c>
      <c r="AE31" s="308" t="s">
        <v>874</v>
      </c>
      <c r="AF31" s="309" t="s">
        <v>875</v>
      </c>
      <c r="AG31" s="308" t="s">
        <v>876</v>
      </c>
      <c r="AH31" s="328" t="s">
        <v>880</v>
      </c>
      <c r="AI31" s="316" t="s">
        <v>881</v>
      </c>
      <c r="AJ31" s="329" t="s">
        <v>883</v>
      </c>
      <c r="AK31" s="308" t="s">
        <v>884</v>
      </c>
    </row>
    <row r="32" spans="1:37">
      <c r="A32" s="298" t="s">
        <v>56</v>
      </c>
      <c r="B32" s="303">
        <v>4860</v>
      </c>
      <c r="C32" s="304">
        <v>4860</v>
      </c>
      <c r="D32" s="303">
        <v>8850</v>
      </c>
      <c r="E32" s="304">
        <v>8550</v>
      </c>
      <c r="F32" s="303"/>
      <c r="G32" s="304"/>
      <c r="H32" s="303"/>
      <c r="I32" s="304"/>
      <c r="J32" s="303"/>
      <c r="K32" s="304"/>
      <c r="L32" s="303"/>
      <c r="M32" s="304"/>
      <c r="N32" s="303"/>
      <c r="O32" s="304"/>
      <c r="P32" s="303"/>
      <c r="Q32" s="304"/>
      <c r="R32" s="323"/>
      <c r="S32" s="324"/>
      <c r="T32" s="325"/>
      <c r="U32" s="324"/>
      <c r="V32" s="325"/>
      <c r="W32" s="324"/>
      <c r="X32" s="325"/>
      <c r="Y32" s="324"/>
      <c r="Z32" s="326"/>
      <c r="AA32" s="304"/>
      <c r="AB32" s="323"/>
      <c r="AC32" s="324"/>
      <c r="AD32" s="325"/>
      <c r="AE32" s="324"/>
      <c r="AF32" s="325"/>
      <c r="AG32" s="324"/>
      <c r="AH32" s="303"/>
      <c r="AI32" s="304"/>
      <c r="AJ32" s="323"/>
      <c r="AK32" s="324"/>
    </row>
    <row r="33" spans="1:37">
      <c r="A33" s="298" t="s">
        <v>87</v>
      </c>
      <c r="B33" s="303">
        <v>3600</v>
      </c>
      <c r="C33" s="304">
        <v>3600</v>
      </c>
      <c r="D33" s="303">
        <v>5574</v>
      </c>
      <c r="E33" s="304">
        <v>5589</v>
      </c>
      <c r="F33" s="303"/>
      <c r="G33" s="304"/>
      <c r="H33" s="303"/>
      <c r="I33" s="304"/>
      <c r="J33" s="303"/>
      <c r="K33" s="304"/>
      <c r="L33" s="303"/>
      <c r="M33" s="304"/>
      <c r="N33" s="303"/>
      <c r="O33" s="304"/>
      <c r="P33" s="303"/>
      <c r="Q33" s="304"/>
      <c r="R33" s="305"/>
      <c r="S33" s="306"/>
      <c r="T33" s="303"/>
      <c r="U33" s="306"/>
      <c r="V33" s="303"/>
      <c r="W33" s="306"/>
      <c r="X33" s="303"/>
      <c r="Y33" s="306"/>
      <c r="Z33" s="318"/>
      <c r="AA33" s="304"/>
      <c r="AB33" s="305"/>
      <c r="AC33" s="306"/>
      <c r="AD33" s="303"/>
      <c r="AE33" s="306"/>
      <c r="AF33" s="303"/>
      <c r="AG33" s="306"/>
      <c r="AH33" s="303"/>
      <c r="AI33" s="304"/>
      <c r="AJ33" s="305"/>
      <c r="AK33" s="306"/>
    </row>
    <row r="34" spans="1:37">
      <c r="A34" s="298" t="s">
        <v>117</v>
      </c>
      <c r="B34" s="303">
        <v>4945</v>
      </c>
      <c r="C34" s="304">
        <v>4945</v>
      </c>
      <c r="D34" s="303">
        <v>11808</v>
      </c>
      <c r="E34" s="304">
        <v>11808</v>
      </c>
      <c r="F34" s="303"/>
      <c r="G34" s="304"/>
      <c r="H34" s="303"/>
      <c r="I34" s="304"/>
      <c r="J34" s="303"/>
      <c r="K34" s="304"/>
      <c r="L34" s="303"/>
      <c r="M34" s="304"/>
      <c r="N34" s="303"/>
      <c r="O34" s="304"/>
      <c r="P34" s="303"/>
      <c r="Q34" s="304"/>
      <c r="R34" s="305"/>
      <c r="S34" s="306"/>
      <c r="T34" s="303"/>
      <c r="U34" s="306"/>
      <c r="V34" s="303"/>
      <c r="W34" s="306"/>
      <c r="X34" s="303"/>
      <c r="Y34" s="306"/>
      <c r="Z34" s="318"/>
      <c r="AA34" s="304"/>
      <c r="AB34" s="305"/>
      <c r="AC34" s="306"/>
      <c r="AD34" s="303"/>
      <c r="AE34" s="306"/>
      <c r="AF34" s="303"/>
      <c r="AG34" s="306"/>
      <c r="AH34" s="303"/>
      <c r="AI34" s="304"/>
      <c r="AJ34" s="305"/>
      <c r="AK34" s="306"/>
    </row>
    <row r="35" spans="1:37">
      <c r="A35" s="298" t="s">
        <v>121</v>
      </c>
      <c r="B35" s="303">
        <v>3121.3500000000004</v>
      </c>
      <c r="C35" s="304">
        <v>3121.3500000000004</v>
      </c>
      <c r="D35" s="303">
        <v>11779.05</v>
      </c>
      <c r="E35" s="304">
        <v>11722.95</v>
      </c>
      <c r="F35" s="303"/>
      <c r="G35" s="304"/>
      <c r="H35" s="303"/>
      <c r="I35" s="304"/>
      <c r="J35" s="303"/>
      <c r="K35" s="304"/>
      <c r="L35" s="303"/>
      <c r="M35" s="304"/>
      <c r="N35" s="303"/>
      <c r="O35" s="304"/>
      <c r="P35" s="303"/>
      <c r="Q35" s="304"/>
      <c r="R35" s="305"/>
      <c r="S35" s="306"/>
      <c r="T35" s="303"/>
      <c r="U35" s="306"/>
      <c r="V35" s="303"/>
      <c r="W35" s="306"/>
      <c r="X35" s="303"/>
      <c r="Y35" s="306"/>
      <c r="Z35" s="318"/>
      <c r="AA35" s="304"/>
      <c r="AB35" s="305"/>
      <c r="AC35" s="306"/>
      <c r="AD35" s="303"/>
      <c r="AE35" s="306"/>
      <c r="AF35" s="303"/>
      <c r="AG35" s="306"/>
      <c r="AH35" s="303"/>
      <c r="AI35" s="304"/>
      <c r="AJ35" s="305"/>
      <c r="AK35" s="306"/>
    </row>
    <row r="36" spans="1:37">
      <c r="A36" s="298" t="s">
        <v>148</v>
      </c>
      <c r="B36" s="303">
        <v>3897</v>
      </c>
      <c r="C36" s="304">
        <v>3897</v>
      </c>
      <c r="D36" s="303">
        <v>11837</v>
      </c>
      <c r="E36" s="304">
        <v>11837</v>
      </c>
      <c r="F36" s="303"/>
      <c r="G36" s="304"/>
      <c r="H36" s="303"/>
      <c r="I36" s="304"/>
      <c r="J36" s="303"/>
      <c r="K36" s="304"/>
      <c r="L36" s="303"/>
      <c r="M36" s="304"/>
      <c r="N36" s="303"/>
      <c r="O36" s="304"/>
      <c r="P36" s="303"/>
      <c r="Q36" s="304"/>
      <c r="R36" s="305"/>
      <c r="S36" s="306"/>
      <c r="T36" s="303"/>
      <c r="U36" s="306"/>
      <c r="V36" s="303"/>
      <c r="W36" s="306"/>
      <c r="X36" s="303"/>
      <c r="Y36" s="306"/>
      <c r="Z36" s="318"/>
      <c r="AA36" s="304"/>
      <c r="AB36" s="305"/>
      <c r="AC36" s="306"/>
      <c r="AD36" s="303"/>
      <c r="AE36" s="306"/>
      <c r="AF36" s="303"/>
      <c r="AG36" s="306"/>
      <c r="AH36" s="303"/>
      <c r="AI36" s="304"/>
      <c r="AJ36" s="305"/>
      <c r="AK36" s="306"/>
    </row>
    <row r="37" spans="1:37">
      <c r="A37" s="298" t="s">
        <v>197</v>
      </c>
      <c r="B37" s="303">
        <v>5610</v>
      </c>
      <c r="C37" s="304">
        <v>5610</v>
      </c>
      <c r="D37" s="303">
        <v>19050</v>
      </c>
      <c r="E37" s="304">
        <v>19050</v>
      </c>
      <c r="F37" s="303"/>
      <c r="G37" s="304"/>
      <c r="H37" s="303"/>
      <c r="I37" s="304"/>
      <c r="J37" s="303"/>
      <c r="K37" s="304"/>
      <c r="L37" s="303"/>
      <c r="M37" s="304"/>
      <c r="N37" s="303"/>
      <c r="O37" s="304"/>
      <c r="P37" s="303"/>
      <c r="Q37" s="304"/>
      <c r="R37" s="305"/>
      <c r="S37" s="306"/>
      <c r="T37" s="303"/>
      <c r="U37" s="306"/>
      <c r="V37" s="303"/>
      <c r="W37" s="306"/>
      <c r="X37" s="303"/>
      <c r="Y37" s="306"/>
      <c r="Z37" s="318"/>
      <c r="AA37" s="304"/>
      <c r="AB37" s="305"/>
      <c r="AC37" s="306"/>
      <c r="AD37" s="303"/>
      <c r="AE37" s="306"/>
      <c r="AF37" s="303"/>
      <c r="AG37" s="306"/>
      <c r="AH37" s="303"/>
      <c r="AI37" s="304"/>
      <c r="AJ37" s="305"/>
      <c r="AK37" s="306"/>
    </row>
    <row r="38" spans="1:37">
      <c r="A38" s="298" t="s">
        <v>222</v>
      </c>
      <c r="B38" s="303">
        <v>4279.04</v>
      </c>
      <c r="C38" s="304">
        <v>4279.04</v>
      </c>
      <c r="D38" s="303">
        <v>4279.04</v>
      </c>
      <c r="E38" s="304">
        <v>4279.04</v>
      </c>
      <c r="F38" s="303"/>
      <c r="G38" s="304"/>
      <c r="H38" s="303"/>
      <c r="I38" s="304"/>
      <c r="J38" s="303"/>
      <c r="K38" s="304"/>
      <c r="L38" s="303"/>
      <c r="M38" s="304"/>
      <c r="N38" s="303"/>
      <c r="O38" s="304"/>
      <c r="P38" s="303"/>
      <c r="Q38" s="304"/>
      <c r="R38" s="305"/>
      <c r="S38" s="306"/>
      <c r="T38" s="303"/>
      <c r="U38" s="306"/>
      <c r="V38" s="303"/>
      <c r="W38" s="306"/>
      <c r="X38" s="303"/>
      <c r="Y38" s="306"/>
      <c r="Z38" s="318"/>
      <c r="AA38" s="304"/>
      <c r="AB38" s="305"/>
      <c r="AC38" s="306"/>
      <c r="AD38" s="303"/>
      <c r="AE38" s="306"/>
      <c r="AF38" s="303"/>
      <c r="AG38" s="306"/>
      <c r="AH38" s="303"/>
      <c r="AI38" s="304"/>
      <c r="AJ38" s="305"/>
      <c r="AK38" s="306"/>
    </row>
    <row r="39" spans="1:37">
      <c r="A39" s="298" t="s">
        <v>252</v>
      </c>
      <c r="B39" s="303">
        <v>4776.5</v>
      </c>
      <c r="C39" s="304">
        <v>4816.5</v>
      </c>
      <c r="D39" s="303">
        <v>10525</v>
      </c>
      <c r="E39" s="304">
        <v>10419.5</v>
      </c>
      <c r="F39" s="303"/>
      <c r="G39" s="304"/>
      <c r="H39" s="303"/>
      <c r="I39" s="304"/>
      <c r="J39" s="303"/>
      <c r="K39" s="304"/>
      <c r="L39" s="303"/>
      <c r="M39" s="304"/>
      <c r="N39" s="303"/>
      <c r="O39" s="304"/>
      <c r="P39" s="303"/>
      <c r="Q39" s="304"/>
      <c r="R39" s="305"/>
      <c r="S39" s="306"/>
      <c r="T39" s="303"/>
      <c r="U39" s="306"/>
      <c r="V39" s="303"/>
      <c r="W39" s="306"/>
      <c r="X39" s="303"/>
      <c r="Y39" s="306"/>
      <c r="Z39" s="318"/>
      <c r="AA39" s="304"/>
      <c r="AB39" s="305"/>
      <c r="AC39" s="306"/>
      <c r="AD39" s="303"/>
      <c r="AE39" s="306"/>
      <c r="AF39" s="303"/>
      <c r="AG39" s="306"/>
      <c r="AH39" s="303"/>
      <c r="AI39" s="304"/>
      <c r="AJ39" s="305"/>
      <c r="AK39" s="306"/>
    </row>
    <row r="40" spans="1:37">
      <c r="A40" s="298" t="s">
        <v>278</v>
      </c>
      <c r="B40" s="303">
        <v>3380</v>
      </c>
      <c r="C40" s="304">
        <v>3390</v>
      </c>
      <c r="D40" s="303">
        <v>5870</v>
      </c>
      <c r="E40" s="304">
        <v>5910</v>
      </c>
      <c r="F40" s="303"/>
      <c r="G40" s="304"/>
      <c r="H40" s="303"/>
      <c r="I40" s="304"/>
      <c r="J40" s="303"/>
      <c r="K40" s="304"/>
      <c r="L40" s="303"/>
      <c r="M40" s="304"/>
      <c r="N40" s="303"/>
      <c r="O40" s="304"/>
      <c r="P40" s="303"/>
      <c r="Q40" s="304"/>
      <c r="R40" s="305"/>
      <c r="S40" s="306"/>
      <c r="T40" s="303"/>
      <c r="U40" s="306"/>
      <c r="V40" s="303"/>
      <c r="W40" s="306"/>
      <c r="X40" s="303"/>
      <c r="Y40" s="306"/>
      <c r="Z40" s="318"/>
      <c r="AA40" s="304"/>
      <c r="AB40" s="305"/>
      <c r="AC40" s="306"/>
      <c r="AD40" s="303"/>
      <c r="AE40" s="306"/>
      <c r="AF40" s="303"/>
      <c r="AG40" s="306"/>
      <c r="AH40" s="303"/>
      <c r="AI40" s="304"/>
      <c r="AJ40" s="305"/>
      <c r="AK40" s="306"/>
    </row>
    <row r="41" spans="1:37">
      <c r="A41" s="298" t="s">
        <v>287</v>
      </c>
      <c r="B41" s="303">
        <v>2556</v>
      </c>
      <c r="C41" s="304">
        <v>2559.5</v>
      </c>
      <c r="D41" s="303">
        <v>8694</v>
      </c>
      <c r="E41" s="304">
        <v>8700</v>
      </c>
      <c r="F41" s="303"/>
      <c r="G41" s="304"/>
      <c r="H41" s="303"/>
      <c r="I41" s="304"/>
      <c r="J41" s="303"/>
      <c r="K41" s="304"/>
      <c r="L41" s="303"/>
      <c r="M41" s="304"/>
      <c r="N41" s="303"/>
      <c r="O41" s="304"/>
      <c r="P41" s="303"/>
      <c r="Q41" s="304"/>
      <c r="R41" s="305"/>
      <c r="S41" s="306"/>
      <c r="T41" s="303"/>
      <c r="U41" s="306"/>
      <c r="V41" s="303"/>
      <c r="W41" s="306"/>
      <c r="X41" s="303"/>
      <c r="Y41" s="306"/>
      <c r="Z41" s="318"/>
      <c r="AA41" s="304"/>
      <c r="AB41" s="305"/>
      <c r="AC41" s="306"/>
      <c r="AD41" s="303"/>
      <c r="AE41" s="306"/>
      <c r="AF41" s="303"/>
      <c r="AG41" s="306"/>
      <c r="AH41" s="303"/>
      <c r="AI41" s="304"/>
      <c r="AJ41" s="305"/>
      <c r="AK41" s="306"/>
    </row>
    <row r="42" spans="1:37">
      <c r="A42" s="298" t="s">
        <v>360</v>
      </c>
      <c r="B42" s="303">
        <v>5938.75</v>
      </c>
      <c r="C42" s="304">
        <v>5995</v>
      </c>
      <c r="D42" s="303">
        <v>11537.5</v>
      </c>
      <c r="E42" s="304">
        <v>11756</v>
      </c>
      <c r="F42" s="303"/>
      <c r="G42" s="304"/>
      <c r="H42" s="303"/>
      <c r="I42" s="304"/>
      <c r="J42" s="303"/>
      <c r="K42" s="304"/>
      <c r="L42" s="303"/>
      <c r="M42" s="304"/>
      <c r="N42" s="303"/>
      <c r="O42" s="304"/>
      <c r="P42" s="303"/>
      <c r="Q42" s="304"/>
      <c r="R42" s="305"/>
      <c r="S42" s="306"/>
      <c r="T42" s="303"/>
      <c r="U42" s="306"/>
      <c r="V42" s="303"/>
      <c r="W42" s="306"/>
      <c r="X42" s="303"/>
      <c r="Y42" s="306"/>
      <c r="Z42" s="318"/>
      <c r="AA42" s="304"/>
      <c r="AB42" s="305"/>
      <c r="AC42" s="306"/>
      <c r="AD42" s="303"/>
      <c r="AE42" s="306"/>
      <c r="AF42" s="303"/>
      <c r="AG42" s="306"/>
      <c r="AH42" s="303"/>
      <c r="AI42" s="304"/>
      <c r="AJ42" s="305"/>
      <c r="AK42" s="306"/>
    </row>
    <row r="43" spans="1:37">
      <c r="A43" s="298" t="s">
        <v>393</v>
      </c>
      <c r="B43" s="303">
        <v>4552</v>
      </c>
      <c r="C43" s="304">
        <v>4636</v>
      </c>
      <c r="D43" s="303">
        <v>17758</v>
      </c>
      <c r="E43" s="304">
        <v>18094</v>
      </c>
      <c r="F43" s="303"/>
      <c r="G43" s="304"/>
      <c r="H43" s="303"/>
      <c r="I43" s="304"/>
      <c r="J43" s="303"/>
      <c r="K43" s="304"/>
      <c r="L43" s="303"/>
      <c r="M43" s="304"/>
      <c r="N43" s="303"/>
      <c r="O43" s="304"/>
      <c r="P43" s="303"/>
      <c r="Q43" s="304"/>
      <c r="R43" s="305"/>
      <c r="S43" s="306"/>
      <c r="T43" s="303"/>
      <c r="U43" s="306"/>
      <c r="V43" s="303"/>
      <c r="W43" s="306"/>
      <c r="X43" s="303"/>
      <c r="Y43" s="306"/>
      <c r="Z43" s="318"/>
      <c r="AA43" s="304"/>
      <c r="AB43" s="305"/>
      <c r="AC43" s="306"/>
      <c r="AD43" s="303"/>
      <c r="AE43" s="306"/>
      <c r="AF43" s="303"/>
      <c r="AG43" s="306"/>
      <c r="AH43" s="303"/>
      <c r="AI43" s="304"/>
      <c r="AJ43" s="305"/>
      <c r="AK43" s="306"/>
    </row>
    <row r="44" spans="1:37">
      <c r="A44" s="298" t="s">
        <v>507</v>
      </c>
      <c r="B44" s="303">
        <v>3140</v>
      </c>
      <c r="C44" s="304">
        <v>3294</v>
      </c>
      <c r="D44" s="303">
        <v>5935</v>
      </c>
      <c r="E44" s="304">
        <v>6000</v>
      </c>
      <c r="F44" s="303">
        <v>0</v>
      </c>
      <c r="G44" s="304">
        <v>0</v>
      </c>
      <c r="H44" s="303">
        <v>0</v>
      </c>
      <c r="I44" s="304">
        <v>0</v>
      </c>
      <c r="J44" s="303"/>
      <c r="K44" s="304"/>
      <c r="L44" s="303"/>
      <c r="M44" s="304"/>
      <c r="N44" s="303"/>
      <c r="O44" s="304"/>
      <c r="P44" s="303"/>
      <c r="Q44" s="304"/>
      <c r="R44" s="305"/>
      <c r="S44" s="306"/>
      <c r="T44" s="303"/>
      <c r="U44" s="306"/>
      <c r="V44" s="303"/>
      <c r="W44" s="306"/>
      <c r="X44" s="303"/>
      <c r="Y44" s="306"/>
      <c r="Z44" s="318"/>
      <c r="AA44" s="304"/>
      <c r="AB44" s="305"/>
      <c r="AC44" s="306"/>
      <c r="AD44" s="303"/>
      <c r="AE44" s="306"/>
      <c r="AF44" s="303"/>
      <c r="AG44" s="306"/>
      <c r="AH44" s="303"/>
      <c r="AI44" s="304"/>
      <c r="AJ44" s="305"/>
      <c r="AK44" s="306"/>
    </row>
    <row r="45" spans="1:37">
      <c r="A45" s="298" t="s">
        <v>445</v>
      </c>
      <c r="B45" s="303">
        <v>4620.1000000000004</v>
      </c>
      <c r="C45" s="304">
        <v>4620</v>
      </c>
      <c r="D45" s="303">
        <v>10623</v>
      </c>
      <c r="E45" s="304">
        <v>10622.9</v>
      </c>
      <c r="F45" s="303"/>
      <c r="G45" s="304"/>
      <c r="H45" s="303"/>
      <c r="I45" s="304"/>
      <c r="J45" s="303"/>
      <c r="K45" s="304"/>
      <c r="L45" s="303"/>
      <c r="M45" s="304"/>
      <c r="N45" s="303"/>
      <c r="O45" s="304"/>
      <c r="P45" s="303"/>
      <c r="Q45" s="304"/>
      <c r="R45" s="305"/>
      <c r="S45" s="306"/>
      <c r="T45" s="303"/>
      <c r="U45" s="306"/>
      <c r="V45" s="303"/>
      <c r="W45" s="306"/>
      <c r="X45" s="303"/>
      <c r="Y45" s="306"/>
      <c r="Z45" s="318"/>
      <c r="AA45" s="304"/>
      <c r="AB45" s="305"/>
      <c r="AC45" s="306"/>
      <c r="AD45" s="303"/>
      <c r="AE45" s="306"/>
      <c r="AF45" s="303"/>
      <c r="AG45" s="306"/>
      <c r="AH45" s="303"/>
      <c r="AI45" s="304"/>
      <c r="AJ45" s="305"/>
      <c r="AK45" s="306"/>
    </row>
    <row r="46" spans="1:37">
      <c r="A46" s="298" t="s">
        <v>485</v>
      </c>
      <c r="B46" s="303">
        <v>4250</v>
      </c>
      <c r="C46" s="304">
        <v>4315</v>
      </c>
      <c r="D46" s="303">
        <v>9706</v>
      </c>
      <c r="E46" s="304">
        <v>9706</v>
      </c>
      <c r="F46" s="303"/>
      <c r="G46" s="304"/>
      <c r="H46" s="303"/>
      <c r="I46" s="304"/>
      <c r="J46" s="303"/>
      <c r="K46" s="304"/>
      <c r="L46" s="303"/>
      <c r="M46" s="304"/>
      <c r="N46" s="303"/>
      <c r="O46" s="304"/>
      <c r="P46" s="303"/>
      <c r="Q46" s="304"/>
      <c r="R46" s="305"/>
      <c r="S46" s="306"/>
      <c r="T46" s="303"/>
      <c r="U46" s="306"/>
      <c r="V46" s="303"/>
      <c r="W46" s="306"/>
      <c r="X46" s="303"/>
      <c r="Y46" s="306"/>
      <c r="Z46" s="318"/>
      <c r="AA46" s="304"/>
      <c r="AB46" s="305"/>
      <c r="AC46" s="306"/>
      <c r="AD46" s="303"/>
      <c r="AE46" s="306"/>
      <c r="AF46" s="303"/>
      <c r="AG46" s="306"/>
      <c r="AH46" s="303"/>
      <c r="AI46" s="304"/>
      <c r="AJ46" s="305"/>
      <c r="AK46" s="306"/>
    </row>
    <row r="47" spans="1:37" ht="15.75" thickBot="1">
      <c r="A47" s="298" t="s">
        <v>837</v>
      </c>
      <c r="B47" s="303">
        <v>3790</v>
      </c>
      <c r="C47" s="304">
        <v>3790</v>
      </c>
      <c r="D47" s="303">
        <v>8784</v>
      </c>
      <c r="E47" s="304">
        <v>8701</v>
      </c>
      <c r="F47" s="303">
        <v>0</v>
      </c>
      <c r="G47" s="304">
        <v>0</v>
      </c>
      <c r="H47" s="303">
        <v>0</v>
      </c>
      <c r="I47" s="304">
        <v>0</v>
      </c>
      <c r="J47" s="303"/>
      <c r="K47" s="304"/>
      <c r="L47" s="303"/>
      <c r="M47" s="304"/>
      <c r="N47" s="303"/>
      <c r="O47" s="304"/>
      <c r="P47" s="303"/>
      <c r="Q47" s="304"/>
      <c r="R47" s="310"/>
      <c r="S47" s="311"/>
      <c r="T47" s="312"/>
      <c r="U47" s="311"/>
      <c r="V47" s="312"/>
      <c r="W47" s="311"/>
      <c r="X47" s="312"/>
      <c r="Y47" s="311"/>
      <c r="Z47" s="319"/>
      <c r="AA47" s="304"/>
      <c r="AB47" s="310"/>
      <c r="AC47" s="311"/>
      <c r="AD47" s="312"/>
      <c r="AE47" s="311"/>
      <c r="AF47" s="312"/>
      <c r="AG47" s="311"/>
      <c r="AH47" s="312"/>
      <c r="AI47" s="327"/>
      <c r="AJ47" s="310"/>
      <c r="AK47" s="311"/>
    </row>
    <row r="56" spans="1:37" ht="15.75">
      <c r="A56" s="330" t="s">
        <v>886</v>
      </c>
    </row>
    <row r="57" spans="1:37">
      <c r="A57" s="297" t="s">
        <v>19</v>
      </c>
      <c r="B57" t="s" vm="3">
        <v>887</v>
      </c>
    </row>
    <row r="58" spans="1:37" ht="15.75" thickBot="1"/>
    <row r="59" spans="1:37" ht="15.75" thickBot="1">
      <c r="B59" s="307" t="s">
        <v>844</v>
      </c>
      <c r="C59" s="308" t="s">
        <v>845</v>
      </c>
      <c r="D59" s="309" t="s">
        <v>847</v>
      </c>
      <c r="E59" s="308" t="s">
        <v>849</v>
      </c>
      <c r="F59" s="309" t="s">
        <v>843</v>
      </c>
      <c r="G59" s="308" t="s">
        <v>846</v>
      </c>
      <c r="H59" s="309" t="s">
        <v>850</v>
      </c>
      <c r="I59" s="308" t="s">
        <v>848</v>
      </c>
      <c r="J59" s="309" t="s">
        <v>841</v>
      </c>
      <c r="K59" s="308" t="s">
        <v>842</v>
      </c>
      <c r="L59" s="309" t="s">
        <v>840</v>
      </c>
      <c r="M59" s="308" t="s">
        <v>839</v>
      </c>
      <c r="N59" s="309" t="s">
        <v>851</v>
      </c>
      <c r="O59" s="308" t="s">
        <v>852</v>
      </c>
      <c r="P59" s="301" t="s">
        <v>877</v>
      </c>
      <c r="Q59" t="s">
        <v>878</v>
      </c>
      <c r="R59" s="307" t="s">
        <v>854</v>
      </c>
      <c r="S59" s="308" t="s">
        <v>855</v>
      </c>
      <c r="T59" s="309" t="s">
        <v>856</v>
      </c>
      <c r="U59" s="308" t="s">
        <v>857</v>
      </c>
      <c r="V59" s="309" t="s">
        <v>858</v>
      </c>
      <c r="W59" s="308" t="s">
        <v>859</v>
      </c>
      <c r="X59" s="309" t="s">
        <v>860</v>
      </c>
      <c r="Y59" s="308" t="s">
        <v>861</v>
      </c>
      <c r="Z59" s="320" t="s">
        <v>862</v>
      </c>
      <c r="AA59" t="s">
        <v>872</v>
      </c>
      <c r="AB59" s="307" t="s">
        <v>867</v>
      </c>
      <c r="AC59" s="308" t="s">
        <v>868</v>
      </c>
      <c r="AD59" s="309" t="s">
        <v>873</v>
      </c>
      <c r="AE59" s="308" t="s">
        <v>874</v>
      </c>
      <c r="AF59" s="309" t="s">
        <v>875</v>
      </c>
      <c r="AG59" s="308" t="s">
        <v>876</v>
      </c>
      <c r="AH59" s="328" t="s">
        <v>880</v>
      </c>
      <c r="AI59" s="316" t="s">
        <v>881</v>
      </c>
      <c r="AJ59" s="329" t="s">
        <v>883</v>
      </c>
      <c r="AK59" s="308" t="s">
        <v>884</v>
      </c>
    </row>
    <row r="60" spans="1:37">
      <c r="A60" s="298" t="s">
        <v>56</v>
      </c>
      <c r="B60" s="303">
        <v>4865</v>
      </c>
      <c r="C60" s="304">
        <v>4865</v>
      </c>
      <c r="D60" s="303">
        <v>8790</v>
      </c>
      <c r="E60" s="304">
        <v>8490</v>
      </c>
      <c r="F60" s="303"/>
      <c r="G60" s="304"/>
      <c r="H60" s="303"/>
      <c r="I60" s="304"/>
      <c r="J60" s="303"/>
      <c r="K60" s="304"/>
      <c r="L60" s="303"/>
      <c r="M60" s="304"/>
      <c r="N60" s="303"/>
      <c r="O60" s="304"/>
      <c r="P60" s="303"/>
      <c r="Q60" s="304"/>
      <c r="R60" s="323"/>
      <c r="S60" s="324"/>
      <c r="T60" s="325"/>
      <c r="U60" s="324"/>
      <c r="V60" s="325"/>
      <c r="W60" s="324"/>
      <c r="X60" s="325"/>
      <c r="Y60" s="324"/>
      <c r="Z60" s="326"/>
      <c r="AA60" s="304"/>
      <c r="AB60" s="323"/>
      <c r="AC60" s="324"/>
      <c r="AD60" s="325"/>
      <c r="AE60" s="324"/>
      <c r="AF60" s="325"/>
      <c r="AG60" s="324"/>
      <c r="AH60" s="303"/>
      <c r="AI60" s="304"/>
      <c r="AJ60" s="323"/>
      <c r="AK60" s="324"/>
    </row>
    <row r="61" spans="1:37">
      <c r="A61" s="298" t="s">
        <v>148</v>
      </c>
      <c r="B61" s="303">
        <v>3664</v>
      </c>
      <c r="C61" s="304">
        <v>3669</v>
      </c>
      <c r="D61" s="303">
        <v>6664</v>
      </c>
      <c r="E61" s="304">
        <v>6669</v>
      </c>
      <c r="F61" s="303"/>
      <c r="G61" s="304"/>
      <c r="H61" s="303"/>
      <c r="I61" s="304"/>
      <c r="J61" s="303"/>
      <c r="K61" s="304"/>
      <c r="L61" s="303"/>
      <c r="M61" s="304"/>
      <c r="N61" s="303"/>
      <c r="O61" s="304"/>
      <c r="P61" s="303"/>
      <c r="Q61" s="304"/>
      <c r="R61" s="305"/>
      <c r="S61" s="306"/>
      <c r="T61" s="303"/>
      <c r="U61" s="306"/>
      <c r="V61" s="303"/>
      <c r="W61" s="306"/>
      <c r="X61" s="303"/>
      <c r="Y61" s="306"/>
      <c r="Z61" s="318"/>
      <c r="AA61" s="304"/>
      <c r="AB61" s="305"/>
      <c r="AC61" s="306"/>
      <c r="AD61" s="303"/>
      <c r="AE61" s="306"/>
      <c r="AF61" s="303"/>
      <c r="AG61" s="306"/>
      <c r="AH61" s="303"/>
      <c r="AI61" s="304"/>
      <c r="AJ61" s="305"/>
      <c r="AK61" s="306"/>
    </row>
    <row r="62" spans="1:37">
      <c r="A62" s="298" t="s">
        <v>197</v>
      </c>
      <c r="B62" s="303">
        <v>5610</v>
      </c>
      <c r="C62" s="304">
        <v>5610</v>
      </c>
      <c r="D62" s="303">
        <v>19050</v>
      </c>
      <c r="E62" s="304">
        <v>19050</v>
      </c>
      <c r="F62" s="303"/>
      <c r="G62" s="304"/>
      <c r="H62" s="303"/>
      <c r="I62" s="304"/>
      <c r="J62" s="303"/>
      <c r="K62" s="304"/>
      <c r="L62" s="303"/>
      <c r="M62" s="304"/>
      <c r="N62" s="303"/>
      <c r="O62" s="304"/>
      <c r="P62" s="303"/>
      <c r="Q62" s="304"/>
      <c r="R62" s="305"/>
      <c r="S62" s="306"/>
      <c r="T62" s="303"/>
      <c r="U62" s="306"/>
      <c r="V62" s="303"/>
      <c r="W62" s="306"/>
      <c r="X62" s="303"/>
      <c r="Y62" s="306"/>
      <c r="Z62" s="318"/>
      <c r="AA62" s="304"/>
      <c r="AB62" s="305"/>
      <c r="AC62" s="306"/>
      <c r="AD62" s="303"/>
      <c r="AE62" s="306"/>
      <c r="AF62" s="303"/>
      <c r="AG62" s="306"/>
      <c r="AH62" s="303"/>
      <c r="AI62" s="304"/>
      <c r="AJ62" s="305"/>
      <c r="AK62" s="306"/>
    </row>
    <row r="63" spans="1:37">
      <c r="A63" s="298" t="s">
        <v>222</v>
      </c>
      <c r="B63" s="303">
        <v>4109.3500000000004</v>
      </c>
      <c r="C63" s="304">
        <v>4184.87</v>
      </c>
      <c r="D63" s="303">
        <v>4109.3500000000004</v>
      </c>
      <c r="E63" s="304">
        <v>4184.87</v>
      </c>
      <c r="F63" s="303"/>
      <c r="G63" s="304"/>
      <c r="H63" s="303"/>
      <c r="I63" s="304"/>
      <c r="J63" s="303"/>
      <c r="K63" s="304"/>
      <c r="L63" s="303"/>
      <c r="M63" s="304"/>
      <c r="N63" s="303"/>
      <c r="O63" s="304"/>
      <c r="P63" s="303"/>
      <c r="Q63" s="304"/>
      <c r="R63" s="305"/>
      <c r="S63" s="306"/>
      <c r="T63" s="303"/>
      <c r="U63" s="306"/>
      <c r="V63" s="303"/>
      <c r="W63" s="306"/>
      <c r="X63" s="303"/>
      <c r="Y63" s="306"/>
      <c r="Z63" s="318"/>
      <c r="AA63" s="304"/>
      <c r="AB63" s="305"/>
      <c r="AC63" s="306"/>
      <c r="AD63" s="303"/>
      <c r="AE63" s="306"/>
      <c r="AF63" s="303"/>
      <c r="AG63" s="306"/>
      <c r="AH63" s="303"/>
      <c r="AI63" s="304"/>
      <c r="AJ63" s="305"/>
      <c r="AK63" s="306"/>
    </row>
    <row r="64" spans="1:37">
      <c r="A64" s="298" t="s">
        <v>359</v>
      </c>
      <c r="B64" s="303">
        <v>1800</v>
      </c>
      <c r="C64" s="304">
        <v>1935</v>
      </c>
      <c r="D64" s="303">
        <v>3600</v>
      </c>
      <c r="E64" s="304">
        <v>3960</v>
      </c>
      <c r="F64" s="303"/>
      <c r="G64" s="304"/>
      <c r="H64" s="303"/>
      <c r="I64" s="304"/>
      <c r="J64" s="303"/>
      <c r="K64" s="304"/>
      <c r="L64" s="303"/>
      <c r="M64" s="304"/>
      <c r="N64" s="303"/>
      <c r="O64" s="304"/>
      <c r="P64" s="303"/>
      <c r="Q64" s="304"/>
      <c r="R64" s="305"/>
      <c r="S64" s="306"/>
      <c r="T64" s="303"/>
      <c r="U64" s="306"/>
      <c r="V64" s="303"/>
      <c r="W64" s="306"/>
      <c r="X64" s="303"/>
      <c r="Y64" s="306"/>
      <c r="Z64" s="318"/>
      <c r="AA64" s="304"/>
      <c r="AB64" s="305"/>
      <c r="AC64" s="306"/>
      <c r="AD64" s="303"/>
      <c r="AE64" s="306"/>
      <c r="AF64" s="303"/>
      <c r="AG64" s="306"/>
      <c r="AH64" s="303"/>
      <c r="AI64" s="304"/>
      <c r="AJ64" s="305"/>
      <c r="AK64" s="306"/>
    </row>
    <row r="65" spans="1:37">
      <c r="A65" s="298" t="s">
        <v>393</v>
      </c>
      <c r="B65" s="303">
        <v>3936</v>
      </c>
      <c r="C65" s="304">
        <v>4008</v>
      </c>
      <c r="D65" s="303"/>
      <c r="E65" s="304"/>
      <c r="F65" s="303"/>
      <c r="G65" s="304"/>
      <c r="H65" s="303"/>
      <c r="I65" s="304"/>
      <c r="J65" s="303"/>
      <c r="K65" s="304"/>
      <c r="L65" s="303"/>
      <c r="M65" s="304"/>
      <c r="N65" s="303"/>
      <c r="O65" s="304"/>
      <c r="P65" s="303"/>
      <c r="Q65" s="304"/>
      <c r="R65" s="305"/>
      <c r="S65" s="306"/>
      <c r="T65" s="303"/>
      <c r="U65" s="306"/>
      <c r="V65" s="303"/>
      <c r="W65" s="306"/>
      <c r="X65" s="303"/>
      <c r="Y65" s="306"/>
      <c r="Z65" s="318"/>
      <c r="AA65" s="304"/>
      <c r="AB65" s="305"/>
      <c r="AC65" s="306"/>
      <c r="AD65" s="303"/>
      <c r="AE65" s="306"/>
      <c r="AF65" s="303"/>
      <c r="AG65" s="306"/>
      <c r="AH65" s="303"/>
      <c r="AI65" s="304"/>
      <c r="AJ65" s="305"/>
      <c r="AK65" s="306"/>
    </row>
    <row r="66" spans="1:37">
      <c r="A66" s="298" t="s">
        <v>485</v>
      </c>
      <c r="B66" s="303">
        <v>6058</v>
      </c>
      <c r="C66" s="304">
        <v>6435</v>
      </c>
      <c r="D66" s="303"/>
      <c r="E66" s="304"/>
      <c r="F66" s="303"/>
      <c r="G66" s="304"/>
      <c r="H66" s="303"/>
      <c r="I66" s="304"/>
      <c r="J66" s="303"/>
      <c r="K66" s="304"/>
      <c r="L66" s="303"/>
      <c r="M66" s="304"/>
      <c r="N66" s="303"/>
      <c r="O66" s="304"/>
      <c r="P66" s="303"/>
      <c r="Q66" s="304"/>
      <c r="R66" s="305"/>
      <c r="S66" s="306"/>
      <c r="T66" s="303"/>
      <c r="U66" s="306"/>
      <c r="V66" s="303"/>
      <c r="W66" s="306"/>
      <c r="X66" s="303"/>
      <c r="Y66" s="306"/>
      <c r="Z66" s="318"/>
      <c r="AA66" s="304"/>
      <c r="AB66" s="305"/>
      <c r="AC66" s="306"/>
      <c r="AD66" s="303"/>
      <c r="AE66" s="306"/>
      <c r="AF66" s="303"/>
      <c r="AG66" s="306"/>
      <c r="AH66" s="303"/>
      <c r="AI66" s="304"/>
      <c r="AJ66" s="305"/>
      <c r="AK66" s="306"/>
    </row>
    <row r="67" spans="1:37" ht="15.75" thickBot="1">
      <c r="A67" s="298" t="s">
        <v>837</v>
      </c>
      <c r="B67" s="303">
        <v>3726</v>
      </c>
      <c r="C67" s="304">
        <v>3727</v>
      </c>
      <c r="D67" s="303">
        <v>4500</v>
      </c>
      <c r="E67" s="304">
        <v>4500</v>
      </c>
      <c r="F67" s="303"/>
      <c r="G67" s="304"/>
      <c r="H67" s="303"/>
      <c r="I67" s="304"/>
      <c r="J67" s="303"/>
      <c r="K67" s="304"/>
      <c r="L67" s="303"/>
      <c r="M67" s="304"/>
      <c r="N67" s="303"/>
      <c r="O67" s="304"/>
      <c r="P67" s="303"/>
      <c r="Q67" s="304"/>
      <c r="R67" s="310"/>
      <c r="S67" s="311"/>
      <c r="T67" s="312"/>
      <c r="U67" s="311"/>
      <c r="V67" s="312"/>
      <c r="W67" s="311"/>
      <c r="X67" s="312"/>
      <c r="Y67" s="311"/>
      <c r="Z67" s="319"/>
      <c r="AA67" s="304"/>
      <c r="AB67" s="310"/>
      <c r="AC67" s="311"/>
      <c r="AD67" s="312"/>
      <c r="AE67" s="311"/>
      <c r="AF67" s="312"/>
      <c r="AG67" s="311"/>
      <c r="AH67" s="312"/>
      <c r="AI67" s="327"/>
      <c r="AJ67" s="310"/>
      <c r="AK67" s="311"/>
    </row>
    <row r="73" spans="1:37" ht="15.75" thickBot="1"/>
    <row r="76" spans="1:37" ht="15.75">
      <c r="A76" s="330" t="s">
        <v>565</v>
      </c>
    </row>
    <row r="78" spans="1:37" ht="15.75" thickBot="1"/>
    <row r="79" spans="1:37" ht="15.75" thickBot="1">
      <c r="A79" s="297" t="s">
        <v>853</v>
      </c>
      <c r="B79" s="307" t="s">
        <v>844</v>
      </c>
      <c r="C79" s="308" t="s">
        <v>845</v>
      </c>
      <c r="D79" s="309" t="s">
        <v>847</v>
      </c>
      <c r="E79" s="308" t="s">
        <v>849</v>
      </c>
      <c r="F79" s="309" t="s">
        <v>843</v>
      </c>
      <c r="G79" s="308" t="s">
        <v>846</v>
      </c>
      <c r="H79" s="309" t="s">
        <v>850</v>
      </c>
      <c r="I79" s="308" t="s">
        <v>848</v>
      </c>
      <c r="J79" s="309" t="s">
        <v>841</v>
      </c>
      <c r="K79" s="308" t="s">
        <v>842</v>
      </c>
      <c r="L79" s="309" t="s">
        <v>840</v>
      </c>
      <c r="M79" s="308" t="s">
        <v>839</v>
      </c>
      <c r="N79" s="309" t="s">
        <v>851</v>
      </c>
      <c r="O79" s="308" t="s">
        <v>852</v>
      </c>
      <c r="P79" s="301" t="s">
        <v>877</v>
      </c>
      <c r="Q79" t="s">
        <v>878</v>
      </c>
      <c r="R79" s="307" t="s">
        <v>854</v>
      </c>
      <c r="S79" s="308" t="s">
        <v>855</v>
      </c>
      <c r="T79" s="309" t="s">
        <v>856</v>
      </c>
      <c r="U79" s="308" t="s">
        <v>857</v>
      </c>
      <c r="V79" s="309" t="s">
        <v>858</v>
      </c>
      <c r="W79" s="308" t="s">
        <v>859</v>
      </c>
      <c r="X79" s="309" t="s">
        <v>860</v>
      </c>
      <c r="Y79" s="308" t="s">
        <v>861</v>
      </c>
      <c r="Z79" s="320" t="s">
        <v>862</v>
      </c>
      <c r="AA79" t="s">
        <v>872</v>
      </c>
      <c r="AB79" s="307" t="s">
        <v>867</v>
      </c>
      <c r="AC79" s="308" t="s">
        <v>868</v>
      </c>
      <c r="AD79" s="309" t="s">
        <v>873</v>
      </c>
      <c r="AE79" s="308" t="s">
        <v>874</v>
      </c>
      <c r="AF79" s="309" t="s">
        <v>875</v>
      </c>
      <c r="AG79" s="308" t="s">
        <v>876</v>
      </c>
      <c r="AH79" s="328" t="s">
        <v>880</v>
      </c>
      <c r="AI79" s="316" t="s">
        <v>881</v>
      </c>
      <c r="AJ79" s="329" t="s">
        <v>883</v>
      </c>
      <c r="AK79" s="308" t="s">
        <v>884</v>
      </c>
    </row>
    <row r="80" spans="1:37">
      <c r="A80" s="298" t="s">
        <v>56</v>
      </c>
      <c r="B80" s="303">
        <v>4930</v>
      </c>
      <c r="C80" s="304">
        <v>4930</v>
      </c>
      <c r="D80" s="303">
        <v>8915</v>
      </c>
      <c r="E80" s="304">
        <v>8615</v>
      </c>
      <c r="F80" s="303">
        <v>11119</v>
      </c>
      <c r="G80" s="304">
        <v>11284</v>
      </c>
      <c r="H80" s="303">
        <v>22045</v>
      </c>
      <c r="I80" s="304">
        <v>22708</v>
      </c>
      <c r="J80" s="303">
        <v>23910</v>
      </c>
      <c r="K80" s="304">
        <v>23910</v>
      </c>
      <c r="L80" s="303">
        <v>43360</v>
      </c>
      <c r="M80" s="304">
        <v>43360</v>
      </c>
      <c r="N80" s="303">
        <v>29702</v>
      </c>
      <c r="O80" s="304">
        <v>29998</v>
      </c>
      <c r="P80" s="303">
        <v>62714</v>
      </c>
      <c r="Q80" s="304">
        <v>62714</v>
      </c>
      <c r="R80" s="323">
        <v>29484</v>
      </c>
      <c r="S80" s="324">
        <v>29782</v>
      </c>
      <c r="T80" s="325">
        <v>68726</v>
      </c>
      <c r="U80" s="324">
        <v>69420</v>
      </c>
      <c r="V80" s="325">
        <v>22362</v>
      </c>
      <c r="W80" s="324">
        <v>22392</v>
      </c>
      <c r="X80" s="325">
        <v>42522</v>
      </c>
      <c r="Y80" s="324">
        <v>42552</v>
      </c>
      <c r="Z80" s="326">
        <v>27492</v>
      </c>
      <c r="AA80" s="304">
        <v>27858</v>
      </c>
      <c r="AB80" s="323">
        <v>54012</v>
      </c>
      <c r="AC80" s="324">
        <v>54012</v>
      </c>
      <c r="AD80" s="325"/>
      <c r="AE80" s="324"/>
      <c r="AF80" s="325"/>
      <c r="AG80" s="324"/>
      <c r="AH80" s="303">
        <v>24296</v>
      </c>
      <c r="AI80" s="304">
        <v>24326</v>
      </c>
      <c r="AJ80" s="323">
        <v>50456</v>
      </c>
      <c r="AK80" s="324">
        <v>50486</v>
      </c>
    </row>
    <row r="81" spans="1:37">
      <c r="A81" s="298" t="s">
        <v>87</v>
      </c>
      <c r="B81" s="303">
        <v>4020</v>
      </c>
      <c r="C81" s="304">
        <v>4050</v>
      </c>
      <c r="D81" s="303">
        <v>6030</v>
      </c>
      <c r="E81" s="304">
        <v>6210</v>
      </c>
      <c r="F81" s="303">
        <v>8766</v>
      </c>
      <c r="G81" s="304">
        <v>9192</v>
      </c>
      <c r="H81" s="303">
        <v>15324</v>
      </c>
      <c r="I81" s="304">
        <v>15694</v>
      </c>
      <c r="J81" s="303">
        <v>13488</v>
      </c>
      <c r="K81" s="304">
        <v>13700</v>
      </c>
      <c r="L81" s="303">
        <v>28119.5</v>
      </c>
      <c r="M81" s="304">
        <v>28488</v>
      </c>
      <c r="N81" s="303">
        <v>34668</v>
      </c>
      <c r="O81" s="304">
        <v>34538</v>
      </c>
      <c r="P81" s="303">
        <v>66838</v>
      </c>
      <c r="Q81" s="304">
        <v>66708</v>
      </c>
      <c r="R81" s="305"/>
      <c r="S81" s="306"/>
      <c r="T81" s="303"/>
      <c r="U81" s="306"/>
      <c r="V81" s="303">
        <v>20938</v>
      </c>
      <c r="W81" s="306">
        <v>20808</v>
      </c>
      <c r="X81" s="303">
        <v>40218</v>
      </c>
      <c r="Y81" s="306">
        <v>40088</v>
      </c>
      <c r="Z81" s="318"/>
      <c r="AA81" s="304"/>
      <c r="AB81" s="305"/>
      <c r="AC81" s="306"/>
      <c r="AD81" s="303"/>
      <c r="AE81" s="306"/>
      <c r="AF81" s="303"/>
      <c r="AG81" s="306"/>
      <c r="AH81" s="303"/>
      <c r="AI81" s="304"/>
      <c r="AJ81" s="305"/>
      <c r="AK81" s="306"/>
    </row>
    <row r="82" spans="1:37">
      <c r="A82" s="298" t="s">
        <v>117</v>
      </c>
      <c r="B82" s="303">
        <v>8358</v>
      </c>
      <c r="C82" s="304">
        <v>8358</v>
      </c>
      <c r="D82" s="303">
        <v>18280</v>
      </c>
      <c r="E82" s="304">
        <v>18280</v>
      </c>
      <c r="F82" s="303">
        <v>20351</v>
      </c>
      <c r="G82" s="304">
        <v>11819</v>
      </c>
      <c r="H82" s="303">
        <v>23459</v>
      </c>
      <c r="I82" s="304">
        <v>14927</v>
      </c>
      <c r="J82" s="303"/>
      <c r="K82" s="304"/>
      <c r="L82" s="303"/>
      <c r="M82" s="304"/>
      <c r="N82" s="303"/>
      <c r="O82" s="304"/>
      <c r="P82" s="303"/>
      <c r="Q82" s="304"/>
      <c r="R82" s="305"/>
      <c r="S82" s="306"/>
      <c r="T82" s="303"/>
      <c r="U82" s="306"/>
      <c r="V82" s="303"/>
      <c r="W82" s="306"/>
      <c r="X82" s="303"/>
      <c r="Y82" s="306"/>
      <c r="Z82" s="318"/>
      <c r="AA82" s="304"/>
      <c r="AB82" s="305"/>
      <c r="AC82" s="306"/>
      <c r="AD82" s="303"/>
      <c r="AE82" s="306"/>
      <c r="AF82" s="303"/>
      <c r="AG82" s="306"/>
      <c r="AH82" s="303"/>
      <c r="AI82" s="304"/>
      <c r="AJ82" s="305"/>
      <c r="AK82" s="306"/>
    </row>
    <row r="83" spans="1:37">
      <c r="A83" s="298" t="s">
        <v>121</v>
      </c>
      <c r="B83" s="303">
        <v>3121.3500000000004</v>
      </c>
      <c r="C83" s="304">
        <v>3121.3500000000004</v>
      </c>
      <c r="D83" s="303">
        <v>11779.05</v>
      </c>
      <c r="E83" s="304">
        <v>11722.95</v>
      </c>
      <c r="F83" s="303"/>
      <c r="G83" s="304"/>
      <c r="H83" s="303"/>
      <c r="I83" s="304"/>
      <c r="J83" s="303"/>
      <c r="K83" s="304"/>
      <c r="L83" s="303"/>
      <c r="M83" s="304"/>
      <c r="N83" s="303"/>
      <c r="O83" s="304"/>
      <c r="P83" s="303"/>
      <c r="Q83" s="304"/>
      <c r="R83" s="305"/>
      <c r="S83" s="306"/>
      <c r="T83" s="303"/>
      <c r="U83" s="306"/>
      <c r="V83" s="303"/>
      <c r="W83" s="306"/>
      <c r="X83" s="303"/>
      <c r="Y83" s="306"/>
      <c r="Z83" s="318"/>
      <c r="AA83" s="304"/>
      <c r="AB83" s="305"/>
      <c r="AC83" s="306"/>
      <c r="AD83" s="303"/>
      <c r="AE83" s="306"/>
      <c r="AF83" s="303"/>
      <c r="AG83" s="306"/>
      <c r="AH83" s="303"/>
      <c r="AI83" s="304"/>
      <c r="AJ83" s="305"/>
      <c r="AK83" s="306"/>
    </row>
    <row r="84" spans="1:37">
      <c r="A84" s="298" t="s">
        <v>148</v>
      </c>
      <c r="B84" s="303">
        <v>3897</v>
      </c>
      <c r="C84" s="304">
        <v>3897</v>
      </c>
      <c r="D84" s="303">
        <v>11837</v>
      </c>
      <c r="E84" s="304">
        <v>11837</v>
      </c>
      <c r="F84" s="303">
        <v>7634</v>
      </c>
      <c r="G84" s="304">
        <v>7634</v>
      </c>
      <c r="H84" s="303">
        <v>23834</v>
      </c>
      <c r="I84" s="304">
        <v>23834</v>
      </c>
      <c r="J84" s="303">
        <v>18895</v>
      </c>
      <c r="K84" s="304">
        <v>21104</v>
      </c>
      <c r="L84" s="303">
        <v>38078</v>
      </c>
      <c r="M84" s="304">
        <v>40267</v>
      </c>
      <c r="N84" s="303">
        <v>31056</v>
      </c>
      <c r="O84" s="304">
        <v>33186</v>
      </c>
      <c r="P84" s="303">
        <v>59980</v>
      </c>
      <c r="Q84" s="304">
        <v>62110</v>
      </c>
      <c r="R84" s="305">
        <v>27674</v>
      </c>
      <c r="S84" s="306">
        <v>30604</v>
      </c>
      <c r="T84" s="303">
        <v>64940</v>
      </c>
      <c r="U84" s="306">
        <v>69038</v>
      </c>
      <c r="V84" s="303">
        <v>18926</v>
      </c>
      <c r="W84" s="306">
        <v>20892</v>
      </c>
      <c r="X84" s="303">
        <v>39634</v>
      </c>
      <c r="Y84" s="306">
        <v>41600</v>
      </c>
      <c r="Z84" s="318"/>
      <c r="AA84" s="304"/>
      <c r="AB84" s="305"/>
      <c r="AC84" s="306"/>
      <c r="AD84" s="303"/>
      <c r="AE84" s="306"/>
      <c r="AF84" s="303"/>
      <c r="AG84" s="306"/>
      <c r="AH84" s="303">
        <v>19804</v>
      </c>
      <c r="AI84" s="304">
        <v>21770</v>
      </c>
      <c r="AJ84" s="305">
        <v>49466</v>
      </c>
      <c r="AK84" s="306">
        <v>51432</v>
      </c>
    </row>
    <row r="85" spans="1:37">
      <c r="A85" s="298" t="s">
        <v>197</v>
      </c>
      <c r="B85" s="303">
        <v>5610</v>
      </c>
      <c r="C85" s="304">
        <v>5610</v>
      </c>
      <c r="D85" s="303">
        <v>19050</v>
      </c>
      <c r="E85" s="304">
        <v>19050</v>
      </c>
      <c r="F85" s="303">
        <v>13639</v>
      </c>
      <c r="G85" s="304">
        <v>13697</v>
      </c>
      <c r="H85" s="303">
        <v>20844</v>
      </c>
      <c r="I85" s="304">
        <v>20148</v>
      </c>
      <c r="J85" s="303">
        <v>23302</v>
      </c>
      <c r="K85" s="304">
        <v>23798</v>
      </c>
      <c r="L85" s="303">
        <v>35910</v>
      </c>
      <c r="M85" s="304">
        <v>35910</v>
      </c>
      <c r="N85" s="303">
        <v>41218</v>
      </c>
      <c r="O85" s="304">
        <v>41738</v>
      </c>
      <c r="P85" s="303">
        <v>68790</v>
      </c>
      <c r="Q85" s="304">
        <v>69695</v>
      </c>
      <c r="R85" s="305">
        <v>35660</v>
      </c>
      <c r="S85" s="306">
        <v>36089.5</v>
      </c>
      <c r="T85" s="303">
        <v>75504</v>
      </c>
      <c r="U85" s="306">
        <v>76529</v>
      </c>
      <c r="V85" s="303">
        <v>28662</v>
      </c>
      <c r="W85" s="306">
        <v>28907</v>
      </c>
      <c r="X85" s="303">
        <v>53686</v>
      </c>
      <c r="Y85" s="306">
        <v>54222</v>
      </c>
      <c r="Z85" s="318"/>
      <c r="AA85" s="304"/>
      <c r="AB85" s="305"/>
      <c r="AC85" s="306"/>
      <c r="AD85" s="303"/>
      <c r="AE85" s="306"/>
      <c r="AF85" s="303"/>
      <c r="AG85" s="306"/>
      <c r="AH85" s="303"/>
      <c r="AI85" s="304"/>
      <c r="AJ85" s="305"/>
      <c r="AK85" s="306"/>
    </row>
    <row r="86" spans="1:37">
      <c r="A86" s="298" t="s">
        <v>222</v>
      </c>
      <c r="B86" s="303">
        <v>5844.55</v>
      </c>
      <c r="C86" s="304">
        <v>5844.21</v>
      </c>
      <c r="D86" s="303">
        <v>9605.5</v>
      </c>
      <c r="E86" s="304">
        <v>9605.2000000000007</v>
      </c>
      <c r="F86" s="303">
        <v>9648</v>
      </c>
      <c r="G86" s="304">
        <v>9648</v>
      </c>
      <c r="H86" s="303">
        <v>19897</v>
      </c>
      <c r="I86" s="304">
        <v>19894.68</v>
      </c>
      <c r="J86" s="303">
        <v>20553.5</v>
      </c>
      <c r="K86" s="304">
        <v>20551.45</v>
      </c>
      <c r="L86" s="303">
        <v>34573.5</v>
      </c>
      <c r="M86" s="304">
        <v>34571.449999999997</v>
      </c>
      <c r="N86" s="303">
        <v>31140.1</v>
      </c>
      <c r="O86" s="304">
        <v>31140.1</v>
      </c>
      <c r="P86" s="303">
        <v>61139.770000000004</v>
      </c>
      <c r="Q86" s="304">
        <v>61139.770000000004</v>
      </c>
      <c r="R86" s="305">
        <v>34403</v>
      </c>
      <c r="S86" s="306">
        <v>34403</v>
      </c>
      <c r="T86" s="303">
        <v>63869</v>
      </c>
      <c r="U86" s="306">
        <v>63869</v>
      </c>
      <c r="V86" s="303">
        <v>24493</v>
      </c>
      <c r="W86" s="306">
        <v>24481</v>
      </c>
      <c r="X86" s="303">
        <v>44749</v>
      </c>
      <c r="Y86" s="306">
        <v>44737</v>
      </c>
      <c r="Z86" s="318"/>
      <c r="AA86" s="304"/>
      <c r="AB86" s="305"/>
      <c r="AC86" s="306"/>
      <c r="AD86" s="303"/>
      <c r="AE86" s="306"/>
      <c r="AF86" s="303"/>
      <c r="AG86" s="306"/>
      <c r="AH86" s="303">
        <v>27399</v>
      </c>
      <c r="AI86" s="304">
        <v>27395</v>
      </c>
      <c r="AJ86" s="305">
        <v>56499</v>
      </c>
      <c r="AK86" s="306">
        <v>56495</v>
      </c>
    </row>
    <row r="87" spans="1:37">
      <c r="A87" s="298" t="s">
        <v>252</v>
      </c>
      <c r="B87" s="303">
        <v>5160</v>
      </c>
      <c r="C87" s="304">
        <v>5160</v>
      </c>
      <c r="D87" s="303">
        <v>12630</v>
      </c>
      <c r="E87" s="304">
        <v>12516</v>
      </c>
      <c r="F87" s="303">
        <v>13753</v>
      </c>
      <c r="G87" s="304">
        <v>14114</v>
      </c>
      <c r="H87" s="303">
        <v>23118</v>
      </c>
      <c r="I87" s="304">
        <v>23412</v>
      </c>
      <c r="J87" s="303">
        <v>33783</v>
      </c>
      <c r="K87" s="304">
        <v>34564</v>
      </c>
      <c r="L87" s="303">
        <v>49146</v>
      </c>
      <c r="M87" s="304">
        <v>50274.5</v>
      </c>
      <c r="N87" s="303">
        <v>39736</v>
      </c>
      <c r="O87" s="304">
        <v>39743</v>
      </c>
      <c r="P87" s="303">
        <v>68381</v>
      </c>
      <c r="Q87" s="304">
        <v>68838</v>
      </c>
      <c r="R87" s="305">
        <v>43999</v>
      </c>
      <c r="S87" s="306">
        <v>46082</v>
      </c>
      <c r="T87" s="303">
        <v>80156</v>
      </c>
      <c r="U87" s="306">
        <v>84047</v>
      </c>
      <c r="V87" s="303">
        <v>30065</v>
      </c>
      <c r="W87" s="306">
        <v>30781</v>
      </c>
      <c r="X87" s="303">
        <v>53265.5</v>
      </c>
      <c r="Y87" s="306">
        <v>54256</v>
      </c>
      <c r="Z87" s="318"/>
      <c r="AA87" s="304"/>
      <c r="AB87" s="305"/>
      <c r="AC87" s="306"/>
      <c r="AD87" s="303"/>
      <c r="AE87" s="306"/>
      <c r="AF87" s="303"/>
      <c r="AG87" s="306"/>
      <c r="AH87" s="303">
        <v>25435</v>
      </c>
      <c r="AI87" s="304">
        <v>26086</v>
      </c>
      <c r="AJ87" s="305">
        <v>54568</v>
      </c>
      <c r="AK87" s="306">
        <v>55687</v>
      </c>
    </row>
    <row r="88" spans="1:37">
      <c r="A88" s="298" t="s">
        <v>278</v>
      </c>
      <c r="B88" s="303">
        <v>3654</v>
      </c>
      <c r="C88" s="304">
        <v>3760</v>
      </c>
      <c r="D88" s="303">
        <v>6660</v>
      </c>
      <c r="E88" s="304">
        <v>6790</v>
      </c>
      <c r="F88" s="303">
        <v>8283</v>
      </c>
      <c r="G88" s="304">
        <v>8402.5</v>
      </c>
      <c r="H88" s="303">
        <v>8783</v>
      </c>
      <c r="I88" s="304">
        <v>8902.5</v>
      </c>
      <c r="J88" s="303">
        <v>16980</v>
      </c>
      <c r="K88" s="304">
        <v>17450</v>
      </c>
      <c r="L88" s="303">
        <v>37045</v>
      </c>
      <c r="M88" s="304">
        <v>37515</v>
      </c>
      <c r="N88" s="303">
        <v>31197</v>
      </c>
      <c r="O88" s="304">
        <v>32133</v>
      </c>
      <c r="P88" s="303">
        <v>73460</v>
      </c>
      <c r="Q88" s="304">
        <v>75664</v>
      </c>
      <c r="R88" s="305">
        <v>31167</v>
      </c>
      <c r="S88" s="306">
        <v>32102</v>
      </c>
      <c r="T88" s="303">
        <v>73220</v>
      </c>
      <c r="U88" s="306">
        <v>75417</v>
      </c>
      <c r="V88" s="303">
        <v>26582</v>
      </c>
      <c r="W88" s="306">
        <v>26798</v>
      </c>
      <c r="X88" s="303">
        <v>53660</v>
      </c>
      <c r="Y88" s="306">
        <v>54446</v>
      </c>
      <c r="Z88" s="318"/>
      <c r="AA88" s="304"/>
      <c r="AB88" s="305"/>
      <c r="AC88" s="306"/>
      <c r="AD88" s="303"/>
      <c r="AE88" s="306"/>
      <c r="AF88" s="303"/>
      <c r="AG88" s="306"/>
      <c r="AH88" s="303">
        <v>27397</v>
      </c>
      <c r="AI88" s="304">
        <v>28158</v>
      </c>
      <c r="AJ88" s="305">
        <v>48597</v>
      </c>
      <c r="AK88" s="306">
        <v>49358</v>
      </c>
    </row>
    <row r="89" spans="1:37">
      <c r="A89" s="298" t="s">
        <v>287</v>
      </c>
      <c r="B89" s="303">
        <v>2584</v>
      </c>
      <c r="C89" s="304">
        <v>2600.5</v>
      </c>
      <c r="D89" s="303">
        <v>8713</v>
      </c>
      <c r="E89" s="304">
        <v>8715</v>
      </c>
      <c r="F89" s="303">
        <v>7588.5</v>
      </c>
      <c r="G89" s="304">
        <v>7677</v>
      </c>
      <c r="H89" s="303">
        <v>20792.5</v>
      </c>
      <c r="I89" s="304">
        <v>20945</v>
      </c>
      <c r="J89" s="303">
        <v>20412.5</v>
      </c>
      <c r="K89" s="304">
        <v>20437.5</v>
      </c>
      <c r="L89" s="303">
        <v>40321.5</v>
      </c>
      <c r="M89" s="304">
        <v>41879.5</v>
      </c>
      <c r="N89" s="303">
        <v>28924.5</v>
      </c>
      <c r="O89" s="304">
        <v>28930.5</v>
      </c>
      <c r="P89" s="303">
        <v>42621.5</v>
      </c>
      <c r="Q89" s="304">
        <v>42910.5</v>
      </c>
      <c r="R89" s="305">
        <v>36849.5</v>
      </c>
      <c r="S89" s="306">
        <v>24860</v>
      </c>
      <c r="T89" s="303">
        <v>50107</v>
      </c>
      <c r="U89" s="306">
        <v>34066.5</v>
      </c>
      <c r="V89" s="303">
        <v>24335</v>
      </c>
      <c r="W89" s="306">
        <v>24385</v>
      </c>
      <c r="X89" s="303">
        <v>46896</v>
      </c>
      <c r="Y89" s="306">
        <v>47512</v>
      </c>
      <c r="Z89" s="318"/>
      <c r="AA89" s="304"/>
      <c r="AB89" s="305"/>
      <c r="AC89" s="306"/>
      <c r="AD89" s="303"/>
      <c r="AE89" s="306"/>
      <c r="AF89" s="303"/>
      <c r="AG89" s="306"/>
      <c r="AH89" s="303">
        <v>19617</v>
      </c>
      <c r="AI89" s="304">
        <v>19647</v>
      </c>
      <c r="AJ89" s="305">
        <v>47658</v>
      </c>
      <c r="AK89" s="306">
        <v>48348</v>
      </c>
    </row>
    <row r="90" spans="1:37">
      <c r="A90" s="298" t="s">
        <v>359</v>
      </c>
      <c r="B90" s="303">
        <v>1800</v>
      </c>
      <c r="C90" s="304">
        <v>1935</v>
      </c>
      <c r="D90" s="303">
        <v>3600</v>
      </c>
      <c r="E90" s="304">
        <v>3960</v>
      </c>
      <c r="F90" s="303"/>
      <c r="G90" s="304"/>
      <c r="H90" s="303"/>
      <c r="I90" s="304"/>
      <c r="J90" s="303"/>
      <c r="K90" s="304"/>
      <c r="L90" s="303"/>
      <c r="M90" s="304"/>
      <c r="N90" s="303"/>
      <c r="O90" s="304"/>
      <c r="P90" s="303"/>
      <c r="Q90" s="304"/>
      <c r="R90" s="305"/>
      <c r="S90" s="306"/>
      <c r="T90" s="303"/>
      <c r="U90" s="306"/>
      <c r="V90" s="303"/>
      <c r="W90" s="306"/>
      <c r="X90" s="303"/>
      <c r="Y90" s="306"/>
      <c r="Z90" s="318"/>
      <c r="AA90" s="304"/>
      <c r="AB90" s="305"/>
      <c r="AC90" s="306"/>
      <c r="AD90" s="303"/>
      <c r="AE90" s="306"/>
      <c r="AF90" s="303"/>
      <c r="AG90" s="306"/>
      <c r="AH90" s="303"/>
      <c r="AI90" s="304"/>
      <c r="AJ90" s="305"/>
      <c r="AK90" s="306"/>
    </row>
    <row r="91" spans="1:37">
      <c r="A91" s="298" t="s">
        <v>360</v>
      </c>
      <c r="B91" s="303">
        <v>7558</v>
      </c>
      <c r="C91" s="304">
        <v>7558</v>
      </c>
      <c r="D91" s="303">
        <v>18238</v>
      </c>
      <c r="E91" s="304">
        <v>18238</v>
      </c>
      <c r="F91" s="303">
        <v>11742</v>
      </c>
      <c r="G91" s="304">
        <v>11906</v>
      </c>
      <c r="H91" s="303">
        <v>22632</v>
      </c>
      <c r="I91" s="304">
        <v>22570.5</v>
      </c>
      <c r="J91" s="303">
        <v>21472</v>
      </c>
      <c r="K91" s="304">
        <v>21472</v>
      </c>
      <c r="L91" s="303">
        <v>52480</v>
      </c>
      <c r="M91" s="304">
        <v>52480</v>
      </c>
      <c r="N91" s="303">
        <v>40258.5</v>
      </c>
      <c r="O91" s="304">
        <v>40258.5</v>
      </c>
      <c r="P91" s="303">
        <v>76227</v>
      </c>
      <c r="Q91" s="304">
        <v>76227</v>
      </c>
      <c r="R91" s="305">
        <v>34300</v>
      </c>
      <c r="S91" s="306">
        <v>34300</v>
      </c>
      <c r="T91" s="303">
        <v>60000</v>
      </c>
      <c r="U91" s="306">
        <v>60000</v>
      </c>
      <c r="V91" s="303">
        <v>26725.5</v>
      </c>
      <c r="W91" s="306">
        <v>26725.5</v>
      </c>
      <c r="X91" s="303">
        <v>39374.5</v>
      </c>
      <c r="Y91" s="306">
        <v>39374.5</v>
      </c>
      <c r="Z91" s="318"/>
      <c r="AA91" s="304"/>
      <c r="AB91" s="305"/>
      <c r="AC91" s="306"/>
      <c r="AD91" s="303"/>
      <c r="AE91" s="306"/>
      <c r="AF91" s="303"/>
      <c r="AG91" s="306"/>
      <c r="AH91" s="303"/>
      <c r="AI91" s="304"/>
      <c r="AJ91" s="305"/>
      <c r="AK91" s="306"/>
    </row>
    <row r="92" spans="1:37">
      <c r="A92" s="298" t="s">
        <v>393</v>
      </c>
      <c r="B92" s="303">
        <v>3936</v>
      </c>
      <c r="C92" s="304">
        <v>4008</v>
      </c>
      <c r="D92" s="303">
        <v>17759</v>
      </c>
      <c r="E92" s="304">
        <v>18095</v>
      </c>
      <c r="F92" s="303">
        <v>11903</v>
      </c>
      <c r="G92" s="304">
        <v>12104</v>
      </c>
      <c r="H92" s="303">
        <v>18596</v>
      </c>
      <c r="I92" s="304">
        <v>19052</v>
      </c>
      <c r="J92" s="303">
        <v>18832</v>
      </c>
      <c r="K92" s="304">
        <v>19753</v>
      </c>
      <c r="L92" s="303">
        <v>31345</v>
      </c>
      <c r="M92" s="304">
        <v>31373</v>
      </c>
      <c r="N92" s="303">
        <v>37222.5</v>
      </c>
      <c r="O92" s="304">
        <v>37394</v>
      </c>
      <c r="P92" s="303">
        <v>55109</v>
      </c>
      <c r="Q92" s="304">
        <v>50961</v>
      </c>
      <c r="R92" s="305">
        <v>38387</v>
      </c>
      <c r="S92" s="306">
        <v>40289</v>
      </c>
      <c r="T92" s="303">
        <v>77147</v>
      </c>
      <c r="U92" s="306">
        <v>79049</v>
      </c>
      <c r="V92" s="303">
        <v>33635.75</v>
      </c>
      <c r="W92" s="306">
        <v>34926.5</v>
      </c>
      <c r="X92" s="303">
        <v>36137.75</v>
      </c>
      <c r="Y92" s="306">
        <v>37428.5</v>
      </c>
      <c r="Z92" s="318"/>
      <c r="AA92" s="304"/>
      <c r="AB92" s="305"/>
      <c r="AC92" s="306"/>
      <c r="AD92" s="303"/>
      <c r="AE92" s="306"/>
      <c r="AF92" s="303"/>
      <c r="AG92" s="306"/>
      <c r="AH92" s="303">
        <v>29336</v>
      </c>
      <c r="AI92" s="304">
        <v>29886</v>
      </c>
      <c r="AJ92" s="305">
        <v>56602</v>
      </c>
      <c r="AK92" s="306">
        <v>56922</v>
      </c>
    </row>
    <row r="93" spans="1:37">
      <c r="A93" s="298" t="s">
        <v>507</v>
      </c>
      <c r="B93" s="303">
        <v>4110</v>
      </c>
      <c r="C93" s="304">
        <v>4222</v>
      </c>
      <c r="D93" s="303">
        <v>6600</v>
      </c>
      <c r="E93" s="304">
        <v>7260</v>
      </c>
      <c r="F93" s="303">
        <v>0</v>
      </c>
      <c r="G93" s="304">
        <v>0</v>
      </c>
      <c r="H93" s="303">
        <v>0</v>
      </c>
      <c r="I93" s="304">
        <v>0</v>
      </c>
      <c r="J93" s="303">
        <v>23264.811428571447</v>
      </c>
      <c r="K93" s="304">
        <v>23264.811428571447</v>
      </c>
      <c r="L93" s="303">
        <v>33716.811428571455</v>
      </c>
      <c r="M93" s="304">
        <v>33704.811428571455</v>
      </c>
      <c r="N93" s="303">
        <v>27596</v>
      </c>
      <c r="O93" s="304">
        <v>28998.666666666701</v>
      </c>
      <c r="P93" s="303">
        <v>45314.666666666701</v>
      </c>
      <c r="Q93" s="304">
        <v>46986.666666666701</v>
      </c>
      <c r="R93" s="305">
        <v>42836</v>
      </c>
      <c r="S93" s="306">
        <v>50912</v>
      </c>
      <c r="T93" s="303">
        <v>57236</v>
      </c>
      <c r="U93" s="306">
        <v>65312</v>
      </c>
      <c r="V93" s="303">
        <v>21030</v>
      </c>
      <c r="W93" s="306">
        <v>23216.66666666665</v>
      </c>
      <c r="X93" s="303">
        <v>40529.33333333335</v>
      </c>
      <c r="Y93" s="306">
        <v>47113.33333333335</v>
      </c>
      <c r="Z93" s="318">
        <v>6807</v>
      </c>
      <c r="AA93" s="304">
        <v>16181.4</v>
      </c>
      <c r="AB93" s="305">
        <v>19023</v>
      </c>
      <c r="AC93" s="306">
        <v>28373.4</v>
      </c>
      <c r="AD93" s="303">
        <v>27016</v>
      </c>
      <c r="AE93" s="306">
        <v>26290.666666666701</v>
      </c>
      <c r="AF93" s="303">
        <v>47933.333333333299</v>
      </c>
      <c r="AG93" s="306">
        <v>47208</v>
      </c>
      <c r="AH93" s="303">
        <v>31430.400000000001</v>
      </c>
      <c r="AI93" s="304">
        <v>35541.333333333299</v>
      </c>
      <c r="AJ93" s="305">
        <v>49426.8</v>
      </c>
      <c r="AK93" s="306">
        <v>56477.333333333299</v>
      </c>
    </row>
    <row r="94" spans="1:37">
      <c r="A94" s="298" t="s">
        <v>445</v>
      </c>
      <c r="B94" s="303">
        <v>4620.1000000000004</v>
      </c>
      <c r="C94" s="304">
        <v>4620</v>
      </c>
      <c r="D94" s="303">
        <v>10623</v>
      </c>
      <c r="E94" s="304">
        <v>10622.9</v>
      </c>
      <c r="F94" s="303">
        <v>13137</v>
      </c>
      <c r="G94" s="304">
        <v>13137</v>
      </c>
      <c r="H94" s="303">
        <v>29386</v>
      </c>
      <c r="I94" s="304">
        <v>29545</v>
      </c>
      <c r="J94" s="303">
        <v>35000</v>
      </c>
      <c r="K94" s="304">
        <v>36199</v>
      </c>
      <c r="L94" s="303">
        <v>44000</v>
      </c>
      <c r="M94" s="304">
        <v>45520</v>
      </c>
      <c r="N94" s="303">
        <v>46936</v>
      </c>
      <c r="O94" s="304">
        <v>48365</v>
      </c>
      <c r="P94" s="303">
        <v>57742</v>
      </c>
      <c r="Q94" s="304">
        <v>59475</v>
      </c>
      <c r="R94" s="305">
        <v>60215</v>
      </c>
      <c r="S94" s="306">
        <v>61010</v>
      </c>
      <c r="T94" s="303">
        <v>93884</v>
      </c>
      <c r="U94" s="306">
        <v>94679</v>
      </c>
      <c r="V94" s="303">
        <v>31866</v>
      </c>
      <c r="W94" s="306">
        <v>31984</v>
      </c>
      <c r="X94" s="303">
        <v>45194</v>
      </c>
      <c r="Y94" s="306">
        <v>45312</v>
      </c>
      <c r="Z94" s="318"/>
      <c r="AA94" s="304"/>
      <c r="AB94" s="305"/>
      <c r="AC94" s="306"/>
      <c r="AD94" s="303"/>
      <c r="AE94" s="306"/>
      <c r="AF94" s="303"/>
      <c r="AG94" s="306"/>
      <c r="AH94" s="303">
        <v>25435</v>
      </c>
      <c r="AI94" s="304">
        <v>26086</v>
      </c>
      <c r="AJ94" s="305">
        <v>54568</v>
      </c>
      <c r="AK94" s="306">
        <v>55687</v>
      </c>
    </row>
    <row r="95" spans="1:37">
      <c r="A95" s="298" t="s">
        <v>485</v>
      </c>
      <c r="B95" s="303">
        <v>6001</v>
      </c>
      <c r="C95" s="304">
        <v>6052.5</v>
      </c>
      <c r="D95" s="303">
        <v>11800</v>
      </c>
      <c r="E95" s="304">
        <v>11920</v>
      </c>
      <c r="F95" s="303">
        <v>8644</v>
      </c>
      <c r="G95" s="304">
        <v>8730</v>
      </c>
      <c r="H95" s="303">
        <v>19030</v>
      </c>
      <c r="I95" s="304">
        <v>19030</v>
      </c>
      <c r="J95" s="303">
        <v>24228</v>
      </c>
      <c r="K95" s="304">
        <v>24714</v>
      </c>
      <c r="L95" s="303">
        <v>40248</v>
      </c>
      <c r="M95" s="304">
        <v>41058</v>
      </c>
      <c r="N95" s="303">
        <v>27860</v>
      </c>
      <c r="O95" s="304">
        <v>28119</v>
      </c>
      <c r="P95" s="303">
        <v>59525</v>
      </c>
      <c r="Q95" s="304">
        <v>60233</v>
      </c>
      <c r="R95" s="305">
        <v>25506</v>
      </c>
      <c r="S95" s="306">
        <v>26010</v>
      </c>
      <c r="T95" s="303">
        <v>56574</v>
      </c>
      <c r="U95" s="306">
        <v>57708</v>
      </c>
      <c r="V95" s="303">
        <v>22105</v>
      </c>
      <c r="W95" s="306">
        <v>22748</v>
      </c>
      <c r="X95" s="303">
        <v>40107</v>
      </c>
      <c r="Y95" s="306">
        <v>41241</v>
      </c>
      <c r="Z95" s="318"/>
      <c r="AA95" s="304"/>
      <c r="AB95" s="305"/>
      <c r="AC95" s="306"/>
      <c r="AD95" s="303">
        <v>22472</v>
      </c>
      <c r="AE95" s="306">
        <v>23472</v>
      </c>
      <c r="AF95" s="303">
        <v>53710</v>
      </c>
      <c r="AG95" s="306">
        <v>54710</v>
      </c>
      <c r="AH95" s="303"/>
      <c r="AI95" s="304"/>
      <c r="AJ95" s="305"/>
      <c r="AK95" s="306"/>
    </row>
    <row r="96" spans="1:37" ht="15.75" thickBot="1">
      <c r="A96" s="298" t="s">
        <v>837</v>
      </c>
      <c r="B96" s="303">
        <v>4553</v>
      </c>
      <c r="C96" s="304">
        <v>4620</v>
      </c>
      <c r="D96" s="303">
        <v>10530</v>
      </c>
      <c r="E96" s="304">
        <v>10622.9</v>
      </c>
      <c r="F96" s="303">
        <v>8766</v>
      </c>
      <c r="G96" s="304">
        <v>8965</v>
      </c>
      <c r="H96" s="303">
        <v>19030</v>
      </c>
      <c r="I96" s="304">
        <v>18854</v>
      </c>
      <c r="J96" s="303">
        <v>22751</v>
      </c>
      <c r="K96" s="304">
        <v>22934.45</v>
      </c>
      <c r="L96" s="303">
        <v>38929.5</v>
      </c>
      <c r="M96" s="304">
        <v>39350.449999999997</v>
      </c>
      <c r="N96" s="303">
        <v>31378</v>
      </c>
      <c r="O96" s="304">
        <v>32820</v>
      </c>
      <c r="P96" s="303">
        <v>60838</v>
      </c>
      <c r="Q96" s="304">
        <v>61114.29</v>
      </c>
      <c r="R96" s="310">
        <v>35660</v>
      </c>
      <c r="S96" s="311">
        <v>35170</v>
      </c>
      <c r="T96" s="312">
        <v>67947</v>
      </c>
      <c r="U96" s="311">
        <v>69229</v>
      </c>
      <c r="V96" s="312">
        <v>24232.5</v>
      </c>
      <c r="W96" s="311">
        <v>24683.16666666665</v>
      </c>
      <c r="X96" s="312">
        <v>42843</v>
      </c>
      <c r="Y96" s="311">
        <v>44211.5</v>
      </c>
      <c r="Z96" s="319">
        <v>17149.5</v>
      </c>
      <c r="AA96" s="304">
        <v>22019.7</v>
      </c>
      <c r="AB96" s="310">
        <v>36517.5</v>
      </c>
      <c r="AC96" s="311">
        <v>41192.699999999997</v>
      </c>
      <c r="AD96" s="312">
        <v>24744</v>
      </c>
      <c r="AE96" s="311">
        <v>24881.33333333335</v>
      </c>
      <c r="AF96" s="312">
        <v>50821.66666666665</v>
      </c>
      <c r="AG96" s="311">
        <v>50959</v>
      </c>
      <c r="AH96" s="312">
        <v>25435</v>
      </c>
      <c r="AI96" s="327">
        <v>26086</v>
      </c>
      <c r="AJ96" s="310">
        <v>50456</v>
      </c>
      <c r="AK96" s="311">
        <v>55687</v>
      </c>
    </row>
    <row r="104" spans="1:36" ht="15.75" thickBot="1">
      <c r="A104" s="298" t="s">
        <v>543</v>
      </c>
    </row>
    <row r="105" spans="1:36" ht="15.75" thickBot="1">
      <c r="A105" s="307" t="s">
        <v>844</v>
      </c>
      <c r="B105" s="308" t="s">
        <v>845</v>
      </c>
      <c r="C105" s="309" t="s">
        <v>847</v>
      </c>
      <c r="D105" s="308" t="s">
        <v>849</v>
      </c>
      <c r="E105" s="309" t="s">
        <v>843</v>
      </c>
      <c r="F105" s="308" t="s">
        <v>846</v>
      </c>
      <c r="G105" s="309" t="s">
        <v>850</v>
      </c>
      <c r="H105" s="308" t="s">
        <v>848</v>
      </c>
      <c r="I105" s="309" t="s">
        <v>841</v>
      </c>
      <c r="J105" s="308" t="s">
        <v>842</v>
      </c>
      <c r="K105" s="309" t="s">
        <v>840</v>
      </c>
      <c r="L105" s="308" t="s">
        <v>839</v>
      </c>
      <c r="M105" s="309" t="s">
        <v>851</v>
      </c>
      <c r="N105" s="308" t="s">
        <v>852</v>
      </c>
      <c r="O105" s="301" t="s">
        <v>877</v>
      </c>
      <c r="P105" t="s">
        <v>878</v>
      </c>
      <c r="Q105" s="307" t="s">
        <v>854</v>
      </c>
      <c r="R105" s="308" t="s">
        <v>855</v>
      </c>
      <c r="S105" s="309" t="s">
        <v>856</v>
      </c>
      <c r="T105" s="308" t="s">
        <v>857</v>
      </c>
      <c r="U105" s="309" t="s">
        <v>858</v>
      </c>
      <c r="V105" s="308" t="s">
        <v>859</v>
      </c>
      <c r="W105" s="309" t="s">
        <v>860</v>
      </c>
      <c r="X105" s="308" t="s">
        <v>861</v>
      </c>
      <c r="Y105" s="320" t="s">
        <v>862</v>
      </c>
      <c r="Z105" t="s">
        <v>872</v>
      </c>
      <c r="AA105" s="307" t="s">
        <v>867</v>
      </c>
      <c r="AB105" s="308" t="s">
        <v>868</v>
      </c>
      <c r="AC105" s="309" t="s">
        <v>873</v>
      </c>
      <c r="AD105" s="308" t="s">
        <v>874</v>
      </c>
      <c r="AE105" s="309" t="s">
        <v>875</v>
      </c>
      <c r="AF105" s="308" t="s">
        <v>876</v>
      </c>
      <c r="AG105" s="328" t="s">
        <v>880</v>
      </c>
      <c r="AH105" s="316" t="s">
        <v>881</v>
      </c>
      <c r="AI105" s="329" t="s">
        <v>883</v>
      </c>
      <c r="AJ105" s="308" t="s">
        <v>884</v>
      </c>
    </row>
    <row r="106" spans="1:36" ht="15.75" thickBot="1">
      <c r="A106" s="303">
        <v>4553</v>
      </c>
      <c r="B106" s="304">
        <v>4620</v>
      </c>
      <c r="C106" s="303">
        <v>10530</v>
      </c>
      <c r="D106" s="304">
        <v>10622.9</v>
      </c>
      <c r="E106" s="303">
        <v>8766</v>
      </c>
      <c r="F106" s="304">
        <v>8965</v>
      </c>
      <c r="G106" s="303">
        <v>19030</v>
      </c>
      <c r="H106" s="304">
        <v>18854</v>
      </c>
      <c r="I106" s="303">
        <v>22751</v>
      </c>
      <c r="J106" s="304">
        <v>22934.45</v>
      </c>
      <c r="K106" s="303">
        <v>38929.5</v>
      </c>
      <c r="L106" s="304">
        <v>39350.449999999997</v>
      </c>
      <c r="M106" s="303">
        <v>31378</v>
      </c>
      <c r="N106" s="304">
        <v>32820</v>
      </c>
      <c r="O106" s="303">
        <v>60838</v>
      </c>
      <c r="P106" s="304">
        <v>61114.29</v>
      </c>
      <c r="Q106" s="331">
        <v>35660</v>
      </c>
      <c r="R106" s="332">
        <v>35170</v>
      </c>
      <c r="S106" s="333">
        <v>67947</v>
      </c>
      <c r="T106" s="332">
        <v>69229</v>
      </c>
      <c r="U106" s="333">
        <v>24232.5</v>
      </c>
      <c r="V106" s="332">
        <v>24683.16666666665</v>
      </c>
      <c r="W106" s="333">
        <v>42843</v>
      </c>
      <c r="X106" s="332">
        <v>44211.5</v>
      </c>
      <c r="Y106" s="334">
        <v>17149.5</v>
      </c>
      <c r="Z106" s="304">
        <v>22019.7</v>
      </c>
      <c r="AA106" s="331">
        <v>36517.5</v>
      </c>
      <c r="AB106" s="332">
        <v>41192.699999999997</v>
      </c>
      <c r="AC106" s="333">
        <v>24744</v>
      </c>
      <c r="AD106" s="332">
        <v>24881.33333333335</v>
      </c>
      <c r="AE106" s="333">
        <v>50821.66666666665</v>
      </c>
      <c r="AF106" s="332">
        <v>50959</v>
      </c>
      <c r="AG106" s="312">
        <v>25435</v>
      </c>
      <c r="AH106" s="327">
        <v>26086</v>
      </c>
      <c r="AI106" s="331">
        <v>50456</v>
      </c>
      <c r="AJ106" s="332">
        <v>55687</v>
      </c>
    </row>
    <row r="122" ht="15.75" thickBot="1"/>
    <row r="168" ht="15.75" thickBo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324B9-1158-4942-9968-AE15BEEF340C}">
  <sheetPr codeName="Sheet8">
    <tabColor indexed="12"/>
    <pageSetUpPr fitToPage="1"/>
  </sheetPr>
  <dimension ref="A1:AR675"/>
  <sheetViews>
    <sheetView zoomScale="60" zoomScaleNormal="60" workbookViewId="0">
      <pane xSplit="5" ySplit="5" topLeftCell="M614" activePane="bottomRight" state="frozenSplit"/>
      <selection activeCell="F1" sqref="F1 F1"/>
      <selection pane="topRight"/>
      <selection pane="bottomLeft"/>
      <selection pane="bottomRight" activeCell="A5" sqref="A5:XFD5"/>
    </sheetView>
  </sheetViews>
  <sheetFormatPr defaultColWidth="9" defaultRowHeight="12.75"/>
  <cols>
    <col min="1" max="1" width="6" style="206" customWidth="1"/>
    <col min="2" max="2" width="25.44140625" style="207" customWidth="1"/>
    <col min="3" max="3" width="20.21875" style="207" customWidth="1"/>
    <col min="4" max="4" width="12.21875" style="206" customWidth="1"/>
    <col min="5" max="5" width="7.109375" style="206" bestFit="1" customWidth="1"/>
    <col min="6" max="6" width="8.6640625" style="201" customWidth="1"/>
    <col min="7" max="7" width="9.21875" style="208" customWidth="1"/>
    <col min="8" max="8" width="9.88671875" style="201" customWidth="1"/>
    <col min="9" max="9" width="9.109375" style="208" customWidth="1"/>
    <col min="10" max="10" width="8.6640625" style="209" customWidth="1"/>
    <col min="11" max="11" width="8.44140625" style="208" customWidth="1"/>
    <col min="12" max="12" width="9.88671875" style="201" customWidth="1"/>
    <col min="13" max="13" width="8.88671875" style="208" customWidth="1"/>
    <col min="14" max="14" width="8.6640625" style="210" customWidth="1"/>
    <col min="15" max="15" width="8" style="208" customWidth="1"/>
    <col min="16" max="16" width="9.88671875" style="201" customWidth="1"/>
    <col min="17" max="17" width="8.44140625" style="208" customWidth="1"/>
    <col min="18" max="18" width="8.6640625" style="201" customWidth="1"/>
    <col min="19" max="19" width="8.33203125" style="208" customWidth="1"/>
    <col min="20" max="20" width="9.88671875" style="201" customWidth="1"/>
    <col min="21" max="21" width="8.21875" style="208" customWidth="1"/>
    <col min="22" max="22" width="8.6640625" style="201" customWidth="1"/>
    <col min="23" max="23" width="8.44140625" style="208" customWidth="1"/>
    <col min="24" max="24" width="9.88671875" style="201" customWidth="1"/>
    <col min="25" max="25" width="10.44140625" style="208" customWidth="1"/>
    <col min="26" max="26" width="8.6640625" style="201" customWidth="1"/>
    <col min="27" max="27" width="10.44140625" style="208" customWidth="1"/>
    <col min="28" max="28" width="9.88671875" style="201" customWidth="1"/>
    <col min="29" max="29" width="10.44140625" style="208" customWidth="1"/>
    <col min="30" max="30" width="8.6640625" style="201" customWidth="1"/>
    <col min="31" max="31" width="10.44140625" style="208" customWidth="1"/>
    <col min="32" max="32" width="9.88671875" style="201" customWidth="1"/>
    <col min="33" max="33" width="10.44140625" style="208" customWidth="1"/>
    <col min="34" max="34" width="9.6640625" style="201" customWidth="1"/>
    <col min="35" max="35" width="10.44140625" style="208" customWidth="1"/>
    <col min="36" max="36" width="9.88671875" style="201" customWidth="1"/>
    <col min="37" max="37" width="10.44140625" style="208" customWidth="1"/>
    <col min="38" max="38" width="9.44140625" style="201" customWidth="1"/>
    <col min="39" max="39" width="10.44140625" style="208" customWidth="1"/>
    <col min="40" max="40" width="9.88671875" style="201" customWidth="1"/>
    <col min="41" max="41" width="10.44140625" style="208" customWidth="1"/>
    <col min="42" max="42" width="9" style="201" customWidth="1"/>
    <col min="43" max="16384" width="9" style="201"/>
  </cols>
  <sheetData>
    <row r="1" spans="1:43" s="179" customFormat="1" ht="18.75" customHeight="1" thickBot="1">
      <c r="A1" s="178" t="s">
        <v>1048</v>
      </c>
      <c r="B1" s="178"/>
      <c r="C1" s="178"/>
      <c r="D1" s="178"/>
      <c r="E1" s="178"/>
      <c r="J1" s="180"/>
      <c r="N1" s="180"/>
      <c r="R1" s="180"/>
      <c r="V1" s="180"/>
      <c r="Z1" s="180"/>
      <c r="AD1" s="180"/>
      <c r="AH1" s="180"/>
      <c r="AL1" s="180"/>
      <c r="AO1" s="181"/>
    </row>
    <row r="2" spans="1:43" s="183" customFormat="1" ht="15" customHeight="1" thickTop="1">
      <c r="A2" s="182" t="s">
        <v>610</v>
      </c>
      <c r="F2" s="184" t="s">
        <v>0</v>
      </c>
      <c r="G2" s="214"/>
      <c r="H2" s="214"/>
      <c r="I2" s="214"/>
      <c r="J2" s="184" t="s">
        <v>1</v>
      </c>
      <c r="K2" s="214"/>
      <c r="L2" s="214"/>
      <c r="M2" s="214"/>
      <c r="N2" s="184" t="s">
        <v>2</v>
      </c>
      <c r="O2" s="214"/>
      <c r="P2" s="214"/>
      <c r="Q2" s="214"/>
      <c r="R2" s="184" t="s">
        <v>3</v>
      </c>
      <c r="S2" s="214"/>
      <c r="T2" s="214"/>
      <c r="U2" s="214"/>
      <c r="V2" s="184" t="s">
        <v>4</v>
      </c>
      <c r="W2" s="214"/>
      <c r="X2" s="214"/>
      <c r="Y2" s="214"/>
      <c r="Z2" s="184" t="s">
        <v>5</v>
      </c>
      <c r="AA2" s="214"/>
      <c r="AB2" s="214"/>
      <c r="AC2" s="214"/>
      <c r="AD2" s="184" t="s">
        <v>6</v>
      </c>
      <c r="AE2" s="214"/>
      <c r="AF2" s="214"/>
      <c r="AG2" s="214"/>
      <c r="AH2" s="184" t="s">
        <v>7</v>
      </c>
      <c r="AI2" s="214"/>
      <c r="AJ2" s="214"/>
      <c r="AK2" s="214"/>
      <c r="AL2" s="184" t="s">
        <v>8</v>
      </c>
      <c r="AM2" s="214"/>
      <c r="AN2" s="214"/>
      <c r="AO2" s="185"/>
    </row>
    <row r="3" spans="1:43" s="191" customFormat="1" ht="15" customHeight="1">
      <c r="A3" s="547" t="s">
        <v>9</v>
      </c>
      <c r="B3" s="548"/>
      <c r="C3" s="548"/>
      <c r="D3" s="548"/>
      <c r="E3" s="548"/>
      <c r="F3" s="186" t="s">
        <v>10</v>
      </c>
      <c r="G3" s="187"/>
      <c r="H3" s="186" t="s">
        <v>11</v>
      </c>
      <c r="I3" s="188"/>
      <c r="J3" s="186" t="s">
        <v>10</v>
      </c>
      <c r="K3" s="187"/>
      <c r="L3" s="186" t="s">
        <v>11</v>
      </c>
      <c r="M3" s="188"/>
      <c r="N3" s="186" t="s">
        <v>10</v>
      </c>
      <c r="O3" s="187"/>
      <c r="P3" s="186" t="s">
        <v>11</v>
      </c>
      <c r="Q3" s="188"/>
      <c r="R3" s="186" t="s">
        <v>10</v>
      </c>
      <c r="S3" s="187"/>
      <c r="T3" s="186" t="s">
        <v>11</v>
      </c>
      <c r="U3" s="188"/>
      <c r="V3" s="186" t="s">
        <v>10</v>
      </c>
      <c r="W3" s="187"/>
      <c r="X3" s="186" t="s">
        <v>11</v>
      </c>
      <c r="Y3" s="188"/>
      <c r="Z3" s="186" t="s">
        <v>10</v>
      </c>
      <c r="AA3" s="187"/>
      <c r="AB3" s="186" t="s">
        <v>11</v>
      </c>
      <c r="AC3" s="188"/>
      <c r="AD3" s="186" t="s">
        <v>10</v>
      </c>
      <c r="AE3" s="187"/>
      <c r="AF3" s="186" t="s">
        <v>11</v>
      </c>
      <c r="AG3" s="188"/>
      <c r="AH3" s="186" t="s">
        <v>10</v>
      </c>
      <c r="AI3" s="187"/>
      <c r="AJ3" s="186" t="s">
        <v>11</v>
      </c>
      <c r="AK3" s="188"/>
      <c r="AL3" s="186" t="s">
        <v>10</v>
      </c>
      <c r="AM3" s="187"/>
      <c r="AN3" s="186" t="s">
        <v>11</v>
      </c>
      <c r="AO3" s="187"/>
      <c r="AP3" s="189"/>
      <c r="AQ3" s="190"/>
    </row>
    <row r="4" spans="1:43" s="191" customFormat="1" ht="27.6" customHeight="1">
      <c r="A4" s="532" t="s">
        <v>12</v>
      </c>
      <c r="B4" s="533" t="s">
        <v>13</v>
      </c>
      <c r="C4" s="533" t="s">
        <v>14</v>
      </c>
      <c r="D4" s="532" t="s">
        <v>15</v>
      </c>
      <c r="E4" s="534" t="s">
        <v>16</v>
      </c>
      <c r="F4" s="296" t="s">
        <v>836</v>
      </c>
      <c r="G4" s="192" t="s">
        <v>1031</v>
      </c>
      <c r="H4" s="296" t="s">
        <v>836</v>
      </c>
      <c r="I4" s="192" t="s">
        <v>1031</v>
      </c>
      <c r="J4" s="296" t="s">
        <v>836</v>
      </c>
      <c r="K4" s="192" t="s">
        <v>1031</v>
      </c>
      <c r="L4" s="296" t="s">
        <v>836</v>
      </c>
      <c r="M4" s="192" t="s">
        <v>1031</v>
      </c>
      <c r="N4" s="296" t="s">
        <v>836</v>
      </c>
      <c r="O4" s="192" t="s">
        <v>1031</v>
      </c>
      <c r="P4" s="296" t="s">
        <v>836</v>
      </c>
      <c r="Q4" s="192" t="s">
        <v>1031</v>
      </c>
      <c r="R4" s="296" t="s">
        <v>836</v>
      </c>
      <c r="S4" s="192" t="s">
        <v>1031</v>
      </c>
      <c r="T4" s="296" t="s">
        <v>836</v>
      </c>
      <c r="U4" s="192" t="s">
        <v>1031</v>
      </c>
      <c r="V4" s="296" t="s">
        <v>836</v>
      </c>
      <c r="W4" s="192" t="s">
        <v>1031</v>
      </c>
      <c r="X4" s="296" t="s">
        <v>836</v>
      </c>
      <c r="Y4" s="192" t="s">
        <v>1031</v>
      </c>
      <c r="Z4" s="296" t="s">
        <v>836</v>
      </c>
      <c r="AA4" s="192" t="s">
        <v>1031</v>
      </c>
      <c r="AB4" s="296" t="s">
        <v>836</v>
      </c>
      <c r="AC4" s="192" t="s">
        <v>1031</v>
      </c>
      <c r="AD4" s="296" t="s">
        <v>836</v>
      </c>
      <c r="AE4" s="192" t="s">
        <v>1031</v>
      </c>
      <c r="AF4" s="296" t="s">
        <v>836</v>
      </c>
      <c r="AG4" s="192" t="s">
        <v>1031</v>
      </c>
      <c r="AH4" s="296" t="s">
        <v>836</v>
      </c>
      <c r="AI4" s="192" t="s">
        <v>1031</v>
      </c>
      <c r="AJ4" s="296" t="s">
        <v>836</v>
      </c>
      <c r="AK4" s="192" t="s">
        <v>1031</v>
      </c>
      <c r="AL4" s="296" t="s">
        <v>836</v>
      </c>
      <c r="AM4" s="192" t="s">
        <v>1031</v>
      </c>
      <c r="AN4" s="296" t="s">
        <v>836</v>
      </c>
      <c r="AO4" s="192" t="s">
        <v>1031</v>
      </c>
      <c r="AP4" s="193"/>
      <c r="AQ4" s="194"/>
    </row>
    <row r="5" spans="1:43" s="53" customFormat="1" ht="30.75" customHeight="1">
      <c r="A5" s="195" t="s">
        <v>12</v>
      </c>
      <c r="B5" s="196" t="s">
        <v>17</v>
      </c>
      <c r="C5" s="196" t="s">
        <v>838</v>
      </c>
      <c r="D5" s="195" t="s">
        <v>18</v>
      </c>
      <c r="E5" s="195" t="s">
        <v>19</v>
      </c>
      <c r="F5" s="197" t="s">
        <v>20</v>
      </c>
      <c r="G5" s="197" t="s">
        <v>21</v>
      </c>
      <c r="H5" s="197" t="s">
        <v>22</v>
      </c>
      <c r="I5" s="197" t="s">
        <v>23</v>
      </c>
      <c r="J5" s="198" t="s">
        <v>24</v>
      </c>
      <c r="K5" s="197" t="s">
        <v>25</v>
      </c>
      <c r="L5" s="197" t="s">
        <v>26</v>
      </c>
      <c r="M5" s="197" t="s">
        <v>27</v>
      </c>
      <c r="N5" s="198" t="s">
        <v>28</v>
      </c>
      <c r="O5" s="197" t="s">
        <v>29</v>
      </c>
      <c r="P5" s="197" t="s">
        <v>30</v>
      </c>
      <c r="Q5" s="197" t="s">
        <v>31</v>
      </c>
      <c r="R5" s="198" t="s">
        <v>32</v>
      </c>
      <c r="S5" s="197" t="s">
        <v>33</v>
      </c>
      <c r="T5" s="197" t="s">
        <v>34</v>
      </c>
      <c r="U5" s="197" t="s">
        <v>35</v>
      </c>
      <c r="V5" s="198" t="s">
        <v>36</v>
      </c>
      <c r="W5" s="197" t="s">
        <v>37</v>
      </c>
      <c r="X5" s="197" t="s">
        <v>38</v>
      </c>
      <c r="Y5" s="197" t="s">
        <v>39</v>
      </c>
      <c r="Z5" s="198" t="s">
        <v>40</v>
      </c>
      <c r="AA5" s="197" t="s">
        <v>41</v>
      </c>
      <c r="AB5" s="197" t="s">
        <v>42</v>
      </c>
      <c r="AC5" s="197" t="s">
        <v>43</v>
      </c>
      <c r="AD5" s="198" t="s">
        <v>44</v>
      </c>
      <c r="AE5" s="197" t="s">
        <v>45</v>
      </c>
      <c r="AF5" s="197" t="s">
        <v>46</v>
      </c>
      <c r="AG5" s="197" t="s">
        <v>47</v>
      </c>
      <c r="AH5" s="198" t="s">
        <v>48</v>
      </c>
      <c r="AI5" s="197" t="s">
        <v>49</v>
      </c>
      <c r="AJ5" s="197" t="s">
        <v>50</v>
      </c>
      <c r="AK5" s="197" t="s">
        <v>51</v>
      </c>
      <c r="AL5" s="198" t="s">
        <v>52</v>
      </c>
      <c r="AM5" s="197" t="s">
        <v>53</v>
      </c>
      <c r="AN5" s="197" t="s">
        <v>54</v>
      </c>
      <c r="AO5" s="197" t="s">
        <v>55</v>
      </c>
      <c r="AP5" s="199"/>
      <c r="AQ5" s="200"/>
    </row>
    <row r="6" spans="1:43">
      <c r="A6" s="340" t="s">
        <v>56</v>
      </c>
      <c r="B6" s="341" t="s">
        <v>57</v>
      </c>
      <c r="C6" s="421"/>
      <c r="D6" s="416">
        <v>100858</v>
      </c>
      <c r="E6" s="416">
        <v>1</v>
      </c>
      <c r="F6" s="390">
        <v>11796</v>
      </c>
      <c r="G6" s="391">
        <v>11826</v>
      </c>
      <c r="H6" s="390">
        <v>31956</v>
      </c>
      <c r="I6" s="391">
        <v>31986</v>
      </c>
      <c r="J6" s="390">
        <v>11796</v>
      </c>
      <c r="K6" s="391">
        <v>11826</v>
      </c>
      <c r="L6" s="390">
        <v>31956</v>
      </c>
      <c r="M6" s="391">
        <v>31986</v>
      </c>
      <c r="N6" s="390"/>
      <c r="O6" s="391"/>
      <c r="P6" s="390"/>
      <c r="Q6" s="391"/>
      <c r="R6" s="390"/>
      <c r="S6" s="391"/>
      <c r="T6" s="390"/>
      <c r="U6" s="391"/>
      <c r="V6" s="390"/>
      <c r="W6" s="391"/>
      <c r="X6" s="390"/>
      <c r="Y6" s="391"/>
      <c r="Z6" s="390">
        <v>22362</v>
      </c>
      <c r="AA6" s="391">
        <v>22392</v>
      </c>
      <c r="AB6" s="390">
        <v>42522</v>
      </c>
      <c r="AC6" s="391">
        <v>42552</v>
      </c>
      <c r="AD6" s="390"/>
      <c r="AE6" s="391"/>
      <c r="AF6" s="390"/>
      <c r="AG6" s="391"/>
      <c r="AH6" s="390"/>
      <c r="AI6" s="391"/>
      <c r="AJ6" s="390"/>
      <c r="AK6" s="391"/>
      <c r="AL6" s="390">
        <v>24296</v>
      </c>
      <c r="AM6" s="391">
        <v>24326</v>
      </c>
      <c r="AN6" s="390">
        <v>50456</v>
      </c>
      <c r="AO6" s="391">
        <v>50486</v>
      </c>
      <c r="AP6" s="392"/>
    </row>
    <row r="7" spans="1:43">
      <c r="A7" s="340" t="s">
        <v>56</v>
      </c>
      <c r="B7" s="341" t="s">
        <v>58</v>
      </c>
      <c r="C7" s="422"/>
      <c r="D7" s="417">
        <v>100751</v>
      </c>
      <c r="E7" s="417">
        <v>1</v>
      </c>
      <c r="F7" s="390">
        <v>11620</v>
      </c>
      <c r="G7" s="391">
        <v>11620</v>
      </c>
      <c r="H7" s="390">
        <v>31090</v>
      </c>
      <c r="I7" s="391">
        <v>31090</v>
      </c>
      <c r="J7" s="390">
        <v>11470</v>
      </c>
      <c r="K7" s="391">
        <v>11470</v>
      </c>
      <c r="L7" s="390">
        <v>30940</v>
      </c>
      <c r="M7" s="391">
        <v>30940</v>
      </c>
      <c r="N7" s="390">
        <v>23910</v>
      </c>
      <c r="O7" s="391">
        <v>23910</v>
      </c>
      <c r="P7" s="390">
        <v>43360</v>
      </c>
      <c r="Q7" s="391">
        <v>43360</v>
      </c>
      <c r="R7" s="390">
        <v>29702</v>
      </c>
      <c r="S7" s="391">
        <v>29998</v>
      </c>
      <c r="T7" s="390">
        <v>62714</v>
      </c>
      <c r="U7" s="391">
        <v>62714</v>
      </c>
      <c r="V7" s="390"/>
      <c r="W7" s="391"/>
      <c r="X7" s="390"/>
      <c r="Y7" s="391"/>
      <c r="Z7" s="390"/>
      <c r="AA7" s="391"/>
      <c r="AB7" s="390"/>
      <c r="AC7" s="391"/>
      <c r="AD7" s="390"/>
      <c r="AE7" s="391"/>
      <c r="AF7" s="390"/>
      <c r="AG7" s="391"/>
      <c r="AH7" s="390"/>
      <c r="AI7" s="391"/>
      <c r="AJ7" s="390"/>
      <c r="AK7" s="391"/>
      <c r="AL7" s="390"/>
      <c r="AM7" s="391"/>
      <c r="AN7" s="390"/>
      <c r="AO7" s="391"/>
      <c r="AP7" s="392"/>
    </row>
    <row r="8" spans="1:43">
      <c r="A8" s="340" t="s">
        <v>56</v>
      </c>
      <c r="B8" s="341" t="s">
        <v>59</v>
      </c>
      <c r="C8" s="423"/>
      <c r="D8" s="417">
        <v>100663</v>
      </c>
      <c r="E8" s="417">
        <v>1</v>
      </c>
      <c r="F8" s="390">
        <v>10710</v>
      </c>
      <c r="G8" s="391">
        <v>10710</v>
      </c>
      <c r="H8" s="390">
        <v>25500</v>
      </c>
      <c r="I8" s="391">
        <v>25500</v>
      </c>
      <c r="J8" s="390">
        <v>10800</v>
      </c>
      <c r="K8" s="391">
        <v>10800</v>
      </c>
      <c r="L8" s="390">
        <v>25584</v>
      </c>
      <c r="M8" s="391">
        <v>25584</v>
      </c>
      <c r="N8" s="390"/>
      <c r="O8" s="391"/>
      <c r="P8" s="390"/>
      <c r="Q8" s="391"/>
      <c r="R8" s="390">
        <v>29702</v>
      </c>
      <c r="S8" s="391">
        <v>29998</v>
      </c>
      <c r="T8" s="390">
        <v>62714</v>
      </c>
      <c r="U8" s="391">
        <v>62714</v>
      </c>
      <c r="V8" s="390">
        <v>29484</v>
      </c>
      <c r="W8" s="391">
        <v>29782</v>
      </c>
      <c r="X8" s="390">
        <v>68726</v>
      </c>
      <c r="Y8" s="391">
        <v>69420</v>
      </c>
      <c r="Z8" s="390"/>
      <c r="AA8" s="391"/>
      <c r="AB8" s="390"/>
      <c r="AC8" s="391"/>
      <c r="AD8" s="390">
        <v>27492</v>
      </c>
      <c r="AE8" s="391">
        <v>27858</v>
      </c>
      <c r="AF8" s="390">
        <v>54012</v>
      </c>
      <c r="AG8" s="391">
        <v>54012</v>
      </c>
      <c r="AH8" s="390"/>
      <c r="AI8" s="391"/>
      <c r="AJ8" s="390"/>
      <c r="AK8" s="391"/>
      <c r="AL8" s="390"/>
      <c r="AM8" s="391"/>
      <c r="AN8" s="390"/>
      <c r="AO8" s="391"/>
      <c r="AP8" s="392"/>
    </row>
    <row r="9" spans="1:43">
      <c r="A9" s="340" t="s">
        <v>56</v>
      </c>
      <c r="B9" s="341" t="s">
        <v>60</v>
      </c>
      <c r="C9" s="424"/>
      <c r="D9" s="417">
        <v>100706</v>
      </c>
      <c r="E9" s="343">
        <v>2</v>
      </c>
      <c r="F9" s="390">
        <v>11338</v>
      </c>
      <c r="G9" s="391">
        <v>11380</v>
      </c>
      <c r="H9" s="390">
        <v>23734</v>
      </c>
      <c r="I9" s="391">
        <v>23776</v>
      </c>
      <c r="J9" s="390">
        <v>11918</v>
      </c>
      <c r="K9" s="391">
        <v>11952</v>
      </c>
      <c r="L9" s="390">
        <v>25716</v>
      </c>
      <c r="M9" s="391">
        <v>25750</v>
      </c>
      <c r="N9" s="390"/>
      <c r="O9" s="391"/>
      <c r="P9" s="390"/>
      <c r="Q9" s="391"/>
      <c r="R9" s="390"/>
      <c r="S9" s="391"/>
      <c r="T9" s="390"/>
      <c r="U9" s="391"/>
      <c r="V9" s="390"/>
      <c r="W9" s="391"/>
      <c r="X9" s="390"/>
      <c r="Y9" s="391"/>
      <c r="Z9" s="390"/>
      <c r="AA9" s="391"/>
      <c r="AB9" s="390"/>
      <c r="AC9" s="391"/>
      <c r="AD9" s="390"/>
      <c r="AE9" s="391"/>
      <c r="AF9" s="390"/>
      <c r="AG9" s="391"/>
      <c r="AH9" s="390"/>
      <c r="AI9" s="391"/>
      <c r="AJ9" s="390"/>
      <c r="AK9" s="391"/>
      <c r="AL9" s="390"/>
      <c r="AM9" s="391"/>
      <c r="AN9" s="390"/>
      <c r="AO9" s="391"/>
      <c r="AP9" s="392"/>
    </row>
    <row r="10" spans="1:43">
      <c r="A10" s="340" t="s">
        <v>56</v>
      </c>
      <c r="B10" s="341" t="s">
        <v>64</v>
      </c>
      <c r="C10" s="346"/>
      <c r="D10" s="417">
        <v>102094</v>
      </c>
      <c r="E10" s="343">
        <v>2</v>
      </c>
      <c r="F10" s="390">
        <v>10070</v>
      </c>
      <c r="G10" s="391">
        <v>10520</v>
      </c>
      <c r="H10" s="390">
        <v>19940</v>
      </c>
      <c r="I10" s="391">
        <v>20840</v>
      </c>
      <c r="J10" s="390">
        <v>10808</v>
      </c>
      <c r="K10" s="391">
        <v>11168</v>
      </c>
      <c r="L10" s="390">
        <v>21416</v>
      </c>
      <c r="M10" s="391">
        <v>22136</v>
      </c>
      <c r="N10" s="390"/>
      <c r="O10" s="391"/>
      <c r="P10" s="390"/>
      <c r="Q10" s="391"/>
      <c r="R10" s="390">
        <v>31378</v>
      </c>
      <c r="S10" s="391">
        <v>32820</v>
      </c>
      <c r="T10" s="390">
        <v>62382</v>
      </c>
      <c r="U10" s="391">
        <v>64754</v>
      </c>
      <c r="V10" s="390"/>
      <c r="W10" s="391"/>
      <c r="X10" s="390"/>
      <c r="Y10" s="391"/>
      <c r="Z10" s="390"/>
      <c r="AA10" s="391"/>
      <c r="AB10" s="390"/>
      <c r="AC10" s="391"/>
      <c r="AD10" s="390"/>
      <c r="AE10" s="391"/>
      <c r="AF10" s="390"/>
      <c r="AG10" s="391"/>
      <c r="AH10" s="390"/>
      <c r="AI10" s="391"/>
      <c r="AJ10" s="390"/>
      <c r="AK10" s="391"/>
      <c r="AL10" s="390"/>
      <c r="AM10" s="391"/>
      <c r="AN10" s="390"/>
      <c r="AO10" s="391"/>
      <c r="AP10" s="392"/>
    </row>
    <row r="11" spans="1:43">
      <c r="A11" s="340" t="s">
        <v>56</v>
      </c>
      <c r="B11" s="341" t="s">
        <v>61</v>
      </c>
      <c r="C11" s="422"/>
      <c r="D11" s="417">
        <v>100654</v>
      </c>
      <c r="E11" s="343">
        <v>3</v>
      </c>
      <c r="F11" s="390">
        <v>10024</v>
      </c>
      <c r="G11" s="391">
        <v>10024</v>
      </c>
      <c r="H11" s="390">
        <v>18634</v>
      </c>
      <c r="I11" s="391">
        <v>18634</v>
      </c>
      <c r="J11" s="390">
        <v>11542</v>
      </c>
      <c r="K11" s="391">
        <v>11542</v>
      </c>
      <c r="L11" s="390">
        <v>21574</v>
      </c>
      <c r="M11" s="391">
        <v>21574</v>
      </c>
      <c r="N11" s="390"/>
      <c r="O11" s="391"/>
      <c r="P11" s="390"/>
      <c r="Q11" s="391"/>
      <c r="R11" s="390"/>
      <c r="S11" s="391"/>
      <c r="T11" s="390"/>
      <c r="U11" s="391"/>
      <c r="V11" s="390"/>
      <c r="W11" s="391"/>
      <c r="X11" s="390"/>
      <c r="Y11" s="391"/>
      <c r="Z11" s="390"/>
      <c r="AA11" s="391"/>
      <c r="AB11" s="390"/>
      <c r="AC11" s="391"/>
      <c r="AD11" s="390"/>
      <c r="AE11" s="391"/>
      <c r="AF11" s="390"/>
      <c r="AG11" s="391"/>
      <c r="AH11" s="390"/>
      <c r="AI11" s="391"/>
      <c r="AJ11" s="390"/>
      <c r="AK11" s="391"/>
      <c r="AL11" s="390"/>
      <c r="AM11" s="391"/>
      <c r="AN11" s="390"/>
      <c r="AO11" s="391"/>
      <c r="AP11" s="392"/>
    </row>
    <row r="12" spans="1:43">
      <c r="A12" s="340" t="s">
        <v>56</v>
      </c>
      <c r="B12" s="341" t="s">
        <v>62</v>
      </c>
      <c r="C12" s="422"/>
      <c r="D12" s="417">
        <v>101480</v>
      </c>
      <c r="E12" s="343">
        <v>3</v>
      </c>
      <c r="F12" s="390">
        <v>11120</v>
      </c>
      <c r="G12" s="391">
        <v>11120</v>
      </c>
      <c r="H12" s="390">
        <v>20840</v>
      </c>
      <c r="I12" s="391">
        <v>20840</v>
      </c>
      <c r="J12" s="390">
        <v>10600</v>
      </c>
      <c r="K12" s="391">
        <v>10600</v>
      </c>
      <c r="L12" s="390">
        <v>20200</v>
      </c>
      <c r="M12" s="391">
        <v>20200</v>
      </c>
      <c r="N12" s="390"/>
      <c r="O12" s="391"/>
      <c r="P12" s="390"/>
      <c r="Q12" s="391"/>
      <c r="R12" s="390"/>
      <c r="S12" s="391"/>
      <c r="T12" s="390"/>
      <c r="U12" s="391"/>
      <c r="V12" s="390"/>
      <c r="W12" s="391"/>
      <c r="X12" s="390"/>
      <c r="Y12" s="391"/>
      <c r="Z12" s="390"/>
      <c r="AA12" s="391"/>
      <c r="AB12" s="390"/>
      <c r="AC12" s="391"/>
      <c r="AD12" s="390"/>
      <c r="AE12" s="391"/>
      <c r="AF12" s="390"/>
      <c r="AG12" s="391"/>
      <c r="AH12" s="390"/>
      <c r="AI12" s="391"/>
      <c r="AJ12" s="390"/>
      <c r="AK12" s="391"/>
      <c r="AL12" s="390"/>
      <c r="AM12" s="391"/>
      <c r="AN12" s="390"/>
      <c r="AO12" s="391"/>
      <c r="AP12" s="392"/>
    </row>
    <row r="13" spans="1:43">
      <c r="A13" s="340" t="s">
        <v>56</v>
      </c>
      <c r="B13" s="341" t="s">
        <v>63</v>
      </c>
      <c r="C13" s="422"/>
      <c r="D13" s="417">
        <v>102368</v>
      </c>
      <c r="E13" s="343">
        <v>3</v>
      </c>
      <c r="F13" s="390">
        <v>11110</v>
      </c>
      <c r="G13" s="391">
        <v>11640</v>
      </c>
      <c r="H13" s="390">
        <v>20860</v>
      </c>
      <c r="I13" s="391">
        <v>23280</v>
      </c>
      <c r="J13" s="390">
        <v>11308</v>
      </c>
      <c r="K13" s="391">
        <v>11400</v>
      </c>
      <c r="L13" s="390">
        <v>21508</v>
      </c>
      <c r="M13" s="391">
        <v>22800</v>
      </c>
      <c r="N13" s="390"/>
      <c r="O13" s="391"/>
      <c r="P13" s="390"/>
      <c r="Q13" s="391"/>
      <c r="R13" s="390"/>
      <c r="S13" s="391"/>
      <c r="T13" s="390"/>
      <c r="U13" s="391"/>
      <c r="V13" s="390"/>
      <c r="W13" s="391"/>
      <c r="X13" s="390"/>
      <c r="Y13" s="391"/>
      <c r="Z13" s="390"/>
      <c r="AA13" s="391"/>
      <c r="AB13" s="390"/>
      <c r="AC13" s="391"/>
      <c r="AD13" s="390"/>
      <c r="AE13" s="391"/>
      <c r="AF13" s="390"/>
      <c r="AG13" s="391"/>
      <c r="AH13" s="390"/>
      <c r="AI13" s="391"/>
      <c r="AJ13" s="390"/>
      <c r="AK13" s="391"/>
      <c r="AL13" s="390"/>
      <c r="AM13" s="391"/>
      <c r="AN13" s="390"/>
      <c r="AO13" s="391"/>
      <c r="AP13" s="392"/>
    </row>
    <row r="14" spans="1:43">
      <c r="A14" s="340" t="s">
        <v>56</v>
      </c>
      <c r="B14" s="341" t="s">
        <v>67</v>
      </c>
      <c r="C14" s="423"/>
      <c r="D14" s="417">
        <v>101879</v>
      </c>
      <c r="E14" s="343">
        <v>3</v>
      </c>
      <c r="F14" s="390">
        <v>10800</v>
      </c>
      <c r="G14" s="391">
        <v>10800</v>
      </c>
      <c r="H14" s="390">
        <v>20400</v>
      </c>
      <c r="I14" s="391">
        <v>20400</v>
      </c>
      <c r="J14" s="390">
        <v>9600</v>
      </c>
      <c r="K14" s="391">
        <v>9600</v>
      </c>
      <c r="L14" s="390">
        <v>18480</v>
      </c>
      <c r="M14" s="391">
        <v>18480</v>
      </c>
      <c r="N14" s="390"/>
      <c r="O14" s="391"/>
      <c r="P14" s="390"/>
      <c r="Q14" s="391"/>
      <c r="R14" s="390"/>
      <c r="S14" s="391"/>
      <c r="T14" s="390"/>
      <c r="U14" s="391"/>
      <c r="V14" s="390"/>
      <c r="W14" s="391"/>
      <c r="X14" s="390"/>
      <c r="Y14" s="391"/>
      <c r="Z14" s="390"/>
      <c r="AA14" s="391"/>
      <c r="AB14" s="390"/>
      <c r="AC14" s="391"/>
      <c r="AD14" s="390"/>
      <c r="AE14" s="391"/>
      <c r="AF14" s="390"/>
      <c r="AG14" s="391"/>
      <c r="AH14" s="390"/>
      <c r="AI14" s="391"/>
      <c r="AJ14" s="390"/>
      <c r="AK14" s="391"/>
      <c r="AL14" s="390"/>
      <c r="AM14" s="391"/>
      <c r="AN14" s="390"/>
      <c r="AO14" s="391"/>
      <c r="AP14" s="392"/>
    </row>
    <row r="15" spans="1:43">
      <c r="A15" s="340" t="s">
        <v>56</v>
      </c>
      <c r="B15" s="341" t="s">
        <v>65</v>
      </c>
      <c r="C15" s="422"/>
      <c r="D15" s="417">
        <v>100724</v>
      </c>
      <c r="E15" s="343">
        <v>4</v>
      </c>
      <c r="F15" s="390">
        <v>11068</v>
      </c>
      <c r="G15" s="391">
        <v>11168</v>
      </c>
      <c r="H15" s="390">
        <v>19396</v>
      </c>
      <c r="I15" s="391">
        <v>19496</v>
      </c>
      <c r="J15" s="390">
        <v>12628</v>
      </c>
      <c r="K15" s="391">
        <v>12728</v>
      </c>
      <c r="L15" s="390">
        <v>22516</v>
      </c>
      <c r="M15" s="391">
        <v>22616</v>
      </c>
      <c r="N15" s="390"/>
      <c r="O15" s="391"/>
      <c r="P15" s="390"/>
      <c r="Q15" s="391"/>
      <c r="R15" s="390"/>
      <c r="S15" s="391"/>
      <c r="T15" s="390"/>
      <c r="U15" s="391"/>
      <c r="V15" s="390"/>
      <c r="W15" s="391"/>
      <c r="X15" s="390"/>
      <c r="Y15" s="391"/>
      <c r="Z15" s="390"/>
      <c r="AA15" s="391"/>
      <c r="AB15" s="390"/>
      <c r="AC15" s="391"/>
      <c r="AD15" s="390"/>
      <c r="AE15" s="391"/>
      <c r="AF15" s="390"/>
      <c r="AG15" s="391"/>
      <c r="AH15" s="390"/>
      <c r="AI15" s="391"/>
      <c r="AJ15" s="390"/>
      <c r="AK15" s="391"/>
      <c r="AL15" s="390"/>
      <c r="AM15" s="391"/>
      <c r="AN15" s="390"/>
      <c r="AO15" s="391"/>
      <c r="AP15" s="392"/>
    </row>
    <row r="16" spans="1:43">
      <c r="A16" s="340" t="s">
        <v>56</v>
      </c>
      <c r="B16" s="341" t="s">
        <v>66</v>
      </c>
      <c r="C16" s="347"/>
      <c r="D16" s="418" t="s">
        <v>973</v>
      </c>
      <c r="E16" s="343">
        <v>3</v>
      </c>
      <c r="F16" s="390">
        <v>10918</v>
      </c>
      <c r="G16" s="391">
        <v>10918</v>
      </c>
      <c r="H16" s="390">
        <v>23368</v>
      </c>
      <c r="I16" s="391">
        <v>23368</v>
      </c>
      <c r="J16" s="390">
        <v>10930</v>
      </c>
      <c r="K16" s="391">
        <v>10930</v>
      </c>
      <c r="L16" s="390">
        <v>23554</v>
      </c>
      <c r="M16" s="391">
        <v>23554</v>
      </c>
      <c r="N16" s="390"/>
      <c r="O16" s="391"/>
      <c r="P16" s="390"/>
      <c r="Q16" s="391"/>
      <c r="R16" s="390"/>
      <c r="S16" s="391"/>
      <c r="T16" s="390"/>
      <c r="U16" s="391"/>
      <c r="V16" s="390"/>
      <c r="W16" s="391"/>
      <c r="X16" s="390"/>
      <c r="Y16" s="391"/>
      <c r="Z16" s="390"/>
      <c r="AA16" s="391"/>
      <c r="AB16" s="390"/>
      <c r="AC16" s="391"/>
      <c r="AD16" s="390"/>
      <c r="AE16" s="391"/>
      <c r="AF16" s="390"/>
      <c r="AG16" s="391"/>
      <c r="AH16" s="390"/>
      <c r="AI16" s="391"/>
      <c r="AJ16" s="390"/>
      <c r="AK16" s="391"/>
      <c r="AL16" s="390"/>
      <c r="AM16" s="391"/>
      <c r="AN16" s="390"/>
      <c r="AO16" s="391"/>
      <c r="AP16" s="392"/>
    </row>
    <row r="17" spans="1:42">
      <c r="A17" s="340" t="s">
        <v>56</v>
      </c>
      <c r="B17" s="341" t="s">
        <v>68</v>
      </c>
      <c r="C17" s="422"/>
      <c r="D17" s="417">
        <v>101709</v>
      </c>
      <c r="E17" s="343">
        <v>5</v>
      </c>
      <c r="F17" s="390">
        <v>13708</v>
      </c>
      <c r="G17" s="391">
        <v>13708</v>
      </c>
      <c r="H17" s="390">
        <v>26728</v>
      </c>
      <c r="I17" s="391">
        <v>26728</v>
      </c>
      <c r="J17" s="390">
        <v>11916</v>
      </c>
      <c r="K17" s="391">
        <v>11916</v>
      </c>
      <c r="L17" s="390">
        <v>26532</v>
      </c>
      <c r="M17" s="391">
        <v>26532</v>
      </c>
      <c r="N17" s="390"/>
      <c r="O17" s="391"/>
      <c r="P17" s="390"/>
      <c r="Q17" s="391"/>
      <c r="R17" s="390"/>
      <c r="S17" s="391"/>
      <c r="T17" s="390"/>
      <c r="U17" s="391"/>
      <c r="V17" s="390"/>
      <c r="W17" s="391"/>
      <c r="X17" s="390"/>
      <c r="Y17" s="391"/>
      <c r="Z17" s="390"/>
      <c r="AA17" s="391"/>
      <c r="AB17" s="390"/>
      <c r="AC17" s="391"/>
      <c r="AD17" s="390"/>
      <c r="AE17" s="391"/>
      <c r="AF17" s="390"/>
      <c r="AG17" s="391"/>
      <c r="AH17" s="390"/>
      <c r="AI17" s="391"/>
      <c r="AJ17" s="390"/>
      <c r="AK17" s="391"/>
      <c r="AL17" s="390"/>
      <c r="AM17" s="391"/>
      <c r="AN17" s="390"/>
      <c r="AO17" s="391"/>
      <c r="AP17" s="392"/>
    </row>
    <row r="18" spans="1:42">
      <c r="A18" s="340" t="s">
        <v>56</v>
      </c>
      <c r="B18" s="341" t="s">
        <v>69</v>
      </c>
      <c r="C18" s="347"/>
      <c r="D18" s="418" t="s">
        <v>974</v>
      </c>
      <c r="E18" s="343">
        <v>4</v>
      </c>
      <c r="F18" s="390">
        <v>10990</v>
      </c>
      <c r="G18" s="391">
        <v>10990</v>
      </c>
      <c r="H18" s="390">
        <v>20090</v>
      </c>
      <c r="I18" s="391">
        <v>20090</v>
      </c>
      <c r="J18" s="390">
        <v>9264</v>
      </c>
      <c r="K18" s="391">
        <v>9264</v>
      </c>
      <c r="L18" s="390">
        <v>18168</v>
      </c>
      <c r="M18" s="391">
        <v>18168</v>
      </c>
      <c r="N18" s="390"/>
      <c r="O18" s="391"/>
      <c r="P18" s="390"/>
      <c r="Q18" s="391"/>
      <c r="R18" s="390"/>
      <c r="S18" s="391"/>
      <c r="T18" s="390"/>
      <c r="U18" s="391"/>
      <c r="V18" s="390"/>
      <c r="W18" s="391"/>
      <c r="X18" s="390"/>
      <c r="Y18" s="391"/>
      <c r="Z18" s="390"/>
      <c r="AA18" s="391"/>
      <c r="AB18" s="390"/>
      <c r="AC18" s="391"/>
      <c r="AD18" s="390"/>
      <c r="AE18" s="391"/>
      <c r="AF18" s="390"/>
      <c r="AG18" s="391"/>
      <c r="AH18" s="390"/>
      <c r="AI18" s="391"/>
      <c r="AJ18" s="390"/>
      <c r="AK18" s="391"/>
      <c r="AL18" s="390"/>
      <c r="AM18" s="391"/>
      <c r="AN18" s="390"/>
      <c r="AO18" s="391"/>
      <c r="AP18" s="392"/>
    </row>
    <row r="19" spans="1:42">
      <c r="A19" s="340" t="s">
        <v>56</v>
      </c>
      <c r="B19" s="429" t="s">
        <v>70</v>
      </c>
      <c r="C19" s="425" t="s">
        <v>996</v>
      </c>
      <c r="D19" s="419">
        <v>100812</v>
      </c>
      <c r="E19" s="420">
        <v>5</v>
      </c>
      <c r="F19" s="390">
        <v>7710</v>
      </c>
      <c r="G19" s="391">
        <v>9060</v>
      </c>
      <c r="H19" s="390">
        <v>13890</v>
      </c>
      <c r="I19" s="391">
        <v>15810</v>
      </c>
      <c r="J19" s="390">
        <v>8160</v>
      </c>
      <c r="K19" s="391">
        <v>9648</v>
      </c>
      <c r="L19" s="390">
        <v>13224</v>
      </c>
      <c r="M19" s="391">
        <v>13848</v>
      </c>
      <c r="N19" s="390"/>
      <c r="O19" s="391"/>
      <c r="P19" s="390"/>
      <c r="Q19" s="391"/>
      <c r="R19" s="390"/>
      <c r="S19" s="391"/>
      <c r="T19" s="390"/>
      <c r="U19" s="391"/>
      <c r="V19" s="390"/>
      <c r="W19" s="391"/>
      <c r="X19" s="390"/>
      <c r="Y19" s="391"/>
      <c r="Z19" s="390"/>
      <c r="AA19" s="391"/>
      <c r="AB19" s="390"/>
      <c r="AC19" s="391"/>
      <c r="AD19" s="390"/>
      <c r="AE19" s="391"/>
      <c r="AF19" s="390"/>
      <c r="AG19" s="391"/>
      <c r="AH19" s="390"/>
      <c r="AI19" s="391"/>
      <c r="AJ19" s="390"/>
      <c r="AK19" s="391"/>
      <c r="AL19" s="390"/>
      <c r="AM19" s="391"/>
      <c r="AN19" s="390"/>
      <c r="AO19" s="391"/>
      <c r="AP19" s="392"/>
    </row>
    <row r="20" spans="1:42">
      <c r="A20" s="340" t="s">
        <v>56</v>
      </c>
      <c r="B20" s="350" t="s">
        <v>71</v>
      </c>
      <c r="C20" s="422"/>
      <c r="D20" s="417">
        <v>101505</v>
      </c>
      <c r="E20" s="343">
        <v>8</v>
      </c>
      <c r="F20" s="390">
        <v>4920</v>
      </c>
      <c r="G20" s="391">
        <v>4920</v>
      </c>
      <c r="H20" s="390">
        <v>8910</v>
      </c>
      <c r="I20" s="391">
        <v>8610</v>
      </c>
      <c r="J20" s="390"/>
      <c r="K20" s="391"/>
      <c r="L20" s="390"/>
      <c r="M20" s="391"/>
      <c r="N20" s="390"/>
      <c r="O20" s="391"/>
      <c r="P20" s="390"/>
      <c r="Q20" s="391"/>
      <c r="R20" s="390"/>
      <c r="S20" s="391"/>
      <c r="T20" s="390"/>
      <c r="U20" s="391"/>
      <c r="V20" s="390"/>
      <c r="W20" s="391"/>
      <c r="X20" s="390"/>
      <c r="Y20" s="391"/>
      <c r="Z20" s="390"/>
      <c r="AA20" s="391"/>
      <c r="AB20" s="390"/>
      <c r="AC20" s="391"/>
      <c r="AD20" s="390"/>
      <c r="AE20" s="391"/>
      <c r="AF20" s="390"/>
      <c r="AG20" s="391"/>
      <c r="AH20" s="390"/>
      <c r="AI20" s="391"/>
      <c r="AJ20" s="390"/>
      <c r="AK20" s="391"/>
      <c r="AL20" s="390"/>
      <c r="AM20" s="391"/>
      <c r="AN20" s="390"/>
      <c r="AO20" s="391"/>
      <c r="AP20" s="392"/>
    </row>
    <row r="21" spans="1:42">
      <c r="A21" s="340" t="s">
        <v>56</v>
      </c>
      <c r="B21" s="350" t="s">
        <v>611</v>
      </c>
      <c r="C21" s="422"/>
      <c r="D21" s="417">
        <v>101514</v>
      </c>
      <c r="E21" s="343">
        <v>8</v>
      </c>
      <c r="F21" s="390">
        <v>4940</v>
      </c>
      <c r="G21" s="391">
        <v>4940</v>
      </c>
      <c r="H21" s="390">
        <v>8930</v>
      </c>
      <c r="I21" s="391">
        <v>8630</v>
      </c>
      <c r="J21" s="390"/>
      <c r="K21" s="391"/>
      <c r="L21" s="390"/>
      <c r="M21" s="391"/>
      <c r="N21" s="390"/>
      <c r="O21" s="391"/>
      <c r="P21" s="390"/>
      <c r="Q21" s="391"/>
      <c r="R21" s="390"/>
      <c r="S21" s="391"/>
      <c r="T21" s="390"/>
      <c r="U21" s="391"/>
      <c r="V21" s="390"/>
      <c r="W21" s="391"/>
      <c r="X21" s="390"/>
      <c r="Y21" s="391"/>
      <c r="Z21" s="390"/>
      <c r="AA21" s="391"/>
      <c r="AB21" s="390"/>
      <c r="AC21" s="391"/>
      <c r="AD21" s="390"/>
      <c r="AE21" s="391"/>
      <c r="AF21" s="390"/>
      <c r="AG21" s="391"/>
      <c r="AH21" s="390"/>
      <c r="AI21" s="391"/>
      <c r="AJ21" s="390"/>
      <c r="AK21" s="391"/>
      <c r="AL21" s="390"/>
      <c r="AM21" s="391"/>
      <c r="AN21" s="390"/>
      <c r="AO21" s="391"/>
      <c r="AP21" s="392"/>
    </row>
    <row r="22" spans="1:42">
      <c r="A22" s="340" t="s">
        <v>56</v>
      </c>
      <c r="B22" s="341" t="s">
        <v>72</v>
      </c>
      <c r="C22" s="345" t="s">
        <v>997</v>
      </c>
      <c r="D22" s="417">
        <v>102429</v>
      </c>
      <c r="E22" s="343">
        <v>9</v>
      </c>
      <c r="F22" s="390">
        <v>4930</v>
      </c>
      <c r="G22" s="391">
        <v>4930</v>
      </c>
      <c r="H22" s="390">
        <v>8920</v>
      </c>
      <c r="I22" s="391">
        <v>8620</v>
      </c>
      <c r="J22" s="390"/>
      <c r="K22" s="391"/>
      <c r="L22" s="390"/>
      <c r="M22" s="391"/>
      <c r="N22" s="390"/>
      <c r="O22" s="391"/>
      <c r="P22" s="390"/>
      <c r="Q22" s="391"/>
      <c r="R22" s="390"/>
      <c r="S22" s="391"/>
      <c r="T22" s="390"/>
      <c r="U22" s="391"/>
      <c r="V22" s="390"/>
      <c r="W22" s="391"/>
      <c r="X22" s="390"/>
      <c r="Y22" s="391"/>
      <c r="Z22" s="390"/>
      <c r="AA22" s="391"/>
      <c r="AB22" s="390"/>
      <c r="AC22" s="391"/>
      <c r="AD22" s="390"/>
      <c r="AE22" s="391"/>
      <c r="AF22" s="390"/>
      <c r="AG22" s="391"/>
      <c r="AH22" s="390"/>
      <c r="AI22" s="391"/>
      <c r="AJ22" s="390"/>
      <c r="AK22" s="391"/>
      <c r="AL22" s="390"/>
      <c r="AM22" s="391"/>
      <c r="AN22" s="390"/>
      <c r="AO22" s="391"/>
      <c r="AP22" s="392"/>
    </row>
    <row r="23" spans="1:42">
      <c r="A23" s="340" t="s">
        <v>56</v>
      </c>
      <c r="B23" s="352" t="s">
        <v>73</v>
      </c>
      <c r="C23" s="426" t="s">
        <v>998</v>
      </c>
      <c r="D23" s="417">
        <v>102030</v>
      </c>
      <c r="E23" s="343">
        <v>9</v>
      </c>
      <c r="F23" s="390">
        <v>4860</v>
      </c>
      <c r="G23" s="391">
        <v>4860</v>
      </c>
      <c r="H23" s="390">
        <v>8850</v>
      </c>
      <c r="I23" s="391">
        <v>8550</v>
      </c>
      <c r="J23" s="390"/>
      <c r="K23" s="391"/>
      <c r="L23" s="390"/>
      <c r="M23" s="391"/>
      <c r="N23" s="390"/>
      <c r="O23" s="391"/>
      <c r="P23" s="390"/>
      <c r="Q23" s="391"/>
      <c r="R23" s="390"/>
      <c r="S23" s="391"/>
      <c r="T23" s="390"/>
      <c r="U23" s="391"/>
      <c r="V23" s="390"/>
      <c r="W23" s="391"/>
      <c r="X23" s="390"/>
      <c r="Y23" s="391"/>
      <c r="Z23" s="390"/>
      <c r="AA23" s="391"/>
      <c r="AB23" s="390"/>
      <c r="AC23" s="391"/>
      <c r="AD23" s="390"/>
      <c r="AE23" s="391"/>
      <c r="AF23" s="390"/>
      <c r="AG23" s="391"/>
      <c r="AH23" s="390"/>
      <c r="AI23" s="391"/>
      <c r="AJ23" s="390"/>
      <c r="AK23" s="391"/>
      <c r="AL23" s="390"/>
      <c r="AM23" s="391"/>
      <c r="AN23" s="390"/>
      <c r="AO23" s="391"/>
      <c r="AP23" s="392"/>
    </row>
    <row r="24" spans="1:42">
      <c r="A24" s="340" t="s">
        <v>56</v>
      </c>
      <c r="B24" s="352" t="s">
        <v>626</v>
      </c>
      <c r="C24" s="426" t="s">
        <v>999</v>
      </c>
      <c r="D24" s="418" t="s">
        <v>975</v>
      </c>
      <c r="E24" s="343">
        <v>8</v>
      </c>
      <c r="F24" s="390">
        <v>4860</v>
      </c>
      <c r="G24" s="391">
        <v>4860</v>
      </c>
      <c r="H24" s="390">
        <v>8850</v>
      </c>
      <c r="I24" s="391">
        <v>8550</v>
      </c>
      <c r="J24" s="390"/>
      <c r="K24" s="391"/>
      <c r="L24" s="390"/>
      <c r="M24" s="391"/>
      <c r="N24" s="390"/>
      <c r="O24" s="391"/>
      <c r="P24" s="390"/>
      <c r="Q24" s="391"/>
      <c r="R24" s="390"/>
      <c r="S24" s="391"/>
      <c r="T24" s="390"/>
      <c r="U24" s="391"/>
      <c r="V24" s="390"/>
      <c r="W24" s="391"/>
      <c r="X24" s="390"/>
      <c r="Y24" s="391"/>
      <c r="Z24" s="390"/>
      <c r="AA24" s="391"/>
      <c r="AB24" s="390"/>
      <c r="AC24" s="391"/>
      <c r="AD24" s="390"/>
      <c r="AE24" s="391"/>
      <c r="AF24" s="390"/>
      <c r="AG24" s="391"/>
      <c r="AH24" s="390"/>
      <c r="AI24" s="391"/>
      <c r="AJ24" s="390"/>
      <c r="AK24" s="391"/>
      <c r="AL24" s="390"/>
      <c r="AM24" s="391"/>
      <c r="AN24" s="390"/>
      <c r="AO24" s="391"/>
      <c r="AP24" s="392"/>
    </row>
    <row r="25" spans="1:42">
      <c r="A25" s="340" t="s">
        <v>56</v>
      </c>
      <c r="B25" s="341" t="s">
        <v>74</v>
      </c>
      <c r="C25" s="427"/>
      <c r="D25" s="417">
        <v>101240</v>
      </c>
      <c r="E25" s="343">
        <v>9</v>
      </c>
      <c r="F25" s="390">
        <v>4920</v>
      </c>
      <c r="G25" s="391">
        <v>4920</v>
      </c>
      <c r="H25" s="390">
        <v>8910</v>
      </c>
      <c r="I25" s="391">
        <v>8610</v>
      </c>
      <c r="J25" s="390"/>
      <c r="K25" s="391"/>
      <c r="L25" s="390"/>
      <c r="M25" s="391"/>
      <c r="N25" s="390"/>
      <c r="O25" s="391"/>
      <c r="P25" s="390"/>
      <c r="Q25" s="391"/>
      <c r="R25" s="390"/>
      <c r="S25" s="391"/>
      <c r="T25" s="390"/>
      <c r="U25" s="391"/>
      <c r="V25" s="390"/>
      <c r="W25" s="391"/>
      <c r="X25" s="390"/>
      <c r="Y25" s="391"/>
      <c r="Z25" s="390"/>
      <c r="AA25" s="391"/>
      <c r="AB25" s="390"/>
      <c r="AC25" s="391"/>
      <c r="AD25" s="390"/>
      <c r="AE25" s="391"/>
      <c r="AF25" s="390"/>
      <c r="AG25" s="391"/>
      <c r="AH25" s="390"/>
      <c r="AI25" s="391"/>
      <c r="AJ25" s="390"/>
      <c r="AK25" s="391"/>
      <c r="AL25" s="390"/>
      <c r="AM25" s="391"/>
      <c r="AN25" s="390"/>
      <c r="AO25" s="391"/>
      <c r="AP25" s="392"/>
    </row>
    <row r="26" spans="1:42">
      <c r="A26" s="340" t="s">
        <v>56</v>
      </c>
      <c r="B26" s="350" t="s">
        <v>612</v>
      </c>
      <c r="C26" s="422"/>
      <c r="D26" s="417">
        <v>101286</v>
      </c>
      <c r="E26" s="343">
        <v>9</v>
      </c>
      <c r="F26" s="390">
        <v>4800</v>
      </c>
      <c r="G26" s="391">
        <v>4800</v>
      </c>
      <c r="H26" s="390">
        <v>8790</v>
      </c>
      <c r="I26" s="391">
        <v>8490</v>
      </c>
      <c r="J26" s="390"/>
      <c r="K26" s="391"/>
      <c r="L26" s="390"/>
      <c r="M26" s="391"/>
      <c r="N26" s="390"/>
      <c r="O26" s="391"/>
      <c r="P26" s="390"/>
      <c r="Q26" s="391"/>
      <c r="R26" s="390"/>
      <c r="S26" s="391"/>
      <c r="T26" s="390"/>
      <c r="U26" s="391"/>
      <c r="V26" s="390"/>
      <c r="W26" s="391"/>
      <c r="X26" s="390"/>
      <c r="Y26" s="391"/>
      <c r="Z26" s="390"/>
      <c r="AA26" s="391"/>
      <c r="AB26" s="390"/>
      <c r="AC26" s="391"/>
      <c r="AD26" s="390"/>
      <c r="AE26" s="391"/>
      <c r="AF26" s="390"/>
      <c r="AG26" s="391"/>
      <c r="AH26" s="390"/>
      <c r="AI26" s="391"/>
      <c r="AJ26" s="390"/>
      <c r="AK26" s="391"/>
      <c r="AL26" s="390"/>
      <c r="AM26" s="391"/>
      <c r="AN26" s="390"/>
      <c r="AO26" s="391"/>
      <c r="AP26" s="392"/>
    </row>
    <row r="27" spans="1:42">
      <c r="A27" s="340" t="s">
        <v>56</v>
      </c>
      <c r="B27" s="350" t="s">
        <v>613</v>
      </c>
      <c r="C27" s="423"/>
      <c r="D27" s="417">
        <v>101295</v>
      </c>
      <c r="E27" s="343">
        <v>9</v>
      </c>
      <c r="F27" s="390">
        <v>4860</v>
      </c>
      <c r="G27" s="391">
        <v>4860</v>
      </c>
      <c r="H27" s="390">
        <v>8850</v>
      </c>
      <c r="I27" s="391">
        <v>8550</v>
      </c>
      <c r="J27" s="390"/>
      <c r="K27" s="391"/>
      <c r="L27" s="390"/>
      <c r="M27" s="391"/>
      <c r="N27" s="390"/>
      <c r="O27" s="391"/>
      <c r="P27" s="390"/>
      <c r="Q27" s="391"/>
      <c r="R27" s="390"/>
      <c r="S27" s="391"/>
      <c r="T27" s="390"/>
      <c r="U27" s="391"/>
      <c r="V27" s="390"/>
      <c r="W27" s="391"/>
      <c r="X27" s="390"/>
      <c r="Y27" s="391"/>
      <c r="Z27" s="390"/>
      <c r="AA27" s="391"/>
      <c r="AB27" s="390"/>
      <c r="AC27" s="391"/>
      <c r="AD27" s="390"/>
      <c r="AE27" s="391"/>
      <c r="AF27" s="390"/>
      <c r="AG27" s="391"/>
      <c r="AH27" s="390"/>
      <c r="AI27" s="391"/>
      <c r="AJ27" s="390"/>
      <c r="AK27" s="391"/>
      <c r="AL27" s="390"/>
      <c r="AM27" s="391"/>
      <c r="AN27" s="390"/>
      <c r="AO27" s="391"/>
      <c r="AP27" s="392"/>
    </row>
    <row r="28" spans="1:42">
      <c r="A28" s="340" t="s">
        <v>56</v>
      </c>
      <c r="B28" s="341" t="s">
        <v>75</v>
      </c>
      <c r="C28" s="422"/>
      <c r="D28" s="417">
        <v>101569</v>
      </c>
      <c r="E28" s="343">
        <v>9</v>
      </c>
      <c r="F28" s="390">
        <v>4880</v>
      </c>
      <c r="G28" s="391">
        <v>4880</v>
      </c>
      <c r="H28" s="390">
        <v>8870</v>
      </c>
      <c r="I28" s="391">
        <v>8570</v>
      </c>
      <c r="J28" s="390"/>
      <c r="K28" s="391"/>
      <c r="L28" s="390"/>
      <c r="M28" s="391"/>
      <c r="N28" s="390"/>
      <c r="O28" s="391"/>
      <c r="P28" s="390"/>
      <c r="Q28" s="391"/>
      <c r="R28" s="390"/>
      <c r="S28" s="391"/>
      <c r="T28" s="390"/>
      <c r="U28" s="391"/>
      <c r="V28" s="390"/>
      <c r="W28" s="391"/>
      <c r="X28" s="390"/>
      <c r="Y28" s="391"/>
      <c r="Z28" s="390"/>
      <c r="AA28" s="391"/>
      <c r="AB28" s="390"/>
      <c r="AC28" s="391"/>
      <c r="AD28" s="390"/>
      <c r="AE28" s="391"/>
      <c r="AF28" s="390"/>
      <c r="AG28" s="391"/>
      <c r="AH28" s="390"/>
      <c r="AI28" s="391"/>
      <c r="AJ28" s="390"/>
      <c r="AK28" s="391"/>
      <c r="AL28" s="390"/>
      <c r="AM28" s="391"/>
      <c r="AN28" s="390"/>
      <c r="AO28" s="391"/>
      <c r="AP28" s="392"/>
    </row>
    <row r="29" spans="1:42">
      <c r="A29" s="340" t="s">
        <v>56</v>
      </c>
      <c r="B29" s="341" t="s">
        <v>76</v>
      </c>
      <c r="C29" s="422"/>
      <c r="D29" s="417">
        <v>101736</v>
      </c>
      <c r="E29" s="343">
        <v>9</v>
      </c>
      <c r="F29" s="390">
        <v>4815</v>
      </c>
      <c r="G29" s="391">
        <v>4815</v>
      </c>
      <c r="H29" s="390">
        <v>8805</v>
      </c>
      <c r="I29" s="391">
        <v>8505</v>
      </c>
      <c r="J29" s="390"/>
      <c r="K29" s="391"/>
      <c r="L29" s="390"/>
      <c r="M29" s="391"/>
      <c r="N29" s="390"/>
      <c r="O29" s="391"/>
      <c r="P29" s="390"/>
      <c r="Q29" s="391"/>
      <c r="R29" s="390"/>
      <c r="S29" s="391"/>
      <c r="T29" s="390"/>
      <c r="U29" s="391"/>
      <c r="V29" s="390"/>
      <c r="W29" s="391"/>
      <c r="X29" s="390"/>
      <c r="Y29" s="391"/>
      <c r="Z29" s="390"/>
      <c r="AA29" s="391"/>
      <c r="AB29" s="390"/>
      <c r="AC29" s="391"/>
      <c r="AD29" s="390"/>
      <c r="AE29" s="391"/>
      <c r="AF29" s="390"/>
      <c r="AG29" s="391"/>
      <c r="AH29" s="390"/>
      <c r="AI29" s="391"/>
      <c r="AJ29" s="390"/>
      <c r="AK29" s="391"/>
      <c r="AL29" s="390"/>
      <c r="AM29" s="391"/>
      <c r="AN29" s="390"/>
      <c r="AO29" s="391"/>
      <c r="AP29" s="392"/>
    </row>
    <row r="30" spans="1:42">
      <c r="A30" s="340" t="s">
        <v>56</v>
      </c>
      <c r="B30" s="341" t="s">
        <v>77</v>
      </c>
      <c r="C30" s="422"/>
      <c r="D30" s="417">
        <v>102067</v>
      </c>
      <c r="E30" s="343">
        <v>9</v>
      </c>
      <c r="F30" s="390">
        <v>4587</v>
      </c>
      <c r="G30" s="391">
        <v>4587</v>
      </c>
      <c r="H30" s="390">
        <v>8577</v>
      </c>
      <c r="I30" s="391">
        <v>8277</v>
      </c>
      <c r="J30" s="390"/>
      <c r="K30" s="391"/>
      <c r="L30" s="390"/>
      <c r="M30" s="391"/>
      <c r="N30" s="390"/>
      <c r="O30" s="391"/>
      <c r="P30" s="390"/>
      <c r="Q30" s="391"/>
      <c r="R30" s="390"/>
      <c r="S30" s="391"/>
      <c r="T30" s="390"/>
      <c r="U30" s="391"/>
      <c r="V30" s="390"/>
      <c r="W30" s="391"/>
      <c r="X30" s="390"/>
      <c r="Y30" s="391"/>
      <c r="Z30" s="390"/>
      <c r="AA30" s="391"/>
      <c r="AB30" s="390"/>
      <c r="AC30" s="391"/>
      <c r="AD30" s="390"/>
      <c r="AE30" s="391"/>
      <c r="AF30" s="390"/>
      <c r="AG30" s="391"/>
      <c r="AH30" s="390"/>
      <c r="AI30" s="391"/>
      <c r="AJ30" s="390"/>
      <c r="AK30" s="391"/>
      <c r="AL30" s="390"/>
      <c r="AM30" s="391"/>
      <c r="AN30" s="390"/>
      <c r="AO30" s="391"/>
      <c r="AP30" s="392"/>
    </row>
    <row r="31" spans="1:42">
      <c r="A31" s="340" t="s">
        <v>56</v>
      </c>
      <c r="B31" s="341" t="s">
        <v>78</v>
      </c>
      <c r="C31" s="422"/>
      <c r="D31" s="417">
        <v>251260</v>
      </c>
      <c r="E31" s="343">
        <v>9</v>
      </c>
      <c r="F31" s="390">
        <v>4860</v>
      </c>
      <c r="G31" s="391">
        <v>4860</v>
      </c>
      <c r="H31" s="390">
        <v>8850</v>
      </c>
      <c r="I31" s="391">
        <v>8550</v>
      </c>
      <c r="J31" s="390"/>
      <c r="K31" s="391"/>
      <c r="L31" s="390"/>
      <c r="M31" s="391"/>
      <c r="N31" s="390"/>
      <c r="O31" s="391"/>
      <c r="P31" s="390"/>
      <c r="Q31" s="391"/>
      <c r="R31" s="390"/>
      <c r="S31" s="391"/>
      <c r="T31" s="390"/>
      <c r="U31" s="391"/>
      <c r="V31" s="390"/>
      <c r="W31" s="391"/>
      <c r="X31" s="390"/>
      <c r="Y31" s="391"/>
      <c r="Z31" s="390"/>
      <c r="AA31" s="391"/>
      <c r="AB31" s="390"/>
      <c r="AC31" s="391"/>
      <c r="AD31" s="390"/>
      <c r="AE31" s="391"/>
      <c r="AF31" s="390"/>
      <c r="AG31" s="391"/>
      <c r="AH31" s="390"/>
      <c r="AI31" s="391"/>
      <c r="AJ31" s="390"/>
      <c r="AK31" s="391"/>
      <c r="AL31" s="390"/>
      <c r="AM31" s="391"/>
      <c r="AN31" s="390"/>
      <c r="AO31" s="391"/>
      <c r="AP31" s="392"/>
    </row>
    <row r="32" spans="1:42">
      <c r="A32" s="340" t="s">
        <v>56</v>
      </c>
      <c r="B32" s="341" t="s">
        <v>79</v>
      </c>
      <c r="C32" s="427"/>
      <c r="D32" s="417">
        <v>100760</v>
      </c>
      <c r="E32" s="343">
        <v>10</v>
      </c>
      <c r="F32" s="390">
        <v>4930</v>
      </c>
      <c r="G32" s="391">
        <v>4930</v>
      </c>
      <c r="H32" s="390">
        <v>8920</v>
      </c>
      <c r="I32" s="391">
        <v>8620</v>
      </c>
      <c r="J32" s="390"/>
      <c r="K32" s="391"/>
      <c r="L32" s="390"/>
      <c r="M32" s="391"/>
      <c r="N32" s="390"/>
      <c r="O32" s="391"/>
      <c r="P32" s="390"/>
      <c r="Q32" s="391"/>
      <c r="R32" s="390"/>
      <c r="S32" s="391"/>
      <c r="T32" s="390"/>
      <c r="U32" s="391"/>
      <c r="V32" s="390"/>
      <c r="W32" s="391"/>
      <c r="X32" s="390"/>
      <c r="Y32" s="391"/>
      <c r="Z32" s="390"/>
      <c r="AA32" s="391"/>
      <c r="AB32" s="390"/>
      <c r="AC32" s="391"/>
      <c r="AD32" s="390"/>
      <c r="AE32" s="391"/>
      <c r="AF32" s="390"/>
      <c r="AG32" s="391"/>
      <c r="AH32" s="390"/>
      <c r="AI32" s="391"/>
      <c r="AJ32" s="390"/>
      <c r="AK32" s="391"/>
      <c r="AL32" s="390"/>
      <c r="AM32" s="391"/>
      <c r="AN32" s="390"/>
      <c r="AO32" s="391"/>
      <c r="AP32" s="392"/>
    </row>
    <row r="33" spans="1:44">
      <c r="A33" s="340" t="s">
        <v>56</v>
      </c>
      <c r="B33" s="350" t="s">
        <v>614</v>
      </c>
      <c r="C33" s="422"/>
      <c r="D33" s="417">
        <v>101028</v>
      </c>
      <c r="E33" s="343">
        <v>10</v>
      </c>
      <c r="F33" s="390">
        <v>4920</v>
      </c>
      <c r="G33" s="391">
        <v>4920</v>
      </c>
      <c r="H33" s="390">
        <v>8910</v>
      </c>
      <c r="I33" s="391">
        <v>8610</v>
      </c>
      <c r="J33" s="390"/>
      <c r="K33" s="391"/>
      <c r="L33" s="390"/>
      <c r="M33" s="391"/>
      <c r="N33" s="390"/>
      <c r="O33" s="391"/>
      <c r="P33" s="390"/>
      <c r="Q33" s="391"/>
      <c r="R33" s="390"/>
      <c r="S33" s="391"/>
      <c r="T33" s="390"/>
      <c r="U33" s="391"/>
      <c r="V33" s="390"/>
      <c r="W33" s="391"/>
      <c r="X33" s="390"/>
      <c r="Y33" s="391"/>
      <c r="Z33" s="390"/>
      <c r="AA33" s="391"/>
      <c r="AB33" s="390"/>
      <c r="AC33" s="391"/>
      <c r="AD33" s="390"/>
      <c r="AE33" s="391"/>
      <c r="AF33" s="390"/>
      <c r="AG33" s="391"/>
      <c r="AH33" s="390"/>
      <c r="AI33" s="391"/>
      <c r="AJ33" s="390"/>
      <c r="AK33" s="391"/>
      <c r="AL33" s="390"/>
      <c r="AM33" s="391"/>
      <c r="AN33" s="390"/>
      <c r="AO33" s="391"/>
      <c r="AP33" s="392"/>
    </row>
    <row r="34" spans="1:44">
      <c r="A34" s="340" t="s">
        <v>56</v>
      </c>
      <c r="B34" s="353" t="s">
        <v>615</v>
      </c>
      <c r="C34" s="423"/>
      <c r="D34" s="417">
        <v>101143</v>
      </c>
      <c r="E34" s="417">
        <v>10</v>
      </c>
      <c r="F34" s="390">
        <v>4860</v>
      </c>
      <c r="G34" s="391">
        <v>4860</v>
      </c>
      <c r="H34" s="390">
        <v>8850</v>
      </c>
      <c r="I34" s="391">
        <v>8550</v>
      </c>
      <c r="J34" s="390"/>
      <c r="K34" s="391"/>
      <c r="L34" s="390"/>
      <c r="M34" s="391"/>
      <c r="N34" s="390"/>
      <c r="O34" s="391"/>
      <c r="P34" s="390"/>
      <c r="Q34" s="391"/>
      <c r="R34" s="390"/>
      <c r="S34" s="391"/>
      <c r="T34" s="390"/>
      <c r="U34" s="391"/>
      <c r="V34" s="390"/>
      <c r="W34" s="391"/>
      <c r="X34" s="390"/>
      <c r="Y34" s="391"/>
      <c r="Z34" s="390"/>
      <c r="AA34" s="391"/>
      <c r="AB34" s="390"/>
      <c r="AC34" s="391"/>
      <c r="AD34" s="390"/>
      <c r="AE34" s="391"/>
      <c r="AF34" s="390"/>
      <c r="AG34" s="391"/>
      <c r="AH34" s="390"/>
      <c r="AI34" s="391"/>
      <c r="AJ34" s="390"/>
      <c r="AK34" s="391"/>
      <c r="AL34" s="390"/>
      <c r="AM34" s="391"/>
      <c r="AN34" s="390"/>
      <c r="AO34" s="391"/>
      <c r="AP34" s="392"/>
    </row>
    <row r="35" spans="1:44">
      <c r="A35" s="340" t="s">
        <v>56</v>
      </c>
      <c r="B35" s="341" t="s">
        <v>80</v>
      </c>
      <c r="C35" s="422"/>
      <c r="D35" s="417">
        <v>101301</v>
      </c>
      <c r="E35" s="417">
        <v>10</v>
      </c>
      <c r="F35" s="390">
        <v>4560</v>
      </c>
      <c r="G35" s="391">
        <v>4560</v>
      </c>
      <c r="H35" s="390">
        <v>8550</v>
      </c>
      <c r="I35" s="391">
        <v>8250</v>
      </c>
      <c r="J35" s="390"/>
      <c r="K35" s="391"/>
      <c r="L35" s="390"/>
      <c r="M35" s="391"/>
      <c r="N35" s="390"/>
      <c r="O35" s="391"/>
      <c r="P35" s="390"/>
      <c r="Q35" s="391"/>
      <c r="R35" s="390"/>
      <c r="S35" s="391"/>
      <c r="T35" s="390"/>
      <c r="U35" s="391"/>
      <c r="V35" s="390"/>
      <c r="W35" s="391"/>
      <c r="X35" s="390"/>
      <c r="Y35" s="391"/>
      <c r="Z35" s="390"/>
      <c r="AA35" s="391"/>
      <c r="AB35" s="390"/>
      <c r="AC35" s="391"/>
      <c r="AD35" s="390"/>
      <c r="AE35" s="391"/>
      <c r="AF35" s="390"/>
      <c r="AG35" s="391"/>
      <c r="AH35" s="390"/>
      <c r="AI35" s="391"/>
      <c r="AJ35" s="390"/>
      <c r="AK35" s="391"/>
      <c r="AL35" s="390"/>
      <c r="AM35" s="391"/>
      <c r="AN35" s="390"/>
      <c r="AO35" s="391"/>
      <c r="AP35" s="392"/>
    </row>
    <row r="36" spans="1:44">
      <c r="A36" s="340" t="s">
        <v>56</v>
      </c>
      <c r="B36" s="341" t="s">
        <v>81</v>
      </c>
      <c r="C36" s="422"/>
      <c r="D36" s="417">
        <v>101602</v>
      </c>
      <c r="E36" s="417">
        <v>10</v>
      </c>
      <c r="F36" s="390">
        <v>4860</v>
      </c>
      <c r="G36" s="391">
        <v>4860</v>
      </c>
      <c r="H36" s="390">
        <v>8850</v>
      </c>
      <c r="I36" s="391">
        <v>8550</v>
      </c>
      <c r="J36" s="390"/>
      <c r="K36" s="391"/>
      <c r="L36" s="390"/>
      <c r="M36" s="391"/>
      <c r="N36" s="390"/>
      <c r="O36" s="391"/>
      <c r="P36" s="390"/>
      <c r="Q36" s="391"/>
      <c r="R36" s="390"/>
      <c r="S36" s="391"/>
      <c r="T36" s="390"/>
      <c r="U36" s="391"/>
      <c r="V36" s="390"/>
      <c r="W36" s="391"/>
      <c r="X36" s="390"/>
      <c r="Y36" s="391"/>
      <c r="Z36" s="390"/>
      <c r="AA36" s="391"/>
      <c r="AB36" s="390"/>
      <c r="AC36" s="391"/>
      <c r="AD36" s="390"/>
      <c r="AE36" s="391"/>
      <c r="AF36" s="390"/>
      <c r="AG36" s="391"/>
      <c r="AH36" s="390"/>
      <c r="AI36" s="391"/>
      <c r="AJ36" s="390"/>
      <c r="AK36" s="391"/>
      <c r="AL36" s="390"/>
      <c r="AM36" s="391"/>
      <c r="AN36" s="390"/>
      <c r="AO36" s="391"/>
      <c r="AP36" s="392"/>
    </row>
    <row r="37" spans="1:44">
      <c r="A37" s="340" t="s">
        <v>56</v>
      </c>
      <c r="B37" s="354" t="s">
        <v>616</v>
      </c>
      <c r="C37" s="428"/>
      <c r="D37" s="417">
        <v>101897</v>
      </c>
      <c r="E37" s="417">
        <v>10</v>
      </c>
      <c r="F37" s="390">
        <v>4860</v>
      </c>
      <c r="G37" s="391">
        <v>4860</v>
      </c>
      <c r="H37" s="390">
        <v>8850</v>
      </c>
      <c r="I37" s="391">
        <v>8550</v>
      </c>
      <c r="J37" s="390"/>
      <c r="K37" s="391"/>
      <c r="L37" s="390"/>
      <c r="M37" s="391"/>
      <c r="N37" s="390"/>
      <c r="O37" s="391"/>
      <c r="P37" s="390"/>
      <c r="Q37" s="391"/>
      <c r="R37" s="390"/>
      <c r="S37" s="391"/>
      <c r="T37" s="390"/>
      <c r="U37" s="391"/>
      <c r="V37" s="390"/>
      <c r="W37" s="391"/>
      <c r="X37" s="390"/>
      <c r="Y37" s="391"/>
      <c r="Z37" s="390"/>
      <c r="AA37" s="391"/>
      <c r="AB37" s="390"/>
      <c r="AC37" s="391"/>
      <c r="AD37" s="390"/>
      <c r="AE37" s="391"/>
      <c r="AF37" s="390"/>
      <c r="AG37" s="391"/>
      <c r="AH37" s="390"/>
      <c r="AI37" s="391"/>
      <c r="AJ37" s="390"/>
      <c r="AK37" s="391"/>
      <c r="AL37" s="390"/>
      <c r="AM37" s="391"/>
      <c r="AN37" s="390"/>
      <c r="AO37" s="391"/>
      <c r="AP37" s="392"/>
    </row>
    <row r="38" spans="1:44">
      <c r="A38" s="340" t="s">
        <v>56</v>
      </c>
      <c r="B38" s="341" t="s">
        <v>82</v>
      </c>
      <c r="C38" s="428"/>
      <c r="D38" s="417">
        <v>102076</v>
      </c>
      <c r="E38" s="417">
        <v>10</v>
      </c>
      <c r="F38" s="390">
        <v>5010</v>
      </c>
      <c r="G38" s="391">
        <v>5010</v>
      </c>
      <c r="H38" s="390">
        <v>9000</v>
      </c>
      <c r="I38" s="391">
        <v>8700</v>
      </c>
      <c r="J38" s="390"/>
      <c r="K38" s="391"/>
      <c r="L38" s="390"/>
      <c r="M38" s="391"/>
      <c r="N38" s="390"/>
      <c r="O38" s="391"/>
      <c r="P38" s="390"/>
      <c r="Q38" s="391"/>
      <c r="R38" s="390"/>
      <c r="S38" s="391"/>
      <c r="T38" s="390"/>
      <c r="U38" s="391"/>
      <c r="V38" s="390"/>
      <c r="W38" s="391"/>
      <c r="X38" s="390"/>
      <c r="Y38" s="391"/>
      <c r="Z38" s="390"/>
      <c r="AA38" s="391"/>
      <c r="AB38" s="390"/>
      <c r="AC38" s="391"/>
      <c r="AD38" s="390"/>
      <c r="AE38" s="391"/>
      <c r="AF38" s="390"/>
      <c r="AG38" s="391"/>
      <c r="AH38" s="390"/>
      <c r="AI38" s="391"/>
      <c r="AJ38" s="390"/>
      <c r="AK38" s="391"/>
      <c r="AL38" s="390"/>
      <c r="AM38" s="391"/>
      <c r="AN38" s="390"/>
      <c r="AO38" s="391"/>
      <c r="AP38" s="392"/>
    </row>
    <row r="39" spans="1:44">
      <c r="A39" s="340" t="s">
        <v>56</v>
      </c>
      <c r="B39" s="350" t="s">
        <v>617</v>
      </c>
      <c r="C39" s="427"/>
      <c r="D39" s="417">
        <v>102313</v>
      </c>
      <c r="E39" s="417">
        <v>12</v>
      </c>
      <c r="F39" s="390">
        <v>4770</v>
      </c>
      <c r="G39" s="391">
        <v>4770</v>
      </c>
      <c r="H39" s="390">
        <v>8760</v>
      </c>
      <c r="I39" s="391">
        <v>8460</v>
      </c>
      <c r="J39" s="390"/>
      <c r="K39" s="391"/>
      <c r="L39" s="390"/>
      <c r="M39" s="391"/>
      <c r="N39" s="390"/>
      <c r="O39" s="391"/>
      <c r="P39" s="390"/>
      <c r="Q39" s="391"/>
      <c r="R39" s="390"/>
      <c r="S39" s="391"/>
      <c r="T39" s="390"/>
      <c r="U39" s="391"/>
      <c r="V39" s="390"/>
      <c r="W39" s="391"/>
      <c r="X39" s="390"/>
      <c r="Y39" s="391"/>
      <c r="Z39" s="390"/>
      <c r="AA39" s="391"/>
      <c r="AB39" s="390"/>
      <c r="AC39" s="391"/>
      <c r="AD39" s="390"/>
      <c r="AE39" s="391"/>
      <c r="AF39" s="390"/>
      <c r="AG39" s="391"/>
      <c r="AH39" s="390"/>
      <c r="AI39" s="391"/>
      <c r="AJ39" s="390"/>
      <c r="AK39" s="391"/>
      <c r="AL39" s="390"/>
      <c r="AM39" s="391"/>
      <c r="AN39" s="390"/>
      <c r="AO39" s="391"/>
      <c r="AP39" s="392"/>
    </row>
    <row r="40" spans="1:44">
      <c r="A40" s="340" t="s">
        <v>56</v>
      </c>
      <c r="B40" s="350" t="s">
        <v>618</v>
      </c>
      <c r="C40" s="422"/>
      <c r="D40" s="417">
        <v>101462</v>
      </c>
      <c r="E40" s="417">
        <v>13</v>
      </c>
      <c r="F40" s="390">
        <v>4830</v>
      </c>
      <c r="G40" s="391">
        <v>4830</v>
      </c>
      <c r="H40" s="390">
        <v>8820</v>
      </c>
      <c r="I40" s="391">
        <v>8520</v>
      </c>
      <c r="J40" s="390"/>
      <c r="K40" s="391"/>
      <c r="L40" s="390"/>
      <c r="M40" s="391"/>
      <c r="N40" s="390"/>
      <c r="O40" s="391"/>
      <c r="P40" s="390"/>
      <c r="Q40" s="391"/>
      <c r="R40" s="390"/>
      <c r="S40" s="391"/>
      <c r="T40" s="390"/>
      <c r="U40" s="391"/>
      <c r="V40" s="390"/>
      <c r="W40" s="391"/>
      <c r="X40" s="390"/>
      <c r="Y40" s="391"/>
      <c r="Z40" s="390"/>
      <c r="AA40" s="391"/>
      <c r="AB40" s="390"/>
      <c r="AC40" s="391"/>
      <c r="AD40" s="390"/>
      <c r="AE40" s="391"/>
      <c r="AF40" s="390"/>
      <c r="AG40" s="391"/>
      <c r="AH40" s="390"/>
      <c r="AI40" s="391"/>
      <c r="AJ40" s="390"/>
      <c r="AK40" s="391"/>
      <c r="AL40" s="390"/>
      <c r="AM40" s="391"/>
      <c r="AN40" s="390"/>
      <c r="AO40" s="391"/>
      <c r="AP40" s="392"/>
    </row>
    <row r="41" spans="1:44">
      <c r="A41" s="340" t="s">
        <v>56</v>
      </c>
      <c r="B41" s="341" t="s">
        <v>83</v>
      </c>
      <c r="C41" s="422"/>
      <c r="D41" s="417">
        <v>101471</v>
      </c>
      <c r="E41" s="417">
        <v>13</v>
      </c>
      <c r="F41" s="390">
        <v>5070</v>
      </c>
      <c r="G41" s="391">
        <v>5070</v>
      </c>
      <c r="H41" s="390">
        <v>0</v>
      </c>
      <c r="I41" s="391">
        <v>0</v>
      </c>
      <c r="J41" s="390"/>
      <c r="K41" s="391"/>
      <c r="L41" s="390"/>
      <c r="M41" s="391"/>
      <c r="N41" s="390"/>
      <c r="O41" s="391"/>
      <c r="P41" s="390"/>
      <c r="Q41" s="391"/>
      <c r="R41" s="390"/>
      <c r="S41" s="391"/>
      <c r="T41" s="390"/>
      <c r="U41" s="391"/>
      <c r="V41" s="390"/>
      <c r="W41" s="391"/>
      <c r="X41" s="390"/>
      <c r="Y41" s="391"/>
      <c r="Z41" s="390"/>
      <c r="AA41" s="391"/>
      <c r="AB41" s="390"/>
      <c r="AC41" s="391"/>
      <c r="AD41" s="390"/>
      <c r="AE41" s="391"/>
      <c r="AF41" s="390"/>
      <c r="AG41" s="391"/>
      <c r="AH41" s="390"/>
      <c r="AI41" s="391"/>
      <c r="AJ41" s="390"/>
      <c r="AK41" s="391"/>
      <c r="AL41" s="390"/>
      <c r="AM41" s="391"/>
      <c r="AN41" s="390"/>
      <c r="AO41" s="391"/>
      <c r="AP41" s="392"/>
    </row>
    <row r="42" spans="1:44">
      <c r="A42" s="340" t="s">
        <v>56</v>
      </c>
      <c r="B42" s="341" t="s">
        <v>85</v>
      </c>
      <c r="C42" s="422"/>
      <c r="D42" s="417">
        <v>101994</v>
      </c>
      <c r="E42" s="417">
        <v>13</v>
      </c>
      <c r="F42" s="390">
        <v>4900</v>
      </c>
      <c r="G42" s="391">
        <v>4900</v>
      </c>
      <c r="H42" s="390">
        <v>8890</v>
      </c>
      <c r="I42" s="391">
        <v>8590</v>
      </c>
      <c r="J42" s="390"/>
      <c r="K42" s="391"/>
      <c r="L42" s="390"/>
      <c r="M42" s="391"/>
      <c r="N42" s="390"/>
      <c r="O42" s="391"/>
      <c r="P42" s="390"/>
      <c r="Q42" s="391"/>
      <c r="R42" s="390"/>
      <c r="S42" s="391"/>
      <c r="T42" s="390"/>
      <c r="U42" s="391"/>
      <c r="V42" s="390"/>
      <c r="W42" s="391"/>
      <c r="X42" s="390"/>
      <c r="Y42" s="391"/>
      <c r="Z42" s="390"/>
      <c r="AA42" s="391"/>
      <c r="AB42" s="390"/>
      <c r="AC42" s="391"/>
      <c r="AD42" s="390"/>
      <c r="AE42" s="391"/>
      <c r="AF42" s="390"/>
      <c r="AG42" s="391"/>
      <c r="AH42" s="390"/>
      <c r="AI42" s="391"/>
      <c r="AJ42" s="390"/>
      <c r="AK42" s="391"/>
      <c r="AL42" s="390"/>
      <c r="AM42" s="391"/>
      <c r="AN42" s="390"/>
      <c r="AO42" s="391"/>
      <c r="AP42" s="392"/>
    </row>
    <row r="43" spans="1:44">
      <c r="A43" s="340" t="s">
        <v>56</v>
      </c>
      <c r="B43" s="341" t="s">
        <v>86</v>
      </c>
      <c r="C43" s="422"/>
      <c r="D43" s="417">
        <v>101648</v>
      </c>
      <c r="E43" s="417">
        <v>15</v>
      </c>
      <c r="F43" s="390">
        <v>9190</v>
      </c>
      <c r="G43" s="391">
        <v>8890</v>
      </c>
      <c r="H43" s="390">
        <v>15190</v>
      </c>
      <c r="I43" s="391">
        <v>14890</v>
      </c>
      <c r="J43" s="390"/>
      <c r="K43" s="391"/>
      <c r="L43" s="390"/>
      <c r="M43" s="391"/>
      <c r="N43" s="390"/>
      <c r="O43" s="391"/>
      <c r="P43" s="390"/>
      <c r="Q43" s="391"/>
      <c r="R43" s="390"/>
      <c r="S43" s="391"/>
      <c r="T43" s="390"/>
      <c r="U43" s="391"/>
      <c r="V43" s="390"/>
      <c r="W43" s="391"/>
      <c r="X43" s="390"/>
      <c r="Y43" s="391"/>
      <c r="Z43" s="390"/>
      <c r="AA43" s="391"/>
      <c r="AB43" s="390"/>
      <c r="AC43" s="391"/>
      <c r="AD43" s="390"/>
      <c r="AE43" s="391"/>
      <c r="AF43" s="390"/>
      <c r="AG43" s="391"/>
      <c r="AH43" s="390"/>
      <c r="AI43" s="391"/>
      <c r="AJ43" s="390"/>
      <c r="AK43" s="391"/>
      <c r="AL43" s="390"/>
      <c r="AM43" s="391"/>
      <c r="AN43" s="390"/>
      <c r="AO43" s="391"/>
      <c r="AP43" s="392"/>
    </row>
    <row r="44" spans="1:44" s="404" customFormat="1" ht="12.6" customHeight="1">
      <c r="A44" s="430" t="s">
        <v>87</v>
      </c>
      <c r="B44" s="431" t="s">
        <v>90</v>
      </c>
      <c r="C44" s="432"/>
      <c r="D44" s="433">
        <v>106458</v>
      </c>
      <c r="E44" s="433">
        <v>3</v>
      </c>
      <c r="F44" s="401">
        <v>8900</v>
      </c>
      <c r="G44" s="402">
        <v>8900</v>
      </c>
      <c r="H44" s="401">
        <v>15860</v>
      </c>
      <c r="I44" s="402">
        <v>15860</v>
      </c>
      <c r="J44" s="401">
        <v>8546</v>
      </c>
      <c r="K44" s="402">
        <v>8546</v>
      </c>
      <c r="L44" s="401">
        <v>15194</v>
      </c>
      <c r="M44" s="402">
        <v>15194</v>
      </c>
      <c r="N44" s="401"/>
      <c r="O44" s="402"/>
      <c r="P44" s="401"/>
      <c r="Q44" s="402"/>
      <c r="R44" s="401"/>
      <c r="S44" s="402"/>
      <c r="T44" s="401"/>
      <c r="U44" s="402"/>
      <c r="V44" s="401"/>
      <c r="W44" s="402"/>
      <c r="X44" s="401"/>
      <c r="Y44" s="402"/>
      <c r="Z44" s="401"/>
      <c r="AA44" s="402"/>
      <c r="AB44" s="401"/>
      <c r="AC44" s="402"/>
      <c r="AD44" s="401"/>
      <c r="AE44" s="402"/>
      <c r="AF44" s="401"/>
      <c r="AG44" s="402"/>
      <c r="AH44" s="401"/>
      <c r="AI44" s="402"/>
      <c r="AJ44" s="401"/>
      <c r="AK44" s="402"/>
      <c r="AL44" s="401"/>
      <c r="AM44" s="402"/>
      <c r="AN44" s="401"/>
      <c r="AO44" s="402"/>
      <c r="AP44" s="403"/>
      <c r="AQ44" s="403"/>
      <c r="AR44" s="403"/>
    </row>
    <row r="45" spans="1:44" s="404" customFormat="1" ht="12.6" customHeight="1">
      <c r="A45" s="430" t="s">
        <v>87</v>
      </c>
      <c r="B45" s="431" t="s">
        <v>91</v>
      </c>
      <c r="C45" s="434"/>
      <c r="D45" s="433">
        <v>106467</v>
      </c>
      <c r="E45" s="433">
        <v>3</v>
      </c>
      <c r="F45" s="401">
        <v>9255</v>
      </c>
      <c r="G45" s="402">
        <v>9539</v>
      </c>
      <c r="H45" s="401">
        <v>16215</v>
      </c>
      <c r="I45" s="402">
        <v>16709</v>
      </c>
      <c r="J45" s="401">
        <v>8844</v>
      </c>
      <c r="K45" s="402">
        <v>9113</v>
      </c>
      <c r="L45" s="401">
        <v>15852</v>
      </c>
      <c r="M45" s="402">
        <v>16331</v>
      </c>
      <c r="N45" s="401"/>
      <c r="O45" s="402"/>
      <c r="P45" s="401"/>
      <c r="Q45" s="402"/>
      <c r="R45" s="401"/>
      <c r="S45" s="402"/>
      <c r="T45" s="401"/>
      <c r="U45" s="402"/>
      <c r="V45" s="401"/>
      <c r="W45" s="402"/>
      <c r="X45" s="401"/>
      <c r="Y45" s="402"/>
      <c r="Z45" s="401"/>
      <c r="AA45" s="402"/>
      <c r="AB45" s="401"/>
      <c r="AC45" s="402"/>
      <c r="AD45" s="401"/>
      <c r="AE45" s="402"/>
      <c r="AF45" s="401"/>
      <c r="AG45" s="402"/>
      <c r="AH45" s="401"/>
      <c r="AI45" s="402"/>
      <c r="AJ45" s="401"/>
      <c r="AK45" s="402"/>
      <c r="AL45" s="401"/>
      <c r="AM45" s="402"/>
      <c r="AN45" s="401"/>
      <c r="AO45" s="402"/>
      <c r="AP45" s="403"/>
      <c r="AQ45" s="403"/>
      <c r="AR45" s="403"/>
    </row>
    <row r="46" spans="1:44" s="404" customFormat="1" ht="12.6" customHeight="1">
      <c r="A46" s="430" t="s">
        <v>87</v>
      </c>
      <c r="B46" s="431" t="s">
        <v>93</v>
      </c>
      <c r="C46" s="432"/>
      <c r="D46" s="433">
        <v>107071</v>
      </c>
      <c r="E46" s="433">
        <v>4</v>
      </c>
      <c r="F46" s="401">
        <v>8811</v>
      </c>
      <c r="G46" s="402">
        <v>9450</v>
      </c>
      <c r="H46" s="401">
        <v>10521</v>
      </c>
      <c r="I46" s="402">
        <v>12210</v>
      </c>
      <c r="J46" s="401">
        <v>8349</v>
      </c>
      <c r="K46" s="402">
        <v>9240</v>
      </c>
      <c r="L46" s="401">
        <v>11568</v>
      </c>
      <c r="M46" s="402">
        <v>12144</v>
      </c>
      <c r="N46" s="401"/>
      <c r="O46" s="402"/>
      <c r="P46" s="401"/>
      <c r="Q46" s="402"/>
      <c r="R46" s="401"/>
      <c r="S46" s="402"/>
      <c r="T46" s="401"/>
      <c r="U46" s="402"/>
      <c r="V46" s="401"/>
      <c r="W46" s="402"/>
      <c r="X46" s="401"/>
      <c r="Y46" s="402"/>
      <c r="Z46" s="401"/>
      <c r="AA46" s="402"/>
      <c r="AB46" s="401"/>
      <c r="AC46" s="402"/>
      <c r="AD46" s="401"/>
      <c r="AE46" s="402"/>
      <c r="AF46" s="401"/>
      <c r="AG46" s="402"/>
      <c r="AH46" s="401"/>
      <c r="AI46" s="402"/>
      <c r="AJ46" s="401"/>
      <c r="AK46" s="402"/>
      <c r="AL46" s="401"/>
      <c r="AM46" s="402"/>
      <c r="AN46" s="401"/>
      <c r="AO46" s="402"/>
      <c r="AP46" s="403"/>
      <c r="AQ46" s="403"/>
      <c r="AR46" s="403"/>
    </row>
    <row r="47" spans="1:44" s="404" customFormat="1" ht="12.6" customHeight="1">
      <c r="A47" s="430" t="s">
        <v>87</v>
      </c>
      <c r="B47" s="431" t="s">
        <v>94</v>
      </c>
      <c r="C47" s="434"/>
      <c r="D47" s="433">
        <v>107983</v>
      </c>
      <c r="E47" s="433">
        <v>4</v>
      </c>
      <c r="F47" s="401">
        <v>8980</v>
      </c>
      <c r="G47" s="402">
        <v>9310</v>
      </c>
      <c r="H47" s="401">
        <v>13480</v>
      </c>
      <c r="I47" s="402">
        <v>14530</v>
      </c>
      <c r="J47" s="401">
        <v>8766</v>
      </c>
      <c r="K47" s="402">
        <v>9192</v>
      </c>
      <c r="L47" s="401">
        <v>12606</v>
      </c>
      <c r="M47" s="402">
        <v>13176</v>
      </c>
      <c r="N47" s="401"/>
      <c r="O47" s="402"/>
      <c r="P47" s="401"/>
      <c r="Q47" s="402"/>
      <c r="R47" s="401"/>
      <c r="S47" s="402"/>
      <c r="T47" s="401"/>
      <c r="U47" s="402"/>
      <c r="V47" s="401"/>
      <c r="W47" s="402"/>
      <c r="X47" s="401"/>
      <c r="Y47" s="402"/>
      <c r="Z47" s="401"/>
      <c r="AA47" s="402"/>
      <c r="AB47" s="401"/>
      <c r="AC47" s="402"/>
      <c r="AD47" s="401"/>
      <c r="AE47" s="402"/>
      <c r="AF47" s="401"/>
      <c r="AG47" s="402"/>
      <c r="AH47" s="401"/>
      <c r="AI47" s="402"/>
      <c r="AJ47" s="401"/>
      <c r="AK47" s="402"/>
      <c r="AL47" s="401"/>
      <c r="AM47" s="402"/>
      <c r="AN47" s="401"/>
      <c r="AO47" s="402"/>
      <c r="AP47" s="403"/>
      <c r="AQ47" s="403"/>
      <c r="AR47" s="403"/>
    </row>
    <row r="48" spans="1:44" s="405" customFormat="1">
      <c r="A48" s="430" t="s">
        <v>87</v>
      </c>
      <c r="B48" s="431" t="s">
        <v>88</v>
      </c>
      <c r="C48" s="432"/>
      <c r="D48" s="433">
        <v>106397</v>
      </c>
      <c r="E48" s="433">
        <v>1</v>
      </c>
      <c r="F48" s="401">
        <v>9385</v>
      </c>
      <c r="G48" s="402">
        <v>9572</v>
      </c>
      <c r="H48" s="401">
        <v>25873</v>
      </c>
      <c r="I48" s="402">
        <v>26389</v>
      </c>
      <c r="J48" s="401">
        <v>11789</v>
      </c>
      <c r="K48" s="402">
        <v>12024</v>
      </c>
      <c r="L48" s="401">
        <v>29494</v>
      </c>
      <c r="M48" s="402">
        <v>30084</v>
      </c>
      <c r="N48" s="401">
        <v>13283</v>
      </c>
      <c r="O48" s="402">
        <v>13707</v>
      </c>
      <c r="P48" s="401">
        <v>29791</v>
      </c>
      <c r="Q48" s="402">
        <v>30528</v>
      </c>
      <c r="R48" s="401"/>
      <c r="S48" s="402"/>
      <c r="T48" s="401"/>
      <c r="U48" s="402"/>
      <c r="V48" s="401"/>
      <c r="W48" s="402"/>
      <c r="X48" s="401"/>
      <c r="Y48" s="402"/>
      <c r="Z48" s="401"/>
      <c r="AA48" s="402"/>
      <c r="AB48" s="401"/>
      <c r="AC48" s="402"/>
      <c r="AD48" s="401"/>
      <c r="AE48" s="402"/>
      <c r="AF48" s="401"/>
      <c r="AG48" s="402"/>
      <c r="AH48" s="401"/>
      <c r="AI48" s="402"/>
      <c r="AJ48" s="401"/>
      <c r="AK48" s="402"/>
      <c r="AL48" s="401"/>
      <c r="AM48" s="402"/>
      <c r="AN48" s="401"/>
      <c r="AO48" s="402"/>
      <c r="AP48" s="403"/>
      <c r="AQ48" s="403"/>
      <c r="AR48" s="403"/>
    </row>
    <row r="49" spans="1:44" s="405" customFormat="1">
      <c r="A49" s="430" t="s">
        <v>87</v>
      </c>
      <c r="B49" s="431" t="s">
        <v>96</v>
      </c>
      <c r="C49" s="432"/>
      <c r="D49" s="433">
        <v>108092</v>
      </c>
      <c r="E49" s="433">
        <v>6</v>
      </c>
      <c r="F49" s="401">
        <v>7339</v>
      </c>
      <c r="G49" s="402">
        <v>7339</v>
      </c>
      <c r="H49" s="401">
        <v>16429</v>
      </c>
      <c r="I49" s="402">
        <v>16429</v>
      </c>
      <c r="J49" s="401">
        <v>10106</v>
      </c>
      <c r="K49" s="402">
        <v>10106</v>
      </c>
      <c r="L49" s="401">
        <v>15842</v>
      </c>
      <c r="M49" s="402">
        <v>15842</v>
      </c>
      <c r="N49" s="401"/>
      <c r="O49" s="402"/>
      <c r="P49" s="401"/>
      <c r="Q49" s="402"/>
      <c r="R49" s="401"/>
      <c r="S49" s="402"/>
      <c r="T49" s="401"/>
      <c r="U49" s="402"/>
      <c r="V49" s="401"/>
      <c r="W49" s="402"/>
      <c r="X49" s="401"/>
      <c r="Y49" s="402"/>
      <c r="Z49" s="401"/>
      <c r="AA49" s="402"/>
      <c r="AB49" s="401"/>
      <c r="AC49" s="402"/>
      <c r="AD49" s="401"/>
      <c r="AE49" s="402"/>
      <c r="AF49" s="401"/>
      <c r="AG49" s="402"/>
      <c r="AH49" s="401"/>
      <c r="AI49" s="402"/>
      <c r="AJ49" s="401"/>
      <c r="AK49" s="402"/>
      <c r="AL49" s="401"/>
      <c r="AM49" s="402"/>
      <c r="AN49" s="401"/>
      <c r="AO49" s="402"/>
      <c r="AP49" s="403"/>
      <c r="AQ49" s="403"/>
      <c r="AR49" s="403"/>
    </row>
    <row r="50" spans="1:44" s="405" customFormat="1">
      <c r="A50" s="430" t="s">
        <v>87</v>
      </c>
      <c r="B50" s="431" t="s">
        <v>89</v>
      </c>
      <c r="C50" s="432"/>
      <c r="D50" s="433">
        <v>106245</v>
      </c>
      <c r="E50" s="433">
        <v>2</v>
      </c>
      <c r="F50" s="401">
        <v>9529</v>
      </c>
      <c r="G50" s="402">
        <v>9529</v>
      </c>
      <c r="H50" s="401">
        <v>21784</v>
      </c>
      <c r="I50" s="402">
        <v>21784</v>
      </c>
      <c r="J50" s="401">
        <v>10119</v>
      </c>
      <c r="K50" s="402">
        <v>10119</v>
      </c>
      <c r="L50" s="401">
        <v>19839</v>
      </c>
      <c r="M50" s="402">
        <v>19839</v>
      </c>
      <c r="N50" s="401">
        <v>13693</v>
      </c>
      <c r="O50" s="402">
        <v>13693</v>
      </c>
      <c r="P50" s="401">
        <v>26448</v>
      </c>
      <c r="Q50" s="402">
        <v>26448</v>
      </c>
      <c r="R50" s="401"/>
      <c r="S50" s="402"/>
      <c r="T50" s="401"/>
      <c r="U50" s="402"/>
      <c r="V50" s="401"/>
      <c r="W50" s="402"/>
      <c r="X50" s="401"/>
      <c r="Y50" s="402"/>
      <c r="Z50" s="401"/>
      <c r="AA50" s="402"/>
      <c r="AB50" s="401"/>
      <c r="AC50" s="402"/>
      <c r="AD50" s="401"/>
      <c r="AE50" s="402"/>
      <c r="AF50" s="401"/>
      <c r="AG50" s="402"/>
      <c r="AH50" s="401"/>
      <c r="AI50" s="402"/>
      <c r="AJ50" s="401"/>
      <c r="AK50" s="402"/>
      <c r="AL50" s="401"/>
      <c r="AM50" s="402"/>
      <c r="AN50" s="401"/>
      <c r="AO50" s="402"/>
      <c r="AP50" s="403"/>
      <c r="AQ50" s="403"/>
      <c r="AR50" s="403"/>
    </row>
    <row r="51" spans="1:44" s="405" customFormat="1">
      <c r="A51" s="430" t="s">
        <v>87</v>
      </c>
      <c r="B51" s="431" t="s">
        <v>95</v>
      </c>
      <c r="C51" s="432"/>
      <c r="D51" s="433">
        <v>106485</v>
      </c>
      <c r="E51" s="433">
        <v>4</v>
      </c>
      <c r="F51" s="401">
        <v>7909</v>
      </c>
      <c r="G51" s="402">
        <v>8029</v>
      </c>
      <c r="H51" s="401">
        <v>13759</v>
      </c>
      <c r="I51" s="402">
        <v>13879</v>
      </c>
      <c r="J51" s="401">
        <v>9127</v>
      </c>
      <c r="K51" s="402">
        <v>9223</v>
      </c>
      <c r="L51" s="401">
        <v>15007</v>
      </c>
      <c r="M51" s="402">
        <v>15103</v>
      </c>
      <c r="N51" s="401"/>
      <c r="O51" s="402"/>
      <c r="P51" s="401"/>
      <c r="Q51" s="402"/>
      <c r="R51" s="401"/>
      <c r="S51" s="402"/>
      <c r="T51" s="401"/>
      <c r="U51" s="402"/>
      <c r="V51" s="401"/>
      <c r="W51" s="402"/>
      <c r="X51" s="401"/>
      <c r="Y51" s="402"/>
      <c r="Z51" s="401"/>
      <c r="AA51" s="402"/>
      <c r="AB51" s="401"/>
      <c r="AC51" s="402"/>
      <c r="AD51" s="401"/>
      <c r="AE51" s="402"/>
      <c r="AF51" s="401"/>
      <c r="AG51" s="402"/>
      <c r="AH51" s="401"/>
      <c r="AI51" s="402"/>
      <c r="AJ51" s="401"/>
      <c r="AK51" s="402"/>
      <c r="AL51" s="401"/>
      <c r="AM51" s="402"/>
      <c r="AN51" s="401"/>
      <c r="AO51" s="402"/>
      <c r="AP51" s="403"/>
      <c r="AQ51" s="403"/>
      <c r="AR51" s="403"/>
    </row>
    <row r="52" spans="1:44" s="405" customFormat="1">
      <c r="A52" s="430" t="s">
        <v>87</v>
      </c>
      <c r="B52" s="431" t="s">
        <v>116</v>
      </c>
      <c r="C52" s="432"/>
      <c r="D52" s="433">
        <v>106263</v>
      </c>
      <c r="E52" s="433">
        <v>15</v>
      </c>
      <c r="F52" s="401">
        <v>7658</v>
      </c>
      <c r="G52" s="402">
        <v>7528</v>
      </c>
      <c r="H52" s="401">
        <v>15386</v>
      </c>
      <c r="I52" s="402">
        <v>15256</v>
      </c>
      <c r="J52" s="401">
        <v>8606</v>
      </c>
      <c r="K52" s="402">
        <v>8476</v>
      </c>
      <c r="L52" s="401">
        <v>16688</v>
      </c>
      <c r="M52" s="402">
        <v>16558</v>
      </c>
      <c r="N52" s="401"/>
      <c r="O52" s="402"/>
      <c r="P52" s="401"/>
      <c r="Q52" s="402"/>
      <c r="R52" s="401">
        <v>34668</v>
      </c>
      <c r="S52" s="402">
        <v>34538</v>
      </c>
      <c r="T52" s="401">
        <v>66838</v>
      </c>
      <c r="U52" s="402">
        <v>66708</v>
      </c>
      <c r="V52" s="401"/>
      <c r="W52" s="402"/>
      <c r="X52" s="401"/>
      <c r="Y52" s="402"/>
      <c r="Z52" s="401">
        <v>20938</v>
      </c>
      <c r="AA52" s="402">
        <v>20808</v>
      </c>
      <c r="AB52" s="401">
        <v>40218</v>
      </c>
      <c r="AC52" s="402">
        <v>40088</v>
      </c>
      <c r="AD52" s="401"/>
      <c r="AE52" s="402"/>
      <c r="AF52" s="401"/>
      <c r="AG52" s="402"/>
      <c r="AH52" s="401"/>
      <c r="AI52" s="402"/>
      <c r="AJ52" s="401"/>
      <c r="AK52" s="402"/>
      <c r="AL52" s="401"/>
      <c r="AM52" s="402"/>
      <c r="AN52" s="401"/>
      <c r="AO52" s="402"/>
      <c r="AP52" s="403"/>
      <c r="AQ52" s="403"/>
      <c r="AR52" s="403"/>
    </row>
    <row r="53" spans="1:44" s="405" customFormat="1">
      <c r="A53" s="430" t="s">
        <v>87</v>
      </c>
      <c r="B53" s="431" t="s">
        <v>97</v>
      </c>
      <c r="C53" s="435" t="s">
        <v>1000</v>
      </c>
      <c r="D53" s="433">
        <v>106412</v>
      </c>
      <c r="E53" s="433">
        <v>6</v>
      </c>
      <c r="F53" s="401">
        <v>8064</v>
      </c>
      <c r="G53" s="402">
        <v>8064</v>
      </c>
      <c r="H53" s="401">
        <v>14574</v>
      </c>
      <c r="I53" s="402">
        <v>14574</v>
      </c>
      <c r="J53" s="401">
        <v>7570</v>
      </c>
      <c r="K53" s="402">
        <v>7570</v>
      </c>
      <c r="L53" s="401">
        <v>14146</v>
      </c>
      <c r="M53" s="402">
        <v>14146</v>
      </c>
      <c r="N53" s="401"/>
      <c r="O53" s="402"/>
      <c r="P53" s="401"/>
      <c r="Q53" s="402"/>
      <c r="R53" s="401"/>
      <c r="S53" s="402"/>
      <c r="T53" s="401"/>
      <c r="U53" s="402"/>
      <c r="V53" s="401"/>
      <c r="W53" s="402"/>
      <c r="X53" s="401"/>
      <c r="Y53" s="402"/>
      <c r="Z53" s="401"/>
      <c r="AA53" s="402"/>
      <c r="AB53" s="401"/>
      <c r="AC53" s="402"/>
      <c r="AD53" s="401"/>
      <c r="AE53" s="402"/>
      <c r="AF53" s="401"/>
      <c r="AG53" s="402"/>
      <c r="AH53" s="401"/>
      <c r="AI53" s="402"/>
      <c r="AJ53" s="401"/>
      <c r="AK53" s="402"/>
      <c r="AL53" s="401"/>
      <c r="AM53" s="402"/>
      <c r="AN53" s="401"/>
      <c r="AO53" s="402"/>
      <c r="AP53" s="403"/>
      <c r="AQ53" s="403"/>
      <c r="AR53" s="403"/>
    </row>
    <row r="54" spans="1:44" s="405" customFormat="1">
      <c r="A54" s="430" t="s">
        <v>87</v>
      </c>
      <c r="B54" s="431" t="s">
        <v>92</v>
      </c>
      <c r="C54" s="432"/>
      <c r="D54" s="433">
        <v>106704</v>
      </c>
      <c r="E54" s="433">
        <v>3</v>
      </c>
      <c r="F54" s="401">
        <v>9188</v>
      </c>
      <c r="G54" s="402">
        <v>9563</v>
      </c>
      <c r="H54" s="401">
        <v>15998</v>
      </c>
      <c r="I54" s="402">
        <v>16433</v>
      </c>
      <c r="J54" s="401">
        <v>8633</v>
      </c>
      <c r="K54" s="402">
        <v>8944</v>
      </c>
      <c r="L54" s="401">
        <v>15324</v>
      </c>
      <c r="M54" s="402">
        <v>15694</v>
      </c>
      <c r="N54" s="401"/>
      <c r="O54" s="402"/>
      <c r="P54" s="401"/>
      <c r="Q54" s="402"/>
      <c r="R54" s="401"/>
      <c r="S54" s="402"/>
      <c r="T54" s="401"/>
      <c r="U54" s="402"/>
      <c r="V54" s="401"/>
      <c r="W54" s="402"/>
      <c r="X54" s="401"/>
      <c r="Y54" s="402"/>
      <c r="Z54" s="401"/>
      <c r="AA54" s="402"/>
      <c r="AB54" s="401"/>
      <c r="AC54" s="402"/>
      <c r="AD54" s="401"/>
      <c r="AE54" s="402"/>
      <c r="AF54" s="401"/>
      <c r="AG54" s="402"/>
      <c r="AH54" s="401"/>
      <c r="AI54" s="402"/>
      <c r="AJ54" s="401"/>
      <c r="AK54" s="402"/>
      <c r="AL54" s="401"/>
      <c r="AM54" s="402"/>
      <c r="AN54" s="401"/>
      <c r="AO54" s="402"/>
      <c r="AP54" s="403"/>
      <c r="AQ54" s="403"/>
      <c r="AR54" s="403"/>
    </row>
    <row r="55" spans="1:44" s="405" customFormat="1">
      <c r="A55" s="430" t="s">
        <v>87</v>
      </c>
      <c r="B55" s="431" t="s">
        <v>101</v>
      </c>
      <c r="C55" s="432"/>
      <c r="D55" s="433">
        <v>107327</v>
      </c>
      <c r="E55" s="433">
        <v>10</v>
      </c>
      <c r="F55" s="401">
        <v>2510</v>
      </c>
      <c r="G55" s="402">
        <v>2630</v>
      </c>
      <c r="H55" s="401">
        <v>4310</v>
      </c>
      <c r="I55" s="402">
        <v>4430</v>
      </c>
      <c r="J55" s="401"/>
      <c r="K55" s="402"/>
      <c r="L55" s="401"/>
      <c r="M55" s="402"/>
      <c r="N55" s="401"/>
      <c r="O55" s="402"/>
      <c r="P55" s="401"/>
      <c r="Q55" s="402"/>
      <c r="R55" s="401"/>
      <c r="S55" s="402"/>
      <c r="T55" s="401"/>
      <c r="U55" s="402"/>
      <c r="V55" s="401"/>
      <c r="W55" s="402"/>
      <c r="X55" s="401"/>
      <c r="Y55" s="402"/>
      <c r="Z55" s="401"/>
      <c r="AA55" s="402"/>
      <c r="AB55" s="401"/>
      <c r="AC55" s="402"/>
      <c r="AD55" s="401"/>
      <c r="AE55" s="402"/>
      <c r="AF55" s="401"/>
      <c r="AG55" s="402"/>
      <c r="AH55" s="401"/>
      <c r="AI55" s="402"/>
      <c r="AJ55" s="401"/>
      <c r="AK55" s="402"/>
      <c r="AL55" s="401"/>
      <c r="AM55" s="402"/>
      <c r="AN55" s="401"/>
      <c r="AO55" s="402"/>
      <c r="AP55" s="403"/>
      <c r="AQ55" s="403"/>
      <c r="AR55" s="403"/>
    </row>
    <row r="56" spans="1:44" s="405" customFormat="1">
      <c r="A56" s="430" t="s">
        <v>87</v>
      </c>
      <c r="B56" s="431" t="s">
        <v>99</v>
      </c>
      <c r="C56" s="432"/>
      <c r="D56" s="433">
        <v>106449</v>
      </c>
      <c r="E56" s="433">
        <v>9</v>
      </c>
      <c r="F56" s="401">
        <v>3660</v>
      </c>
      <c r="G56" s="402">
        <v>3660</v>
      </c>
      <c r="H56" s="401">
        <v>5820</v>
      </c>
      <c r="I56" s="402">
        <v>5820</v>
      </c>
      <c r="J56" s="401"/>
      <c r="K56" s="402"/>
      <c r="L56" s="401"/>
      <c r="M56" s="402"/>
      <c r="N56" s="401"/>
      <c r="O56" s="402"/>
      <c r="P56" s="401"/>
      <c r="Q56" s="402"/>
      <c r="R56" s="401"/>
      <c r="S56" s="402"/>
      <c r="T56" s="401"/>
      <c r="U56" s="402"/>
      <c r="V56" s="401"/>
      <c r="W56" s="402"/>
      <c r="X56" s="401"/>
      <c r="Y56" s="402"/>
      <c r="Z56" s="401"/>
      <c r="AA56" s="402"/>
      <c r="AB56" s="401"/>
      <c r="AC56" s="402"/>
      <c r="AD56" s="401"/>
      <c r="AE56" s="402"/>
      <c r="AF56" s="401"/>
      <c r="AG56" s="402"/>
      <c r="AH56" s="401"/>
      <c r="AI56" s="402"/>
      <c r="AJ56" s="401"/>
      <c r="AK56" s="402"/>
      <c r="AL56" s="401"/>
      <c r="AM56" s="402"/>
      <c r="AN56" s="401"/>
      <c r="AO56" s="402"/>
      <c r="AP56" s="403"/>
      <c r="AQ56" s="403"/>
      <c r="AR56" s="403"/>
    </row>
    <row r="57" spans="1:44" s="405" customFormat="1">
      <c r="A57" s="430" t="s">
        <v>87</v>
      </c>
      <c r="B57" s="431" t="s">
        <v>103</v>
      </c>
      <c r="C57" s="432"/>
      <c r="D57" s="433">
        <v>420538</v>
      </c>
      <c r="E57" s="433">
        <v>10</v>
      </c>
      <c r="F57" s="401">
        <v>3630</v>
      </c>
      <c r="G57" s="402">
        <v>3630</v>
      </c>
      <c r="H57" s="401">
        <v>5640</v>
      </c>
      <c r="I57" s="402">
        <v>5640</v>
      </c>
      <c r="J57" s="401"/>
      <c r="K57" s="402"/>
      <c r="L57" s="401"/>
      <c r="M57" s="402"/>
      <c r="N57" s="401"/>
      <c r="O57" s="402"/>
      <c r="P57" s="401"/>
      <c r="Q57" s="402"/>
      <c r="R57" s="401"/>
      <c r="S57" s="402"/>
      <c r="T57" s="401"/>
      <c r="U57" s="402"/>
      <c r="V57" s="401"/>
      <c r="W57" s="402"/>
      <c r="X57" s="401"/>
      <c r="Y57" s="402"/>
      <c r="Z57" s="401"/>
      <c r="AA57" s="402"/>
      <c r="AB57" s="401"/>
      <c r="AC57" s="402"/>
      <c r="AD57" s="401"/>
      <c r="AE57" s="402"/>
      <c r="AF57" s="401"/>
      <c r="AG57" s="402"/>
      <c r="AH57" s="401"/>
      <c r="AI57" s="402"/>
      <c r="AJ57" s="401"/>
      <c r="AK57" s="402"/>
      <c r="AL57" s="401"/>
      <c r="AM57" s="402"/>
      <c r="AN57" s="401"/>
      <c r="AO57" s="402"/>
      <c r="AP57" s="403"/>
      <c r="AQ57" s="403"/>
      <c r="AR57" s="403"/>
    </row>
    <row r="58" spans="1:44" s="405" customFormat="1">
      <c r="A58" s="430" t="s">
        <v>87</v>
      </c>
      <c r="B58" s="431" t="s">
        <v>102</v>
      </c>
      <c r="C58" s="432"/>
      <c r="D58" s="433">
        <v>107318</v>
      </c>
      <c r="E58" s="433">
        <v>10</v>
      </c>
      <c r="F58" s="401">
        <v>3490</v>
      </c>
      <c r="G58" s="402">
        <v>3490</v>
      </c>
      <c r="H58" s="401">
        <v>5290</v>
      </c>
      <c r="I58" s="402">
        <v>5290</v>
      </c>
      <c r="J58" s="401"/>
      <c r="K58" s="402"/>
      <c r="L58" s="401"/>
      <c r="M58" s="402"/>
      <c r="N58" s="401"/>
      <c r="O58" s="402"/>
      <c r="P58" s="401"/>
      <c r="Q58" s="402"/>
      <c r="R58" s="401"/>
      <c r="S58" s="402"/>
      <c r="T58" s="401"/>
      <c r="U58" s="402"/>
      <c r="V58" s="401"/>
      <c r="W58" s="402"/>
      <c r="X58" s="401"/>
      <c r="Y58" s="402"/>
      <c r="Z58" s="401"/>
      <c r="AA58" s="402"/>
      <c r="AB58" s="401"/>
      <c r="AC58" s="402"/>
      <c r="AD58" s="401"/>
      <c r="AE58" s="402"/>
      <c r="AF58" s="401"/>
      <c r="AG58" s="402"/>
      <c r="AH58" s="401"/>
      <c r="AI58" s="402"/>
      <c r="AJ58" s="401"/>
      <c r="AK58" s="402"/>
      <c r="AL58" s="401"/>
      <c r="AM58" s="402"/>
      <c r="AN58" s="401"/>
      <c r="AO58" s="402"/>
      <c r="AP58" s="403"/>
      <c r="AQ58" s="403"/>
      <c r="AR58" s="403"/>
    </row>
    <row r="59" spans="1:44" s="405" customFormat="1">
      <c r="A59" s="430" t="s">
        <v>87</v>
      </c>
      <c r="B59" s="431" t="s">
        <v>104</v>
      </c>
      <c r="C59" s="432"/>
      <c r="D59" s="433">
        <v>440402</v>
      </c>
      <c r="E59" s="433">
        <v>10</v>
      </c>
      <c r="F59" s="401">
        <v>3570</v>
      </c>
      <c r="G59" s="402">
        <v>3570</v>
      </c>
      <c r="H59" s="401">
        <v>5400</v>
      </c>
      <c r="I59" s="402">
        <v>5400</v>
      </c>
      <c r="J59" s="401"/>
      <c r="K59" s="402"/>
      <c r="L59" s="401"/>
      <c r="M59" s="402"/>
      <c r="N59" s="401"/>
      <c r="O59" s="402"/>
      <c r="P59" s="401"/>
      <c r="Q59" s="402"/>
      <c r="R59" s="401"/>
      <c r="S59" s="402"/>
      <c r="T59" s="401"/>
      <c r="U59" s="402"/>
      <c r="V59" s="401"/>
      <c r="W59" s="402"/>
      <c r="X59" s="401"/>
      <c r="Y59" s="402"/>
      <c r="Z59" s="401"/>
      <c r="AA59" s="402"/>
      <c r="AB59" s="401"/>
      <c r="AC59" s="402"/>
      <c r="AD59" s="401"/>
      <c r="AE59" s="402"/>
      <c r="AF59" s="401"/>
      <c r="AG59" s="402"/>
      <c r="AH59" s="401"/>
      <c r="AI59" s="402"/>
      <c r="AJ59" s="401"/>
      <c r="AK59" s="402"/>
      <c r="AL59" s="401"/>
      <c r="AM59" s="402"/>
      <c r="AN59" s="401"/>
      <c r="AO59" s="402"/>
      <c r="AP59" s="403"/>
      <c r="AQ59" s="403"/>
      <c r="AR59" s="403"/>
    </row>
    <row r="60" spans="1:44" s="405" customFormat="1">
      <c r="A60" s="430" t="s">
        <v>87</v>
      </c>
      <c r="B60" s="431" t="s">
        <v>628</v>
      </c>
      <c r="C60" s="432"/>
      <c r="D60" s="433">
        <v>107521</v>
      </c>
      <c r="E60" s="433">
        <v>10</v>
      </c>
      <c r="F60" s="401">
        <v>4070</v>
      </c>
      <c r="G60" s="402">
        <v>4070</v>
      </c>
      <c r="H60" s="401">
        <v>7100</v>
      </c>
      <c r="I60" s="402">
        <v>7100</v>
      </c>
      <c r="J60" s="401"/>
      <c r="K60" s="402"/>
      <c r="L60" s="401"/>
      <c r="M60" s="402"/>
      <c r="N60" s="401"/>
      <c r="O60" s="402"/>
      <c r="P60" s="401"/>
      <c r="Q60" s="402"/>
      <c r="R60" s="401"/>
      <c r="S60" s="402"/>
      <c r="T60" s="401"/>
      <c r="U60" s="402"/>
      <c r="V60" s="401"/>
      <c r="W60" s="402"/>
      <c r="X60" s="401"/>
      <c r="Y60" s="402"/>
      <c r="Z60" s="401"/>
      <c r="AA60" s="402"/>
      <c r="AB60" s="401"/>
      <c r="AC60" s="402"/>
      <c r="AD60" s="401"/>
      <c r="AE60" s="402"/>
      <c r="AF60" s="401"/>
      <c r="AG60" s="402"/>
      <c r="AH60" s="401"/>
      <c r="AI60" s="402"/>
      <c r="AJ60" s="401"/>
      <c r="AK60" s="402"/>
      <c r="AL60" s="401"/>
      <c r="AM60" s="402"/>
      <c r="AN60" s="401"/>
      <c r="AO60" s="402"/>
      <c r="AP60" s="403"/>
      <c r="AQ60" s="403"/>
      <c r="AR60" s="403"/>
    </row>
    <row r="61" spans="1:44" s="405" customFormat="1">
      <c r="A61" s="430" t="s">
        <v>87</v>
      </c>
      <c r="B61" s="431" t="s">
        <v>105</v>
      </c>
      <c r="C61" s="432"/>
      <c r="D61" s="433">
        <v>106625</v>
      </c>
      <c r="E61" s="433">
        <v>10</v>
      </c>
      <c r="F61" s="401">
        <v>4050</v>
      </c>
      <c r="G61" s="402">
        <v>4200</v>
      </c>
      <c r="H61" s="401">
        <v>6840</v>
      </c>
      <c r="I61" s="402">
        <v>6990</v>
      </c>
      <c r="J61" s="401"/>
      <c r="K61" s="402"/>
      <c r="L61" s="401"/>
      <c r="M61" s="402"/>
      <c r="N61" s="401"/>
      <c r="O61" s="402"/>
      <c r="P61" s="401"/>
      <c r="Q61" s="402"/>
      <c r="R61" s="401"/>
      <c r="S61" s="402"/>
      <c r="T61" s="401"/>
      <c r="U61" s="402"/>
      <c r="V61" s="401"/>
      <c r="W61" s="402"/>
      <c r="X61" s="401"/>
      <c r="Y61" s="402"/>
      <c r="Z61" s="401"/>
      <c r="AA61" s="402"/>
      <c r="AB61" s="401"/>
      <c r="AC61" s="402"/>
      <c r="AD61" s="401"/>
      <c r="AE61" s="402"/>
      <c r="AF61" s="401"/>
      <c r="AG61" s="402"/>
      <c r="AH61" s="401"/>
      <c r="AI61" s="402"/>
      <c r="AJ61" s="401"/>
      <c r="AK61" s="402"/>
      <c r="AL61" s="401"/>
      <c r="AM61" s="402"/>
      <c r="AN61" s="401"/>
      <c r="AO61" s="402"/>
      <c r="AP61" s="403"/>
      <c r="AQ61" s="403"/>
      <c r="AR61" s="403"/>
    </row>
    <row r="62" spans="1:44" s="405" customFormat="1">
      <c r="A62" s="430" t="s">
        <v>87</v>
      </c>
      <c r="B62" s="431" t="s">
        <v>106</v>
      </c>
      <c r="C62" s="432"/>
      <c r="D62" s="433">
        <v>106795</v>
      </c>
      <c r="E62" s="433">
        <v>10</v>
      </c>
      <c r="F62" s="401">
        <v>3570</v>
      </c>
      <c r="G62" s="402">
        <v>3570</v>
      </c>
      <c r="H62" s="401">
        <v>4410</v>
      </c>
      <c r="I62" s="402">
        <v>4410</v>
      </c>
      <c r="J62" s="401"/>
      <c r="K62" s="402"/>
      <c r="L62" s="401"/>
      <c r="M62" s="402"/>
      <c r="N62" s="401"/>
      <c r="O62" s="402"/>
      <c r="P62" s="401"/>
      <c r="Q62" s="402"/>
      <c r="R62" s="401"/>
      <c r="S62" s="402"/>
      <c r="T62" s="401"/>
      <c r="U62" s="402"/>
      <c r="V62" s="401"/>
      <c r="W62" s="402"/>
      <c r="X62" s="401"/>
      <c r="Y62" s="402"/>
      <c r="Z62" s="401"/>
      <c r="AA62" s="402"/>
      <c r="AB62" s="401"/>
      <c r="AC62" s="402"/>
      <c r="AD62" s="401"/>
      <c r="AE62" s="402"/>
      <c r="AF62" s="401"/>
      <c r="AG62" s="402"/>
      <c r="AH62" s="401"/>
      <c r="AI62" s="402"/>
      <c r="AJ62" s="401"/>
      <c r="AK62" s="402"/>
      <c r="AL62" s="401"/>
      <c r="AM62" s="402"/>
      <c r="AN62" s="401"/>
      <c r="AO62" s="402"/>
      <c r="AP62" s="403"/>
      <c r="AQ62" s="403"/>
      <c r="AR62" s="403"/>
    </row>
    <row r="63" spans="1:44" s="405" customFormat="1">
      <c r="A63" s="433" t="s">
        <v>87</v>
      </c>
      <c r="B63" s="431" t="s">
        <v>107</v>
      </c>
      <c r="C63" s="432"/>
      <c r="D63" s="433">
        <v>106883</v>
      </c>
      <c r="E63" s="433">
        <v>10</v>
      </c>
      <c r="F63" s="401">
        <v>2934</v>
      </c>
      <c r="G63" s="402">
        <v>2840</v>
      </c>
      <c r="H63" s="401">
        <v>3804</v>
      </c>
      <c r="I63" s="402">
        <v>3740</v>
      </c>
      <c r="J63" s="401"/>
      <c r="K63" s="402"/>
      <c r="L63" s="401"/>
      <c r="M63" s="402"/>
      <c r="N63" s="401"/>
      <c r="O63" s="402"/>
      <c r="P63" s="401"/>
      <c r="Q63" s="402"/>
      <c r="R63" s="401"/>
      <c r="S63" s="402"/>
      <c r="T63" s="401"/>
      <c r="U63" s="402"/>
      <c r="V63" s="401"/>
      <c r="W63" s="402"/>
      <c r="X63" s="401"/>
      <c r="Y63" s="402"/>
      <c r="Z63" s="401"/>
      <c r="AA63" s="402"/>
      <c r="AB63" s="401"/>
      <c r="AC63" s="402"/>
      <c r="AD63" s="401"/>
      <c r="AE63" s="402"/>
      <c r="AF63" s="401"/>
      <c r="AG63" s="402"/>
      <c r="AH63" s="401"/>
      <c r="AI63" s="402"/>
      <c r="AJ63" s="401"/>
      <c r="AK63" s="402"/>
      <c r="AL63" s="401"/>
      <c r="AM63" s="402"/>
      <c r="AN63" s="401"/>
      <c r="AO63" s="402"/>
      <c r="AP63" s="403"/>
      <c r="AQ63" s="403"/>
      <c r="AR63" s="403"/>
    </row>
    <row r="64" spans="1:44" s="405" customFormat="1">
      <c r="A64" s="430" t="s">
        <v>87</v>
      </c>
      <c r="B64" s="431" t="s">
        <v>108</v>
      </c>
      <c r="C64" s="432"/>
      <c r="D64" s="433">
        <v>107460</v>
      </c>
      <c r="E64" s="433">
        <v>10</v>
      </c>
      <c r="F64" s="401">
        <v>2940</v>
      </c>
      <c r="G64" s="402">
        <v>3090</v>
      </c>
      <c r="H64" s="401">
        <v>5790</v>
      </c>
      <c r="I64" s="402">
        <v>5940</v>
      </c>
      <c r="J64" s="401"/>
      <c r="K64" s="402"/>
      <c r="L64" s="401"/>
      <c r="M64" s="402"/>
      <c r="N64" s="401"/>
      <c r="O64" s="402"/>
      <c r="P64" s="401"/>
      <c r="Q64" s="402"/>
      <c r="R64" s="401"/>
      <c r="S64" s="402"/>
      <c r="T64" s="401"/>
      <c r="U64" s="402"/>
      <c r="V64" s="401"/>
      <c r="W64" s="402"/>
      <c r="X64" s="401"/>
      <c r="Y64" s="402"/>
      <c r="Z64" s="401"/>
      <c r="AA64" s="402"/>
      <c r="AB64" s="401"/>
      <c r="AC64" s="402"/>
      <c r="AD64" s="401"/>
      <c r="AE64" s="402"/>
      <c r="AF64" s="401"/>
      <c r="AG64" s="402"/>
      <c r="AH64" s="401"/>
      <c r="AI64" s="402"/>
      <c r="AJ64" s="401"/>
      <c r="AK64" s="402"/>
      <c r="AL64" s="401"/>
      <c r="AM64" s="402"/>
      <c r="AN64" s="401"/>
      <c r="AO64" s="402"/>
      <c r="AP64" s="403"/>
      <c r="AQ64" s="403"/>
      <c r="AR64" s="403"/>
    </row>
    <row r="65" spans="1:44" s="405" customFormat="1">
      <c r="A65" s="433" t="s">
        <v>87</v>
      </c>
      <c r="B65" s="431" t="s">
        <v>100</v>
      </c>
      <c r="C65" s="434"/>
      <c r="D65" s="433">
        <v>106980</v>
      </c>
      <c r="E65" s="433">
        <v>10</v>
      </c>
      <c r="F65" s="401">
        <v>4050</v>
      </c>
      <c r="G65" s="402">
        <v>4050</v>
      </c>
      <c r="H65" s="401">
        <v>5730</v>
      </c>
      <c r="I65" s="402">
        <v>5730</v>
      </c>
      <c r="J65" s="401"/>
      <c r="K65" s="402"/>
      <c r="L65" s="401"/>
      <c r="M65" s="402"/>
      <c r="N65" s="401"/>
      <c r="O65" s="402"/>
      <c r="P65" s="401"/>
      <c r="Q65" s="402"/>
      <c r="R65" s="401"/>
      <c r="S65" s="402"/>
      <c r="T65" s="401"/>
      <c r="U65" s="402"/>
      <c r="V65" s="401"/>
      <c r="W65" s="402"/>
      <c r="X65" s="401"/>
      <c r="Y65" s="402"/>
      <c r="Z65" s="401"/>
      <c r="AA65" s="402"/>
      <c r="AB65" s="401"/>
      <c r="AC65" s="402"/>
      <c r="AD65" s="401"/>
      <c r="AE65" s="402"/>
      <c r="AF65" s="401"/>
      <c r="AG65" s="402"/>
      <c r="AH65" s="401"/>
      <c r="AI65" s="402"/>
      <c r="AJ65" s="401"/>
      <c r="AK65" s="402"/>
      <c r="AL65" s="401"/>
      <c r="AM65" s="402"/>
      <c r="AN65" s="401"/>
      <c r="AO65" s="402"/>
      <c r="AP65" s="403"/>
      <c r="AQ65" s="403"/>
      <c r="AR65" s="403"/>
    </row>
    <row r="66" spans="1:44" s="405" customFormat="1">
      <c r="A66" s="430" t="s">
        <v>87</v>
      </c>
      <c r="B66" s="431" t="s">
        <v>98</v>
      </c>
      <c r="C66" s="435" t="s">
        <v>1001</v>
      </c>
      <c r="D66" s="433">
        <v>367459</v>
      </c>
      <c r="E66" s="433">
        <v>8</v>
      </c>
      <c r="F66" s="401">
        <v>3258</v>
      </c>
      <c r="G66" s="402">
        <v>3288</v>
      </c>
      <c r="H66" s="401">
        <v>5508</v>
      </c>
      <c r="I66" s="402">
        <v>5538</v>
      </c>
      <c r="J66" s="401"/>
      <c r="K66" s="402"/>
      <c r="L66" s="401"/>
      <c r="M66" s="402"/>
      <c r="N66" s="401"/>
      <c r="O66" s="402"/>
      <c r="P66" s="401"/>
      <c r="Q66" s="402"/>
      <c r="R66" s="401"/>
      <c r="S66" s="402"/>
      <c r="T66" s="401"/>
      <c r="U66" s="402"/>
      <c r="V66" s="401"/>
      <c r="W66" s="402"/>
      <c r="X66" s="401"/>
      <c r="Y66" s="402"/>
      <c r="Z66" s="401"/>
      <c r="AA66" s="402"/>
      <c r="AB66" s="401"/>
      <c r="AC66" s="402"/>
      <c r="AD66" s="401"/>
      <c r="AE66" s="402"/>
      <c r="AF66" s="401"/>
      <c r="AG66" s="402"/>
      <c r="AH66" s="401"/>
      <c r="AI66" s="402"/>
      <c r="AJ66" s="401"/>
      <c r="AK66" s="402"/>
      <c r="AL66" s="401"/>
      <c r="AM66" s="402"/>
      <c r="AN66" s="401"/>
      <c r="AO66" s="402"/>
      <c r="AP66" s="403"/>
      <c r="AQ66" s="403"/>
      <c r="AR66" s="403"/>
    </row>
    <row r="67" spans="1:44" s="405" customFormat="1">
      <c r="A67" s="430" t="s">
        <v>87</v>
      </c>
      <c r="B67" s="431" t="s">
        <v>109</v>
      </c>
      <c r="C67" s="432"/>
      <c r="D67" s="433">
        <v>107549</v>
      </c>
      <c r="E67" s="433">
        <v>10</v>
      </c>
      <c r="F67" s="401">
        <v>3730</v>
      </c>
      <c r="G67" s="402">
        <v>3730</v>
      </c>
      <c r="H67" s="401">
        <v>6670</v>
      </c>
      <c r="I67" s="402">
        <v>6670</v>
      </c>
      <c r="J67" s="401"/>
      <c r="K67" s="402"/>
      <c r="L67" s="401"/>
      <c r="M67" s="402"/>
      <c r="N67" s="401"/>
      <c r="O67" s="402"/>
      <c r="P67" s="401"/>
      <c r="Q67" s="402"/>
      <c r="R67" s="401"/>
      <c r="S67" s="402"/>
      <c r="T67" s="401"/>
      <c r="U67" s="402"/>
      <c r="V67" s="401"/>
      <c r="W67" s="402"/>
      <c r="X67" s="401"/>
      <c r="Y67" s="402"/>
      <c r="Z67" s="401"/>
      <c r="AA67" s="402"/>
      <c r="AB67" s="401"/>
      <c r="AC67" s="402"/>
      <c r="AD67" s="401"/>
      <c r="AE67" s="402"/>
      <c r="AF67" s="401"/>
      <c r="AG67" s="402"/>
      <c r="AH67" s="401"/>
      <c r="AI67" s="402"/>
      <c r="AJ67" s="401"/>
      <c r="AK67" s="402"/>
      <c r="AL67" s="401"/>
      <c r="AM67" s="402"/>
      <c r="AN67" s="401"/>
      <c r="AO67" s="402"/>
      <c r="AP67" s="403"/>
      <c r="AQ67" s="403"/>
      <c r="AR67" s="403"/>
    </row>
    <row r="68" spans="1:44" s="405" customFormat="1">
      <c r="A68" s="430" t="s">
        <v>87</v>
      </c>
      <c r="B68" s="431" t="s">
        <v>110</v>
      </c>
      <c r="C68" s="432"/>
      <c r="D68" s="433">
        <v>107619</v>
      </c>
      <c r="E68" s="433">
        <v>10</v>
      </c>
      <c r="F68" s="401">
        <v>3020</v>
      </c>
      <c r="G68" s="402">
        <v>3020</v>
      </c>
      <c r="H68" s="401">
        <v>4910</v>
      </c>
      <c r="I68" s="402">
        <v>4910</v>
      </c>
      <c r="J68" s="401"/>
      <c r="K68" s="402"/>
      <c r="L68" s="401"/>
      <c r="M68" s="402"/>
      <c r="N68" s="401"/>
      <c r="O68" s="402"/>
      <c r="P68" s="401"/>
      <c r="Q68" s="402"/>
      <c r="R68" s="401"/>
      <c r="S68" s="402"/>
      <c r="T68" s="401"/>
      <c r="U68" s="402"/>
      <c r="V68" s="401"/>
      <c r="W68" s="402"/>
      <c r="X68" s="401"/>
      <c r="Y68" s="402"/>
      <c r="Z68" s="401"/>
      <c r="AA68" s="402"/>
      <c r="AB68" s="401"/>
      <c r="AC68" s="402"/>
      <c r="AD68" s="401"/>
      <c r="AE68" s="402"/>
      <c r="AF68" s="401"/>
      <c r="AG68" s="402"/>
      <c r="AH68" s="401"/>
      <c r="AI68" s="402"/>
      <c r="AJ68" s="401"/>
      <c r="AK68" s="402"/>
      <c r="AL68" s="401"/>
      <c r="AM68" s="402"/>
      <c r="AN68" s="401"/>
      <c r="AO68" s="402"/>
      <c r="AP68" s="403"/>
      <c r="AQ68" s="403"/>
      <c r="AR68" s="403"/>
    </row>
    <row r="69" spans="1:44" s="405" customFormat="1">
      <c r="A69" s="430" t="s">
        <v>87</v>
      </c>
      <c r="B69" s="431" t="s">
        <v>111</v>
      </c>
      <c r="C69" s="432"/>
      <c r="D69" s="433">
        <v>107974</v>
      </c>
      <c r="E69" s="433">
        <v>10</v>
      </c>
      <c r="F69" s="401">
        <v>3360</v>
      </c>
      <c r="G69" s="402">
        <v>3420</v>
      </c>
      <c r="H69" s="401">
        <v>6000</v>
      </c>
      <c r="I69" s="402">
        <v>6060</v>
      </c>
      <c r="J69" s="401"/>
      <c r="K69" s="402"/>
      <c r="L69" s="401"/>
      <c r="M69" s="402"/>
      <c r="N69" s="401"/>
      <c r="O69" s="402"/>
      <c r="P69" s="401"/>
      <c r="Q69" s="402"/>
      <c r="R69" s="401"/>
      <c r="S69" s="402"/>
      <c r="T69" s="401"/>
      <c r="U69" s="402"/>
      <c r="V69" s="401"/>
      <c r="W69" s="402"/>
      <c r="X69" s="401"/>
      <c r="Y69" s="402"/>
      <c r="Z69" s="401"/>
      <c r="AA69" s="402"/>
      <c r="AB69" s="401"/>
      <c r="AC69" s="402"/>
      <c r="AD69" s="401"/>
      <c r="AE69" s="402"/>
      <c r="AF69" s="401"/>
      <c r="AG69" s="402"/>
      <c r="AH69" s="401"/>
      <c r="AI69" s="402"/>
      <c r="AJ69" s="401"/>
      <c r="AK69" s="402"/>
      <c r="AL69" s="401"/>
      <c r="AM69" s="402"/>
      <c r="AN69" s="401"/>
      <c r="AO69" s="402"/>
      <c r="AP69" s="403"/>
      <c r="AQ69" s="403"/>
      <c r="AR69" s="403"/>
    </row>
    <row r="70" spans="1:44" s="405" customFormat="1">
      <c r="A70" s="433" t="s">
        <v>87</v>
      </c>
      <c r="B70" s="431" t="s">
        <v>113</v>
      </c>
      <c r="C70" s="432"/>
      <c r="D70" s="433">
        <v>107992</v>
      </c>
      <c r="E70" s="433">
        <v>10</v>
      </c>
      <c r="F70" s="401">
        <v>4590</v>
      </c>
      <c r="G70" s="402">
        <v>4770</v>
      </c>
      <c r="H70" s="401">
        <v>6030</v>
      </c>
      <c r="I70" s="402">
        <v>6210</v>
      </c>
      <c r="J70" s="401"/>
      <c r="K70" s="402"/>
      <c r="L70" s="401"/>
      <c r="M70" s="402"/>
      <c r="N70" s="401"/>
      <c r="O70" s="402"/>
      <c r="P70" s="401"/>
      <c r="Q70" s="402"/>
      <c r="R70" s="401"/>
      <c r="S70" s="402"/>
      <c r="T70" s="401"/>
      <c r="U70" s="402"/>
      <c r="V70" s="401"/>
      <c r="W70" s="402"/>
      <c r="X70" s="401"/>
      <c r="Y70" s="402"/>
      <c r="Z70" s="401"/>
      <c r="AA70" s="402"/>
      <c r="AB70" s="401"/>
      <c r="AC70" s="402"/>
      <c r="AD70" s="401"/>
      <c r="AE70" s="402"/>
      <c r="AF70" s="401"/>
      <c r="AG70" s="402"/>
      <c r="AH70" s="401"/>
      <c r="AI70" s="402"/>
      <c r="AJ70" s="401"/>
      <c r="AK70" s="402"/>
      <c r="AL70" s="401"/>
      <c r="AM70" s="402"/>
      <c r="AN70" s="401"/>
      <c r="AO70" s="402"/>
      <c r="AP70" s="403"/>
      <c r="AQ70" s="403"/>
      <c r="AR70" s="403"/>
    </row>
    <row r="71" spans="1:44" s="405" customFormat="1">
      <c r="A71" s="430" t="s">
        <v>87</v>
      </c>
      <c r="B71" s="431" t="s">
        <v>112</v>
      </c>
      <c r="C71" s="432"/>
      <c r="D71" s="433">
        <v>107637</v>
      </c>
      <c r="E71" s="433">
        <v>10</v>
      </c>
      <c r="F71" s="401">
        <v>3850</v>
      </c>
      <c r="G71" s="402">
        <v>3850</v>
      </c>
      <c r="H71" s="401">
        <v>6730</v>
      </c>
      <c r="I71" s="402">
        <v>6730</v>
      </c>
      <c r="J71" s="401"/>
      <c r="K71" s="402"/>
      <c r="L71" s="401"/>
      <c r="M71" s="402"/>
      <c r="N71" s="401"/>
      <c r="O71" s="402"/>
      <c r="P71" s="401"/>
      <c r="Q71" s="402"/>
      <c r="R71" s="401"/>
      <c r="S71" s="402"/>
      <c r="T71" s="401"/>
      <c r="U71" s="402"/>
      <c r="V71" s="401"/>
      <c r="W71" s="402"/>
      <c r="X71" s="401"/>
      <c r="Y71" s="402"/>
      <c r="Z71" s="401"/>
      <c r="AA71" s="402"/>
      <c r="AB71" s="401"/>
      <c r="AC71" s="402"/>
      <c r="AD71" s="401"/>
      <c r="AE71" s="402"/>
      <c r="AF71" s="401"/>
      <c r="AG71" s="402"/>
      <c r="AH71" s="401"/>
      <c r="AI71" s="402"/>
      <c r="AJ71" s="401"/>
      <c r="AK71" s="402"/>
      <c r="AL71" s="401"/>
      <c r="AM71" s="402"/>
      <c r="AN71" s="401"/>
      <c r="AO71" s="402"/>
      <c r="AP71" s="403"/>
      <c r="AQ71" s="403"/>
      <c r="AR71" s="403"/>
    </row>
    <row r="72" spans="1:44" s="405" customFormat="1">
      <c r="A72" s="433" t="s">
        <v>87</v>
      </c>
      <c r="B72" s="431" t="s">
        <v>114</v>
      </c>
      <c r="C72" s="432"/>
      <c r="D72" s="433">
        <v>106999</v>
      </c>
      <c r="E72" s="433">
        <v>10</v>
      </c>
      <c r="F72" s="401">
        <v>3150</v>
      </c>
      <c r="G72" s="402">
        <v>3150</v>
      </c>
      <c r="H72" s="401">
        <v>4290</v>
      </c>
      <c r="I72" s="402">
        <v>4290</v>
      </c>
      <c r="J72" s="401"/>
      <c r="K72" s="402"/>
      <c r="L72" s="401"/>
      <c r="M72" s="402"/>
      <c r="N72" s="401"/>
      <c r="O72" s="402"/>
      <c r="P72" s="401"/>
      <c r="Q72" s="402"/>
      <c r="R72" s="401"/>
      <c r="S72" s="402"/>
      <c r="T72" s="401"/>
      <c r="U72" s="402"/>
      <c r="V72" s="401"/>
      <c r="W72" s="402"/>
      <c r="X72" s="401"/>
      <c r="Y72" s="402"/>
      <c r="Z72" s="401"/>
      <c r="AA72" s="402"/>
      <c r="AB72" s="401"/>
      <c r="AC72" s="402"/>
      <c r="AD72" s="401"/>
      <c r="AE72" s="402"/>
      <c r="AF72" s="401"/>
      <c r="AG72" s="402"/>
      <c r="AH72" s="401"/>
      <c r="AI72" s="402"/>
      <c r="AJ72" s="401"/>
      <c r="AK72" s="402"/>
      <c r="AL72" s="401"/>
      <c r="AM72" s="402"/>
      <c r="AN72" s="401"/>
      <c r="AO72" s="402"/>
      <c r="AP72" s="403"/>
      <c r="AQ72" s="403"/>
      <c r="AR72" s="403"/>
    </row>
    <row r="73" spans="1:44" s="405" customFormat="1">
      <c r="A73" s="430" t="s">
        <v>87</v>
      </c>
      <c r="B73" s="431" t="s">
        <v>630</v>
      </c>
      <c r="C73" s="432"/>
      <c r="D73" s="433">
        <v>107725</v>
      </c>
      <c r="E73" s="433">
        <v>10</v>
      </c>
      <c r="F73" s="401">
        <v>2980</v>
      </c>
      <c r="G73" s="402">
        <v>3100</v>
      </c>
      <c r="H73" s="401">
        <v>4300</v>
      </c>
      <c r="I73" s="402">
        <v>4450</v>
      </c>
      <c r="J73" s="401"/>
      <c r="K73" s="402"/>
      <c r="L73" s="401"/>
      <c r="M73" s="402"/>
      <c r="N73" s="401"/>
      <c r="O73" s="402"/>
      <c r="P73" s="401"/>
      <c r="Q73" s="402"/>
      <c r="R73" s="401"/>
      <c r="S73" s="402"/>
      <c r="T73" s="401"/>
      <c r="U73" s="402"/>
      <c r="V73" s="401"/>
      <c r="W73" s="402"/>
      <c r="X73" s="401"/>
      <c r="Y73" s="402"/>
      <c r="Z73" s="401"/>
      <c r="AA73" s="402"/>
      <c r="AB73" s="401"/>
      <c r="AC73" s="402"/>
      <c r="AD73" s="401"/>
      <c r="AE73" s="402"/>
      <c r="AF73" s="401"/>
      <c r="AG73" s="402"/>
      <c r="AH73" s="401"/>
      <c r="AI73" s="402"/>
      <c r="AJ73" s="401"/>
      <c r="AK73" s="402"/>
      <c r="AL73" s="401"/>
      <c r="AM73" s="402"/>
      <c r="AN73" s="401"/>
      <c r="AO73" s="402"/>
      <c r="AP73" s="403"/>
      <c r="AQ73" s="403"/>
      <c r="AR73" s="403"/>
    </row>
    <row r="74" spans="1:44" s="405" customFormat="1">
      <c r="A74" s="433" t="s">
        <v>87</v>
      </c>
      <c r="B74" s="431" t="s">
        <v>115</v>
      </c>
      <c r="C74" s="432"/>
      <c r="D74" s="433">
        <v>107585</v>
      </c>
      <c r="E74" s="433">
        <v>10</v>
      </c>
      <c r="F74" s="401">
        <v>4020</v>
      </c>
      <c r="G74" s="402">
        <v>4020</v>
      </c>
      <c r="H74" s="401">
        <v>5160</v>
      </c>
      <c r="I74" s="402">
        <v>5160</v>
      </c>
      <c r="J74" s="401"/>
      <c r="K74" s="402"/>
      <c r="L74" s="401"/>
      <c r="M74" s="402"/>
      <c r="N74" s="401"/>
      <c r="O74" s="402"/>
      <c r="P74" s="401"/>
      <c r="Q74" s="402"/>
      <c r="R74" s="401"/>
      <c r="S74" s="402"/>
      <c r="T74" s="401"/>
      <c r="U74" s="402"/>
      <c r="V74" s="401"/>
      <c r="W74" s="402"/>
      <c r="X74" s="401"/>
      <c r="Y74" s="402"/>
      <c r="Z74" s="401"/>
      <c r="AA74" s="402"/>
      <c r="AB74" s="401"/>
      <c r="AC74" s="402"/>
      <c r="AD74" s="401"/>
      <c r="AE74" s="402"/>
      <c r="AF74" s="401"/>
      <c r="AG74" s="402"/>
      <c r="AH74" s="401"/>
      <c r="AI74" s="402"/>
      <c r="AJ74" s="401"/>
      <c r="AK74" s="402"/>
      <c r="AL74" s="401"/>
      <c r="AM74" s="402"/>
      <c r="AN74" s="401"/>
      <c r="AO74" s="402"/>
      <c r="AP74" s="403"/>
      <c r="AQ74" s="403"/>
      <c r="AR74" s="403"/>
    </row>
    <row r="75" spans="1:44" s="405" customFormat="1">
      <c r="A75" s="430" t="s">
        <v>87</v>
      </c>
      <c r="B75" s="431" t="s">
        <v>620</v>
      </c>
      <c r="C75" s="432"/>
      <c r="D75" s="433">
        <v>107743</v>
      </c>
      <c r="E75" s="433">
        <v>10</v>
      </c>
      <c r="F75" s="401">
        <v>3840</v>
      </c>
      <c r="G75" s="402">
        <v>4050</v>
      </c>
      <c r="H75" s="401">
        <v>4560</v>
      </c>
      <c r="I75" s="402">
        <v>4770</v>
      </c>
      <c r="J75" s="401"/>
      <c r="K75" s="402"/>
      <c r="L75" s="401"/>
      <c r="M75" s="402"/>
      <c r="N75" s="401"/>
      <c r="O75" s="402"/>
      <c r="P75" s="401"/>
      <c r="Q75" s="402"/>
      <c r="R75" s="401"/>
      <c r="S75" s="402"/>
      <c r="T75" s="401"/>
      <c r="U75" s="402"/>
      <c r="V75" s="401"/>
      <c r="W75" s="402"/>
      <c r="X75" s="401"/>
      <c r="Y75" s="402"/>
      <c r="Z75" s="401"/>
      <c r="AA75" s="402"/>
      <c r="AB75" s="401"/>
      <c r="AC75" s="402"/>
      <c r="AD75" s="401"/>
      <c r="AE75" s="402"/>
      <c r="AF75" s="401"/>
      <c r="AG75" s="402"/>
      <c r="AH75" s="401"/>
      <c r="AI75" s="402"/>
      <c r="AJ75" s="401"/>
      <c r="AK75" s="402"/>
      <c r="AL75" s="401"/>
      <c r="AM75" s="402"/>
      <c r="AN75" s="401"/>
      <c r="AO75" s="402"/>
      <c r="AP75" s="403"/>
      <c r="AQ75" s="403"/>
      <c r="AR75" s="403"/>
    </row>
    <row r="76" spans="1:44" s="405" customFormat="1">
      <c r="A76" s="433" t="s">
        <v>87</v>
      </c>
      <c r="B76" s="431" t="s">
        <v>619</v>
      </c>
      <c r="C76" s="434"/>
      <c r="D76" s="433">
        <v>107664</v>
      </c>
      <c r="E76" s="433">
        <v>9</v>
      </c>
      <c r="F76" s="401">
        <v>5670</v>
      </c>
      <c r="G76" s="402">
        <v>5670</v>
      </c>
      <c r="H76" s="401">
        <v>6900</v>
      </c>
      <c r="I76" s="402">
        <v>6900</v>
      </c>
      <c r="J76" s="401"/>
      <c r="K76" s="402"/>
      <c r="L76" s="401"/>
      <c r="M76" s="402"/>
      <c r="N76" s="401"/>
      <c r="O76" s="402"/>
      <c r="P76" s="401"/>
      <c r="Q76" s="402"/>
      <c r="R76" s="401"/>
      <c r="S76" s="402"/>
      <c r="T76" s="401"/>
      <c r="U76" s="402"/>
      <c r="V76" s="401"/>
      <c r="W76" s="402"/>
      <c r="X76" s="401"/>
      <c r="Y76" s="402"/>
      <c r="Z76" s="401"/>
      <c r="AA76" s="402"/>
      <c r="AB76" s="401"/>
      <c r="AC76" s="402"/>
      <c r="AD76" s="401"/>
      <c r="AE76" s="402"/>
      <c r="AF76" s="401"/>
      <c r="AG76" s="402"/>
      <c r="AH76" s="401"/>
      <c r="AI76" s="402"/>
      <c r="AJ76" s="401"/>
      <c r="AK76" s="402"/>
      <c r="AL76" s="401"/>
      <c r="AM76" s="402"/>
      <c r="AN76" s="401"/>
      <c r="AO76" s="402"/>
      <c r="AP76" s="403"/>
      <c r="AQ76" s="403"/>
      <c r="AR76" s="403"/>
    </row>
    <row r="77" spans="1:44">
      <c r="A77" s="436" t="s">
        <v>117</v>
      </c>
      <c r="B77" s="437" t="s">
        <v>118</v>
      </c>
      <c r="C77" s="438"/>
      <c r="D77" s="436">
        <v>130943</v>
      </c>
      <c r="E77" s="439">
        <v>1</v>
      </c>
      <c r="F77" s="401">
        <v>14660</v>
      </c>
      <c r="G77" s="402">
        <v>15020</v>
      </c>
      <c r="H77" s="401">
        <v>36090</v>
      </c>
      <c r="I77" s="402">
        <v>36880</v>
      </c>
      <c r="J77" s="401">
        <v>35192</v>
      </c>
      <c r="K77" s="402">
        <v>18128</v>
      </c>
      <c r="L77" s="406">
        <v>35192</v>
      </c>
      <c r="M77" s="402">
        <v>18128</v>
      </c>
      <c r="N77" s="401"/>
      <c r="O77" s="402"/>
      <c r="P77" s="401"/>
      <c r="Q77" s="402"/>
      <c r="R77" s="401"/>
      <c r="S77" s="402"/>
      <c r="T77" s="401"/>
      <c r="U77" s="402"/>
      <c r="V77" s="401"/>
      <c r="W77" s="402"/>
      <c r="X77" s="401"/>
      <c r="Y77" s="402"/>
      <c r="Z77" s="401"/>
      <c r="AA77" s="402"/>
      <c r="AB77" s="401"/>
      <c r="AC77" s="402"/>
      <c r="AD77" s="401"/>
      <c r="AE77" s="402"/>
      <c r="AF77" s="401"/>
      <c r="AG77" s="402"/>
      <c r="AH77" s="401"/>
      <c r="AI77" s="402"/>
      <c r="AJ77" s="401"/>
      <c r="AK77" s="402"/>
      <c r="AL77" s="401"/>
      <c r="AM77" s="402"/>
      <c r="AN77" s="401"/>
      <c r="AO77" s="402"/>
      <c r="AP77" s="53"/>
      <c r="AQ77" s="53"/>
      <c r="AR77" s="53"/>
    </row>
    <row r="78" spans="1:44">
      <c r="A78" s="436" t="s">
        <v>117</v>
      </c>
      <c r="B78" s="437" t="s">
        <v>119</v>
      </c>
      <c r="C78" s="440"/>
      <c r="D78" s="436">
        <v>130934</v>
      </c>
      <c r="E78" s="439">
        <v>3</v>
      </c>
      <c r="F78" s="401">
        <v>8358</v>
      </c>
      <c r="G78" s="402">
        <v>8358</v>
      </c>
      <c r="H78" s="401">
        <v>18280</v>
      </c>
      <c r="I78" s="402">
        <v>18280</v>
      </c>
      <c r="J78" s="401">
        <v>5510</v>
      </c>
      <c r="K78" s="402">
        <v>5510</v>
      </c>
      <c r="L78" s="401">
        <v>11726</v>
      </c>
      <c r="M78" s="402">
        <v>11726</v>
      </c>
      <c r="N78" s="401"/>
      <c r="O78" s="402"/>
      <c r="P78" s="401"/>
      <c r="Q78" s="402"/>
      <c r="R78" s="401"/>
      <c r="S78" s="402"/>
      <c r="T78" s="401"/>
      <c r="U78" s="402"/>
      <c r="V78" s="401"/>
      <c r="W78" s="402"/>
      <c r="X78" s="401"/>
      <c r="Y78" s="402"/>
      <c r="Z78" s="401"/>
      <c r="AA78" s="402"/>
      <c r="AB78" s="401"/>
      <c r="AC78" s="402"/>
      <c r="AD78" s="401"/>
      <c r="AE78" s="402"/>
      <c r="AF78" s="401"/>
      <c r="AG78" s="402"/>
      <c r="AH78" s="401"/>
      <c r="AI78" s="402"/>
      <c r="AJ78" s="401"/>
      <c r="AK78" s="402"/>
      <c r="AL78" s="401"/>
      <c r="AM78" s="402"/>
      <c r="AN78" s="401"/>
      <c r="AO78" s="402"/>
      <c r="AP78" s="53"/>
      <c r="AQ78" s="53"/>
      <c r="AR78" s="53"/>
    </row>
    <row r="79" spans="1:44">
      <c r="A79" s="436" t="s">
        <v>117</v>
      </c>
      <c r="B79" s="441" t="s">
        <v>120</v>
      </c>
      <c r="C79" s="442" t="s">
        <v>1002</v>
      </c>
      <c r="D79" s="443">
        <v>130907</v>
      </c>
      <c r="E79" s="444">
        <v>7</v>
      </c>
      <c r="F79" s="401">
        <v>4945</v>
      </c>
      <c r="G79" s="402">
        <v>4945</v>
      </c>
      <c r="H79" s="401">
        <v>11808</v>
      </c>
      <c r="I79" s="402">
        <v>11808</v>
      </c>
      <c r="J79" s="401"/>
      <c r="K79" s="402"/>
      <c r="L79" s="401"/>
      <c r="M79" s="402"/>
      <c r="N79" s="401"/>
      <c r="O79" s="402"/>
      <c r="P79" s="401"/>
      <c r="Q79" s="402"/>
      <c r="R79" s="401"/>
      <c r="S79" s="402"/>
      <c r="T79" s="401"/>
      <c r="U79" s="402"/>
      <c r="V79" s="401"/>
      <c r="W79" s="402"/>
      <c r="X79" s="401"/>
      <c r="Y79" s="402"/>
      <c r="Z79" s="401"/>
      <c r="AA79" s="402"/>
      <c r="AB79" s="401"/>
      <c r="AC79" s="402"/>
      <c r="AD79" s="401"/>
      <c r="AE79" s="402"/>
      <c r="AF79" s="401"/>
      <c r="AG79" s="402"/>
      <c r="AH79" s="401"/>
      <c r="AI79" s="402"/>
      <c r="AJ79" s="401"/>
      <c r="AK79" s="402"/>
      <c r="AL79" s="401"/>
      <c r="AM79" s="402"/>
      <c r="AN79" s="401"/>
      <c r="AO79" s="402"/>
      <c r="AP79" s="53"/>
      <c r="AQ79" s="53"/>
      <c r="AR79" s="53"/>
    </row>
    <row r="80" spans="1:44">
      <c r="A80" s="204" t="s">
        <v>121</v>
      </c>
      <c r="B80" s="1"/>
      <c r="C80" s="215"/>
      <c r="D80" s="2"/>
      <c r="E80" s="2"/>
      <c r="F80" s="385"/>
      <c r="G80" s="386"/>
      <c r="H80" s="385"/>
      <c r="I80" s="386"/>
      <c r="J80" s="385"/>
      <c r="K80" s="387"/>
      <c r="L80" s="385"/>
      <c r="M80" s="387"/>
      <c r="N80" s="385"/>
      <c r="O80" s="387"/>
      <c r="P80" s="385"/>
      <c r="Q80" s="387"/>
      <c r="R80" s="385"/>
      <c r="S80" s="387"/>
      <c r="T80" s="385"/>
      <c r="U80" s="387"/>
      <c r="V80" s="385"/>
      <c r="W80" s="387"/>
      <c r="X80" s="385"/>
      <c r="Y80" s="387"/>
      <c r="Z80" s="385"/>
      <c r="AA80" s="387"/>
      <c r="AB80" s="385"/>
      <c r="AC80" s="387"/>
      <c r="AD80" s="385"/>
      <c r="AE80" s="387"/>
      <c r="AF80" s="385"/>
      <c r="AG80" s="387"/>
      <c r="AH80" s="385"/>
      <c r="AI80" s="387"/>
      <c r="AJ80" s="385"/>
      <c r="AK80" s="387"/>
      <c r="AL80" s="385"/>
      <c r="AM80" s="387"/>
      <c r="AN80" s="385"/>
      <c r="AO80" s="387"/>
    </row>
    <row r="81" spans="1:41">
      <c r="A81" s="229" t="s">
        <v>121</v>
      </c>
      <c r="B81" s="230" t="s">
        <v>141</v>
      </c>
      <c r="C81" s="202" t="s">
        <v>1003</v>
      </c>
      <c r="D81" s="445">
        <v>132693</v>
      </c>
      <c r="E81" s="446">
        <v>7</v>
      </c>
      <c r="F81" s="390">
        <v>3120</v>
      </c>
      <c r="G81" s="394">
        <v>3120</v>
      </c>
      <c r="H81" s="390">
        <v>12172.8</v>
      </c>
      <c r="I81" s="394">
        <v>12172.8</v>
      </c>
      <c r="J81" s="390"/>
      <c r="K81" s="391"/>
      <c r="L81" s="390"/>
      <c r="M81" s="391"/>
      <c r="N81" s="390"/>
      <c r="O81" s="391"/>
      <c r="P81" s="390"/>
      <c r="Q81" s="391"/>
      <c r="R81" s="390"/>
      <c r="S81" s="391"/>
      <c r="T81" s="390"/>
      <c r="U81" s="391"/>
      <c r="V81" s="390"/>
      <c r="W81" s="391"/>
      <c r="X81" s="390"/>
      <c r="Y81" s="391"/>
      <c r="Z81" s="390"/>
      <c r="AA81" s="391"/>
      <c r="AB81" s="390"/>
      <c r="AC81" s="391"/>
      <c r="AD81" s="390"/>
      <c r="AE81" s="391"/>
      <c r="AF81" s="390"/>
      <c r="AG81" s="391"/>
      <c r="AH81" s="390"/>
      <c r="AI81" s="391"/>
      <c r="AJ81" s="390"/>
      <c r="AK81" s="391"/>
      <c r="AL81" s="390"/>
      <c r="AM81" s="391"/>
      <c r="AN81" s="390"/>
      <c r="AO81" s="391"/>
    </row>
    <row r="82" spans="1:41">
      <c r="A82" s="229" t="s">
        <v>121</v>
      </c>
      <c r="B82" s="230" t="s">
        <v>122</v>
      </c>
      <c r="C82" s="202" t="s">
        <v>1004</v>
      </c>
      <c r="D82" s="445">
        <v>132709</v>
      </c>
      <c r="E82" s="446">
        <v>7</v>
      </c>
      <c r="F82" s="390">
        <v>3357</v>
      </c>
      <c r="G82" s="395">
        <v>3357</v>
      </c>
      <c r="H82" s="390">
        <v>11010</v>
      </c>
      <c r="I82" s="395">
        <v>11010</v>
      </c>
      <c r="J82" s="390"/>
      <c r="K82" s="391"/>
      <c r="L82" s="390"/>
      <c r="M82" s="391"/>
      <c r="N82" s="390"/>
      <c r="O82" s="391"/>
      <c r="P82" s="390"/>
      <c r="Q82" s="391"/>
      <c r="R82" s="390"/>
      <c r="S82" s="391"/>
      <c r="T82" s="390"/>
      <c r="U82" s="391"/>
      <c r="V82" s="390"/>
      <c r="W82" s="391"/>
      <c r="X82" s="390"/>
      <c r="Y82" s="391"/>
      <c r="Z82" s="390"/>
      <c r="AA82" s="391"/>
      <c r="AB82" s="390"/>
      <c r="AC82" s="391"/>
      <c r="AD82" s="390"/>
      <c r="AE82" s="391"/>
      <c r="AF82" s="390"/>
      <c r="AG82" s="391"/>
      <c r="AH82" s="390"/>
      <c r="AI82" s="391"/>
      <c r="AJ82" s="390"/>
      <c r="AK82" s="391"/>
      <c r="AL82" s="390"/>
      <c r="AM82" s="391"/>
      <c r="AN82" s="390"/>
      <c r="AO82" s="391"/>
    </row>
    <row r="83" spans="1:41">
      <c r="A83" s="229" t="s">
        <v>121</v>
      </c>
      <c r="B83" s="230" t="s">
        <v>124</v>
      </c>
      <c r="C83" s="202" t="s">
        <v>1001</v>
      </c>
      <c r="D83" s="445">
        <v>132851</v>
      </c>
      <c r="E83" s="446">
        <v>7</v>
      </c>
      <c r="F83" s="390">
        <v>3387.6</v>
      </c>
      <c r="G83" s="395">
        <v>3387.6</v>
      </c>
      <c r="H83" s="390">
        <v>13146</v>
      </c>
      <c r="I83" s="395">
        <v>13146</v>
      </c>
      <c r="J83" s="390"/>
      <c r="K83" s="391"/>
      <c r="L83" s="390"/>
      <c r="M83" s="391"/>
      <c r="N83" s="390"/>
      <c r="O83" s="391"/>
      <c r="P83" s="390"/>
      <c r="Q83" s="391"/>
      <c r="R83" s="390"/>
      <c r="S83" s="391"/>
      <c r="T83" s="390"/>
      <c r="U83" s="391"/>
      <c r="V83" s="390"/>
      <c r="W83" s="391"/>
      <c r="X83" s="390"/>
      <c r="Y83" s="391"/>
      <c r="Z83" s="390"/>
      <c r="AA83" s="391"/>
      <c r="AB83" s="390"/>
      <c r="AC83" s="391"/>
      <c r="AD83" s="390"/>
      <c r="AE83" s="391"/>
      <c r="AF83" s="390"/>
      <c r="AG83" s="391"/>
      <c r="AH83" s="390"/>
      <c r="AI83" s="391"/>
      <c r="AJ83" s="390"/>
      <c r="AK83" s="391"/>
      <c r="AL83" s="390"/>
      <c r="AM83" s="391"/>
      <c r="AN83" s="390"/>
      <c r="AO83" s="391"/>
    </row>
    <row r="84" spans="1:41">
      <c r="A84" s="229" t="s">
        <v>121</v>
      </c>
      <c r="B84" s="230" t="s">
        <v>123</v>
      </c>
      <c r="C84" s="202" t="s">
        <v>1005</v>
      </c>
      <c r="D84" s="445">
        <v>133021</v>
      </c>
      <c r="E84" s="446">
        <v>7</v>
      </c>
      <c r="F84" s="390">
        <v>3060</v>
      </c>
      <c r="G84" s="395">
        <v>3060</v>
      </c>
      <c r="H84" s="390">
        <v>8890.5</v>
      </c>
      <c r="I84" s="395">
        <v>8890.5</v>
      </c>
      <c r="J84" s="390"/>
      <c r="K84" s="391"/>
      <c r="L84" s="390"/>
      <c r="M84" s="391"/>
      <c r="N84" s="390"/>
      <c r="O84" s="391"/>
      <c r="P84" s="390"/>
      <c r="Q84" s="391"/>
      <c r="R84" s="390"/>
      <c r="S84" s="391"/>
      <c r="T84" s="390"/>
      <c r="U84" s="391"/>
      <c r="V84" s="390"/>
      <c r="W84" s="391"/>
      <c r="X84" s="390"/>
      <c r="Y84" s="391"/>
      <c r="Z84" s="390"/>
      <c r="AA84" s="391"/>
      <c r="AB84" s="390"/>
      <c r="AC84" s="391"/>
      <c r="AD84" s="390"/>
      <c r="AE84" s="391"/>
      <c r="AF84" s="390"/>
      <c r="AG84" s="391"/>
      <c r="AH84" s="390"/>
      <c r="AI84" s="391"/>
      <c r="AJ84" s="390"/>
      <c r="AK84" s="391"/>
      <c r="AL84" s="390"/>
      <c r="AM84" s="391"/>
      <c r="AN84" s="390"/>
      <c r="AO84" s="391"/>
    </row>
    <row r="85" spans="1:41">
      <c r="A85" s="229" t="s">
        <v>121</v>
      </c>
      <c r="B85" s="230" t="s">
        <v>125</v>
      </c>
      <c r="C85" s="202" t="s">
        <v>1003</v>
      </c>
      <c r="D85" s="445">
        <v>133386</v>
      </c>
      <c r="E85" s="446">
        <v>7</v>
      </c>
      <c r="F85" s="390">
        <v>3071.4</v>
      </c>
      <c r="G85" s="395">
        <v>3071.4</v>
      </c>
      <c r="H85" s="390">
        <v>11959.5</v>
      </c>
      <c r="I85" s="395">
        <v>11959.5</v>
      </c>
      <c r="J85" s="390"/>
      <c r="K85" s="391"/>
      <c r="L85" s="390"/>
      <c r="M85" s="391"/>
      <c r="N85" s="390"/>
      <c r="O85" s="391"/>
      <c r="P85" s="390"/>
      <c r="Q85" s="391"/>
      <c r="R85" s="390"/>
      <c r="S85" s="391"/>
      <c r="T85" s="390"/>
      <c r="U85" s="391"/>
      <c r="V85" s="390"/>
      <c r="W85" s="391"/>
      <c r="X85" s="390"/>
      <c r="Y85" s="391"/>
      <c r="Z85" s="390"/>
      <c r="AA85" s="391"/>
      <c r="AB85" s="390"/>
      <c r="AC85" s="391"/>
      <c r="AD85" s="390"/>
      <c r="AE85" s="391"/>
      <c r="AF85" s="390"/>
      <c r="AG85" s="391"/>
      <c r="AH85" s="390"/>
      <c r="AI85" s="391"/>
      <c r="AJ85" s="390"/>
      <c r="AK85" s="391"/>
      <c r="AL85" s="390"/>
      <c r="AM85" s="391"/>
      <c r="AN85" s="390"/>
      <c r="AO85" s="391"/>
    </row>
    <row r="86" spans="1:41">
      <c r="A86" s="229" t="s">
        <v>121</v>
      </c>
      <c r="B86" s="230" t="s">
        <v>126</v>
      </c>
      <c r="C86" s="202" t="s">
        <v>1003</v>
      </c>
      <c r="D86" s="445">
        <v>133508</v>
      </c>
      <c r="E86" s="446">
        <v>7</v>
      </c>
      <c r="F86" s="390">
        <v>3340.8</v>
      </c>
      <c r="G86" s="395">
        <v>3340.8</v>
      </c>
      <c r="H86" s="390">
        <v>12918.9</v>
      </c>
      <c r="I86" s="395">
        <v>12918.9</v>
      </c>
      <c r="J86" s="390"/>
      <c r="K86" s="391"/>
      <c r="L86" s="390"/>
      <c r="M86" s="391"/>
      <c r="N86" s="390"/>
      <c r="O86" s="391"/>
      <c r="P86" s="390"/>
      <c r="Q86" s="391"/>
      <c r="R86" s="390"/>
      <c r="S86" s="391"/>
      <c r="T86" s="390"/>
      <c r="U86" s="391"/>
      <c r="V86" s="390"/>
      <c r="W86" s="391"/>
      <c r="X86" s="390"/>
      <c r="Y86" s="391"/>
      <c r="Z86" s="390"/>
      <c r="AA86" s="391"/>
      <c r="AB86" s="390"/>
      <c r="AC86" s="391"/>
      <c r="AD86" s="390"/>
      <c r="AE86" s="391"/>
      <c r="AF86" s="390"/>
      <c r="AG86" s="391"/>
      <c r="AH86" s="390"/>
      <c r="AI86" s="391"/>
      <c r="AJ86" s="390"/>
      <c r="AK86" s="391"/>
      <c r="AL86" s="390"/>
      <c r="AM86" s="391"/>
      <c r="AN86" s="390"/>
      <c r="AO86" s="391"/>
    </row>
    <row r="87" spans="1:41">
      <c r="A87" s="229" t="s">
        <v>121</v>
      </c>
      <c r="B87" s="230" t="s">
        <v>127</v>
      </c>
      <c r="C87" s="202" t="s">
        <v>1003</v>
      </c>
      <c r="D87" s="445">
        <v>133702</v>
      </c>
      <c r="E87" s="446">
        <v>7</v>
      </c>
      <c r="F87" s="390">
        <v>3146.4</v>
      </c>
      <c r="G87" s="395">
        <v>3146.4</v>
      </c>
      <c r="H87" s="390">
        <v>12038.1</v>
      </c>
      <c r="I87" s="395">
        <v>12038.1</v>
      </c>
      <c r="J87" s="390"/>
      <c r="K87" s="391"/>
      <c r="L87" s="390"/>
      <c r="M87" s="391"/>
      <c r="N87" s="390"/>
      <c r="O87" s="391"/>
      <c r="P87" s="390"/>
      <c r="Q87" s="391"/>
      <c r="R87" s="390"/>
      <c r="S87" s="391"/>
      <c r="T87" s="390"/>
      <c r="U87" s="391"/>
      <c r="V87" s="390"/>
      <c r="W87" s="391"/>
      <c r="X87" s="390"/>
      <c r="Y87" s="391"/>
      <c r="Z87" s="390"/>
      <c r="AA87" s="391"/>
      <c r="AB87" s="390"/>
      <c r="AC87" s="391"/>
      <c r="AD87" s="390"/>
      <c r="AE87" s="391"/>
      <c r="AF87" s="390"/>
      <c r="AG87" s="391"/>
      <c r="AH87" s="390"/>
      <c r="AI87" s="391"/>
      <c r="AJ87" s="390"/>
      <c r="AK87" s="391"/>
      <c r="AL87" s="390"/>
      <c r="AM87" s="391"/>
      <c r="AN87" s="390"/>
      <c r="AO87" s="391"/>
    </row>
    <row r="88" spans="1:41">
      <c r="A88" s="229" t="s">
        <v>121</v>
      </c>
      <c r="B88" s="230" t="s">
        <v>632</v>
      </c>
      <c r="C88" s="202"/>
      <c r="D88" s="445">
        <v>133960</v>
      </c>
      <c r="E88" s="446">
        <v>10</v>
      </c>
      <c r="F88" s="390">
        <v>3276.6</v>
      </c>
      <c r="G88" s="395">
        <v>3276.6</v>
      </c>
      <c r="H88" s="390">
        <v>13161.9</v>
      </c>
      <c r="I88" s="395">
        <v>13161.9</v>
      </c>
      <c r="J88" s="390"/>
      <c r="K88" s="391"/>
      <c r="L88" s="390"/>
      <c r="M88" s="391"/>
      <c r="N88" s="390"/>
      <c r="O88" s="391"/>
      <c r="P88" s="390"/>
      <c r="Q88" s="391"/>
      <c r="R88" s="390"/>
      <c r="S88" s="391"/>
      <c r="T88" s="390"/>
      <c r="U88" s="391"/>
      <c r="V88" s="390"/>
      <c r="W88" s="391"/>
      <c r="X88" s="390"/>
      <c r="Y88" s="391"/>
      <c r="Z88" s="390"/>
      <c r="AA88" s="391"/>
      <c r="AB88" s="390"/>
      <c r="AC88" s="391"/>
      <c r="AD88" s="390"/>
      <c r="AE88" s="391"/>
      <c r="AF88" s="390"/>
      <c r="AG88" s="391"/>
      <c r="AH88" s="390"/>
      <c r="AI88" s="391"/>
      <c r="AJ88" s="390"/>
      <c r="AK88" s="391"/>
      <c r="AL88" s="390"/>
      <c r="AM88" s="391"/>
      <c r="AN88" s="390"/>
      <c r="AO88" s="391"/>
    </row>
    <row r="89" spans="1:41">
      <c r="A89" s="229" t="s">
        <v>121</v>
      </c>
      <c r="B89" s="230" t="s">
        <v>128</v>
      </c>
      <c r="C89" s="202" t="s">
        <v>1001</v>
      </c>
      <c r="D89" s="445">
        <v>134343</v>
      </c>
      <c r="E89" s="446">
        <v>7</v>
      </c>
      <c r="F89" s="390">
        <v>2844</v>
      </c>
      <c r="G89" s="395">
        <v>2844</v>
      </c>
      <c r="H89" s="390">
        <v>10672.8</v>
      </c>
      <c r="I89" s="395">
        <v>10672.8</v>
      </c>
      <c r="J89" s="390"/>
      <c r="K89" s="391"/>
      <c r="L89" s="390"/>
      <c r="M89" s="391"/>
      <c r="N89" s="390"/>
      <c r="O89" s="391"/>
      <c r="P89" s="390"/>
      <c r="Q89" s="391"/>
      <c r="R89" s="390"/>
      <c r="S89" s="391"/>
      <c r="T89" s="390"/>
      <c r="U89" s="391"/>
      <c r="V89" s="390"/>
      <c r="W89" s="391"/>
      <c r="X89" s="390"/>
      <c r="Y89" s="391"/>
      <c r="Z89" s="390"/>
      <c r="AA89" s="391"/>
      <c r="AB89" s="390"/>
      <c r="AC89" s="391"/>
      <c r="AD89" s="390"/>
      <c r="AE89" s="391"/>
      <c r="AF89" s="390"/>
      <c r="AG89" s="391"/>
      <c r="AH89" s="390"/>
      <c r="AI89" s="391"/>
      <c r="AJ89" s="390"/>
      <c r="AK89" s="391"/>
      <c r="AL89" s="390"/>
      <c r="AM89" s="391"/>
      <c r="AN89" s="390"/>
      <c r="AO89" s="391"/>
    </row>
    <row r="90" spans="1:41">
      <c r="A90" s="229" t="s">
        <v>121</v>
      </c>
      <c r="B90" s="230" t="s">
        <v>142</v>
      </c>
      <c r="C90" s="202"/>
      <c r="D90" s="445">
        <v>134495</v>
      </c>
      <c r="E90" s="446">
        <v>8</v>
      </c>
      <c r="F90" s="390">
        <v>3115.5</v>
      </c>
      <c r="G90" s="395">
        <v>3115.5</v>
      </c>
      <c r="H90" s="390">
        <v>11372.1</v>
      </c>
      <c r="I90" s="395">
        <v>11372.1</v>
      </c>
      <c r="J90" s="390"/>
      <c r="K90" s="391"/>
      <c r="L90" s="390"/>
      <c r="M90" s="391"/>
      <c r="N90" s="390"/>
      <c r="O90" s="391"/>
      <c r="P90" s="390"/>
      <c r="Q90" s="391"/>
      <c r="R90" s="390"/>
      <c r="S90" s="391"/>
      <c r="T90" s="390"/>
      <c r="U90" s="391"/>
      <c r="V90" s="390"/>
      <c r="W90" s="391"/>
      <c r="X90" s="390"/>
      <c r="Y90" s="391"/>
      <c r="Z90" s="390"/>
      <c r="AA90" s="391"/>
      <c r="AB90" s="390"/>
      <c r="AC90" s="391"/>
      <c r="AD90" s="390"/>
      <c r="AE90" s="391"/>
      <c r="AF90" s="390"/>
      <c r="AG90" s="391"/>
      <c r="AH90" s="390"/>
      <c r="AI90" s="391"/>
      <c r="AJ90" s="390"/>
      <c r="AK90" s="391"/>
      <c r="AL90" s="390"/>
      <c r="AM90" s="391"/>
      <c r="AN90" s="390"/>
      <c r="AO90" s="391"/>
    </row>
    <row r="91" spans="1:41">
      <c r="A91" s="229" t="s">
        <v>121</v>
      </c>
      <c r="B91" s="230" t="s">
        <v>129</v>
      </c>
      <c r="C91" s="202" t="s">
        <v>1003</v>
      </c>
      <c r="D91" s="445">
        <v>134608</v>
      </c>
      <c r="E91" s="446">
        <v>7</v>
      </c>
      <c r="F91" s="390">
        <v>3114.9</v>
      </c>
      <c r="G91" s="395">
        <v>3114.9</v>
      </c>
      <c r="H91" s="390">
        <v>11714.7</v>
      </c>
      <c r="I91" s="395">
        <v>11714.7</v>
      </c>
      <c r="J91" s="390"/>
      <c r="K91" s="391"/>
      <c r="L91" s="390"/>
      <c r="M91" s="391"/>
      <c r="N91" s="390"/>
      <c r="O91" s="391"/>
      <c r="P91" s="390"/>
      <c r="Q91" s="391"/>
      <c r="R91" s="390"/>
      <c r="S91" s="391"/>
      <c r="T91" s="390"/>
      <c r="U91" s="391"/>
      <c r="V91" s="390"/>
      <c r="W91" s="391"/>
      <c r="X91" s="390"/>
      <c r="Y91" s="391"/>
      <c r="Z91" s="390"/>
      <c r="AA91" s="391"/>
      <c r="AB91" s="390"/>
      <c r="AC91" s="391"/>
      <c r="AD91" s="390"/>
      <c r="AE91" s="391"/>
      <c r="AF91" s="390"/>
      <c r="AG91" s="391"/>
      <c r="AH91" s="390"/>
      <c r="AI91" s="391"/>
      <c r="AJ91" s="390"/>
      <c r="AK91" s="391"/>
      <c r="AL91" s="390"/>
      <c r="AM91" s="391"/>
      <c r="AN91" s="390"/>
      <c r="AO91" s="391"/>
    </row>
    <row r="92" spans="1:41">
      <c r="A92" s="229" t="s">
        <v>121</v>
      </c>
      <c r="B92" s="230" t="s">
        <v>145</v>
      </c>
      <c r="C92" s="202" t="s">
        <v>1001</v>
      </c>
      <c r="D92" s="445">
        <v>135160</v>
      </c>
      <c r="E92" s="446">
        <v>7</v>
      </c>
      <c r="F92" s="390">
        <v>3069.6</v>
      </c>
      <c r="G92" s="395">
        <v>3069.6</v>
      </c>
      <c r="H92" s="390">
        <v>11717.1</v>
      </c>
      <c r="I92" s="395">
        <v>11717.1</v>
      </c>
      <c r="J92" s="390"/>
      <c r="K92" s="391"/>
      <c r="L92" s="390"/>
      <c r="M92" s="391"/>
      <c r="N92" s="390"/>
      <c r="O92" s="391"/>
      <c r="P92" s="390"/>
      <c r="Q92" s="391"/>
      <c r="R92" s="390"/>
      <c r="S92" s="391"/>
      <c r="T92" s="390"/>
      <c r="U92" s="391"/>
      <c r="V92" s="390"/>
      <c r="W92" s="391"/>
      <c r="X92" s="390"/>
      <c r="Y92" s="391"/>
      <c r="Z92" s="390"/>
      <c r="AA92" s="391"/>
      <c r="AB92" s="390"/>
      <c r="AC92" s="391"/>
      <c r="AD92" s="390"/>
      <c r="AE92" s="391"/>
      <c r="AF92" s="390"/>
      <c r="AG92" s="391"/>
      <c r="AH92" s="390"/>
      <c r="AI92" s="391"/>
      <c r="AJ92" s="390"/>
      <c r="AK92" s="391"/>
      <c r="AL92" s="390"/>
      <c r="AM92" s="391"/>
      <c r="AN92" s="390"/>
      <c r="AO92" s="391"/>
    </row>
    <row r="93" spans="1:41">
      <c r="A93" s="229" t="s">
        <v>121</v>
      </c>
      <c r="B93" s="230" t="s">
        <v>146</v>
      </c>
      <c r="C93" s="202" t="s">
        <v>1001</v>
      </c>
      <c r="D93" s="445">
        <v>135188</v>
      </c>
      <c r="E93" s="446">
        <v>7</v>
      </c>
      <c r="F93" s="390">
        <v>3231.9</v>
      </c>
      <c r="G93" s="395">
        <v>3291.9</v>
      </c>
      <c r="H93" s="390">
        <v>13336.2</v>
      </c>
      <c r="I93" s="395">
        <v>13276.2</v>
      </c>
      <c r="J93" s="390"/>
      <c r="K93" s="391"/>
      <c r="L93" s="390"/>
      <c r="M93" s="391"/>
      <c r="N93" s="390"/>
      <c r="O93" s="391"/>
      <c r="P93" s="390"/>
      <c r="Q93" s="391"/>
      <c r="R93" s="390"/>
      <c r="S93" s="391"/>
      <c r="T93" s="390"/>
      <c r="U93" s="391"/>
      <c r="V93" s="390"/>
      <c r="W93" s="391"/>
      <c r="X93" s="390"/>
      <c r="Y93" s="391"/>
      <c r="Z93" s="390"/>
      <c r="AA93" s="391"/>
      <c r="AB93" s="390"/>
      <c r="AC93" s="391"/>
      <c r="AD93" s="390"/>
      <c r="AE93" s="391"/>
      <c r="AF93" s="390"/>
      <c r="AG93" s="391"/>
      <c r="AH93" s="390"/>
      <c r="AI93" s="391"/>
      <c r="AJ93" s="390"/>
      <c r="AK93" s="391"/>
      <c r="AL93" s="390"/>
      <c r="AM93" s="391"/>
      <c r="AN93" s="390"/>
      <c r="AO93" s="391"/>
    </row>
    <row r="94" spans="1:41">
      <c r="A94" s="229" t="s">
        <v>121</v>
      </c>
      <c r="B94" s="230" t="s">
        <v>139</v>
      </c>
      <c r="C94" s="202" t="s">
        <v>1003</v>
      </c>
      <c r="D94" s="445">
        <v>135391</v>
      </c>
      <c r="E94" s="446">
        <v>7</v>
      </c>
      <c r="F94" s="390">
        <v>3074.4</v>
      </c>
      <c r="G94" s="395">
        <v>3074.4</v>
      </c>
      <c r="H94" s="390">
        <v>11595.6</v>
      </c>
      <c r="I94" s="395">
        <v>11595.6</v>
      </c>
      <c r="J94" s="390"/>
      <c r="K94" s="391"/>
      <c r="L94" s="390"/>
      <c r="M94" s="391"/>
      <c r="N94" s="390"/>
      <c r="O94" s="391"/>
      <c r="P94" s="390"/>
      <c r="Q94" s="391"/>
      <c r="R94" s="390"/>
      <c r="S94" s="391"/>
      <c r="T94" s="390"/>
      <c r="U94" s="391"/>
      <c r="V94" s="390"/>
      <c r="W94" s="391"/>
      <c r="X94" s="390"/>
      <c r="Y94" s="391"/>
      <c r="Z94" s="390"/>
      <c r="AA94" s="391"/>
      <c r="AB94" s="390"/>
      <c r="AC94" s="391"/>
      <c r="AD94" s="390"/>
      <c r="AE94" s="391"/>
      <c r="AF94" s="390"/>
      <c r="AG94" s="391"/>
      <c r="AH94" s="390"/>
      <c r="AI94" s="391"/>
      <c r="AJ94" s="390"/>
      <c r="AK94" s="391"/>
      <c r="AL94" s="390"/>
      <c r="AM94" s="391"/>
      <c r="AN94" s="390"/>
      <c r="AO94" s="391"/>
    </row>
    <row r="95" spans="1:41">
      <c r="A95" s="229" t="s">
        <v>121</v>
      </c>
      <c r="B95" s="230" t="s">
        <v>130</v>
      </c>
      <c r="C95" s="202" t="s">
        <v>1003</v>
      </c>
      <c r="D95" s="445">
        <v>135717</v>
      </c>
      <c r="E95" s="446">
        <v>7</v>
      </c>
      <c r="F95" s="390">
        <v>3456.6</v>
      </c>
      <c r="G95" s="395">
        <v>3456.6</v>
      </c>
      <c r="H95" s="390">
        <v>11985.3</v>
      </c>
      <c r="I95" s="395">
        <v>11985.3</v>
      </c>
      <c r="J95" s="390"/>
      <c r="K95" s="391"/>
      <c r="L95" s="390"/>
      <c r="M95" s="391"/>
      <c r="N95" s="390"/>
      <c r="O95" s="391"/>
      <c r="P95" s="390"/>
      <c r="Q95" s="391"/>
      <c r="R95" s="390"/>
      <c r="S95" s="391"/>
      <c r="T95" s="390"/>
      <c r="U95" s="391"/>
      <c r="V95" s="390"/>
      <c r="W95" s="391"/>
      <c r="X95" s="390"/>
      <c r="Y95" s="391"/>
      <c r="Z95" s="390"/>
      <c r="AA95" s="391"/>
      <c r="AB95" s="390"/>
      <c r="AC95" s="391"/>
      <c r="AD95" s="390"/>
      <c r="AE95" s="391"/>
      <c r="AF95" s="390"/>
      <c r="AG95" s="391"/>
      <c r="AH95" s="390"/>
      <c r="AI95" s="391"/>
      <c r="AJ95" s="390"/>
      <c r="AK95" s="391"/>
      <c r="AL95" s="390"/>
      <c r="AM95" s="391"/>
      <c r="AN95" s="390"/>
      <c r="AO95" s="391"/>
    </row>
    <row r="96" spans="1:41">
      <c r="A96" s="229" t="s">
        <v>121</v>
      </c>
      <c r="B96" s="230" t="s">
        <v>634</v>
      </c>
      <c r="C96" s="202"/>
      <c r="D96" s="445">
        <v>136145</v>
      </c>
      <c r="E96" s="446">
        <v>10</v>
      </c>
      <c r="F96" s="390">
        <v>2994</v>
      </c>
      <c r="G96" s="395">
        <v>2553</v>
      </c>
      <c r="H96" s="390">
        <v>11889</v>
      </c>
      <c r="I96" s="395">
        <v>9984</v>
      </c>
      <c r="J96" s="390"/>
      <c r="K96" s="391"/>
      <c r="L96" s="390"/>
      <c r="M96" s="391"/>
      <c r="N96" s="390"/>
      <c r="O96" s="391"/>
      <c r="P96" s="390"/>
      <c r="Q96" s="391"/>
      <c r="R96" s="390"/>
      <c r="S96" s="391"/>
      <c r="T96" s="390"/>
      <c r="U96" s="391"/>
      <c r="V96" s="390"/>
      <c r="W96" s="391"/>
      <c r="X96" s="390"/>
      <c r="Y96" s="391"/>
      <c r="Z96" s="390"/>
      <c r="AA96" s="391"/>
      <c r="AB96" s="390"/>
      <c r="AC96" s="391"/>
      <c r="AD96" s="390"/>
      <c r="AE96" s="391"/>
      <c r="AF96" s="390"/>
      <c r="AG96" s="391"/>
      <c r="AH96" s="390"/>
      <c r="AI96" s="391"/>
      <c r="AJ96" s="390"/>
      <c r="AK96" s="391"/>
      <c r="AL96" s="390"/>
      <c r="AM96" s="391"/>
      <c r="AN96" s="390"/>
      <c r="AO96" s="391"/>
    </row>
    <row r="97" spans="1:44">
      <c r="A97" s="234" t="s">
        <v>121</v>
      </c>
      <c r="B97" s="230" t="s">
        <v>131</v>
      </c>
      <c r="C97" s="202" t="s">
        <v>1001</v>
      </c>
      <c r="D97" s="445">
        <v>136233</v>
      </c>
      <c r="E97" s="446">
        <v>7</v>
      </c>
      <c r="F97" s="390">
        <v>3120.3</v>
      </c>
      <c r="G97" s="395">
        <v>3120.3</v>
      </c>
      <c r="H97" s="390">
        <v>11940.6</v>
      </c>
      <c r="I97" s="395">
        <v>11940.6</v>
      </c>
      <c r="J97" s="390"/>
      <c r="K97" s="391"/>
      <c r="L97" s="390"/>
      <c r="M97" s="391"/>
      <c r="N97" s="390"/>
      <c r="O97" s="391"/>
      <c r="P97" s="390"/>
      <c r="Q97" s="391"/>
      <c r="R97" s="390"/>
      <c r="S97" s="391"/>
      <c r="T97" s="390"/>
      <c r="U97" s="391"/>
      <c r="V97" s="390"/>
      <c r="W97" s="391"/>
      <c r="X97" s="390"/>
      <c r="Y97" s="391"/>
      <c r="Z97" s="390"/>
      <c r="AA97" s="391"/>
      <c r="AB97" s="390"/>
      <c r="AC97" s="391"/>
      <c r="AD97" s="390"/>
      <c r="AE97" s="391"/>
      <c r="AF97" s="390"/>
      <c r="AG97" s="391"/>
      <c r="AH97" s="390"/>
      <c r="AI97" s="391"/>
      <c r="AJ97" s="390"/>
      <c r="AK97" s="391"/>
      <c r="AL97" s="390"/>
      <c r="AM97" s="391"/>
      <c r="AN97" s="390"/>
      <c r="AO97" s="391"/>
    </row>
    <row r="98" spans="1:44">
      <c r="A98" s="234" t="s">
        <v>121</v>
      </c>
      <c r="B98" s="230" t="s">
        <v>132</v>
      </c>
      <c r="C98" s="202" t="s">
        <v>1003</v>
      </c>
      <c r="D98" s="445">
        <v>136358</v>
      </c>
      <c r="E98" s="446">
        <v>7</v>
      </c>
      <c r="F98" s="390">
        <v>3030</v>
      </c>
      <c r="G98" s="395">
        <v>3030</v>
      </c>
      <c r="H98" s="390">
        <v>10890</v>
      </c>
      <c r="I98" s="395">
        <v>10890</v>
      </c>
      <c r="J98" s="390"/>
      <c r="K98" s="391"/>
      <c r="L98" s="390"/>
      <c r="M98" s="391"/>
      <c r="N98" s="390"/>
      <c r="O98" s="391"/>
      <c r="P98" s="390"/>
      <c r="Q98" s="391"/>
      <c r="R98" s="390"/>
      <c r="S98" s="391"/>
      <c r="T98" s="390"/>
      <c r="U98" s="391"/>
      <c r="V98" s="390"/>
      <c r="W98" s="391"/>
      <c r="X98" s="390"/>
      <c r="Y98" s="391"/>
      <c r="Z98" s="390"/>
      <c r="AA98" s="391"/>
      <c r="AB98" s="390"/>
      <c r="AC98" s="391"/>
      <c r="AD98" s="390"/>
      <c r="AE98" s="391"/>
      <c r="AF98" s="390"/>
      <c r="AG98" s="391"/>
      <c r="AH98" s="390"/>
      <c r="AI98" s="391"/>
      <c r="AJ98" s="390"/>
      <c r="AK98" s="391"/>
      <c r="AL98" s="390"/>
      <c r="AM98" s="391"/>
      <c r="AN98" s="390"/>
      <c r="AO98" s="391"/>
    </row>
    <row r="99" spans="1:44">
      <c r="A99" s="234" t="s">
        <v>121</v>
      </c>
      <c r="B99" s="230" t="s">
        <v>143</v>
      </c>
      <c r="C99" s="202" t="s">
        <v>1003</v>
      </c>
      <c r="D99" s="445">
        <v>136400</v>
      </c>
      <c r="E99" s="446">
        <v>7</v>
      </c>
      <c r="F99" s="390">
        <v>3155.4</v>
      </c>
      <c r="G99" s="395">
        <v>3155.4</v>
      </c>
      <c r="H99" s="390">
        <v>12031.5</v>
      </c>
      <c r="I99" s="395">
        <v>12031.5</v>
      </c>
      <c r="J99" s="390"/>
      <c r="K99" s="391"/>
      <c r="L99" s="390"/>
      <c r="M99" s="391"/>
      <c r="N99" s="390"/>
      <c r="O99" s="391"/>
      <c r="P99" s="390"/>
      <c r="Q99" s="391"/>
      <c r="R99" s="390"/>
      <c r="S99" s="391"/>
      <c r="T99" s="390"/>
      <c r="U99" s="391"/>
      <c r="V99" s="390"/>
      <c r="W99" s="391"/>
      <c r="X99" s="390"/>
      <c r="Y99" s="391"/>
      <c r="Z99" s="390"/>
      <c r="AA99" s="391"/>
      <c r="AB99" s="390"/>
      <c r="AC99" s="391"/>
      <c r="AD99" s="390"/>
      <c r="AE99" s="391"/>
      <c r="AF99" s="390"/>
      <c r="AG99" s="391"/>
      <c r="AH99" s="390"/>
      <c r="AI99" s="391"/>
      <c r="AJ99" s="390"/>
      <c r="AK99" s="391"/>
      <c r="AL99" s="390"/>
      <c r="AM99" s="391"/>
      <c r="AN99" s="390"/>
      <c r="AO99" s="391"/>
    </row>
    <row r="100" spans="1:44">
      <c r="A100" s="235" t="s">
        <v>121</v>
      </c>
      <c r="B100" s="230" t="s">
        <v>133</v>
      </c>
      <c r="C100" s="202" t="s">
        <v>1003</v>
      </c>
      <c r="D100" s="445">
        <v>136473</v>
      </c>
      <c r="E100" s="446">
        <v>7</v>
      </c>
      <c r="F100" s="390">
        <v>3137.4</v>
      </c>
      <c r="G100" s="395">
        <v>3137.4</v>
      </c>
      <c r="H100" s="390">
        <v>12592.8</v>
      </c>
      <c r="I100" s="395">
        <v>12592.8</v>
      </c>
      <c r="J100" s="390"/>
      <c r="K100" s="391"/>
      <c r="L100" s="390"/>
      <c r="M100" s="391"/>
      <c r="N100" s="390"/>
      <c r="O100" s="391"/>
      <c r="P100" s="390"/>
      <c r="Q100" s="391"/>
      <c r="R100" s="390"/>
      <c r="S100" s="391"/>
      <c r="T100" s="390"/>
      <c r="U100" s="391"/>
      <c r="V100" s="390"/>
      <c r="W100" s="391"/>
      <c r="X100" s="390"/>
      <c r="Y100" s="391"/>
      <c r="Z100" s="390"/>
      <c r="AA100" s="391"/>
      <c r="AB100" s="390"/>
      <c r="AC100" s="391"/>
      <c r="AD100" s="390"/>
      <c r="AE100" s="391"/>
      <c r="AF100" s="390"/>
      <c r="AG100" s="391"/>
      <c r="AH100" s="390"/>
      <c r="AI100" s="391"/>
      <c r="AJ100" s="390"/>
      <c r="AK100" s="391"/>
      <c r="AL100" s="390"/>
      <c r="AM100" s="391"/>
      <c r="AN100" s="390"/>
      <c r="AO100" s="391"/>
    </row>
    <row r="101" spans="1:44">
      <c r="A101" s="235" t="s">
        <v>121</v>
      </c>
      <c r="B101" s="230" t="s">
        <v>134</v>
      </c>
      <c r="C101" s="202" t="s">
        <v>1003</v>
      </c>
      <c r="D101" s="445">
        <v>136516</v>
      </c>
      <c r="E101" s="446">
        <v>7</v>
      </c>
      <c r="F101" s="390">
        <v>3336.6</v>
      </c>
      <c r="G101" s="395">
        <v>3336.6</v>
      </c>
      <c r="H101" s="390">
        <v>12241.8</v>
      </c>
      <c r="I101" s="395">
        <v>12241.8</v>
      </c>
      <c r="J101" s="390"/>
      <c r="K101" s="391"/>
      <c r="L101" s="390"/>
      <c r="M101" s="391"/>
      <c r="N101" s="390"/>
      <c r="O101" s="391"/>
      <c r="P101" s="390"/>
      <c r="Q101" s="391"/>
      <c r="R101" s="390"/>
      <c r="S101" s="391"/>
      <c r="T101" s="390"/>
      <c r="U101" s="391"/>
      <c r="V101" s="390"/>
      <c r="W101" s="391"/>
      <c r="X101" s="390"/>
      <c r="Y101" s="391"/>
      <c r="Z101" s="390"/>
      <c r="AA101" s="391"/>
      <c r="AB101" s="390"/>
      <c r="AC101" s="391"/>
      <c r="AD101" s="390"/>
      <c r="AE101" s="391"/>
      <c r="AF101" s="390"/>
      <c r="AG101" s="391"/>
      <c r="AH101" s="390"/>
      <c r="AI101" s="391"/>
      <c r="AJ101" s="390"/>
      <c r="AK101" s="391"/>
      <c r="AL101" s="390"/>
      <c r="AM101" s="391"/>
      <c r="AN101" s="390"/>
      <c r="AO101" s="391"/>
    </row>
    <row r="102" spans="1:44">
      <c r="A102" s="235" t="s">
        <v>121</v>
      </c>
      <c r="B102" s="230" t="s">
        <v>137</v>
      </c>
      <c r="C102" s="202" t="s">
        <v>1001</v>
      </c>
      <c r="D102" s="445">
        <v>137281</v>
      </c>
      <c r="E102" s="446">
        <v>7</v>
      </c>
      <c r="F102" s="390">
        <v>3180</v>
      </c>
      <c r="G102" s="395">
        <v>3180</v>
      </c>
      <c r="H102" s="390">
        <v>11608.2</v>
      </c>
      <c r="I102" s="395">
        <v>11608.2</v>
      </c>
      <c r="J102" s="390"/>
      <c r="K102" s="391"/>
      <c r="L102" s="390"/>
      <c r="M102" s="391"/>
      <c r="N102" s="390"/>
      <c r="O102" s="391"/>
      <c r="P102" s="390"/>
      <c r="Q102" s="391"/>
      <c r="R102" s="390"/>
      <c r="S102" s="391"/>
      <c r="T102" s="390"/>
      <c r="U102" s="391"/>
      <c r="V102" s="390"/>
      <c r="W102" s="391"/>
      <c r="X102" s="390"/>
      <c r="Y102" s="391"/>
      <c r="Z102" s="390"/>
      <c r="AA102" s="391"/>
      <c r="AB102" s="390"/>
      <c r="AC102" s="391"/>
      <c r="AD102" s="390"/>
      <c r="AE102" s="391"/>
      <c r="AF102" s="390"/>
      <c r="AG102" s="391"/>
      <c r="AH102" s="390"/>
      <c r="AI102" s="391"/>
      <c r="AJ102" s="390"/>
      <c r="AK102" s="391"/>
      <c r="AL102" s="390"/>
      <c r="AM102" s="391"/>
      <c r="AN102" s="390"/>
      <c r="AO102" s="391"/>
    </row>
    <row r="103" spans="1:44">
      <c r="A103" s="235" t="s">
        <v>121</v>
      </c>
      <c r="B103" s="230" t="s">
        <v>138</v>
      </c>
      <c r="C103" s="202" t="s">
        <v>1003</v>
      </c>
      <c r="D103" s="445">
        <v>137078</v>
      </c>
      <c r="E103" s="446">
        <v>7</v>
      </c>
      <c r="F103" s="390">
        <v>3352.5</v>
      </c>
      <c r="G103" s="395">
        <v>3352.5</v>
      </c>
      <c r="H103" s="390">
        <v>11607</v>
      </c>
      <c r="I103" s="395">
        <v>11607</v>
      </c>
      <c r="J103" s="390"/>
      <c r="K103" s="391"/>
      <c r="L103" s="390"/>
      <c r="M103" s="391"/>
      <c r="N103" s="390"/>
      <c r="O103" s="391"/>
      <c r="P103" s="390"/>
      <c r="Q103" s="391"/>
      <c r="R103" s="390"/>
      <c r="S103" s="391"/>
      <c r="T103" s="390"/>
      <c r="U103" s="391"/>
      <c r="V103" s="390"/>
      <c r="W103" s="391"/>
      <c r="X103" s="390"/>
      <c r="Y103" s="391"/>
      <c r="Z103" s="390"/>
      <c r="AA103" s="391"/>
      <c r="AB103" s="390"/>
      <c r="AC103" s="391"/>
      <c r="AD103" s="390"/>
      <c r="AE103" s="391"/>
      <c r="AF103" s="390"/>
      <c r="AG103" s="391"/>
      <c r="AH103" s="390"/>
      <c r="AI103" s="391"/>
      <c r="AJ103" s="390"/>
      <c r="AK103" s="391"/>
      <c r="AL103" s="390"/>
      <c r="AM103" s="391"/>
      <c r="AN103" s="390"/>
      <c r="AO103" s="391"/>
    </row>
    <row r="104" spans="1:44">
      <c r="A104" s="229" t="s">
        <v>121</v>
      </c>
      <c r="B104" s="230" t="s">
        <v>135</v>
      </c>
      <c r="C104" s="202" t="s">
        <v>1003</v>
      </c>
      <c r="D104" s="445">
        <v>137096</v>
      </c>
      <c r="E104" s="446">
        <v>7</v>
      </c>
      <c r="F104" s="390">
        <v>3053.1</v>
      </c>
      <c r="G104" s="395">
        <v>3053.1</v>
      </c>
      <c r="H104" s="390">
        <v>11337</v>
      </c>
      <c r="I104" s="395">
        <v>11337</v>
      </c>
      <c r="J104" s="390"/>
      <c r="K104" s="391"/>
      <c r="L104" s="390"/>
      <c r="M104" s="391"/>
      <c r="N104" s="390"/>
      <c r="O104" s="391"/>
      <c r="P104" s="390"/>
      <c r="Q104" s="391"/>
      <c r="R104" s="390"/>
      <c r="S104" s="391"/>
      <c r="T104" s="390"/>
      <c r="U104" s="391"/>
      <c r="V104" s="390"/>
      <c r="W104" s="391"/>
      <c r="X104" s="390"/>
      <c r="Y104" s="391"/>
      <c r="Z104" s="390"/>
      <c r="AA104" s="391"/>
      <c r="AB104" s="390"/>
      <c r="AC104" s="391"/>
      <c r="AD104" s="390"/>
      <c r="AE104" s="391"/>
      <c r="AF104" s="390"/>
      <c r="AG104" s="391"/>
      <c r="AH104" s="390"/>
      <c r="AI104" s="391"/>
      <c r="AJ104" s="390"/>
      <c r="AK104" s="391"/>
      <c r="AL104" s="390"/>
      <c r="AM104" s="391"/>
      <c r="AN104" s="390"/>
      <c r="AO104" s="391"/>
    </row>
    <row r="105" spans="1:44">
      <c r="A105" s="235" t="s">
        <v>121</v>
      </c>
      <c r="B105" s="230" t="s">
        <v>136</v>
      </c>
      <c r="C105" s="202" t="s">
        <v>1003</v>
      </c>
      <c r="D105" s="445">
        <v>137209</v>
      </c>
      <c r="E105" s="446">
        <v>7</v>
      </c>
      <c r="F105" s="390">
        <v>3122.4</v>
      </c>
      <c r="G105" s="395">
        <v>3122.4</v>
      </c>
      <c r="H105" s="390">
        <v>11447.1</v>
      </c>
      <c r="I105" s="395">
        <v>11447.1</v>
      </c>
      <c r="J105" s="390"/>
      <c r="K105" s="391"/>
      <c r="L105" s="390"/>
      <c r="M105" s="391"/>
      <c r="N105" s="390"/>
      <c r="O105" s="391"/>
      <c r="P105" s="390"/>
      <c r="Q105" s="391"/>
      <c r="R105" s="390"/>
      <c r="S105" s="391"/>
      <c r="T105" s="390"/>
      <c r="U105" s="391"/>
      <c r="V105" s="390"/>
      <c r="W105" s="391"/>
      <c r="X105" s="390"/>
      <c r="Y105" s="391"/>
      <c r="Z105" s="390"/>
      <c r="AA105" s="391"/>
      <c r="AB105" s="390"/>
      <c r="AC105" s="391"/>
      <c r="AD105" s="390"/>
      <c r="AE105" s="391"/>
      <c r="AF105" s="390"/>
      <c r="AG105" s="391"/>
      <c r="AH105" s="390"/>
      <c r="AI105" s="391"/>
      <c r="AJ105" s="390"/>
      <c r="AK105" s="391"/>
      <c r="AL105" s="390"/>
      <c r="AM105" s="391"/>
      <c r="AN105" s="390"/>
      <c r="AO105" s="391"/>
    </row>
    <row r="106" spans="1:44">
      <c r="A106" s="235" t="s">
        <v>121</v>
      </c>
      <c r="B106" s="230" t="s">
        <v>147</v>
      </c>
      <c r="C106" s="202" t="s">
        <v>1001</v>
      </c>
      <c r="D106" s="445">
        <v>137315</v>
      </c>
      <c r="E106" s="446">
        <v>7</v>
      </c>
      <c r="F106" s="390">
        <v>3135.6</v>
      </c>
      <c r="G106" s="395">
        <v>3135.6</v>
      </c>
      <c r="H106" s="390">
        <v>11829.3</v>
      </c>
      <c r="I106" s="395">
        <v>11829.3</v>
      </c>
      <c r="J106" s="390"/>
      <c r="K106" s="391"/>
      <c r="L106" s="390"/>
      <c r="M106" s="391"/>
      <c r="N106" s="390"/>
      <c r="O106" s="391"/>
      <c r="P106" s="390"/>
      <c r="Q106" s="391"/>
      <c r="R106" s="390"/>
      <c r="S106" s="391"/>
      <c r="T106" s="390"/>
      <c r="U106" s="391"/>
      <c r="V106" s="390"/>
      <c r="W106" s="391"/>
      <c r="X106" s="390"/>
      <c r="Y106" s="391"/>
      <c r="Z106" s="390"/>
      <c r="AA106" s="391"/>
      <c r="AB106" s="390"/>
      <c r="AC106" s="391"/>
      <c r="AD106" s="390"/>
      <c r="AE106" s="391"/>
      <c r="AF106" s="390"/>
      <c r="AG106" s="391"/>
      <c r="AH106" s="390"/>
      <c r="AI106" s="391"/>
      <c r="AJ106" s="390"/>
      <c r="AK106" s="391"/>
      <c r="AL106" s="390"/>
      <c r="AM106" s="391"/>
      <c r="AN106" s="390"/>
      <c r="AO106" s="391"/>
    </row>
    <row r="107" spans="1:44">
      <c r="A107" s="229" t="s">
        <v>121</v>
      </c>
      <c r="B107" s="230" t="s">
        <v>144</v>
      </c>
      <c r="C107" s="202"/>
      <c r="D107" s="445">
        <v>137759</v>
      </c>
      <c r="E107" s="446">
        <v>8</v>
      </c>
      <c r="F107" s="390">
        <v>3024.9</v>
      </c>
      <c r="G107" s="395">
        <v>3024.9</v>
      </c>
      <c r="H107" s="390">
        <v>11618.1</v>
      </c>
      <c r="I107" s="395">
        <v>11618.1</v>
      </c>
      <c r="J107" s="390"/>
      <c r="K107" s="391"/>
      <c r="L107" s="390"/>
      <c r="M107" s="391"/>
      <c r="N107" s="390"/>
      <c r="O107" s="391"/>
      <c r="P107" s="390"/>
      <c r="Q107" s="391"/>
      <c r="R107" s="390"/>
      <c r="S107" s="391"/>
      <c r="T107" s="390"/>
      <c r="U107" s="391"/>
      <c r="V107" s="390"/>
      <c r="W107" s="391"/>
      <c r="X107" s="390"/>
      <c r="Y107" s="391"/>
      <c r="Z107" s="390"/>
      <c r="AA107" s="391"/>
      <c r="AB107" s="390"/>
      <c r="AC107" s="391"/>
      <c r="AD107" s="390"/>
      <c r="AE107" s="391"/>
      <c r="AF107" s="390"/>
      <c r="AG107" s="391"/>
      <c r="AH107" s="390"/>
      <c r="AI107" s="391"/>
      <c r="AJ107" s="390"/>
      <c r="AK107" s="391"/>
      <c r="AL107" s="390"/>
      <c r="AM107" s="391"/>
      <c r="AN107" s="390"/>
      <c r="AO107" s="391"/>
    </row>
    <row r="108" spans="1:44" customFormat="1" ht="13.9" customHeight="1" thickBot="1">
      <c r="A108" s="235" t="s">
        <v>121</v>
      </c>
      <c r="B108" s="230" t="s">
        <v>140</v>
      </c>
      <c r="C108" s="202" t="s">
        <v>1003</v>
      </c>
      <c r="D108" s="445">
        <v>138187</v>
      </c>
      <c r="E108" s="446">
        <v>7</v>
      </c>
      <c r="F108" s="390">
        <v>3091.8</v>
      </c>
      <c r="G108" s="396">
        <v>3091.8</v>
      </c>
      <c r="H108" s="390">
        <v>11728.8</v>
      </c>
      <c r="I108" s="396">
        <v>11728.8</v>
      </c>
      <c r="J108" s="390"/>
      <c r="K108" s="391"/>
      <c r="L108" s="390"/>
      <c r="M108" s="391"/>
      <c r="N108" s="390"/>
      <c r="O108" s="391"/>
      <c r="P108" s="390"/>
      <c r="Q108" s="391"/>
      <c r="R108" s="390"/>
      <c r="S108" s="391"/>
      <c r="T108" s="390"/>
      <c r="U108" s="391"/>
      <c r="V108" s="390"/>
      <c r="W108" s="391"/>
      <c r="X108" s="390"/>
      <c r="Y108" s="391"/>
      <c r="Z108" s="390"/>
      <c r="AA108" s="391"/>
      <c r="AB108" s="390"/>
      <c r="AC108" s="391"/>
      <c r="AD108" s="390"/>
      <c r="AE108" s="391"/>
      <c r="AF108" s="390"/>
      <c r="AG108" s="391"/>
      <c r="AH108" s="390"/>
      <c r="AI108" s="391"/>
      <c r="AJ108" s="390"/>
      <c r="AK108" s="391"/>
      <c r="AL108" s="390"/>
      <c r="AM108" s="391"/>
      <c r="AN108" s="390"/>
      <c r="AO108" s="391"/>
    </row>
    <row r="109" spans="1:44">
      <c r="A109" s="236" t="s">
        <v>148</v>
      </c>
      <c r="B109" s="237" t="s">
        <v>149</v>
      </c>
      <c r="C109" s="447"/>
      <c r="D109" s="448">
        <v>139940</v>
      </c>
      <c r="E109" s="358">
        <v>1</v>
      </c>
      <c r="F109" s="401">
        <v>11076</v>
      </c>
      <c r="G109" s="402">
        <v>11076</v>
      </c>
      <c r="H109" s="401">
        <v>30114</v>
      </c>
      <c r="I109" s="402">
        <v>30114</v>
      </c>
      <c r="J109" s="401">
        <v>11680</v>
      </c>
      <c r="K109" s="402">
        <v>11680</v>
      </c>
      <c r="L109" s="401">
        <v>32344</v>
      </c>
      <c r="M109" s="402">
        <v>32344</v>
      </c>
      <c r="N109" s="401">
        <v>17896</v>
      </c>
      <c r="O109" s="402">
        <v>20024</v>
      </c>
      <c r="P109" s="401">
        <v>37504</v>
      </c>
      <c r="Q109" s="402">
        <v>39592</v>
      </c>
      <c r="R109" s="401"/>
      <c r="S109" s="402"/>
      <c r="T109" s="401"/>
      <c r="U109" s="402"/>
      <c r="V109" s="401"/>
      <c r="W109" s="402"/>
      <c r="X109" s="401"/>
      <c r="Y109" s="402"/>
      <c r="Z109" s="401"/>
      <c r="AA109" s="402"/>
      <c r="AB109" s="401"/>
      <c r="AC109" s="402"/>
      <c r="AD109" s="401"/>
      <c r="AE109" s="402"/>
      <c r="AF109" s="401"/>
      <c r="AG109" s="402"/>
      <c r="AH109" s="401"/>
      <c r="AI109" s="402"/>
      <c r="AJ109" s="401"/>
      <c r="AK109" s="402"/>
      <c r="AL109" s="401"/>
      <c r="AM109" s="402"/>
      <c r="AN109" s="401"/>
      <c r="AO109" s="402"/>
      <c r="AP109" s="53"/>
      <c r="AQ109" s="53"/>
      <c r="AR109" s="53"/>
    </row>
    <row r="110" spans="1:44">
      <c r="A110" s="236" t="s">
        <v>148</v>
      </c>
      <c r="B110" s="237" t="s">
        <v>150</v>
      </c>
      <c r="C110" s="447"/>
      <c r="D110" s="448">
        <v>139959</v>
      </c>
      <c r="E110" s="358">
        <v>1</v>
      </c>
      <c r="F110" s="401">
        <v>12080</v>
      </c>
      <c r="G110" s="402">
        <v>12080</v>
      </c>
      <c r="H110" s="401">
        <v>31120</v>
      </c>
      <c r="I110" s="402">
        <v>31120</v>
      </c>
      <c r="J110" s="401">
        <v>11168</v>
      </c>
      <c r="K110" s="402">
        <v>11168</v>
      </c>
      <c r="L110" s="401">
        <v>27476</v>
      </c>
      <c r="M110" s="402">
        <v>27476</v>
      </c>
      <c r="N110" s="401">
        <v>19894</v>
      </c>
      <c r="O110" s="402">
        <v>22184</v>
      </c>
      <c r="P110" s="401">
        <v>38652</v>
      </c>
      <c r="Q110" s="402">
        <v>40942</v>
      </c>
      <c r="R110" s="401"/>
      <c r="S110" s="402"/>
      <c r="T110" s="401"/>
      <c r="U110" s="402"/>
      <c r="V110" s="401"/>
      <c r="W110" s="402"/>
      <c r="X110" s="401"/>
      <c r="Y110" s="402"/>
      <c r="Z110" s="401">
        <v>18926</v>
      </c>
      <c r="AA110" s="402">
        <v>20892</v>
      </c>
      <c r="AB110" s="401">
        <v>39634</v>
      </c>
      <c r="AC110" s="402">
        <v>41600</v>
      </c>
      <c r="AD110" s="401"/>
      <c r="AE110" s="402"/>
      <c r="AF110" s="401"/>
      <c r="AG110" s="402"/>
      <c r="AH110" s="401"/>
      <c r="AI110" s="402"/>
      <c r="AJ110" s="401"/>
      <c r="AK110" s="402"/>
      <c r="AL110" s="401">
        <v>19804</v>
      </c>
      <c r="AM110" s="402">
        <v>21770</v>
      </c>
      <c r="AN110" s="401">
        <v>49466</v>
      </c>
      <c r="AO110" s="402">
        <v>51432</v>
      </c>
      <c r="AP110" s="53"/>
      <c r="AQ110" s="53"/>
      <c r="AR110" s="53"/>
    </row>
    <row r="111" spans="1:44">
      <c r="A111" s="236" t="s">
        <v>148</v>
      </c>
      <c r="B111" s="237" t="s">
        <v>151</v>
      </c>
      <c r="C111" s="447"/>
      <c r="D111" s="448">
        <v>139755</v>
      </c>
      <c r="E111" s="358">
        <v>2</v>
      </c>
      <c r="F111" s="401">
        <v>12852</v>
      </c>
      <c r="G111" s="402">
        <v>12852</v>
      </c>
      <c r="H111" s="401">
        <v>33964</v>
      </c>
      <c r="I111" s="402">
        <v>33964</v>
      </c>
      <c r="J111" s="401">
        <v>16258</v>
      </c>
      <c r="K111" s="402">
        <v>17346</v>
      </c>
      <c r="L111" s="401">
        <v>31334</v>
      </c>
      <c r="M111" s="402">
        <v>32422</v>
      </c>
      <c r="N111" s="401"/>
      <c r="O111" s="402"/>
      <c r="P111" s="401"/>
      <c r="Q111" s="402"/>
      <c r="R111" s="401"/>
      <c r="S111" s="402"/>
      <c r="T111" s="401"/>
      <c r="U111" s="402"/>
      <c r="V111" s="401"/>
      <c r="W111" s="402"/>
      <c r="X111" s="401"/>
      <c r="Y111" s="402"/>
      <c r="Z111" s="401"/>
      <c r="AA111" s="402"/>
      <c r="AB111" s="401"/>
      <c r="AC111" s="402"/>
      <c r="AD111" s="401"/>
      <c r="AE111" s="402"/>
      <c r="AF111" s="401"/>
      <c r="AG111" s="402"/>
      <c r="AH111" s="401"/>
      <c r="AI111" s="402"/>
      <c r="AJ111" s="401"/>
      <c r="AK111" s="402"/>
      <c r="AL111" s="401"/>
      <c r="AM111" s="402"/>
      <c r="AN111" s="401"/>
      <c r="AO111" s="402"/>
      <c r="AP111" s="53"/>
      <c r="AQ111" s="53"/>
      <c r="AR111" s="53"/>
    </row>
    <row r="112" spans="1:44">
      <c r="A112" s="236" t="s">
        <v>148</v>
      </c>
      <c r="B112" s="237" t="s">
        <v>152</v>
      </c>
      <c r="C112" s="449"/>
      <c r="D112" s="448">
        <v>139931</v>
      </c>
      <c r="E112" s="358">
        <v>3</v>
      </c>
      <c r="F112" s="401">
        <v>7578</v>
      </c>
      <c r="G112" s="402">
        <v>7578</v>
      </c>
      <c r="H112" s="401">
        <v>21396</v>
      </c>
      <c r="I112" s="402">
        <v>21396</v>
      </c>
      <c r="J112" s="401">
        <v>8750</v>
      </c>
      <c r="K112" s="402">
        <v>8750</v>
      </c>
      <c r="L112" s="401">
        <v>28632</v>
      </c>
      <c r="M112" s="402">
        <v>28632</v>
      </c>
      <c r="N112" s="401"/>
      <c r="O112" s="402"/>
      <c r="P112" s="401"/>
      <c r="Q112" s="402"/>
      <c r="R112" s="401"/>
      <c r="S112" s="402"/>
      <c r="T112" s="401"/>
      <c r="U112" s="402"/>
      <c r="V112" s="401"/>
      <c r="W112" s="402"/>
      <c r="X112" s="401"/>
      <c r="Y112" s="402"/>
      <c r="Z112" s="401"/>
      <c r="AA112" s="402"/>
      <c r="AB112" s="401"/>
      <c r="AC112" s="402"/>
      <c r="AD112" s="401"/>
      <c r="AE112" s="402"/>
      <c r="AF112" s="401"/>
      <c r="AG112" s="402"/>
      <c r="AH112" s="401"/>
      <c r="AI112" s="402"/>
      <c r="AJ112" s="401"/>
      <c r="AK112" s="402"/>
      <c r="AL112" s="401"/>
      <c r="AM112" s="402"/>
      <c r="AN112" s="401"/>
      <c r="AO112" s="402"/>
      <c r="AP112" s="53"/>
      <c r="AQ112" s="53"/>
      <c r="AR112" s="53"/>
    </row>
    <row r="113" spans="1:44">
      <c r="A113" s="236" t="s">
        <v>148</v>
      </c>
      <c r="B113" s="237" t="s">
        <v>153</v>
      </c>
      <c r="C113" s="449"/>
      <c r="D113" s="448">
        <v>486840</v>
      </c>
      <c r="E113" s="358">
        <v>3</v>
      </c>
      <c r="F113" s="401">
        <v>7548</v>
      </c>
      <c r="G113" s="402">
        <v>7548</v>
      </c>
      <c r="H113" s="401">
        <v>21616</v>
      </c>
      <c r="I113" s="402">
        <v>21616</v>
      </c>
      <c r="J113" s="401">
        <v>9076</v>
      </c>
      <c r="K113" s="402">
        <v>9076</v>
      </c>
      <c r="L113" s="401">
        <v>27570</v>
      </c>
      <c r="M113" s="402">
        <v>27570</v>
      </c>
      <c r="N113" s="401"/>
      <c r="O113" s="402"/>
      <c r="P113" s="401"/>
      <c r="Q113" s="402"/>
      <c r="R113" s="401"/>
      <c r="S113" s="402"/>
      <c r="T113" s="401"/>
      <c r="U113" s="402"/>
      <c r="V113" s="401"/>
      <c r="W113" s="402"/>
      <c r="X113" s="401"/>
      <c r="Y113" s="402"/>
      <c r="Z113" s="401"/>
      <c r="AA113" s="402"/>
      <c r="AB113" s="401"/>
      <c r="AC113" s="402"/>
      <c r="AD113" s="401"/>
      <c r="AE113" s="402"/>
      <c r="AF113" s="401"/>
      <c r="AG113" s="402"/>
      <c r="AH113" s="401"/>
      <c r="AI113" s="402"/>
      <c r="AJ113" s="401"/>
      <c r="AK113" s="402"/>
      <c r="AL113" s="401"/>
      <c r="AM113" s="402"/>
      <c r="AN113" s="401"/>
      <c r="AO113" s="402"/>
      <c r="AP113" s="53"/>
      <c r="AQ113" s="53"/>
      <c r="AR113" s="53"/>
    </row>
    <row r="114" spans="1:44">
      <c r="A114" s="236" t="s">
        <v>148</v>
      </c>
      <c r="B114" s="237" t="s">
        <v>154</v>
      </c>
      <c r="C114" s="447"/>
      <c r="D114" s="448">
        <v>141334</v>
      </c>
      <c r="E114" s="358">
        <v>3</v>
      </c>
      <c r="F114" s="401">
        <v>7614</v>
      </c>
      <c r="G114" s="402">
        <v>7614</v>
      </c>
      <c r="H114" s="401">
        <v>21432</v>
      </c>
      <c r="I114" s="402">
        <v>21432</v>
      </c>
      <c r="J114" s="401">
        <v>7934</v>
      </c>
      <c r="K114" s="402">
        <v>7934</v>
      </c>
      <c r="L114" s="401">
        <v>24588</v>
      </c>
      <c r="M114" s="402">
        <v>24588</v>
      </c>
      <c r="N114" s="401"/>
      <c r="O114" s="402"/>
      <c r="P114" s="401"/>
      <c r="Q114" s="402"/>
      <c r="R114" s="401"/>
      <c r="S114" s="402"/>
      <c r="T114" s="401"/>
      <c r="U114" s="402"/>
      <c r="V114" s="401"/>
      <c r="W114" s="402"/>
      <c r="X114" s="401"/>
      <c r="Y114" s="402"/>
      <c r="Z114" s="401"/>
      <c r="AA114" s="402"/>
      <c r="AB114" s="401"/>
      <c r="AC114" s="402"/>
      <c r="AD114" s="401"/>
      <c r="AE114" s="402"/>
      <c r="AF114" s="401"/>
      <c r="AG114" s="402"/>
      <c r="AH114" s="401"/>
      <c r="AI114" s="402"/>
      <c r="AJ114" s="401"/>
      <c r="AK114" s="402"/>
      <c r="AL114" s="401"/>
      <c r="AM114" s="402"/>
      <c r="AN114" s="401"/>
      <c r="AO114" s="402"/>
      <c r="AP114" s="53"/>
      <c r="AQ114" s="53"/>
      <c r="AR114" s="53"/>
    </row>
    <row r="115" spans="1:44">
      <c r="A115" s="236" t="s">
        <v>148</v>
      </c>
      <c r="B115" s="237" t="s">
        <v>155</v>
      </c>
      <c r="C115" s="447"/>
      <c r="D115" s="448">
        <v>141264</v>
      </c>
      <c r="E115" s="358">
        <v>3</v>
      </c>
      <c r="F115" s="401">
        <v>7676</v>
      </c>
      <c r="G115" s="402">
        <v>7676</v>
      </c>
      <c r="H115" s="401">
        <v>21494</v>
      </c>
      <c r="I115" s="402">
        <v>21494</v>
      </c>
      <c r="J115" s="401">
        <v>8296</v>
      </c>
      <c r="K115" s="402">
        <v>8296</v>
      </c>
      <c r="L115" s="401">
        <v>24168</v>
      </c>
      <c r="M115" s="402">
        <v>24168</v>
      </c>
      <c r="N115" s="401"/>
      <c r="O115" s="402"/>
      <c r="P115" s="401"/>
      <c r="Q115" s="402"/>
      <c r="R115" s="401"/>
      <c r="S115" s="402"/>
      <c r="T115" s="401"/>
      <c r="U115" s="402"/>
      <c r="V115" s="401"/>
      <c r="W115" s="402"/>
      <c r="X115" s="401"/>
      <c r="Y115" s="402"/>
      <c r="Z115" s="401"/>
      <c r="AA115" s="402"/>
      <c r="AB115" s="401"/>
      <c r="AC115" s="402"/>
      <c r="AD115" s="401"/>
      <c r="AE115" s="402"/>
      <c r="AF115" s="401"/>
      <c r="AG115" s="402"/>
      <c r="AH115" s="401"/>
      <c r="AI115" s="402"/>
      <c r="AJ115" s="401"/>
      <c r="AK115" s="402"/>
      <c r="AL115" s="401"/>
      <c r="AM115" s="402"/>
      <c r="AN115" s="401"/>
      <c r="AO115" s="402"/>
      <c r="AP115" s="53"/>
      <c r="AQ115" s="53"/>
      <c r="AR115" s="53"/>
    </row>
    <row r="116" spans="1:44">
      <c r="A116" s="236" t="s">
        <v>148</v>
      </c>
      <c r="B116" s="237" t="s">
        <v>156</v>
      </c>
      <c r="C116" s="447"/>
      <c r="D116" s="448">
        <v>138716</v>
      </c>
      <c r="E116" s="358">
        <v>4</v>
      </c>
      <c r="F116" s="401">
        <v>6950</v>
      </c>
      <c r="G116" s="402">
        <v>6950</v>
      </c>
      <c r="H116" s="401">
        <v>20352</v>
      </c>
      <c r="I116" s="402">
        <v>20352</v>
      </c>
      <c r="J116" s="401">
        <v>6444</v>
      </c>
      <c r="K116" s="402">
        <v>6444</v>
      </c>
      <c r="L116" s="401">
        <v>20158</v>
      </c>
      <c r="M116" s="402">
        <v>20158</v>
      </c>
      <c r="N116" s="401"/>
      <c r="O116" s="402"/>
      <c r="P116" s="401"/>
      <c r="Q116" s="402"/>
      <c r="R116" s="401"/>
      <c r="S116" s="402"/>
      <c r="T116" s="401"/>
      <c r="U116" s="402"/>
      <c r="V116" s="401"/>
      <c r="W116" s="402"/>
      <c r="X116" s="401"/>
      <c r="Y116" s="402"/>
      <c r="Z116" s="401"/>
      <c r="AA116" s="402"/>
      <c r="AB116" s="401"/>
      <c r="AC116" s="402"/>
      <c r="AD116" s="401"/>
      <c r="AE116" s="402"/>
      <c r="AF116" s="401"/>
      <c r="AG116" s="402"/>
      <c r="AH116" s="401"/>
      <c r="AI116" s="402"/>
      <c r="AJ116" s="401"/>
      <c r="AK116" s="402"/>
      <c r="AL116" s="401"/>
      <c r="AM116" s="402"/>
      <c r="AN116" s="401"/>
      <c r="AO116" s="402"/>
      <c r="AP116" s="53"/>
      <c r="AQ116" s="53"/>
      <c r="AR116" s="53"/>
    </row>
    <row r="117" spans="1:44">
      <c r="A117" s="236" t="s">
        <v>148</v>
      </c>
      <c r="B117" s="241" t="s">
        <v>621</v>
      </c>
      <c r="C117" s="449"/>
      <c r="D117" s="448">
        <v>482149</v>
      </c>
      <c r="E117" s="358">
        <v>4</v>
      </c>
      <c r="F117" s="401">
        <v>10994</v>
      </c>
      <c r="G117" s="402">
        <v>10994</v>
      </c>
      <c r="H117" s="401">
        <v>30508</v>
      </c>
      <c r="I117" s="402">
        <v>30508</v>
      </c>
      <c r="J117" s="401">
        <v>7634</v>
      </c>
      <c r="K117" s="402">
        <v>7634</v>
      </c>
      <c r="L117" s="401">
        <v>20902</v>
      </c>
      <c r="M117" s="402">
        <v>20902</v>
      </c>
      <c r="N117" s="401"/>
      <c r="O117" s="402"/>
      <c r="P117" s="401"/>
      <c r="Q117" s="402"/>
      <c r="R117" s="401">
        <v>31056</v>
      </c>
      <c r="S117" s="402">
        <v>33186</v>
      </c>
      <c r="T117" s="401">
        <v>59980</v>
      </c>
      <c r="U117" s="402">
        <v>62110</v>
      </c>
      <c r="V117" s="401">
        <v>27674</v>
      </c>
      <c r="W117" s="402">
        <v>30604</v>
      </c>
      <c r="X117" s="401">
        <v>64940</v>
      </c>
      <c r="Y117" s="402">
        <v>69038</v>
      </c>
      <c r="Z117" s="401"/>
      <c r="AA117" s="402"/>
      <c r="AB117" s="401"/>
      <c r="AC117" s="402"/>
      <c r="AD117" s="401"/>
      <c r="AE117" s="402"/>
      <c r="AF117" s="401"/>
      <c r="AG117" s="402"/>
      <c r="AH117" s="401"/>
      <c r="AI117" s="402"/>
      <c r="AJ117" s="401"/>
      <c r="AK117" s="402"/>
      <c r="AL117" s="401"/>
      <c r="AM117" s="402"/>
      <c r="AN117" s="401"/>
      <c r="AO117" s="402"/>
      <c r="AP117" s="53"/>
      <c r="AQ117" s="53"/>
      <c r="AR117" s="53"/>
    </row>
    <row r="118" spans="1:44">
      <c r="A118" s="236" t="s">
        <v>148</v>
      </c>
      <c r="B118" s="237" t="s">
        <v>157</v>
      </c>
      <c r="C118" s="407"/>
      <c r="D118" s="448">
        <v>139311</v>
      </c>
      <c r="E118" s="358">
        <v>4</v>
      </c>
      <c r="F118" s="401">
        <v>6584</v>
      </c>
      <c r="G118" s="402">
        <v>6584</v>
      </c>
      <c r="H118" s="401">
        <v>19986</v>
      </c>
      <c r="I118" s="402">
        <v>19986</v>
      </c>
      <c r="J118" s="401">
        <v>6298</v>
      </c>
      <c r="K118" s="402">
        <v>6298</v>
      </c>
      <c r="L118" s="401">
        <v>19060</v>
      </c>
      <c r="M118" s="402">
        <v>19060</v>
      </c>
      <c r="N118" s="401"/>
      <c r="O118" s="402"/>
      <c r="P118" s="401"/>
      <c r="Q118" s="402"/>
      <c r="R118" s="401"/>
      <c r="S118" s="402"/>
      <c r="T118" s="401"/>
      <c r="U118" s="402"/>
      <c r="V118" s="401"/>
      <c r="W118" s="402"/>
      <c r="X118" s="401"/>
      <c r="Y118" s="402"/>
      <c r="Z118" s="401"/>
      <c r="AA118" s="402"/>
      <c r="AB118" s="401"/>
      <c r="AC118" s="402"/>
      <c r="AD118" s="401"/>
      <c r="AE118" s="402"/>
      <c r="AF118" s="401"/>
      <c r="AG118" s="402"/>
      <c r="AH118" s="401"/>
      <c r="AI118" s="402"/>
      <c r="AJ118" s="401"/>
      <c r="AK118" s="402"/>
      <c r="AL118" s="401"/>
      <c r="AM118" s="402"/>
      <c r="AN118" s="401"/>
      <c r="AO118" s="402"/>
      <c r="AP118" s="53"/>
      <c r="AQ118" s="53"/>
      <c r="AR118" s="53"/>
    </row>
    <row r="119" spans="1:44">
      <c r="A119" s="236" t="s">
        <v>148</v>
      </c>
      <c r="B119" s="237" t="s">
        <v>158</v>
      </c>
      <c r="C119" s="449" t="s">
        <v>1006</v>
      </c>
      <c r="D119" s="448">
        <v>139366</v>
      </c>
      <c r="E119" s="358">
        <v>4</v>
      </c>
      <c r="F119" s="401">
        <v>7334</v>
      </c>
      <c r="G119" s="402">
        <v>7334</v>
      </c>
      <c r="H119" s="401">
        <v>21152</v>
      </c>
      <c r="I119" s="402">
        <v>21152</v>
      </c>
      <c r="J119" s="401">
        <v>6892</v>
      </c>
      <c r="K119" s="402">
        <v>6892</v>
      </c>
      <c r="L119" s="401">
        <v>21472</v>
      </c>
      <c r="M119" s="402">
        <v>21472</v>
      </c>
      <c r="N119" s="401"/>
      <c r="O119" s="402"/>
      <c r="P119" s="401"/>
      <c r="Q119" s="402"/>
      <c r="R119" s="401"/>
      <c r="S119" s="402"/>
      <c r="T119" s="401"/>
      <c r="U119" s="402"/>
      <c r="V119" s="401"/>
      <c r="W119" s="402"/>
      <c r="X119" s="401"/>
      <c r="Y119" s="402"/>
      <c r="Z119" s="401"/>
      <c r="AA119" s="402"/>
      <c r="AB119" s="401"/>
      <c r="AC119" s="402"/>
      <c r="AD119" s="401"/>
      <c r="AE119" s="402"/>
      <c r="AF119" s="401"/>
      <c r="AG119" s="402"/>
      <c r="AH119" s="401"/>
      <c r="AI119" s="402"/>
      <c r="AJ119" s="401"/>
      <c r="AK119" s="402"/>
      <c r="AL119" s="401"/>
      <c r="AM119" s="402"/>
      <c r="AN119" s="401"/>
      <c r="AO119" s="402"/>
      <c r="AP119" s="53"/>
      <c r="AQ119" s="53"/>
      <c r="AR119" s="53"/>
    </row>
    <row r="120" spans="1:44">
      <c r="A120" s="236" t="s">
        <v>148</v>
      </c>
      <c r="B120" s="237" t="s">
        <v>159</v>
      </c>
      <c r="C120" s="450"/>
      <c r="D120" s="448">
        <v>139719</v>
      </c>
      <c r="E120" s="358">
        <v>5</v>
      </c>
      <c r="F120" s="401">
        <v>6848</v>
      </c>
      <c r="G120" s="402">
        <v>6848</v>
      </c>
      <c r="H120" s="401">
        <v>20250</v>
      </c>
      <c r="I120" s="402">
        <v>20250</v>
      </c>
      <c r="J120" s="401">
        <v>6100</v>
      </c>
      <c r="K120" s="402">
        <v>6100</v>
      </c>
      <c r="L120" s="401">
        <v>17880</v>
      </c>
      <c r="M120" s="402">
        <v>17880</v>
      </c>
      <c r="N120" s="401"/>
      <c r="O120" s="402"/>
      <c r="P120" s="401"/>
      <c r="Q120" s="402"/>
      <c r="R120" s="401"/>
      <c r="S120" s="402"/>
      <c r="T120" s="401"/>
      <c r="U120" s="402"/>
      <c r="V120" s="401"/>
      <c r="W120" s="402"/>
      <c r="X120" s="401"/>
      <c r="Y120" s="402"/>
      <c r="Z120" s="401"/>
      <c r="AA120" s="402"/>
      <c r="AB120" s="401"/>
      <c r="AC120" s="402"/>
      <c r="AD120" s="401"/>
      <c r="AE120" s="402"/>
      <c r="AF120" s="401"/>
      <c r="AG120" s="402"/>
      <c r="AH120" s="401"/>
      <c r="AI120" s="402"/>
      <c r="AJ120" s="401"/>
      <c r="AK120" s="402"/>
      <c r="AL120" s="401"/>
      <c r="AM120" s="402"/>
      <c r="AN120" s="401"/>
      <c r="AO120" s="402"/>
      <c r="AP120" s="53"/>
      <c r="AQ120" s="53"/>
      <c r="AR120" s="53"/>
    </row>
    <row r="121" spans="1:44">
      <c r="A121" s="236" t="s">
        <v>148</v>
      </c>
      <c r="B121" s="237" t="s">
        <v>160</v>
      </c>
      <c r="C121" s="447"/>
      <c r="D121" s="448">
        <v>139861</v>
      </c>
      <c r="E121" s="358">
        <v>4</v>
      </c>
      <c r="F121" s="401">
        <v>9524</v>
      </c>
      <c r="G121" s="402">
        <v>9524</v>
      </c>
      <c r="H121" s="401">
        <v>28704</v>
      </c>
      <c r="I121" s="402">
        <v>28704</v>
      </c>
      <c r="J121" s="401">
        <v>9066</v>
      </c>
      <c r="K121" s="402">
        <v>9066</v>
      </c>
      <c r="L121" s="401">
        <v>27140</v>
      </c>
      <c r="M121" s="402">
        <v>27140</v>
      </c>
      <c r="N121" s="401"/>
      <c r="O121" s="402"/>
      <c r="P121" s="401"/>
      <c r="Q121" s="402"/>
      <c r="R121" s="401"/>
      <c r="S121" s="402"/>
      <c r="T121" s="401"/>
      <c r="U121" s="402"/>
      <c r="V121" s="401"/>
      <c r="W121" s="402"/>
      <c r="X121" s="401"/>
      <c r="Y121" s="402"/>
      <c r="Z121" s="401"/>
      <c r="AA121" s="402"/>
      <c r="AB121" s="401"/>
      <c r="AC121" s="402"/>
      <c r="AD121" s="401"/>
      <c r="AE121" s="402"/>
      <c r="AF121" s="401"/>
      <c r="AG121" s="402"/>
      <c r="AH121" s="401"/>
      <c r="AI121" s="402"/>
      <c r="AJ121" s="401"/>
      <c r="AK121" s="402"/>
      <c r="AL121" s="401"/>
      <c r="AM121" s="402"/>
      <c r="AN121" s="401"/>
      <c r="AO121" s="402"/>
      <c r="AP121" s="53"/>
      <c r="AQ121" s="53"/>
      <c r="AR121" s="53"/>
    </row>
    <row r="122" spans="1:44">
      <c r="A122" s="236" t="s">
        <v>148</v>
      </c>
      <c r="B122" s="237" t="s">
        <v>162</v>
      </c>
      <c r="C122" s="449"/>
      <c r="D122" s="448">
        <v>139764</v>
      </c>
      <c r="E122" s="358">
        <v>4</v>
      </c>
      <c r="F122" s="401">
        <v>6480</v>
      </c>
      <c r="G122" s="402">
        <v>6480</v>
      </c>
      <c r="H122" s="401">
        <v>19882</v>
      </c>
      <c r="I122" s="402">
        <v>19882</v>
      </c>
      <c r="J122" s="401">
        <v>6044</v>
      </c>
      <c r="K122" s="402">
        <v>6044</v>
      </c>
      <c r="L122" s="401">
        <v>19808</v>
      </c>
      <c r="M122" s="402">
        <v>19808</v>
      </c>
      <c r="N122" s="401"/>
      <c r="O122" s="402"/>
      <c r="P122" s="401"/>
      <c r="Q122" s="402"/>
      <c r="R122" s="401"/>
      <c r="S122" s="402"/>
      <c r="T122" s="401"/>
      <c r="U122" s="402"/>
      <c r="V122" s="401"/>
      <c r="W122" s="402"/>
      <c r="X122" s="401"/>
      <c r="Y122" s="402"/>
      <c r="Z122" s="401"/>
      <c r="AA122" s="402"/>
      <c r="AB122" s="401"/>
      <c r="AC122" s="402"/>
      <c r="AD122" s="401"/>
      <c r="AE122" s="402"/>
      <c r="AF122" s="401"/>
      <c r="AG122" s="402"/>
      <c r="AH122" s="401"/>
      <c r="AI122" s="402"/>
      <c r="AJ122" s="401"/>
      <c r="AK122" s="402"/>
      <c r="AL122" s="401"/>
      <c r="AM122" s="402"/>
      <c r="AN122" s="401"/>
      <c r="AO122" s="402"/>
      <c r="AP122" s="53"/>
      <c r="AQ122" s="53"/>
      <c r="AR122" s="53"/>
    </row>
    <row r="123" spans="1:44">
      <c r="A123" s="236" t="s">
        <v>148</v>
      </c>
      <c r="B123" s="237" t="s">
        <v>161</v>
      </c>
      <c r="C123" s="447"/>
      <c r="D123" s="448">
        <v>482680</v>
      </c>
      <c r="E123" s="358">
        <v>4</v>
      </c>
      <c r="F123" s="401">
        <v>7462</v>
      </c>
      <c r="G123" s="402">
        <v>7462</v>
      </c>
      <c r="H123" s="401">
        <v>21620</v>
      </c>
      <c r="I123" s="402">
        <v>21620</v>
      </c>
      <c r="J123" s="401">
        <v>7374</v>
      </c>
      <c r="K123" s="402">
        <v>7374</v>
      </c>
      <c r="L123" s="401">
        <v>23834</v>
      </c>
      <c r="M123" s="402">
        <v>23834</v>
      </c>
      <c r="N123" s="401"/>
      <c r="O123" s="402"/>
      <c r="P123" s="401"/>
      <c r="Q123" s="402"/>
      <c r="R123" s="401"/>
      <c r="S123" s="402"/>
      <c r="T123" s="401"/>
      <c r="U123" s="402"/>
      <c r="V123" s="401"/>
      <c r="W123" s="402"/>
      <c r="X123" s="401"/>
      <c r="Y123" s="402"/>
      <c r="Z123" s="401"/>
      <c r="AA123" s="402"/>
      <c r="AB123" s="401"/>
      <c r="AC123" s="402"/>
      <c r="AD123" s="401"/>
      <c r="AE123" s="402"/>
      <c r="AF123" s="401"/>
      <c r="AG123" s="402"/>
      <c r="AH123" s="401"/>
      <c r="AI123" s="402"/>
      <c r="AJ123" s="401"/>
      <c r="AK123" s="402"/>
      <c r="AL123" s="401"/>
      <c r="AM123" s="402"/>
      <c r="AN123" s="401"/>
      <c r="AO123" s="402"/>
      <c r="AP123" s="53"/>
      <c r="AQ123" s="53"/>
      <c r="AR123" s="53"/>
    </row>
    <row r="124" spans="1:44">
      <c r="A124" s="236" t="s">
        <v>148</v>
      </c>
      <c r="B124" s="237" t="s">
        <v>163</v>
      </c>
      <c r="C124" s="449"/>
      <c r="D124" s="448">
        <v>140960</v>
      </c>
      <c r="E124" s="358">
        <v>5</v>
      </c>
      <c r="F124" s="401">
        <v>6918</v>
      </c>
      <c r="G124" s="402">
        <v>6918</v>
      </c>
      <c r="H124" s="401">
        <v>20320</v>
      </c>
      <c r="I124" s="402">
        <v>20320</v>
      </c>
      <c r="J124" s="401">
        <v>6524</v>
      </c>
      <c r="K124" s="402">
        <v>6526</v>
      </c>
      <c r="L124" s="401">
        <v>19256</v>
      </c>
      <c r="M124" s="402">
        <v>19256</v>
      </c>
      <c r="N124" s="401"/>
      <c r="O124" s="402"/>
      <c r="P124" s="401"/>
      <c r="Q124" s="402"/>
      <c r="R124" s="401"/>
      <c r="S124" s="402"/>
      <c r="T124" s="401"/>
      <c r="U124" s="402"/>
      <c r="V124" s="401"/>
      <c r="W124" s="402"/>
      <c r="X124" s="401"/>
      <c r="Y124" s="402"/>
      <c r="Z124" s="401"/>
      <c r="AA124" s="402"/>
      <c r="AB124" s="401"/>
      <c r="AC124" s="402"/>
      <c r="AD124" s="401"/>
      <c r="AE124" s="402"/>
      <c r="AF124" s="401"/>
      <c r="AG124" s="402"/>
      <c r="AH124" s="401"/>
      <c r="AI124" s="402"/>
      <c r="AJ124" s="401"/>
      <c r="AK124" s="402"/>
      <c r="AL124" s="401"/>
      <c r="AM124" s="402"/>
      <c r="AN124" s="401"/>
      <c r="AO124" s="402"/>
      <c r="AP124" s="53"/>
      <c r="AQ124" s="53"/>
      <c r="AR124" s="53"/>
    </row>
    <row r="125" spans="1:44">
      <c r="A125" s="236" t="s">
        <v>148</v>
      </c>
      <c r="B125" s="237" t="s">
        <v>168</v>
      </c>
      <c r="C125" s="407"/>
      <c r="D125" s="448">
        <v>139250</v>
      </c>
      <c r="E125" s="451">
        <v>6</v>
      </c>
      <c r="F125" s="401">
        <v>4574</v>
      </c>
      <c r="G125" s="402">
        <v>4574</v>
      </c>
      <c r="H125" s="401">
        <v>13206</v>
      </c>
      <c r="I125" s="402">
        <v>13206</v>
      </c>
      <c r="J125" s="401"/>
      <c r="K125" s="402"/>
      <c r="L125" s="401"/>
      <c r="M125" s="402"/>
      <c r="N125" s="401"/>
      <c r="O125" s="402"/>
      <c r="P125" s="401"/>
      <c r="Q125" s="402"/>
      <c r="R125" s="401"/>
      <c r="S125" s="402"/>
      <c r="T125" s="401"/>
      <c r="U125" s="402"/>
      <c r="V125" s="401"/>
      <c r="W125" s="402"/>
      <c r="X125" s="401"/>
      <c r="Y125" s="402"/>
      <c r="Z125" s="401"/>
      <c r="AA125" s="402"/>
      <c r="AB125" s="401"/>
      <c r="AC125" s="402"/>
      <c r="AD125" s="401"/>
      <c r="AE125" s="402"/>
      <c r="AF125" s="401"/>
      <c r="AG125" s="402"/>
      <c r="AH125" s="401"/>
      <c r="AI125" s="402"/>
      <c r="AJ125" s="401"/>
      <c r="AK125" s="402"/>
      <c r="AL125" s="401"/>
      <c r="AM125" s="402"/>
      <c r="AN125" s="401"/>
      <c r="AO125" s="402"/>
      <c r="AP125" s="53"/>
      <c r="AQ125" s="53"/>
      <c r="AR125" s="53"/>
    </row>
    <row r="126" spans="1:44">
      <c r="A126" s="236" t="s">
        <v>148</v>
      </c>
      <c r="B126" s="237" t="s">
        <v>164</v>
      </c>
      <c r="C126" s="407"/>
      <c r="D126" s="448">
        <v>139463</v>
      </c>
      <c r="E126" s="451">
        <v>6</v>
      </c>
      <c r="F126" s="401">
        <v>4324</v>
      </c>
      <c r="G126" s="402">
        <v>4324</v>
      </c>
      <c r="H126" s="401">
        <v>12956</v>
      </c>
      <c r="I126" s="402">
        <v>12956</v>
      </c>
      <c r="J126" s="401"/>
      <c r="K126" s="402"/>
      <c r="L126" s="401"/>
      <c r="M126" s="402"/>
      <c r="N126" s="401"/>
      <c r="O126" s="402"/>
      <c r="P126" s="401"/>
      <c r="Q126" s="402"/>
      <c r="R126" s="401"/>
      <c r="S126" s="402"/>
      <c r="T126" s="401"/>
      <c r="U126" s="402"/>
      <c r="V126" s="401"/>
      <c r="W126" s="402"/>
      <c r="X126" s="401"/>
      <c r="Y126" s="402"/>
      <c r="Z126" s="401"/>
      <c r="AA126" s="402"/>
      <c r="AB126" s="401"/>
      <c r="AC126" s="402"/>
      <c r="AD126" s="401"/>
      <c r="AE126" s="402"/>
      <c r="AF126" s="401"/>
      <c r="AG126" s="402"/>
      <c r="AH126" s="401"/>
      <c r="AI126" s="402"/>
      <c r="AJ126" s="401"/>
      <c r="AK126" s="402"/>
      <c r="AL126" s="401"/>
      <c r="AM126" s="402"/>
      <c r="AN126" s="401"/>
      <c r="AO126" s="402"/>
      <c r="AP126" s="53"/>
      <c r="AQ126" s="53"/>
      <c r="AR126" s="53"/>
    </row>
    <row r="127" spans="1:44">
      <c r="A127" s="236" t="s">
        <v>148</v>
      </c>
      <c r="B127" s="237" t="s">
        <v>165</v>
      </c>
      <c r="C127" s="407"/>
      <c r="D127" s="448">
        <v>447689</v>
      </c>
      <c r="E127" s="358">
        <v>6</v>
      </c>
      <c r="F127" s="401">
        <v>5752</v>
      </c>
      <c r="G127" s="402">
        <v>5752</v>
      </c>
      <c r="H127" s="401">
        <v>16734</v>
      </c>
      <c r="I127" s="402">
        <v>16734</v>
      </c>
      <c r="J127" s="401"/>
      <c r="K127" s="402"/>
      <c r="L127" s="401"/>
      <c r="M127" s="402"/>
      <c r="N127" s="401"/>
      <c r="O127" s="402"/>
      <c r="P127" s="401"/>
      <c r="Q127" s="402"/>
      <c r="R127" s="401"/>
      <c r="S127" s="402"/>
      <c r="T127" s="401"/>
      <c r="U127" s="402"/>
      <c r="V127" s="401"/>
      <c r="W127" s="402"/>
      <c r="X127" s="401"/>
      <c r="Y127" s="402"/>
      <c r="Z127" s="401"/>
      <c r="AA127" s="402"/>
      <c r="AB127" s="401"/>
      <c r="AC127" s="402"/>
      <c r="AD127" s="401"/>
      <c r="AE127" s="402"/>
      <c r="AF127" s="401"/>
      <c r="AG127" s="402"/>
      <c r="AH127" s="401"/>
      <c r="AI127" s="402"/>
      <c r="AJ127" s="401"/>
      <c r="AK127" s="402"/>
      <c r="AL127" s="401"/>
      <c r="AM127" s="402"/>
      <c r="AN127" s="401"/>
      <c r="AO127" s="402"/>
      <c r="AP127" s="53"/>
      <c r="AQ127" s="53"/>
      <c r="AR127" s="53"/>
    </row>
    <row r="128" spans="1:44">
      <c r="A128" s="236" t="s">
        <v>148</v>
      </c>
      <c r="B128" s="237" t="s">
        <v>166</v>
      </c>
      <c r="C128" s="452" t="s">
        <v>1007</v>
      </c>
      <c r="D128" s="448">
        <v>482158</v>
      </c>
      <c r="E128" s="358">
        <v>5</v>
      </c>
      <c r="F128" s="401">
        <v>4742</v>
      </c>
      <c r="G128" s="402">
        <v>4742</v>
      </c>
      <c r="H128" s="401">
        <v>13926</v>
      </c>
      <c r="I128" s="402">
        <v>13926</v>
      </c>
      <c r="J128" s="401">
        <v>6106</v>
      </c>
      <c r="K128" s="402">
        <v>6106</v>
      </c>
      <c r="L128" s="401">
        <v>17978</v>
      </c>
      <c r="M128" s="402">
        <v>17978</v>
      </c>
      <c r="N128" s="401"/>
      <c r="O128" s="402"/>
      <c r="P128" s="401"/>
      <c r="Q128" s="402"/>
      <c r="R128" s="401"/>
      <c r="S128" s="402"/>
      <c r="T128" s="401"/>
      <c r="U128" s="402"/>
      <c r="V128" s="401"/>
      <c r="W128" s="402"/>
      <c r="X128" s="401"/>
      <c r="Y128" s="402"/>
      <c r="Z128" s="401"/>
      <c r="AA128" s="402"/>
      <c r="AB128" s="401"/>
      <c r="AC128" s="402"/>
      <c r="AD128" s="401"/>
      <c r="AE128" s="402"/>
      <c r="AF128" s="401"/>
      <c r="AG128" s="402"/>
      <c r="AH128" s="401"/>
      <c r="AI128" s="402"/>
      <c r="AJ128" s="401"/>
      <c r="AK128" s="402"/>
      <c r="AL128" s="401"/>
      <c r="AM128" s="402"/>
      <c r="AN128" s="401"/>
      <c r="AO128" s="402"/>
      <c r="AP128" s="53"/>
      <c r="AQ128" s="53"/>
      <c r="AR128" s="53"/>
    </row>
    <row r="129" spans="1:44">
      <c r="A129" s="236" t="s">
        <v>148</v>
      </c>
      <c r="B129" s="237" t="s">
        <v>167</v>
      </c>
      <c r="C129" s="407"/>
      <c r="D129" s="448">
        <v>138558</v>
      </c>
      <c r="E129" s="451">
        <v>6</v>
      </c>
      <c r="F129" s="401">
        <v>4206</v>
      </c>
      <c r="G129" s="402">
        <v>4206</v>
      </c>
      <c r="H129" s="401">
        <v>12838</v>
      </c>
      <c r="I129" s="402">
        <v>12838</v>
      </c>
      <c r="J129" s="401"/>
      <c r="K129" s="402"/>
      <c r="L129" s="401"/>
      <c r="M129" s="402"/>
      <c r="N129" s="401"/>
      <c r="O129" s="402"/>
      <c r="P129" s="401"/>
      <c r="Q129" s="402"/>
      <c r="R129" s="401"/>
      <c r="S129" s="402"/>
      <c r="T129" s="401"/>
      <c r="U129" s="402"/>
      <c r="V129" s="401"/>
      <c r="W129" s="402"/>
      <c r="X129" s="401"/>
      <c r="Y129" s="402"/>
      <c r="Z129" s="401"/>
      <c r="AA129" s="402"/>
      <c r="AB129" s="401"/>
      <c r="AC129" s="402"/>
      <c r="AD129" s="401"/>
      <c r="AE129" s="402"/>
      <c r="AF129" s="401"/>
      <c r="AG129" s="402"/>
      <c r="AH129" s="401"/>
      <c r="AI129" s="402"/>
      <c r="AJ129" s="401"/>
      <c r="AK129" s="402"/>
      <c r="AL129" s="401"/>
      <c r="AM129" s="402"/>
      <c r="AN129" s="401"/>
      <c r="AO129" s="402"/>
      <c r="AP129" s="53"/>
      <c r="AQ129" s="53"/>
      <c r="AR129" s="53"/>
    </row>
    <row r="130" spans="1:44">
      <c r="A130" s="236" t="s">
        <v>148</v>
      </c>
      <c r="B130" s="237" t="s">
        <v>171</v>
      </c>
      <c r="C130" s="450"/>
      <c r="D130" s="448">
        <v>138901</v>
      </c>
      <c r="E130" s="451">
        <v>7</v>
      </c>
      <c r="F130" s="401">
        <v>4112</v>
      </c>
      <c r="G130" s="402">
        <v>4112</v>
      </c>
      <c r="H130" s="401">
        <v>12394</v>
      </c>
      <c r="I130" s="402">
        <v>12394</v>
      </c>
      <c r="J130" s="401"/>
      <c r="K130" s="402"/>
      <c r="L130" s="401"/>
      <c r="M130" s="402"/>
      <c r="N130" s="401"/>
      <c r="O130" s="402"/>
      <c r="P130" s="401"/>
      <c r="Q130" s="402"/>
      <c r="R130" s="401"/>
      <c r="S130" s="402"/>
      <c r="T130" s="401"/>
      <c r="U130" s="402"/>
      <c r="V130" s="401"/>
      <c r="W130" s="402"/>
      <c r="X130" s="401"/>
      <c r="Y130" s="402"/>
      <c r="Z130" s="401"/>
      <c r="AA130" s="402"/>
      <c r="AB130" s="401"/>
      <c r="AC130" s="402"/>
      <c r="AD130" s="401"/>
      <c r="AE130" s="402"/>
      <c r="AF130" s="401"/>
      <c r="AG130" s="402"/>
      <c r="AH130" s="401"/>
      <c r="AI130" s="402"/>
      <c r="AJ130" s="401"/>
      <c r="AK130" s="402"/>
      <c r="AL130" s="401"/>
      <c r="AM130" s="402"/>
      <c r="AN130" s="401"/>
      <c r="AO130" s="402"/>
      <c r="AP130" s="53"/>
      <c r="AQ130" s="53"/>
      <c r="AR130" s="53"/>
    </row>
    <row r="131" spans="1:44">
      <c r="A131" s="236" t="s">
        <v>148</v>
      </c>
      <c r="B131" s="237" t="s">
        <v>172</v>
      </c>
      <c r="C131" s="407"/>
      <c r="D131" s="448">
        <v>139621</v>
      </c>
      <c r="E131" s="451">
        <v>7</v>
      </c>
      <c r="F131" s="401">
        <v>3806</v>
      </c>
      <c r="G131" s="402">
        <v>3806</v>
      </c>
      <c r="H131" s="401">
        <v>11746</v>
      </c>
      <c r="I131" s="402">
        <v>11746</v>
      </c>
      <c r="J131" s="401"/>
      <c r="K131" s="402"/>
      <c r="L131" s="401"/>
      <c r="M131" s="402"/>
      <c r="N131" s="401"/>
      <c r="O131" s="402"/>
      <c r="P131" s="401"/>
      <c r="Q131" s="402"/>
      <c r="R131" s="401"/>
      <c r="S131" s="402"/>
      <c r="T131" s="401"/>
      <c r="U131" s="402"/>
      <c r="V131" s="401"/>
      <c r="W131" s="402"/>
      <c r="X131" s="401"/>
      <c r="Y131" s="402"/>
      <c r="Z131" s="401"/>
      <c r="AA131" s="402"/>
      <c r="AB131" s="401"/>
      <c r="AC131" s="402"/>
      <c r="AD131" s="401"/>
      <c r="AE131" s="402"/>
      <c r="AF131" s="401"/>
      <c r="AG131" s="402"/>
      <c r="AH131" s="401"/>
      <c r="AI131" s="402"/>
      <c r="AJ131" s="401"/>
      <c r="AK131" s="402"/>
      <c r="AL131" s="401"/>
      <c r="AM131" s="402"/>
      <c r="AN131" s="401"/>
      <c r="AO131" s="402"/>
      <c r="AP131" s="53"/>
      <c r="AQ131" s="53"/>
      <c r="AR131" s="53"/>
    </row>
    <row r="132" spans="1:44">
      <c r="A132" s="236" t="s">
        <v>148</v>
      </c>
      <c r="B132" s="237" t="s">
        <v>173</v>
      </c>
      <c r="C132" s="407"/>
      <c r="D132" s="448">
        <v>139700</v>
      </c>
      <c r="E132" s="451">
        <v>7</v>
      </c>
      <c r="F132" s="401">
        <v>3914</v>
      </c>
      <c r="G132" s="402">
        <v>3914</v>
      </c>
      <c r="H132" s="401">
        <v>11854</v>
      </c>
      <c r="I132" s="402">
        <v>11854</v>
      </c>
      <c r="J132" s="401"/>
      <c r="K132" s="402"/>
      <c r="L132" s="401"/>
      <c r="M132" s="402"/>
      <c r="N132" s="401"/>
      <c r="O132" s="402"/>
      <c r="P132" s="401"/>
      <c r="Q132" s="402"/>
      <c r="R132" s="401"/>
      <c r="S132" s="402"/>
      <c r="T132" s="401"/>
      <c r="U132" s="402"/>
      <c r="V132" s="401"/>
      <c r="W132" s="402"/>
      <c r="X132" s="401"/>
      <c r="Y132" s="402"/>
      <c r="Z132" s="401"/>
      <c r="AA132" s="402"/>
      <c r="AB132" s="401"/>
      <c r="AC132" s="402"/>
      <c r="AD132" s="401"/>
      <c r="AE132" s="402"/>
      <c r="AF132" s="401"/>
      <c r="AG132" s="402"/>
      <c r="AH132" s="401"/>
      <c r="AI132" s="402"/>
      <c r="AJ132" s="401"/>
      <c r="AK132" s="402"/>
      <c r="AL132" s="401"/>
      <c r="AM132" s="402"/>
      <c r="AN132" s="401"/>
      <c r="AO132" s="402"/>
      <c r="AP132" s="53"/>
      <c r="AQ132" s="53"/>
      <c r="AR132" s="53"/>
    </row>
    <row r="133" spans="1:44">
      <c r="A133" s="236" t="s">
        <v>148</v>
      </c>
      <c r="B133" s="237" t="s">
        <v>169</v>
      </c>
      <c r="C133" s="407"/>
      <c r="D133" s="448">
        <v>139968</v>
      </c>
      <c r="E133" s="451">
        <v>6</v>
      </c>
      <c r="F133" s="401">
        <v>4430</v>
      </c>
      <c r="G133" s="402">
        <v>4430</v>
      </c>
      <c r="H133" s="401">
        <v>13062</v>
      </c>
      <c r="I133" s="402">
        <v>13062</v>
      </c>
      <c r="J133" s="401"/>
      <c r="K133" s="402"/>
      <c r="L133" s="401"/>
      <c r="M133" s="402"/>
      <c r="N133" s="401"/>
      <c r="O133" s="402"/>
      <c r="P133" s="401"/>
      <c r="Q133" s="402"/>
      <c r="R133" s="401"/>
      <c r="S133" s="402"/>
      <c r="T133" s="401"/>
      <c r="U133" s="402"/>
      <c r="V133" s="401"/>
      <c r="W133" s="402"/>
      <c r="X133" s="401"/>
      <c r="Y133" s="402"/>
      <c r="Z133" s="401"/>
      <c r="AA133" s="402"/>
      <c r="AB133" s="401"/>
      <c r="AC133" s="402"/>
      <c r="AD133" s="401"/>
      <c r="AE133" s="402"/>
      <c r="AF133" s="401"/>
      <c r="AG133" s="402"/>
      <c r="AH133" s="401"/>
      <c r="AI133" s="402"/>
      <c r="AJ133" s="401"/>
      <c r="AK133" s="402"/>
      <c r="AL133" s="401"/>
      <c r="AM133" s="402"/>
      <c r="AN133" s="401"/>
      <c r="AO133" s="402"/>
      <c r="AP133" s="53"/>
      <c r="AQ133" s="53"/>
      <c r="AR133" s="53"/>
    </row>
    <row r="134" spans="1:44">
      <c r="A134" s="236" t="s">
        <v>148</v>
      </c>
      <c r="B134" s="237" t="s">
        <v>174</v>
      </c>
      <c r="C134" s="407"/>
      <c r="D134" s="448">
        <v>482699</v>
      </c>
      <c r="E134" s="451">
        <v>7</v>
      </c>
      <c r="F134" s="401">
        <v>3880</v>
      </c>
      <c r="G134" s="402">
        <v>3880</v>
      </c>
      <c r="H134" s="401">
        <v>11820</v>
      </c>
      <c r="I134" s="402">
        <v>11820</v>
      </c>
      <c r="J134" s="401"/>
      <c r="K134" s="402"/>
      <c r="L134" s="401"/>
      <c r="M134" s="402"/>
      <c r="N134" s="401"/>
      <c r="O134" s="402"/>
      <c r="P134" s="401"/>
      <c r="Q134" s="402"/>
      <c r="R134" s="401"/>
      <c r="S134" s="402"/>
      <c r="T134" s="401"/>
      <c r="U134" s="402"/>
      <c r="V134" s="401"/>
      <c r="W134" s="402"/>
      <c r="X134" s="401"/>
      <c r="Y134" s="402"/>
      <c r="Z134" s="401"/>
      <c r="AA134" s="402"/>
      <c r="AB134" s="401"/>
      <c r="AC134" s="402"/>
      <c r="AD134" s="401"/>
      <c r="AE134" s="402"/>
      <c r="AF134" s="401"/>
      <c r="AG134" s="402"/>
      <c r="AH134" s="401"/>
      <c r="AI134" s="402"/>
      <c r="AJ134" s="401"/>
      <c r="AK134" s="402"/>
      <c r="AL134" s="401"/>
      <c r="AM134" s="402"/>
      <c r="AN134" s="401"/>
      <c r="AO134" s="402"/>
      <c r="AP134" s="53"/>
      <c r="AQ134" s="53"/>
      <c r="AR134" s="53"/>
    </row>
    <row r="135" spans="1:44">
      <c r="A135" s="236" t="s">
        <v>148</v>
      </c>
      <c r="B135" s="241" t="s">
        <v>170</v>
      </c>
      <c r="C135" s="407"/>
      <c r="D135" s="448">
        <v>244437</v>
      </c>
      <c r="E135" s="453">
        <v>8</v>
      </c>
      <c r="F135" s="401"/>
      <c r="G135" s="402"/>
      <c r="H135" s="401"/>
      <c r="I135" s="402"/>
      <c r="J135" s="401"/>
      <c r="K135" s="402"/>
      <c r="L135" s="401"/>
      <c r="M135" s="402"/>
      <c r="N135" s="401"/>
      <c r="O135" s="402"/>
      <c r="P135" s="401"/>
      <c r="Q135" s="402"/>
      <c r="R135" s="401"/>
      <c r="S135" s="402"/>
      <c r="T135" s="401"/>
      <c r="U135" s="402"/>
      <c r="V135" s="401"/>
      <c r="W135" s="402"/>
      <c r="X135" s="401"/>
      <c r="Y135" s="402"/>
      <c r="Z135" s="401"/>
      <c r="AA135" s="402"/>
      <c r="AB135" s="401"/>
      <c r="AC135" s="402"/>
      <c r="AD135" s="401"/>
      <c r="AE135" s="402"/>
      <c r="AF135" s="401"/>
      <c r="AG135" s="402"/>
      <c r="AH135" s="401"/>
      <c r="AI135" s="402"/>
      <c r="AJ135" s="401"/>
      <c r="AK135" s="402"/>
      <c r="AL135" s="401"/>
      <c r="AM135" s="402"/>
      <c r="AN135" s="401"/>
      <c r="AO135" s="402"/>
      <c r="AP135" s="53"/>
      <c r="AQ135" s="53"/>
      <c r="AR135" s="53"/>
    </row>
    <row r="136" spans="1:44">
      <c r="A136" s="244" t="s">
        <v>148</v>
      </c>
      <c r="B136" s="217" t="s">
        <v>175</v>
      </c>
      <c r="C136" s="428"/>
      <c r="D136" s="454">
        <v>138682</v>
      </c>
      <c r="E136" s="455">
        <v>12</v>
      </c>
      <c r="F136" s="401">
        <v>3596</v>
      </c>
      <c r="G136" s="402">
        <v>3596</v>
      </c>
      <c r="H136" s="401">
        <v>6596</v>
      </c>
      <c r="I136" s="402">
        <v>6596</v>
      </c>
      <c r="J136" s="401"/>
      <c r="K136" s="402"/>
      <c r="L136" s="401"/>
      <c r="M136" s="402"/>
      <c r="N136" s="401"/>
      <c r="O136" s="402"/>
      <c r="P136" s="401"/>
      <c r="Q136" s="402"/>
      <c r="R136" s="401"/>
      <c r="S136" s="402"/>
      <c r="T136" s="401"/>
      <c r="U136" s="402"/>
      <c r="V136" s="401"/>
      <c r="W136" s="402"/>
      <c r="X136" s="401"/>
      <c r="Y136" s="402"/>
      <c r="Z136" s="401"/>
      <c r="AA136" s="402"/>
      <c r="AB136" s="401"/>
      <c r="AC136" s="402"/>
      <c r="AD136" s="401"/>
      <c r="AE136" s="402"/>
      <c r="AF136" s="401"/>
      <c r="AG136" s="402"/>
      <c r="AH136" s="401"/>
      <c r="AI136" s="402"/>
      <c r="AJ136" s="401"/>
      <c r="AK136" s="402"/>
      <c r="AL136" s="401"/>
      <c r="AM136" s="402"/>
      <c r="AN136" s="401"/>
      <c r="AO136" s="402"/>
      <c r="AP136" s="53"/>
      <c r="AQ136" s="53"/>
      <c r="AR136" s="53"/>
    </row>
    <row r="137" spans="1:44">
      <c r="A137" s="244" t="s">
        <v>148</v>
      </c>
      <c r="B137" s="217" t="s">
        <v>176</v>
      </c>
      <c r="C137" s="428"/>
      <c r="D137" s="454">
        <v>246813</v>
      </c>
      <c r="E137" s="455">
        <v>12</v>
      </c>
      <c r="F137" s="401">
        <v>3662</v>
      </c>
      <c r="G137" s="402">
        <v>3662</v>
      </c>
      <c r="H137" s="401">
        <v>6662</v>
      </c>
      <c r="I137" s="402">
        <v>6662</v>
      </c>
      <c r="J137" s="401"/>
      <c r="K137" s="402"/>
      <c r="L137" s="401"/>
      <c r="M137" s="402"/>
      <c r="N137" s="401"/>
      <c r="O137" s="402"/>
      <c r="P137" s="401"/>
      <c r="Q137" s="402"/>
      <c r="R137" s="401"/>
      <c r="S137" s="402"/>
      <c r="T137" s="401"/>
      <c r="U137" s="402"/>
      <c r="V137" s="401"/>
      <c r="W137" s="402"/>
      <c r="X137" s="401"/>
      <c r="Y137" s="402"/>
      <c r="Z137" s="401"/>
      <c r="AA137" s="402"/>
      <c r="AB137" s="401"/>
      <c r="AC137" s="402"/>
      <c r="AD137" s="401"/>
      <c r="AE137" s="402"/>
      <c r="AF137" s="401"/>
      <c r="AG137" s="402"/>
      <c r="AH137" s="401"/>
      <c r="AI137" s="402"/>
      <c r="AJ137" s="401"/>
      <c r="AK137" s="402"/>
      <c r="AL137" s="401"/>
      <c r="AM137" s="402"/>
      <c r="AN137" s="401"/>
      <c r="AO137" s="402"/>
      <c r="AP137" s="53"/>
      <c r="AQ137" s="53"/>
      <c r="AR137" s="53"/>
    </row>
    <row r="138" spans="1:44">
      <c r="A138" s="244" t="s">
        <v>148</v>
      </c>
      <c r="B138" s="217" t="s">
        <v>177</v>
      </c>
      <c r="C138" s="428"/>
      <c r="D138" s="454">
        <v>138840</v>
      </c>
      <c r="E138" s="455">
        <v>12</v>
      </c>
      <c r="F138" s="401">
        <v>3684</v>
      </c>
      <c r="G138" s="402">
        <v>3764</v>
      </c>
      <c r="H138" s="401">
        <v>6684</v>
      </c>
      <c r="I138" s="402">
        <v>6764</v>
      </c>
      <c r="J138" s="401"/>
      <c r="K138" s="402"/>
      <c r="L138" s="401"/>
      <c r="M138" s="402"/>
      <c r="N138" s="401"/>
      <c r="O138" s="402"/>
      <c r="P138" s="401"/>
      <c r="Q138" s="402"/>
      <c r="R138" s="401"/>
      <c r="S138" s="402"/>
      <c r="T138" s="401"/>
      <c r="U138" s="402"/>
      <c r="V138" s="401"/>
      <c r="W138" s="402"/>
      <c r="X138" s="401"/>
      <c r="Y138" s="402"/>
      <c r="Z138" s="401"/>
      <c r="AA138" s="402"/>
      <c r="AB138" s="401"/>
      <c r="AC138" s="402"/>
      <c r="AD138" s="401"/>
      <c r="AE138" s="402"/>
      <c r="AF138" s="401"/>
      <c r="AG138" s="402"/>
      <c r="AH138" s="401"/>
      <c r="AI138" s="402"/>
      <c r="AJ138" s="401"/>
      <c r="AK138" s="402"/>
      <c r="AL138" s="401"/>
      <c r="AM138" s="402"/>
      <c r="AN138" s="401"/>
      <c r="AO138" s="402"/>
      <c r="AP138" s="53"/>
      <c r="AQ138" s="53"/>
      <c r="AR138" s="53"/>
    </row>
    <row r="139" spans="1:44" s="179" customFormat="1" ht="12.6" customHeight="1">
      <c r="A139" s="244" t="s">
        <v>148</v>
      </c>
      <c r="B139" s="217" t="s">
        <v>178</v>
      </c>
      <c r="C139" s="456"/>
      <c r="D139" s="454">
        <v>138956</v>
      </c>
      <c r="E139" s="455">
        <v>12</v>
      </c>
      <c r="F139" s="401">
        <v>3832</v>
      </c>
      <c r="G139" s="402">
        <v>3832</v>
      </c>
      <c r="H139" s="401">
        <v>6832</v>
      </c>
      <c r="I139" s="402">
        <v>6832</v>
      </c>
      <c r="J139" s="401"/>
      <c r="K139" s="402"/>
      <c r="L139" s="401"/>
      <c r="M139" s="402"/>
      <c r="N139" s="401"/>
      <c r="O139" s="402"/>
      <c r="P139" s="401"/>
      <c r="Q139" s="402"/>
      <c r="R139" s="401"/>
      <c r="S139" s="402"/>
      <c r="T139" s="401"/>
      <c r="U139" s="402"/>
      <c r="V139" s="401"/>
      <c r="W139" s="402"/>
      <c r="X139" s="401"/>
      <c r="Y139" s="402"/>
      <c r="Z139" s="401"/>
      <c r="AA139" s="402"/>
      <c r="AB139" s="401"/>
      <c r="AC139" s="402"/>
      <c r="AD139" s="401"/>
      <c r="AE139" s="402"/>
      <c r="AF139" s="401"/>
      <c r="AG139" s="402"/>
      <c r="AH139" s="401"/>
      <c r="AI139" s="402"/>
      <c r="AJ139" s="401"/>
      <c r="AK139" s="402"/>
      <c r="AL139" s="401"/>
      <c r="AM139" s="402"/>
      <c r="AN139" s="401"/>
      <c r="AO139" s="402"/>
      <c r="AP139" s="53"/>
      <c r="AQ139" s="53"/>
      <c r="AR139" s="53"/>
    </row>
    <row r="140" spans="1:44" s="179" customFormat="1" ht="12.6" customHeight="1">
      <c r="A140" s="244" t="s">
        <v>148</v>
      </c>
      <c r="B140" s="217" t="s">
        <v>179</v>
      </c>
      <c r="C140" s="456"/>
      <c r="D140" s="454">
        <v>483045</v>
      </c>
      <c r="E140" s="455">
        <v>12</v>
      </c>
      <c r="F140" s="401">
        <v>3642</v>
      </c>
      <c r="G140" s="402">
        <v>3642</v>
      </c>
      <c r="H140" s="401">
        <v>6642</v>
      </c>
      <c r="I140" s="402">
        <v>6642</v>
      </c>
      <c r="J140" s="401"/>
      <c r="K140" s="402"/>
      <c r="L140" s="401"/>
      <c r="M140" s="402"/>
      <c r="N140" s="401"/>
      <c r="O140" s="402"/>
      <c r="P140" s="401"/>
      <c r="Q140" s="402"/>
      <c r="R140" s="401"/>
      <c r="S140" s="402"/>
      <c r="T140" s="401"/>
      <c r="U140" s="402"/>
      <c r="V140" s="401"/>
      <c r="W140" s="402"/>
      <c r="X140" s="401"/>
      <c r="Y140" s="402"/>
      <c r="Z140" s="401"/>
      <c r="AA140" s="402"/>
      <c r="AB140" s="401"/>
      <c r="AC140" s="402"/>
      <c r="AD140" s="401"/>
      <c r="AE140" s="402"/>
      <c r="AF140" s="401"/>
      <c r="AG140" s="402"/>
      <c r="AH140" s="401"/>
      <c r="AI140" s="402"/>
      <c r="AJ140" s="401"/>
      <c r="AK140" s="402"/>
      <c r="AL140" s="401"/>
      <c r="AM140" s="402"/>
      <c r="AN140" s="401"/>
      <c r="AO140" s="402"/>
      <c r="AP140" s="53"/>
      <c r="AQ140" s="53"/>
      <c r="AR140" s="53"/>
    </row>
    <row r="141" spans="1:44" s="179" customFormat="1" ht="12.6" customHeight="1">
      <c r="A141" s="244" t="s">
        <v>148</v>
      </c>
      <c r="B141" s="217" t="s">
        <v>180</v>
      </c>
      <c r="C141" s="456"/>
      <c r="D141" s="454">
        <v>140331</v>
      </c>
      <c r="E141" s="455">
        <v>12</v>
      </c>
      <c r="F141" s="401">
        <v>3720</v>
      </c>
      <c r="G141" s="402">
        <v>3802</v>
      </c>
      <c r="H141" s="401">
        <v>6720</v>
      </c>
      <c r="I141" s="402">
        <v>6802</v>
      </c>
      <c r="J141" s="401"/>
      <c r="K141" s="402"/>
      <c r="L141" s="401"/>
      <c r="M141" s="402"/>
      <c r="N141" s="401"/>
      <c r="O141" s="402"/>
      <c r="P141" s="401"/>
      <c r="Q141" s="402"/>
      <c r="R141" s="401"/>
      <c r="S141" s="402"/>
      <c r="T141" s="401"/>
      <c r="U141" s="402"/>
      <c r="V141" s="401"/>
      <c r="W141" s="402"/>
      <c r="X141" s="401"/>
      <c r="Y141" s="402"/>
      <c r="Z141" s="401"/>
      <c r="AA141" s="402"/>
      <c r="AB141" s="401"/>
      <c r="AC141" s="402"/>
      <c r="AD141" s="401"/>
      <c r="AE141" s="402"/>
      <c r="AF141" s="401"/>
      <c r="AG141" s="402"/>
      <c r="AH141" s="401"/>
      <c r="AI141" s="402"/>
      <c r="AJ141" s="401"/>
      <c r="AK141" s="402"/>
      <c r="AL141" s="401"/>
      <c r="AM141" s="402"/>
      <c r="AN141" s="401"/>
      <c r="AO141" s="402"/>
      <c r="AP141" s="53"/>
      <c r="AQ141" s="53"/>
      <c r="AR141" s="53"/>
    </row>
    <row r="142" spans="1:44" s="179" customFormat="1" ht="12.6" customHeight="1">
      <c r="A142" s="244" t="s">
        <v>148</v>
      </c>
      <c r="B142" s="245" t="s">
        <v>181</v>
      </c>
      <c r="C142" s="456"/>
      <c r="D142" s="454">
        <v>485458</v>
      </c>
      <c r="E142" s="455">
        <v>12</v>
      </c>
      <c r="F142" s="401">
        <v>3612</v>
      </c>
      <c r="G142" s="402">
        <v>3612</v>
      </c>
      <c r="H142" s="401">
        <v>6612</v>
      </c>
      <c r="I142" s="402">
        <v>6612</v>
      </c>
      <c r="J142" s="401"/>
      <c r="K142" s="402"/>
      <c r="L142" s="401"/>
      <c r="M142" s="402"/>
      <c r="N142" s="401"/>
      <c r="O142" s="402"/>
      <c r="P142" s="401"/>
      <c r="Q142" s="402"/>
      <c r="R142" s="401"/>
      <c r="S142" s="402"/>
      <c r="T142" s="401"/>
      <c r="U142" s="402"/>
      <c r="V142" s="401"/>
      <c r="W142" s="402"/>
      <c r="X142" s="401"/>
      <c r="Y142" s="402"/>
      <c r="Z142" s="401"/>
      <c r="AA142" s="402"/>
      <c r="AB142" s="401"/>
      <c r="AC142" s="402"/>
      <c r="AD142" s="401"/>
      <c r="AE142" s="402"/>
      <c r="AF142" s="401"/>
      <c r="AG142" s="402"/>
      <c r="AH142" s="401"/>
      <c r="AI142" s="402"/>
      <c r="AJ142" s="401"/>
      <c r="AK142" s="402"/>
      <c r="AL142" s="401"/>
      <c r="AM142" s="402"/>
      <c r="AN142" s="401"/>
      <c r="AO142" s="402"/>
      <c r="AP142" s="53"/>
      <c r="AQ142" s="53"/>
      <c r="AR142" s="53"/>
    </row>
    <row r="143" spans="1:44" s="179" customFormat="1" ht="12.6" customHeight="1">
      <c r="A143" s="244" t="s">
        <v>148</v>
      </c>
      <c r="B143" s="217" t="s">
        <v>182</v>
      </c>
      <c r="C143" s="456"/>
      <c r="D143" s="454">
        <v>139357</v>
      </c>
      <c r="E143" s="455">
        <v>12</v>
      </c>
      <c r="F143" s="401">
        <v>3642</v>
      </c>
      <c r="G143" s="402">
        <v>3642</v>
      </c>
      <c r="H143" s="401">
        <v>6642</v>
      </c>
      <c r="I143" s="402">
        <v>6642</v>
      </c>
      <c r="J143" s="401"/>
      <c r="K143" s="402"/>
      <c r="L143" s="401"/>
      <c r="M143" s="402"/>
      <c r="N143" s="401"/>
      <c r="O143" s="402"/>
      <c r="P143" s="401"/>
      <c r="Q143" s="402"/>
      <c r="R143" s="401"/>
      <c r="S143" s="402"/>
      <c r="T143" s="401"/>
      <c r="U143" s="402"/>
      <c r="V143" s="401"/>
      <c r="W143" s="402"/>
      <c r="X143" s="401"/>
      <c r="Y143" s="402"/>
      <c r="Z143" s="401"/>
      <c r="AA143" s="402"/>
      <c r="AB143" s="401"/>
      <c r="AC143" s="402"/>
      <c r="AD143" s="401"/>
      <c r="AE143" s="402"/>
      <c r="AF143" s="401"/>
      <c r="AG143" s="402"/>
      <c r="AH143" s="401"/>
      <c r="AI143" s="402"/>
      <c r="AJ143" s="401"/>
      <c r="AK143" s="402"/>
      <c r="AL143" s="401"/>
      <c r="AM143" s="402"/>
      <c r="AN143" s="401"/>
      <c r="AO143" s="402"/>
      <c r="AP143" s="53"/>
      <c r="AQ143" s="53"/>
      <c r="AR143" s="53"/>
    </row>
    <row r="144" spans="1:44" s="179" customFormat="1" ht="12.6" customHeight="1">
      <c r="A144" s="244" t="s">
        <v>148</v>
      </c>
      <c r="B144" s="217" t="s">
        <v>183</v>
      </c>
      <c r="C144" s="456"/>
      <c r="D144" s="454">
        <v>139384</v>
      </c>
      <c r="E144" s="455">
        <v>12</v>
      </c>
      <c r="F144" s="401">
        <v>3662</v>
      </c>
      <c r="G144" s="402">
        <v>3662</v>
      </c>
      <c r="H144" s="401">
        <v>6662</v>
      </c>
      <c r="I144" s="402">
        <v>6662</v>
      </c>
      <c r="J144" s="401"/>
      <c r="K144" s="402"/>
      <c r="L144" s="401"/>
      <c r="M144" s="402"/>
      <c r="N144" s="401"/>
      <c r="O144" s="402"/>
      <c r="P144" s="401"/>
      <c r="Q144" s="402"/>
      <c r="R144" s="401"/>
      <c r="S144" s="402"/>
      <c r="T144" s="401"/>
      <c r="U144" s="402"/>
      <c r="V144" s="401"/>
      <c r="W144" s="402"/>
      <c r="X144" s="401"/>
      <c r="Y144" s="402"/>
      <c r="Z144" s="401"/>
      <c r="AA144" s="402"/>
      <c r="AB144" s="401"/>
      <c r="AC144" s="402"/>
      <c r="AD144" s="401"/>
      <c r="AE144" s="402"/>
      <c r="AF144" s="401"/>
      <c r="AG144" s="402"/>
      <c r="AH144" s="401"/>
      <c r="AI144" s="402"/>
      <c r="AJ144" s="401"/>
      <c r="AK144" s="402"/>
      <c r="AL144" s="401"/>
      <c r="AM144" s="402"/>
      <c r="AN144" s="401"/>
      <c r="AO144" s="402"/>
      <c r="AP144" s="53"/>
      <c r="AQ144" s="53"/>
      <c r="AR144" s="53"/>
    </row>
    <row r="145" spans="1:44" s="179" customFormat="1" ht="12.6" customHeight="1">
      <c r="A145" s="244" t="s">
        <v>148</v>
      </c>
      <c r="B145" s="217" t="s">
        <v>184</v>
      </c>
      <c r="C145" s="456"/>
      <c r="D145" s="454">
        <v>244446</v>
      </c>
      <c r="E145" s="455">
        <v>12</v>
      </c>
      <c r="F145" s="401">
        <v>3778</v>
      </c>
      <c r="G145" s="402">
        <v>3778</v>
      </c>
      <c r="H145" s="401">
        <v>6778</v>
      </c>
      <c r="I145" s="402">
        <v>6778</v>
      </c>
      <c r="J145" s="401"/>
      <c r="K145" s="402"/>
      <c r="L145" s="401"/>
      <c r="M145" s="402"/>
      <c r="N145" s="401"/>
      <c r="O145" s="402"/>
      <c r="P145" s="401"/>
      <c r="Q145" s="402"/>
      <c r="R145" s="401"/>
      <c r="S145" s="402"/>
      <c r="T145" s="401"/>
      <c r="U145" s="402"/>
      <c r="V145" s="401"/>
      <c r="W145" s="402"/>
      <c r="X145" s="401"/>
      <c r="Y145" s="402"/>
      <c r="Z145" s="401"/>
      <c r="AA145" s="402"/>
      <c r="AB145" s="401"/>
      <c r="AC145" s="402"/>
      <c r="AD145" s="401"/>
      <c r="AE145" s="402"/>
      <c r="AF145" s="401"/>
      <c r="AG145" s="402"/>
      <c r="AH145" s="401"/>
      <c r="AI145" s="402"/>
      <c r="AJ145" s="401"/>
      <c r="AK145" s="402"/>
      <c r="AL145" s="401"/>
      <c r="AM145" s="402"/>
      <c r="AN145" s="401"/>
      <c r="AO145" s="402"/>
      <c r="AP145" s="53"/>
      <c r="AQ145" s="53"/>
      <c r="AR145" s="53"/>
    </row>
    <row r="146" spans="1:44" s="179" customFormat="1" ht="12.6" customHeight="1">
      <c r="A146" s="244" t="s">
        <v>148</v>
      </c>
      <c r="B146" s="217" t="s">
        <v>185</v>
      </c>
      <c r="C146" s="456"/>
      <c r="D146" s="454">
        <v>140012</v>
      </c>
      <c r="E146" s="455">
        <v>12</v>
      </c>
      <c r="F146" s="401">
        <v>3836</v>
      </c>
      <c r="G146" s="402">
        <v>3836</v>
      </c>
      <c r="H146" s="401">
        <v>6836</v>
      </c>
      <c r="I146" s="402">
        <v>6836</v>
      </c>
      <c r="J146" s="401"/>
      <c r="K146" s="402"/>
      <c r="L146" s="401"/>
      <c r="M146" s="402"/>
      <c r="N146" s="401"/>
      <c r="O146" s="402"/>
      <c r="P146" s="401"/>
      <c r="Q146" s="402"/>
      <c r="R146" s="401"/>
      <c r="S146" s="402"/>
      <c r="T146" s="401"/>
      <c r="U146" s="402"/>
      <c r="V146" s="401"/>
      <c r="W146" s="402"/>
      <c r="X146" s="401"/>
      <c r="Y146" s="402"/>
      <c r="Z146" s="401"/>
      <c r="AA146" s="402"/>
      <c r="AB146" s="401"/>
      <c r="AC146" s="402"/>
      <c r="AD146" s="401"/>
      <c r="AE146" s="402"/>
      <c r="AF146" s="401"/>
      <c r="AG146" s="402"/>
      <c r="AH146" s="401"/>
      <c r="AI146" s="402"/>
      <c r="AJ146" s="401"/>
      <c r="AK146" s="402"/>
      <c r="AL146" s="401"/>
      <c r="AM146" s="402"/>
      <c r="AN146" s="401"/>
      <c r="AO146" s="402"/>
      <c r="AP146" s="53"/>
      <c r="AQ146" s="53"/>
      <c r="AR146" s="53"/>
    </row>
    <row r="147" spans="1:44" s="179" customFormat="1" ht="12.6" customHeight="1">
      <c r="A147" s="244" t="s">
        <v>148</v>
      </c>
      <c r="B147" s="217" t="s">
        <v>186</v>
      </c>
      <c r="C147" s="456"/>
      <c r="D147" s="454">
        <v>140243</v>
      </c>
      <c r="E147" s="455">
        <v>12</v>
      </c>
      <c r="F147" s="401">
        <v>3666</v>
      </c>
      <c r="G147" s="402">
        <v>3666</v>
      </c>
      <c r="H147" s="401">
        <v>6666</v>
      </c>
      <c r="I147" s="402">
        <v>6666</v>
      </c>
      <c r="J147" s="401"/>
      <c r="K147" s="402"/>
      <c r="L147" s="401"/>
      <c r="M147" s="402"/>
      <c r="N147" s="401"/>
      <c r="O147" s="402"/>
      <c r="P147" s="401"/>
      <c r="Q147" s="402"/>
      <c r="R147" s="401"/>
      <c r="S147" s="402"/>
      <c r="T147" s="401"/>
      <c r="U147" s="402"/>
      <c r="V147" s="401"/>
      <c r="W147" s="402"/>
      <c r="X147" s="401"/>
      <c r="Y147" s="402"/>
      <c r="Z147" s="401"/>
      <c r="AA147" s="402"/>
      <c r="AB147" s="401"/>
      <c r="AC147" s="402"/>
      <c r="AD147" s="401"/>
      <c r="AE147" s="402"/>
      <c r="AF147" s="401"/>
      <c r="AG147" s="402"/>
      <c r="AH147" s="401"/>
      <c r="AI147" s="402"/>
      <c r="AJ147" s="401"/>
      <c r="AK147" s="402"/>
      <c r="AL147" s="401"/>
      <c r="AM147" s="402"/>
      <c r="AN147" s="401"/>
      <c r="AO147" s="402"/>
      <c r="AP147" s="53"/>
      <c r="AQ147" s="53"/>
      <c r="AR147" s="53"/>
    </row>
    <row r="148" spans="1:44" s="179" customFormat="1" ht="12.6" customHeight="1">
      <c r="A148" s="244" t="s">
        <v>148</v>
      </c>
      <c r="B148" s="217" t="s">
        <v>187</v>
      </c>
      <c r="C148" s="456"/>
      <c r="D148" s="454">
        <v>140678</v>
      </c>
      <c r="E148" s="455">
        <v>12</v>
      </c>
      <c r="F148" s="401">
        <v>3622</v>
      </c>
      <c r="G148" s="402">
        <v>3622</v>
      </c>
      <c r="H148" s="401">
        <v>6622</v>
      </c>
      <c r="I148" s="402">
        <v>6622</v>
      </c>
      <c r="J148" s="401"/>
      <c r="K148" s="402"/>
      <c r="L148" s="401"/>
      <c r="M148" s="402"/>
      <c r="N148" s="401"/>
      <c r="O148" s="402"/>
      <c r="P148" s="401"/>
      <c r="Q148" s="402"/>
      <c r="R148" s="401"/>
      <c r="S148" s="402"/>
      <c r="T148" s="401"/>
      <c r="U148" s="402"/>
      <c r="V148" s="401"/>
      <c r="W148" s="402"/>
      <c r="X148" s="401"/>
      <c r="Y148" s="402"/>
      <c r="Z148" s="401"/>
      <c r="AA148" s="402"/>
      <c r="AB148" s="401"/>
      <c r="AC148" s="402"/>
      <c r="AD148" s="401"/>
      <c r="AE148" s="402"/>
      <c r="AF148" s="401"/>
      <c r="AG148" s="402"/>
      <c r="AH148" s="401"/>
      <c r="AI148" s="402"/>
      <c r="AJ148" s="401"/>
      <c r="AK148" s="402"/>
      <c r="AL148" s="401"/>
      <c r="AM148" s="402"/>
      <c r="AN148" s="401"/>
      <c r="AO148" s="402"/>
      <c r="AP148" s="53"/>
      <c r="AQ148" s="53"/>
      <c r="AR148" s="53"/>
    </row>
    <row r="149" spans="1:44">
      <c r="A149" s="244" t="s">
        <v>148</v>
      </c>
      <c r="B149" s="217" t="s">
        <v>188</v>
      </c>
      <c r="C149" s="428"/>
      <c r="D149" s="454">
        <v>420431</v>
      </c>
      <c r="E149" s="455">
        <v>12</v>
      </c>
      <c r="F149" s="401">
        <v>3672</v>
      </c>
      <c r="G149" s="402">
        <v>3672</v>
      </c>
      <c r="H149" s="401">
        <v>6672</v>
      </c>
      <c r="I149" s="402">
        <v>6672</v>
      </c>
      <c r="J149" s="401"/>
      <c r="K149" s="402"/>
      <c r="L149" s="401"/>
      <c r="M149" s="402"/>
      <c r="N149" s="401"/>
      <c r="O149" s="402"/>
      <c r="P149" s="401"/>
      <c r="Q149" s="402"/>
      <c r="R149" s="401"/>
      <c r="S149" s="402"/>
      <c r="T149" s="401"/>
      <c r="U149" s="402"/>
      <c r="V149" s="401"/>
      <c r="W149" s="402"/>
      <c r="X149" s="401"/>
      <c r="Y149" s="402"/>
      <c r="Z149" s="401"/>
      <c r="AA149" s="402"/>
      <c r="AB149" s="401"/>
      <c r="AC149" s="402"/>
      <c r="AD149" s="401"/>
      <c r="AE149" s="402"/>
      <c r="AF149" s="401"/>
      <c r="AG149" s="402"/>
      <c r="AH149" s="401"/>
      <c r="AI149" s="402"/>
      <c r="AJ149" s="401"/>
      <c r="AK149" s="402"/>
      <c r="AL149" s="401"/>
      <c r="AM149" s="402"/>
      <c r="AN149" s="401"/>
      <c r="AO149" s="402"/>
      <c r="AP149" s="53"/>
      <c r="AQ149" s="53"/>
      <c r="AR149" s="53"/>
    </row>
    <row r="150" spans="1:44" s="179" customFormat="1" ht="12.6" customHeight="1">
      <c r="A150" s="244" t="s">
        <v>148</v>
      </c>
      <c r="B150" s="217" t="s">
        <v>189</v>
      </c>
      <c r="C150" s="456"/>
      <c r="D150" s="454">
        <v>366465</v>
      </c>
      <c r="E150" s="455">
        <v>12</v>
      </c>
      <c r="F150" s="401">
        <v>3740</v>
      </c>
      <c r="G150" s="402">
        <v>3740</v>
      </c>
      <c r="H150" s="401">
        <v>6740</v>
      </c>
      <c r="I150" s="402">
        <v>6740</v>
      </c>
      <c r="J150" s="401"/>
      <c r="K150" s="402"/>
      <c r="L150" s="401"/>
      <c r="M150" s="402"/>
      <c r="N150" s="401"/>
      <c r="O150" s="402"/>
      <c r="P150" s="401"/>
      <c r="Q150" s="402"/>
      <c r="R150" s="401"/>
      <c r="S150" s="402"/>
      <c r="T150" s="401"/>
      <c r="U150" s="402"/>
      <c r="V150" s="401"/>
      <c r="W150" s="402"/>
      <c r="X150" s="401"/>
      <c r="Y150" s="402"/>
      <c r="Z150" s="401"/>
      <c r="AA150" s="402"/>
      <c r="AB150" s="401"/>
      <c r="AC150" s="402"/>
      <c r="AD150" s="401"/>
      <c r="AE150" s="402"/>
      <c r="AF150" s="401"/>
      <c r="AG150" s="402"/>
      <c r="AH150" s="401"/>
      <c r="AI150" s="402"/>
      <c r="AJ150" s="401"/>
      <c r="AK150" s="402"/>
      <c r="AL150" s="401"/>
      <c r="AM150" s="402"/>
      <c r="AN150" s="401"/>
      <c r="AO150" s="402"/>
      <c r="AP150" s="53"/>
      <c r="AQ150" s="53"/>
      <c r="AR150" s="53"/>
    </row>
    <row r="151" spans="1:44" s="179" customFormat="1" ht="12.6" customHeight="1">
      <c r="A151" s="244" t="s">
        <v>148</v>
      </c>
      <c r="B151" s="217" t="s">
        <v>190</v>
      </c>
      <c r="C151" s="456"/>
      <c r="D151" s="454">
        <v>140942</v>
      </c>
      <c r="E151" s="455">
        <v>12</v>
      </c>
      <c r="F151" s="401">
        <v>3642</v>
      </c>
      <c r="G151" s="402">
        <v>3642</v>
      </c>
      <c r="H151" s="401">
        <v>6642</v>
      </c>
      <c r="I151" s="402">
        <v>6642</v>
      </c>
      <c r="J151" s="401"/>
      <c r="K151" s="402"/>
      <c r="L151" s="401"/>
      <c r="M151" s="402"/>
      <c r="N151" s="401"/>
      <c r="O151" s="402"/>
      <c r="P151" s="401"/>
      <c r="Q151" s="402"/>
      <c r="R151" s="401"/>
      <c r="S151" s="402"/>
      <c r="T151" s="401"/>
      <c r="U151" s="402"/>
      <c r="V151" s="401"/>
      <c r="W151" s="402"/>
      <c r="X151" s="401"/>
      <c r="Y151" s="402"/>
      <c r="Z151" s="401"/>
      <c r="AA151" s="402"/>
      <c r="AB151" s="401"/>
      <c r="AC151" s="402"/>
      <c r="AD151" s="401"/>
      <c r="AE151" s="402"/>
      <c r="AF151" s="401"/>
      <c r="AG151" s="402"/>
      <c r="AH151" s="401"/>
      <c r="AI151" s="402"/>
      <c r="AJ151" s="401"/>
      <c r="AK151" s="402"/>
      <c r="AL151" s="401"/>
      <c r="AM151" s="402"/>
      <c r="AN151" s="401"/>
      <c r="AO151" s="402"/>
      <c r="AP151" s="53"/>
      <c r="AQ151" s="53"/>
      <c r="AR151" s="53"/>
    </row>
    <row r="152" spans="1:44" s="179" customFormat="1" ht="12.6" customHeight="1">
      <c r="A152" s="244" t="s">
        <v>148</v>
      </c>
      <c r="B152" s="217" t="s">
        <v>191</v>
      </c>
      <c r="C152" s="456"/>
      <c r="D152" s="454">
        <v>141006</v>
      </c>
      <c r="E152" s="455">
        <v>12</v>
      </c>
      <c r="F152" s="401">
        <v>3662</v>
      </c>
      <c r="G152" s="402">
        <v>3692</v>
      </c>
      <c r="H152" s="401">
        <v>6662</v>
      </c>
      <c r="I152" s="402">
        <v>6692</v>
      </c>
      <c r="J152" s="401"/>
      <c r="K152" s="402"/>
      <c r="L152" s="401"/>
      <c r="M152" s="402"/>
      <c r="N152" s="401"/>
      <c r="O152" s="402"/>
      <c r="P152" s="401"/>
      <c r="Q152" s="402"/>
      <c r="R152" s="401"/>
      <c r="S152" s="402"/>
      <c r="T152" s="401"/>
      <c r="U152" s="402"/>
      <c r="V152" s="401"/>
      <c r="W152" s="402"/>
      <c r="X152" s="401"/>
      <c r="Y152" s="402"/>
      <c r="Z152" s="401"/>
      <c r="AA152" s="402"/>
      <c r="AB152" s="401"/>
      <c r="AC152" s="402"/>
      <c r="AD152" s="401"/>
      <c r="AE152" s="402"/>
      <c r="AF152" s="401"/>
      <c r="AG152" s="402"/>
      <c r="AH152" s="401"/>
      <c r="AI152" s="402"/>
      <c r="AJ152" s="401"/>
      <c r="AK152" s="402"/>
      <c r="AL152" s="401"/>
      <c r="AM152" s="402"/>
      <c r="AN152" s="401"/>
      <c r="AO152" s="402"/>
      <c r="AP152" s="53"/>
      <c r="AQ152" s="53"/>
      <c r="AR152" s="53"/>
    </row>
    <row r="153" spans="1:44" s="179" customFormat="1" ht="12.6" customHeight="1">
      <c r="A153" s="244" t="s">
        <v>148</v>
      </c>
      <c r="B153" s="217" t="s">
        <v>192</v>
      </c>
      <c r="C153" s="342" t="s">
        <v>1008</v>
      </c>
      <c r="D153" s="454">
        <v>368911</v>
      </c>
      <c r="E153" s="455">
        <v>12</v>
      </c>
      <c r="F153" s="401">
        <v>3727</v>
      </c>
      <c r="G153" s="402">
        <v>3727</v>
      </c>
      <c r="H153" s="401">
        <v>6727</v>
      </c>
      <c r="I153" s="402">
        <v>6727</v>
      </c>
      <c r="J153" s="401"/>
      <c r="K153" s="402"/>
      <c r="L153" s="401"/>
      <c r="M153" s="402"/>
      <c r="N153" s="401"/>
      <c r="O153" s="402"/>
      <c r="P153" s="401"/>
      <c r="Q153" s="402"/>
      <c r="R153" s="401"/>
      <c r="S153" s="402"/>
      <c r="T153" s="401"/>
      <c r="U153" s="402"/>
      <c r="V153" s="401"/>
      <c r="W153" s="402"/>
      <c r="X153" s="401"/>
      <c r="Y153" s="402"/>
      <c r="Z153" s="401"/>
      <c r="AA153" s="402"/>
      <c r="AB153" s="401"/>
      <c r="AC153" s="402"/>
      <c r="AD153" s="401"/>
      <c r="AE153" s="402"/>
      <c r="AF153" s="401"/>
      <c r="AG153" s="402"/>
      <c r="AH153" s="401"/>
      <c r="AI153" s="402"/>
      <c r="AJ153" s="401"/>
      <c r="AK153" s="402"/>
      <c r="AL153" s="401"/>
      <c r="AM153" s="402"/>
      <c r="AN153" s="401"/>
      <c r="AO153" s="402"/>
      <c r="AP153" s="53"/>
      <c r="AQ153" s="53"/>
      <c r="AR153" s="53"/>
    </row>
    <row r="154" spans="1:44" s="179" customFormat="1" ht="12.6" customHeight="1">
      <c r="A154" s="244" t="s">
        <v>148</v>
      </c>
      <c r="B154" s="217" t="s">
        <v>193</v>
      </c>
      <c r="C154" s="456"/>
      <c r="D154" s="454">
        <v>139986</v>
      </c>
      <c r="E154" s="455">
        <v>12</v>
      </c>
      <c r="F154" s="401">
        <v>3726</v>
      </c>
      <c r="G154" s="402">
        <v>3726</v>
      </c>
      <c r="H154" s="401">
        <v>6726</v>
      </c>
      <c r="I154" s="402">
        <v>6726</v>
      </c>
      <c r="J154" s="401"/>
      <c r="K154" s="402"/>
      <c r="L154" s="401"/>
      <c r="M154" s="402"/>
      <c r="N154" s="401"/>
      <c r="O154" s="402"/>
      <c r="P154" s="401"/>
      <c r="Q154" s="402"/>
      <c r="R154" s="401"/>
      <c r="S154" s="402"/>
      <c r="T154" s="401"/>
      <c r="U154" s="402"/>
      <c r="V154" s="401"/>
      <c r="W154" s="402"/>
      <c r="X154" s="401"/>
      <c r="Y154" s="402"/>
      <c r="Z154" s="401"/>
      <c r="AA154" s="402"/>
      <c r="AB154" s="401"/>
      <c r="AC154" s="402"/>
      <c r="AD154" s="401"/>
      <c r="AE154" s="402"/>
      <c r="AF154" s="401"/>
      <c r="AG154" s="402"/>
      <c r="AH154" s="401"/>
      <c r="AI154" s="402"/>
      <c r="AJ154" s="401"/>
      <c r="AK154" s="402"/>
      <c r="AL154" s="401"/>
      <c r="AM154" s="402"/>
      <c r="AN154" s="401"/>
      <c r="AO154" s="402"/>
      <c r="AP154" s="53"/>
      <c r="AQ154" s="53"/>
      <c r="AR154" s="53"/>
    </row>
    <row r="155" spans="1:44" s="179" customFormat="1" ht="12.6" customHeight="1">
      <c r="A155" s="244" t="s">
        <v>148</v>
      </c>
      <c r="B155" s="245" t="s">
        <v>194</v>
      </c>
      <c r="C155" s="456"/>
      <c r="D155" s="454">
        <v>487162</v>
      </c>
      <c r="E155" s="455">
        <v>12</v>
      </c>
      <c r="F155" s="401">
        <v>3602</v>
      </c>
      <c r="G155" s="402">
        <v>3602</v>
      </c>
      <c r="H155" s="401">
        <v>6602</v>
      </c>
      <c r="I155" s="402">
        <v>6602</v>
      </c>
      <c r="J155" s="401"/>
      <c r="K155" s="402"/>
      <c r="L155" s="401"/>
      <c r="M155" s="402"/>
      <c r="N155" s="401"/>
      <c r="O155" s="402"/>
      <c r="P155" s="401"/>
      <c r="Q155" s="402"/>
      <c r="R155" s="401"/>
      <c r="S155" s="402"/>
      <c r="T155" s="401"/>
      <c r="U155" s="402"/>
      <c r="V155" s="401"/>
      <c r="W155" s="402"/>
      <c r="X155" s="401"/>
      <c r="Y155" s="402"/>
      <c r="Z155" s="401"/>
      <c r="AA155" s="402"/>
      <c r="AB155" s="401"/>
      <c r="AC155" s="402"/>
      <c r="AD155" s="401"/>
      <c r="AE155" s="402"/>
      <c r="AF155" s="401"/>
      <c r="AG155" s="402"/>
      <c r="AH155" s="401"/>
      <c r="AI155" s="402"/>
      <c r="AJ155" s="401"/>
      <c r="AK155" s="402"/>
      <c r="AL155" s="401"/>
      <c r="AM155" s="402"/>
      <c r="AN155" s="401"/>
      <c r="AO155" s="402"/>
      <c r="AP155" s="53"/>
      <c r="AQ155" s="53"/>
      <c r="AR155" s="53"/>
    </row>
    <row r="156" spans="1:44" s="179" customFormat="1" ht="12.6" customHeight="1">
      <c r="A156" s="244" t="s">
        <v>148</v>
      </c>
      <c r="B156" s="217" t="s">
        <v>195</v>
      </c>
      <c r="C156" s="456"/>
      <c r="D156" s="454">
        <v>139278</v>
      </c>
      <c r="E156" s="455">
        <v>12</v>
      </c>
      <c r="F156" s="401">
        <v>3652</v>
      </c>
      <c r="G156" s="402">
        <v>3652</v>
      </c>
      <c r="H156" s="401">
        <v>6652</v>
      </c>
      <c r="I156" s="402">
        <v>6652</v>
      </c>
      <c r="J156" s="401"/>
      <c r="K156" s="402"/>
      <c r="L156" s="401"/>
      <c r="M156" s="402"/>
      <c r="N156" s="401"/>
      <c r="O156" s="402"/>
      <c r="P156" s="401"/>
      <c r="Q156" s="402"/>
      <c r="R156" s="401"/>
      <c r="S156" s="402"/>
      <c r="T156" s="401"/>
      <c r="U156" s="402"/>
      <c r="V156" s="401"/>
      <c r="W156" s="402"/>
      <c r="X156" s="401"/>
      <c r="Y156" s="402"/>
      <c r="Z156" s="401"/>
      <c r="AA156" s="402"/>
      <c r="AB156" s="401"/>
      <c r="AC156" s="402"/>
      <c r="AD156" s="401"/>
      <c r="AE156" s="402"/>
      <c r="AF156" s="401"/>
      <c r="AG156" s="402"/>
      <c r="AH156" s="401"/>
      <c r="AI156" s="402"/>
      <c r="AJ156" s="401"/>
      <c r="AK156" s="402"/>
      <c r="AL156" s="401"/>
      <c r="AM156" s="402"/>
      <c r="AN156" s="401"/>
      <c r="AO156" s="402"/>
      <c r="AP156" s="53"/>
      <c r="AQ156" s="53"/>
      <c r="AR156" s="53"/>
    </row>
    <row r="157" spans="1:44" s="179" customFormat="1" ht="12.6" customHeight="1">
      <c r="A157" s="244" t="s">
        <v>148</v>
      </c>
      <c r="B157" s="217" t="s">
        <v>196</v>
      </c>
      <c r="C157" s="456"/>
      <c r="D157" s="454">
        <v>141255</v>
      </c>
      <c r="E157" s="455">
        <v>12</v>
      </c>
      <c r="F157" s="401">
        <v>3752</v>
      </c>
      <c r="G157" s="402">
        <v>3752</v>
      </c>
      <c r="H157" s="401">
        <v>6752</v>
      </c>
      <c r="I157" s="402">
        <v>6752</v>
      </c>
      <c r="J157" s="401"/>
      <c r="K157" s="402"/>
      <c r="L157" s="401"/>
      <c r="M157" s="402"/>
      <c r="N157" s="401"/>
      <c r="O157" s="402"/>
      <c r="P157" s="401"/>
      <c r="Q157" s="402"/>
      <c r="R157" s="401"/>
      <c r="S157" s="402"/>
      <c r="T157" s="401"/>
      <c r="U157" s="402"/>
      <c r="V157" s="401"/>
      <c r="W157" s="402"/>
      <c r="X157" s="401"/>
      <c r="Y157" s="402"/>
      <c r="Z157" s="401"/>
      <c r="AA157" s="402"/>
      <c r="AB157" s="401"/>
      <c r="AC157" s="402"/>
      <c r="AD157" s="401"/>
      <c r="AE157" s="402"/>
      <c r="AF157" s="401"/>
      <c r="AG157" s="402"/>
      <c r="AH157" s="401"/>
      <c r="AI157" s="402"/>
      <c r="AJ157" s="401"/>
      <c r="AK157" s="402"/>
      <c r="AL157" s="401"/>
      <c r="AM157" s="402"/>
      <c r="AN157" s="401"/>
      <c r="AO157" s="402"/>
      <c r="AP157" s="53"/>
      <c r="AQ157" s="53"/>
      <c r="AR157" s="53"/>
    </row>
    <row r="158" spans="1:44">
      <c r="A158" s="222" t="s">
        <v>197</v>
      </c>
      <c r="B158" s="220" t="s">
        <v>198</v>
      </c>
      <c r="C158" s="221"/>
      <c r="D158" s="222">
        <v>157085</v>
      </c>
      <c r="E158" s="222">
        <v>1</v>
      </c>
      <c r="F158" s="401">
        <v>12484</v>
      </c>
      <c r="G158" s="402">
        <v>12610</v>
      </c>
      <c r="H158" s="401">
        <v>31294</v>
      </c>
      <c r="I158" s="402">
        <v>31608</v>
      </c>
      <c r="J158" s="401">
        <v>13538</v>
      </c>
      <c r="K158" s="402">
        <v>13674</v>
      </c>
      <c r="L158" s="401">
        <v>33216</v>
      </c>
      <c r="M158" s="402">
        <v>33548</v>
      </c>
      <c r="N158" s="401">
        <v>24969</v>
      </c>
      <c r="O158" s="402">
        <v>25218</v>
      </c>
      <c r="P158" s="401">
        <v>51360</v>
      </c>
      <c r="Q158" s="402">
        <v>51374</v>
      </c>
      <c r="R158" s="401">
        <v>40462</v>
      </c>
      <c r="S158" s="402">
        <v>40866</v>
      </c>
      <c r="T158" s="401">
        <v>73854</v>
      </c>
      <c r="U158" s="402">
        <v>74592</v>
      </c>
      <c r="V158" s="401">
        <v>35582</v>
      </c>
      <c r="W158" s="402">
        <v>35937</v>
      </c>
      <c r="X158" s="401">
        <v>76684</v>
      </c>
      <c r="Y158" s="402">
        <v>77450</v>
      </c>
      <c r="Z158" s="401">
        <v>28662</v>
      </c>
      <c r="AA158" s="402">
        <v>28907</v>
      </c>
      <c r="AB158" s="401">
        <v>53686</v>
      </c>
      <c r="AC158" s="402">
        <v>54222</v>
      </c>
      <c r="AD158" s="401"/>
      <c r="AE158" s="402"/>
      <c r="AF158" s="401"/>
      <c r="AG158" s="402"/>
      <c r="AH158" s="401"/>
      <c r="AI158" s="402"/>
      <c r="AJ158" s="401"/>
      <c r="AK158" s="402"/>
      <c r="AL158" s="401"/>
      <c r="AM158" s="402"/>
      <c r="AN158" s="401"/>
      <c r="AO158" s="402"/>
      <c r="AP158" s="53"/>
      <c r="AQ158" s="53"/>
      <c r="AR158" s="53"/>
    </row>
    <row r="159" spans="1:44">
      <c r="A159" s="222" t="s">
        <v>197</v>
      </c>
      <c r="B159" s="220" t="s">
        <v>199</v>
      </c>
      <c r="C159" s="221"/>
      <c r="D159" s="222">
        <v>157289</v>
      </c>
      <c r="E159" s="222">
        <v>1</v>
      </c>
      <c r="F159" s="401">
        <v>12162</v>
      </c>
      <c r="G159" s="402">
        <v>12370</v>
      </c>
      <c r="H159" s="401">
        <v>28508</v>
      </c>
      <c r="I159" s="402">
        <v>28716</v>
      </c>
      <c r="J159" s="401">
        <v>13456</v>
      </c>
      <c r="K159" s="402">
        <v>13720</v>
      </c>
      <c r="L159" s="401">
        <v>27570</v>
      </c>
      <c r="M159" s="402">
        <v>27834</v>
      </c>
      <c r="N159" s="401">
        <v>23302</v>
      </c>
      <c r="O159" s="402">
        <v>23798</v>
      </c>
      <c r="P159" s="401">
        <v>28302</v>
      </c>
      <c r="Q159" s="402">
        <v>28948</v>
      </c>
      <c r="R159" s="401">
        <v>41974</v>
      </c>
      <c r="S159" s="402">
        <v>42610</v>
      </c>
      <c r="T159" s="401">
        <v>63726</v>
      </c>
      <c r="U159" s="402">
        <v>64798</v>
      </c>
      <c r="V159" s="401">
        <v>35738</v>
      </c>
      <c r="W159" s="402">
        <v>36242</v>
      </c>
      <c r="X159" s="401">
        <v>74324</v>
      </c>
      <c r="Y159" s="402">
        <v>75608</v>
      </c>
      <c r="Z159" s="401"/>
      <c r="AA159" s="402"/>
      <c r="AB159" s="401"/>
      <c r="AC159" s="402"/>
      <c r="AD159" s="401"/>
      <c r="AE159" s="402"/>
      <c r="AF159" s="401"/>
      <c r="AG159" s="402"/>
      <c r="AH159" s="401"/>
      <c r="AI159" s="402"/>
      <c r="AJ159" s="401"/>
      <c r="AK159" s="402"/>
      <c r="AL159" s="401"/>
      <c r="AM159" s="402"/>
      <c r="AN159" s="401"/>
      <c r="AO159" s="402"/>
      <c r="AP159" s="53"/>
      <c r="AQ159" s="53"/>
      <c r="AR159" s="53"/>
    </row>
    <row r="160" spans="1:44">
      <c r="A160" s="222" t="s">
        <v>197</v>
      </c>
      <c r="B160" s="220" t="s">
        <v>200</v>
      </c>
      <c r="C160" s="221"/>
      <c r="D160" s="222">
        <v>156620</v>
      </c>
      <c r="E160" s="222">
        <v>3</v>
      </c>
      <c r="F160" s="401">
        <v>9866</v>
      </c>
      <c r="G160" s="402">
        <v>10052</v>
      </c>
      <c r="H160" s="401">
        <v>19938</v>
      </c>
      <c r="I160" s="402">
        <v>20324</v>
      </c>
      <c r="J160" s="401">
        <v>13740</v>
      </c>
      <c r="K160" s="402">
        <v>13740</v>
      </c>
      <c r="L160" s="401">
        <v>18540</v>
      </c>
      <c r="M160" s="402">
        <v>18540</v>
      </c>
      <c r="N160" s="401"/>
      <c r="O160" s="402"/>
      <c r="P160" s="401"/>
      <c r="Q160" s="402"/>
      <c r="R160" s="401"/>
      <c r="S160" s="402"/>
      <c r="T160" s="401"/>
      <c r="U160" s="402"/>
      <c r="V160" s="401"/>
      <c r="W160" s="402"/>
      <c r="X160" s="401"/>
      <c r="Y160" s="402"/>
      <c r="Z160" s="401"/>
      <c r="AA160" s="402"/>
      <c r="AB160" s="401"/>
      <c r="AC160" s="402"/>
      <c r="AD160" s="401"/>
      <c r="AE160" s="402"/>
      <c r="AF160" s="401"/>
      <c r="AG160" s="402"/>
      <c r="AH160" s="401"/>
      <c r="AI160" s="402"/>
      <c r="AJ160" s="401"/>
      <c r="AK160" s="402"/>
      <c r="AL160" s="401"/>
      <c r="AM160" s="402"/>
      <c r="AN160" s="401"/>
      <c r="AO160" s="402"/>
      <c r="AP160" s="53"/>
      <c r="AQ160" s="53"/>
      <c r="AR160" s="53"/>
    </row>
    <row r="161" spans="1:44">
      <c r="A161" s="222" t="s">
        <v>197</v>
      </c>
      <c r="B161" s="220" t="s">
        <v>201</v>
      </c>
      <c r="C161" s="221"/>
      <c r="D161" s="222">
        <v>157386</v>
      </c>
      <c r="E161" s="222">
        <v>3</v>
      </c>
      <c r="F161" s="401">
        <v>9290</v>
      </c>
      <c r="G161" s="402">
        <v>9462</v>
      </c>
      <c r="H161" s="401">
        <v>13876</v>
      </c>
      <c r="I161" s="402">
        <v>14106</v>
      </c>
      <c r="J161" s="401">
        <v>14016</v>
      </c>
      <c r="K161" s="402">
        <v>14088</v>
      </c>
      <c r="L161" s="406">
        <v>14016</v>
      </c>
      <c r="M161" s="402">
        <v>14088</v>
      </c>
      <c r="N161" s="401"/>
      <c r="O161" s="402"/>
      <c r="P161" s="401"/>
      <c r="Q161" s="402"/>
      <c r="R161" s="401"/>
      <c r="S161" s="402"/>
      <c r="T161" s="401"/>
      <c r="U161" s="402"/>
      <c r="V161" s="401"/>
      <c r="W161" s="402"/>
      <c r="X161" s="401"/>
      <c r="Y161" s="402"/>
      <c r="Z161" s="401"/>
      <c r="AA161" s="402"/>
      <c r="AB161" s="401"/>
      <c r="AC161" s="402"/>
      <c r="AD161" s="401"/>
      <c r="AE161" s="402"/>
      <c r="AF161" s="401"/>
      <c r="AG161" s="402"/>
      <c r="AH161" s="401"/>
      <c r="AI161" s="402"/>
      <c r="AJ161" s="401"/>
      <c r="AK161" s="402"/>
      <c r="AL161" s="401"/>
      <c r="AM161" s="402"/>
      <c r="AN161" s="401"/>
      <c r="AO161" s="402"/>
      <c r="AP161" s="53"/>
      <c r="AQ161" s="53"/>
      <c r="AR161" s="53"/>
    </row>
    <row r="162" spans="1:44">
      <c r="A162" s="222" t="s">
        <v>197</v>
      </c>
      <c r="B162" s="220" t="s">
        <v>202</v>
      </c>
      <c r="C162" s="221"/>
      <c r="D162" s="222">
        <v>157401</v>
      </c>
      <c r="E162" s="222">
        <v>3</v>
      </c>
      <c r="F162" s="401">
        <v>9468</v>
      </c>
      <c r="G162" s="402">
        <v>9552</v>
      </c>
      <c r="H162" s="401">
        <v>18648</v>
      </c>
      <c r="I162" s="402">
        <v>18828</v>
      </c>
      <c r="J162" s="401">
        <v>13296</v>
      </c>
      <c r="K162" s="402">
        <v>13416</v>
      </c>
      <c r="L162" s="401">
        <v>19440</v>
      </c>
      <c r="M162" s="402">
        <v>19632</v>
      </c>
      <c r="N162" s="401"/>
      <c r="O162" s="402"/>
      <c r="P162" s="401"/>
      <c r="Q162" s="402"/>
      <c r="R162" s="401"/>
      <c r="S162" s="402"/>
      <c r="T162" s="401"/>
      <c r="U162" s="402"/>
      <c r="V162" s="401"/>
      <c r="W162" s="402"/>
      <c r="X162" s="401"/>
      <c r="Y162" s="402"/>
      <c r="Z162" s="401"/>
      <c r="AA162" s="402"/>
      <c r="AB162" s="401"/>
      <c r="AC162" s="402"/>
      <c r="AD162" s="401"/>
      <c r="AE162" s="402"/>
      <c r="AF162" s="401"/>
      <c r="AG162" s="402"/>
      <c r="AH162" s="401"/>
      <c r="AI162" s="402"/>
      <c r="AJ162" s="401"/>
      <c r="AK162" s="402"/>
      <c r="AL162" s="401"/>
      <c r="AM162" s="402"/>
      <c r="AN162" s="401"/>
      <c r="AO162" s="402"/>
      <c r="AP162" s="53"/>
      <c r="AQ162" s="53"/>
      <c r="AR162" s="53"/>
    </row>
    <row r="163" spans="1:44">
      <c r="A163" s="222" t="s">
        <v>197</v>
      </c>
      <c r="B163" s="220" t="s">
        <v>203</v>
      </c>
      <c r="C163" s="223"/>
      <c r="D163" s="222">
        <v>157447</v>
      </c>
      <c r="E163" s="247">
        <v>3</v>
      </c>
      <c r="F163" s="401">
        <v>10296</v>
      </c>
      <c r="G163" s="402">
        <v>10396</v>
      </c>
      <c r="H163" s="401">
        <v>20256</v>
      </c>
      <c r="I163" s="402">
        <v>20454</v>
      </c>
      <c r="J163" s="401">
        <v>15096</v>
      </c>
      <c r="K163" s="402">
        <v>13584</v>
      </c>
      <c r="L163" s="401">
        <v>23016</v>
      </c>
      <c r="M163" s="402">
        <v>20664</v>
      </c>
      <c r="N163" s="401">
        <v>22200</v>
      </c>
      <c r="O163" s="402">
        <v>22200</v>
      </c>
      <c r="P163" s="401">
        <v>35910</v>
      </c>
      <c r="Q163" s="402">
        <v>35910</v>
      </c>
      <c r="R163" s="401"/>
      <c r="S163" s="402"/>
      <c r="T163" s="401"/>
      <c r="U163" s="402"/>
      <c r="V163" s="401"/>
      <c r="W163" s="402"/>
      <c r="X163" s="401"/>
      <c r="Y163" s="402"/>
      <c r="Z163" s="401"/>
      <c r="AA163" s="402"/>
      <c r="AB163" s="401"/>
      <c r="AC163" s="402"/>
      <c r="AD163" s="401"/>
      <c r="AE163" s="402"/>
      <c r="AF163" s="401"/>
      <c r="AG163" s="402"/>
      <c r="AH163" s="401"/>
      <c r="AI163" s="402"/>
      <c r="AJ163" s="401"/>
      <c r="AK163" s="402"/>
      <c r="AL163" s="401"/>
      <c r="AM163" s="402"/>
      <c r="AN163" s="401"/>
      <c r="AO163" s="402"/>
      <c r="AP163" s="53"/>
      <c r="AQ163" s="53"/>
      <c r="AR163" s="53"/>
    </row>
    <row r="164" spans="1:44">
      <c r="A164" s="222" t="s">
        <v>197</v>
      </c>
      <c r="B164" s="220" t="s">
        <v>204</v>
      </c>
      <c r="C164" s="221"/>
      <c r="D164" s="222">
        <v>157951</v>
      </c>
      <c r="E164" s="222">
        <v>3</v>
      </c>
      <c r="F164" s="401">
        <v>10802</v>
      </c>
      <c r="G164" s="402">
        <v>10992</v>
      </c>
      <c r="H164" s="401">
        <v>26496</v>
      </c>
      <c r="I164" s="402">
        <v>27000</v>
      </c>
      <c r="J164" s="401">
        <v>14808</v>
      </c>
      <c r="K164" s="402">
        <v>14808</v>
      </c>
      <c r="L164" s="401">
        <v>22248</v>
      </c>
      <c r="M164" s="402">
        <v>22248</v>
      </c>
      <c r="N164" s="401"/>
      <c r="O164" s="402"/>
      <c r="P164" s="401"/>
      <c r="Q164" s="402"/>
      <c r="R164" s="401"/>
      <c r="S164" s="402"/>
      <c r="T164" s="401"/>
      <c r="U164" s="402"/>
      <c r="V164" s="401"/>
      <c r="W164" s="402"/>
      <c r="X164" s="401"/>
      <c r="Y164" s="402"/>
      <c r="Z164" s="401"/>
      <c r="AA164" s="402"/>
      <c r="AB164" s="401"/>
      <c r="AC164" s="402"/>
      <c r="AD164" s="401"/>
      <c r="AE164" s="402"/>
      <c r="AF164" s="401"/>
      <c r="AG164" s="402"/>
      <c r="AH164" s="401"/>
      <c r="AI164" s="402"/>
      <c r="AJ164" s="401"/>
      <c r="AK164" s="402"/>
      <c r="AL164" s="401"/>
      <c r="AM164" s="402"/>
      <c r="AN164" s="401"/>
      <c r="AO164" s="402"/>
      <c r="AP164" s="53"/>
      <c r="AQ164" s="53"/>
      <c r="AR164" s="53"/>
    </row>
    <row r="165" spans="1:44">
      <c r="A165" s="222" t="s">
        <v>197</v>
      </c>
      <c r="B165" s="220" t="s">
        <v>205</v>
      </c>
      <c r="C165" s="375"/>
      <c r="D165" s="222">
        <v>157058</v>
      </c>
      <c r="E165" s="222">
        <v>4</v>
      </c>
      <c r="F165" s="401">
        <v>8800</v>
      </c>
      <c r="G165" s="402">
        <v>8800</v>
      </c>
      <c r="H165" s="401">
        <v>12650</v>
      </c>
      <c r="I165" s="402">
        <v>12650</v>
      </c>
      <c r="J165" s="401">
        <v>11180</v>
      </c>
      <c r="K165" s="402">
        <v>11180</v>
      </c>
      <c r="L165" s="401">
        <v>16220</v>
      </c>
      <c r="M165" s="402">
        <v>16220</v>
      </c>
      <c r="N165" s="401"/>
      <c r="O165" s="402"/>
      <c r="P165" s="401"/>
      <c r="Q165" s="402"/>
      <c r="R165" s="401"/>
      <c r="S165" s="402"/>
      <c r="T165" s="401"/>
      <c r="U165" s="402"/>
      <c r="V165" s="401"/>
      <c r="W165" s="402"/>
      <c r="X165" s="401"/>
      <c r="Y165" s="402"/>
      <c r="Z165" s="401"/>
      <c r="AA165" s="402"/>
      <c r="AB165" s="401"/>
      <c r="AC165" s="402"/>
      <c r="AD165" s="401"/>
      <c r="AE165" s="402"/>
      <c r="AF165" s="401"/>
      <c r="AG165" s="402"/>
      <c r="AH165" s="401"/>
      <c r="AI165" s="402"/>
      <c r="AJ165" s="401"/>
      <c r="AK165" s="402"/>
      <c r="AL165" s="401"/>
      <c r="AM165" s="402"/>
      <c r="AN165" s="401"/>
      <c r="AO165" s="402"/>
      <c r="AP165" s="53"/>
      <c r="AQ165" s="53"/>
      <c r="AR165" s="53"/>
    </row>
    <row r="166" spans="1:44">
      <c r="A166" s="222" t="s">
        <v>197</v>
      </c>
      <c r="B166" s="220" t="s">
        <v>206</v>
      </c>
      <c r="C166" s="221" t="s">
        <v>659</v>
      </c>
      <c r="D166" s="248">
        <v>156392</v>
      </c>
      <c r="E166" s="222">
        <v>8</v>
      </c>
      <c r="F166" s="401">
        <v>5610</v>
      </c>
      <c r="G166" s="402">
        <v>5610</v>
      </c>
      <c r="H166" s="401">
        <v>19050</v>
      </c>
      <c r="I166" s="402">
        <v>19050</v>
      </c>
      <c r="J166" s="401"/>
      <c r="K166" s="402"/>
      <c r="L166" s="401"/>
      <c r="M166" s="402"/>
      <c r="N166" s="401"/>
      <c r="O166" s="402"/>
      <c r="P166" s="401"/>
      <c r="Q166" s="402"/>
      <c r="R166" s="401"/>
      <c r="S166" s="402"/>
      <c r="T166" s="401"/>
      <c r="U166" s="402"/>
      <c r="V166" s="401"/>
      <c r="W166" s="402"/>
      <c r="X166" s="401"/>
      <c r="Y166" s="402"/>
      <c r="Z166" s="401"/>
      <c r="AA166" s="402"/>
      <c r="AB166" s="401"/>
      <c r="AC166" s="402"/>
      <c r="AD166" s="401"/>
      <c r="AE166" s="402"/>
      <c r="AF166" s="401"/>
      <c r="AG166" s="402"/>
      <c r="AH166" s="401"/>
      <c r="AI166" s="402"/>
      <c r="AJ166" s="401"/>
      <c r="AK166" s="402"/>
      <c r="AL166" s="401"/>
      <c r="AM166" s="402"/>
      <c r="AN166" s="401"/>
      <c r="AO166" s="402"/>
      <c r="AP166" s="53"/>
      <c r="AQ166" s="53"/>
      <c r="AR166" s="53"/>
    </row>
    <row r="167" spans="1:44">
      <c r="A167" s="222" t="s">
        <v>197</v>
      </c>
      <c r="B167" s="220" t="s">
        <v>207</v>
      </c>
      <c r="C167" s="221"/>
      <c r="D167" s="222">
        <v>156921</v>
      </c>
      <c r="E167" s="222">
        <v>8</v>
      </c>
      <c r="F167" s="401">
        <v>5610</v>
      </c>
      <c r="G167" s="402">
        <v>5610</v>
      </c>
      <c r="H167" s="401">
        <v>19050</v>
      </c>
      <c r="I167" s="402">
        <v>19050</v>
      </c>
      <c r="J167" s="401"/>
      <c r="K167" s="402"/>
      <c r="L167" s="401"/>
      <c r="M167" s="402"/>
      <c r="N167" s="401"/>
      <c r="O167" s="402"/>
      <c r="P167" s="401"/>
      <c r="Q167" s="402"/>
      <c r="R167" s="401"/>
      <c r="S167" s="402"/>
      <c r="T167" s="401"/>
      <c r="U167" s="402"/>
      <c r="V167" s="401"/>
      <c r="W167" s="402"/>
      <c r="X167" s="401"/>
      <c r="Y167" s="402"/>
      <c r="Z167" s="401"/>
      <c r="AA167" s="402"/>
      <c r="AB167" s="401"/>
      <c r="AC167" s="402"/>
      <c r="AD167" s="401"/>
      <c r="AE167" s="402"/>
      <c r="AF167" s="401"/>
      <c r="AG167" s="402"/>
      <c r="AH167" s="401"/>
      <c r="AI167" s="402"/>
      <c r="AJ167" s="401"/>
      <c r="AK167" s="402"/>
      <c r="AL167" s="401"/>
      <c r="AM167" s="402"/>
      <c r="AN167" s="401"/>
      <c r="AO167" s="402"/>
      <c r="AP167" s="53"/>
      <c r="AQ167" s="53"/>
      <c r="AR167" s="53"/>
    </row>
    <row r="168" spans="1:44">
      <c r="A168" s="222" t="s">
        <v>197</v>
      </c>
      <c r="B168" s="530" t="s">
        <v>209</v>
      </c>
      <c r="C168" s="529" t="s">
        <v>1032</v>
      </c>
      <c r="D168" s="531">
        <v>157553</v>
      </c>
      <c r="E168" s="531">
        <v>10</v>
      </c>
      <c r="F168" s="401">
        <v>5610</v>
      </c>
      <c r="G168" s="402">
        <v>5610</v>
      </c>
      <c r="H168" s="401">
        <v>19050</v>
      </c>
      <c r="I168" s="402">
        <v>19050</v>
      </c>
      <c r="J168" s="401"/>
      <c r="K168" s="402"/>
      <c r="L168" s="401"/>
      <c r="M168" s="402"/>
      <c r="N168" s="401"/>
      <c r="O168" s="402"/>
      <c r="P168" s="401"/>
      <c r="Q168" s="402"/>
      <c r="R168" s="401"/>
      <c r="S168" s="402"/>
      <c r="T168" s="401"/>
      <c r="U168" s="402"/>
      <c r="V168" s="401"/>
      <c r="W168" s="402"/>
      <c r="X168" s="401"/>
      <c r="Y168" s="402"/>
      <c r="Z168" s="401"/>
      <c r="AA168" s="402"/>
      <c r="AB168" s="401"/>
      <c r="AC168" s="402"/>
      <c r="AD168" s="401"/>
      <c r="AE168" s="402"/>
      <c r="AF168" s="401"/>
      <c r="AG168" s="402"/>
      <c r="AH168" s="401"/>
      <c r="AI168" s="402"/>
      <c r="AJ168" s="401"/>
      <c r="AK168" s="402"/>
      <c r="AL168" s="401"/>
      <c r="AM168" s="402"/>
      <c r="AN168" s="401"/>
      <c r="AO168" s="402"/>
      <c r="AP168" s="53"/>
      <c r="AQ168" s="53"/>
      <c r="AR168" s="53"/>
    </row>
    <row r="169" spans="1:44">
      <c r="A169" s="222" t="s">
        <v>197</v>
      </c>
      <c r="B169" s="220" t="s">
        <v>210</v>
      </c>
      <c r="C169" s="221"/>
      <c r="D169" s="222">
        <v>156648</v>
      </c>
      <c r="E169" s="222">
        <v>9</v>
      </c>
      <c r="F169" s="401">
        <v>5610</v>
      </c>
      <c r="G169" s="402">
        <v>5610</v>
      </c>
      <c r="H169" s="401">
        <v>19050</v>
      </c>
      <c r="I169" s="402">
        <v>19050</v>
      </c>
      <c r="J169" s="401"/>
      <c r="K169" s="402"/>
      <c r="L169" s="401"/>
      <c r="M169" s="402"/>
      <c r="N169" s="401"/>
      <c r="O169" s="402"/>
      <c r="P169" s="401"/>
      <c r="Q169" s="402"/>
      <c r="R169" s="401"/>
      <c r="S169" s="402"/>
      <c r="T169" s="401"/>
      <c r="U169" s="402"/>
      <c r="V169" s="401"/>
      <c r="W169" s="402"/>
      <c r="X169" s="401"/>
      <c r="Y169" s="402"/>
      <c r="Z169" s="401"/>
      <c r="AA169" s="402"/>
      <c r="AB169" s="401"/>
      <c r="AC169" s="402"/>
      <c r="AD169" s="401"/>
      <c r="AE169" s="402"/>
      <c r="AF169" s="401"/>
      <c r="AG169" s="402"/>
      <c r="AH169" s="401"/>
      <c r="AI169" s="402"/>
      <c r="AJ169" s="401"/>
      <c r="AK169" s="402"/>
      <c r="AL169" s="401"/>
      <c r="AM169" s="402"/>
      <c r="AN169" s="401"/>
      <c r="AO169" s="402"/>
      <c r="AP169" s="53"/>
      <c r="AQ169" s="53"/>
      <c r="AR169" s="53"/>
    </row>
    <row r="170" spans="1:44">
      <c r="A170" s="222" t="s">
        <v>197</v>
      </c>
      <c r="B170" s="220" t="s">
        <v>214</v>
      </c>
      <c r="C170" s="221"/>
      <c r="D170" s="222">
        <v>157331</v>
      </c>
      <c r="E170" s="222">
        <v>9</v>
      </c>
      <c r="F170" s="401">
        <v>5610</v>
      </c>
      <c r="G170" s="402">
        <v>5610</v>
      </c>
      <c r="H170" s="401">
        <v>19050</v>
      </c>
      <c r="I170" s="402">
        <v>19050</v>
      </c>
      <c r="J170" s="401"/>
      <c r="K170" s="402"/>
      <c r="L170" s="401"/>
      <c r="M170" s="402"/>
      <c r="N170" s="401"/>
      <c r="O170" s="402"/>
      <c r="P170" s="401"/>
      <c r="Q170" s="402"/>
      <c r="R170" s="401"/>
      <c r="S170" s="402"/>
      <c r="T170" s="401"/>
      <c r="U170" s="402"/>
      <c r="V170" s="401"/>
      <c r="W170" s="402"/>
      <c r="X170" s="401"/>
      <c r="Y170" s="402"/>
      <c r="Z170" s="401"/>
      <c r="AA170" s="402"/>
      <c r="AB170" s="401"/>
      <c r="AC170" s="402"/>
      <c r="AD170" s="401"/>
      <c r="AE170" s="402"/>
      <c r="AF170" s="401"/>
      <c r="AG170" s="402"/>
      <c r="AH170" s="401"/>
      <c r="AI170" s="402"/>
      <c r="AJ170" s="401"/>
      <c r="AK170" s="402"/>
      <c r="AL170" s="401"/>
      <c r="AM170" s="402"/>
      <c r="AN170" s="401"/>
      <c r="AO170" s="402"/>
      <c r="AP170" s="53"/>
      <c r="AQ170" s="53"/>
      <c r="AR170" s="53"/>
    </row>
    <row r="171" spans="1:44">
      <c r="A171" s="222" t="s">
        <v>197</v>
      </c>
      <c r="B171" s="220" t="s">
        <v>215</v>
      </c>
      <c r="C171" s="221"/>
      <c r="D171" s="222">
        <v>247940</v>
      </c>
      <c r="E171" s="222">
        <v>9</v>
      </c>
      <c r="F171" s="401">
        <v>5610</v>
      </c>
      <c r="G171" s="402">
        <v>5610</v>
      </c>
      <c r="H171" s="401">
        <v>19050</v>
      </c>
      <c r="I171" s="402">
        <v>19050</v>
      </c>
      <c r="J171" s="401"/>
      <c r="K171" s="402"/>
      <c r="L171" s="401"/>
      <c r="M171" s="402"/>
      <c r="N171" s="401"/>
      <c r="O171" s="402"/>
      <c r="P171" s="401"/>
      <c r="Q171" s="402"/>
      <c r="R171" s="401"/>
      <c r="S171" s="402"/>
      <c r="T171" s="401"/>
      <c r="U171" s="402"/>
      <c r="V171" s="401"/>
      <c r="W171" s="402"/>
      <c r="X171" s="401"/>
      <c r="Y171" s="402"/>
      <c r="Z171" s="401"/>
      <c r="AA171" s="402"/>
      <c r="AB171" s="401"/>
      <c r="AC171" s="402"/>
      <c r="AD171" s="401"/>
      <c r="AE171" s="402"/>
      <c r="AF171" s="401"/>
      <c r="AG171" s="402"/>
      <c r="AH171" s="401"/>
      <c r="AI171" s="402"/>
      <c r="AJ171" s="401"/>
      <c r="AK171" s="402"/>
      <c r="AL171" s="401"/>
      <c r="AM171" s="402"/>
      <c r="AN171" s="401"/>
      <c r="AO171" s="402"/>
      <c r="AP171" s="53"/>
      <c r="AQ171" s="53"/>
      <c r="AR171" s="53"/>
    </row>
    <row r="172" spans="1:44">
      <c r="A172" s="222" t="s">
        <v>197</v>
      </c>
      <c r="B172" s="220" t="s">
        <v>216</v>
      </c>
      <c r="C172" s="221"/>
      <c r="D172" s="222">
        <v>157711</v>
      </c>
      <c r="E172" s="222">
        <v>9</v>
      </c>
      <c r="F172" s="401">
        <v>5610</v>
      </c>
      <c r="G172" s="402">
        <v>5610</v>
      </c>
      <c r="H172" s="401">
        <v>19050</v>
      </c>
      <c r="I172" s="402">
        <v>19050</v>
      </c>
      <c r="J172" s="401"/>
      <c r="K172" s="402"/>
      <c r="L172" s="401"/>
      <c r="M172" s="402"/>
      <c r="N172" s="401"/>
      <c r="O172" s="402"/>
      <c r="P172" s="401"/>
      <c r="Q172" s="402"/>
      <c r="R172" s="401"/>
      <c r="S172" s="402"/>
      <c r="T172" s="401"/>
      <c r="U172" s="402"/>
      <c r="V172" s="401"/>
      <c r="W172" s="402"/>
      <c r="X172" s="401"/>
      <c r="Y172" s="402"/>
      <c r="Z172" s="401"/>
      <c r="AA172" s="402"/>
      <c r="AB172" s="401"/>
      <c r="AC172" s="402"/>
      <c r="AD172" s="401"/>
      <c r="AE172" s="402"/>
      <c r="AF172" s="401"/>
      <c r="AG172" s="402"/>
      <c r="AH172" s="401"/>
      <c r="AI172" s="402"/>
      <c r="AJ172" s="401"/>
      <c r="AK172" s="402"/>
      <c r="AL172" s="401"/>
      <c r="AM172" s="402"/>
      <c r="AN172" s="401"/>
      <c r="AO172" s="402"/>
      <c r="AP172" s="53"/>
      <c r="AQ172" s="53"/>
      <c r="AR172" s="53"/>
    </row>
    <row r="173" spans="1:44">
      <c r="A173" s="222" t="s">
        <v>197</v>
      </c>
      <c r="B173" s="220" t="s">
        <v>218</v>
      </c>
      <c r="C173" s="221"/>
      <c r="D173" s="222">
        <v>157483</v>
      </c>
      <c r="E173" s="222">
        <v>9</v>
      </c>
      <c r="F173" s="401">
        <v>5610</v>
      </c>
      <c r="G173" s="402">
        <v>5610</v>
      </c>
      <c r="H173" s="401">
        <v>19050</v>
      </c>
      <c r="I173" s="402">
        <v>19050</v>
      </c>
      <c r="J173" s="401"/>
      <c r="K173" s="402"/>
      <c r="L173" s="401"/>
      <c r="M173" s="402"/>
      <c r="N173" s="401"/>
      <c r="O173" s="402"/>
      <c r="P173" s="401"/>
      <c r="Q173" s="402"/>
      <c r="R173" s="401"/>
      <c r="S173" s="402"/>
      <c r="T173" s="401"/>
      <c r="U173" s="402"/>
      <c r="V173" s="401"/>
      <c r="W173" s="402"/>
      <c r="X173" s="401"/>
      <c r="Y173" s="402"/>
      <c r="Z173" s="401"/>
      <c r="AA173" s="402"/>
      <c r="AB173" s="401"/>
      <c r="AC173" s="402"/>
      <c r="AD173" s="401"/>
      <c r="AE173" s="402"/>
      <c r="AF173" s="401"/>
      <c r="AG173" s="402"/>
      <c r="AH173" s="401"/>
      <c r="AI173" s="402"/>
      <c r="AJ173" s="401"/>
      <c r="AK173" s="402"/>
      <c r="AL173" s="401"/>
      <c r="AM173" s="402"/>
      <c r="AN173" s="401"/>
      <c r="AO173" s="402"/>
      <c r="AP173" s="53"/>
      <c r="AQ173" s="53"/>
      <c r="AR173" s="53"/>
    </row>
    <row r="174" spans="1:44">
      <c r="A174" s="222" t="s">
        <v>197</v>
      </c>
      <c r="B174" s="220" t="s">
        <v>208</v>
      </c>
      <c r="C174" s="221"/>
      <c r="D174" s="222">
        <v>156231</v>
      </c>
      <c r="E174" s="247">
        <v>10</v>
      </c>
      <c r="F174" s="401">
        <v>5610</v>
      </c>
      <c r="G174" s="402">
        <v>5610</v>
      </c>
      <c r="H174" s="401">
        <v>19050</v>
      </c>
      <c r="I174" s="402">
        <v>19050</v>
      </c>
      <c r="J174" s="401"/>
      <c r="K174" s="402"/>
      <c r="L174" s="401"/>
      <c r="M174" s="402"/>
      <c r="N174" s="401"/>
      <c r="O174" s="402"/>
      <c r="P174" s="401"/>
      <c r="Q174" s="402"/>
      <c r="R174" s="401"/>
      <c r="S174" s="402"/>
      <c r="T174" s="401"/>
      <c r="U174" s="402"/>
      <c r="V174" s="401"/>
      <c r="W174" s="402"/>
      <c r="X174" s="401"/>
      <c r="Y174" s="402"/>
      <c r="Z174" s="401"/>
      <c r="AA174" s="402"/>
      <c r="AB174" s="401"/>
      <c r="AC174" s="402"/>
      <c r="AD174" s="401"/>
      <c r="AE174" s="402"/>
      <c r="AF174" s="401"/>
      <c r="AG174" s="402"/>
      <c r="AH174" s="401"/>
      <c r="AI174" s="402"/>
      <c r="AJ174" s="401"/>
      <c r="AK174" s="402"/>
      <c r="AL174" s="401"/>
      <c r="AM174" s="402"/>
      <c r="AN174" s="401"/>
      <c r="AO174" s="402"/>
      <c r="AP174" s="53"/>
      <c r="AQ174" s="53"/>
      <c r="AR174" s="53"/>
    </row>
    <row r="175" spans="1:44">
      <c r="A175" s="222" t="s">
        <v>197</v>
      </c>
      <c r="B175" s="220" t="s">
        <v>211</v>
      </c>
      <c r="C175" s="223"/>
      <c r="D175" s="222">
        <v>156790</v>
      </c>
      <c r="E175" s="222">
        <v>10</v>
      </c>
      <c r="F175" s="401">
        <v>5610</v>
      </c>
      <c r="G175" s="402">
        <v>5610</v>
      </c>
      <c r="H175" s="401">
        <v>19050</v>
      </c>
      <c r="I175" s="402">
        <v>19050</v>
      </c>
      <c r="J175" s="401"/>
      <c r="K175" s="402"/>
      <c r="L175" s="401"/>
      <c r="M175" s="402"/>
      <c r="N175" s="401"/>
      <c r="O175" s="402"/>
      <c r="P175" s="401"/>
      <c r="Q175" s="402"/>
      <c r="R175" s="401"/>
      <c r="S175" s="402"/>
      <c r="T175" s="401"/>
      <c r="U175" s="402"/>
      <c r="V175" s="401"/>
      <c r="W175" s="402"/>
      <c r="X175" s="401"/>
      <c r="Y175" s="402"/>
      <c r="Z175" s="401"/>
      <c r="AA175" s="402"/>
      <c r="AB175" s="401"/>
      <c r="AC175" s="402"/>
      <c r="AD175" s="401"/>
      <c r="AE175" s="402"/>
      <c r="AF175" s="401"/>
      <c r="AG175" s="402"/>
      <c r="AH175" s="401"/>
      <c r="AI175" s="402"/>
      <c r="AJ175" s="401"/>
      <c r="AK175" s="402"/>
      <c r="AL175" s="401"/>
      <c r="AM175" s="402"/>
      <c r="AN175" s="401"/>
      <c r="AO175" s="402"/>
      <c r="AP175" s="53"/>
      <c r="AQ175" s="53"/>
      <c r="AR175" s="53"/>
    </row>
    <row r="176" spans="1:44">
      <c r="A176" s="222" t="s">
        <v>197</v>
      </c>
      <c r="B176" s="220" t="s">
        <v>219</v>
      </c>
      <c r="C176" s="221"/>
      <c r="D176" s="222">
        <v>156851</v>
      </c>
      <c r="E176" s="222">
        <v>10</v>
      </c>
      <c r="F176" s="401">
        <v>5610</v>
      </c>
      <c r="G176" s="402">
        <v>5610</v>
      </c>
      <c r="H176" s="401">
        <v>19050</v>
      </c>
      <c r="I176" s="402">
        <v>19050</v>
      </c>
      <c r="J176" s="401"/>
      <c r="K176" s="402"/>
      <c r="L176" s="401"/>
      <c r="M176" s="402"/>
      <c r="N176" s="401"/>
      <c r="O176" s="402"/>
      <c r="P176" s="401"/>
      <c r="Q176" s="402"/>
      <c r="R176" s="401"/>
      <c r="S176" s="402"/>
      <c r="T176" s="401"/>
      <c r="U176" s="402"/>
      <c r="V176" s="401"/>
      <c r="W176" s="402"/>
      <c r="X176" s="401"/>
      <c r="Y176" s="402"/>
      <c r="Z176" s="401"/>
      <c r="AA176" s="402"/>
      <c r="AB176" s="401"/>
      <c r="AC176" s="402"/>
      <c r="AD176" s="401"/>
      <c r="AE176" s="402"/>
      <c r="AF176" s="401"/>
      <c r="AG176" s="402"/>
      <c r="AH176" s="401"/>
      <c r="AI176" s="402"/>
      <c r="AJ176" s="401"/>
      <c r="AK176" s="402"/>
      <c r="AL176" s="401"/>
      <c r="AM176" s="402"/>
      <c r="AN176" s="401"/>
      <c r="AO176" s="402"/>
      <c r="AP176" s="53"/>
      <c r="AQ176" s="53"/>
      <c r="AR176" s="53"/>
    </row>
    <row r="177" spans="1:44">
      <c r="A177" s="222" t="s">
        <v>197</v>
      </c>
      <c r="B177" s="220" t="s">
        <v>212</v>
      </c>
      <c r="C177" s="223"/>
      <c r="D177" s="222">
        <v>156860</v>
      </c>
      <c r="E177" s="222">
        <v>10</v>
      </c>
      <c r="F177" s="401">
        <v>5610</v>
      </c>
      <c r="G177" s="402">
        <v>5610</v>
      </c>
      <c r="H177" s="401">
        <v>19050</v>
      </c>
      <c r="I177" s="402">
        <v>19050</v>
      </c>
      <c r="J177" s="401"/>
      <c r="K177" s="402"/>
      <c r="L177" s="401"/>
      <c r="M177" s="402"/>
      <c r="N177" s="401"/>
      <c r="O177" s="402"/>
      <c r="P177" s="401"/>
      <c r="Q177" s="402"/>
      <c r="R177" s="401"/>
      <c r="S177" s="402"/>
      <c r="T177" s="401"/>
      <c r="U177" s="402"/>
      <c r="V177" s="401"/>
      <c r="W177" s="402"/>
      <c r="X177" s="401"/>
      <c r="Y177" s="402"/>
      <c r="Z177" s="401"/>
      <c r="AA177" s="402"/>
      <c r="AB177" s="401"/>
      <c r="AC177" s="402"/>
      <c r="AD177" s="401"/>
      <c r="AE177" s="402"/>
      <c r="AF177" s="401"/>
      <c r="AG177" s="402"/>
      <c r="AH177" s="401"/>
      <c r="AI177" s="402"/>
      <c r="AJ177" s="401"/>
      <c r="AK177" s="402"/>
      <c r="AL177" s="401"/>
      <c r="AM177" s="402"/>
      <c r="AN177" s="401"/>
      <c r="AO177" s="402"/>
      <c r="AP177" s="53"/>
      <c r="AQ177" s="53"/>
      <c r="AR177" s="53"/>
    </row>
    <row r="178" spans="1:44">
      <c r="A178" s="222" t="s">
        <v>197</v>
      </c>
      <c r="B178" s="220" t="s">
        <v>213</v>
      </c>
      <c r="C178" s="223"/>
      <c r="D178" s="222">
        <v>157304</v>
      </c>
      <c r="E178" s="222">
        <v>10</v>
      </c>
      <c r="F178" s="401">
        <v>5610</v>
      </c>
      <c r="G178" s="402">
        <v>5610</v>
      </c>
      <c r="H178" s="401">
        <v>19050</v>
      </c>
      <c r="I178" s="402">
        <v>19050</v>
      </c>
      <c r="J178" s="401"/>
      <c r="K178" s="402"/>
      <c r="L178" s="401"/>
      <c r="M178" s="402"/>
      <c r="N178" s="401"/>
      <c r="O178" s="402"/>
      <c r="P178" s="401"/>
      <c r="Q178" s="402"/>
      <c r="R178" s="401"/>
      <c r="S178" s="402"/>
      <c r="T178" s="401"/>
      <c r="U178" s="402"/>
      <c r="V178" s="401"/>
      <c r="W178" s="402"/>
      <c r="X178" s="401"/>
      <c r="Y178" s="402"/>
      <c r="Z178" s="401"/>
      <c r="AA178" s="402"/>
      <c r="AB178" s="401"/>
      <c r="AC178" s="402"/>
      <c r="AD178" s="401"/>
      <c r="AE178" s="402"/>
      <c r="AF178" s="401"/>
      <c r="AG178" s="402"/>
      <c r="AH178" s="401"/>
      <c r="AI178" s="402"/>
      <c r="AJ178" s="401"/>
      <c r="AK178" s="402"/>
      <c r="AL178" s="401"/>
      <c r="AM178" s="402"/>
      <c r="AN178" s="401"/>
      <c r="AO178" s="402"/>
      <c r="AP178" s="53"/>
      <c r="AQ178" s="53"/>
      <c r="AR178" s="53"/>
    </row>
    <row r="179" spans="1:44">
      <c r="A179" s="222" t="s">
        <v>197</v>
      </c>
      <c r="B179" s="220" t="s">
        <v>217</v>
      </c>
      <c r="C179" s="223"/>
      <c r="D179" s="222">
        <v>157739</v>
      </c>
      <c r="E179" s="222">
        <v>10</v>
      </c>
      <c r="F179" s="401">
        <v>5610</v>
      </c>
      <c r="G179" s="402">
        <v>5610</v>
      </c>
      <c r="H179" s="401">
        <v>19050</v>
      </c>
      <c r="I179" s="402">
        <v>19050</v>
      </c>
      <c r="J179" s="401"/>
      <c r="K179" s="402"/>
      <c r="L179" s="401"/>
      <c r="M179" s="402"/>
      <c r="N179" s="401"/>
      <c r="O179" s="402"/>
      <c r="P179" s="401"/>
      <c r="Q179" s="402"/>
      <c r="R179" s="401"/>
      <c r="S179" s="402"/>
      <c r="T179" s="401"/>
      <c r="U179" s="402"/>
      <c r="V179" s="401"/>
      <c r="W179" s="402"/>
      <c r="X179" s="401"/>
      <c r="Y179" s="402"/>
      <c r="Z179" s="401"/>
      <c r="AA179" s="402"/>
      <c r="AB179" s="401"/>
      <c r="AC179" s="402"/>
      <c r="AD179" s="401"/>
      <c r="AE179" s="402"/>
      <c r="AF179" s="401"/>
      <c r="AG179" s="402"/>
      <c r="AH179" s="401"/>
      <c r="AI179" s="402"/>
      <c r="AJ179" s="401"/>
      <c r="AK179" s="402"/>
      <c r="AL179" s="401"/>
      <c r="AM179" s="402"/>
      <c r="AN179" s="401"/>
      <c r="AO179" s="402"/>
      <c r="AP179" s="53"/>
      <c r="AQ179" s="53"/>
      <c r="AR179" s="53"/>
    </row>
    <row r="180" spans="1:44">
      <c r="A180" s="222" t="s">
        <v>197</v>
      </c>
      <c r="B180" s="220" t="s">
        <v>220</v>
      </c>
      <c r="C180" s="221"/>
      <c r="D180" s="222">
        <v>157438</v>
      </c>
      <c r="E180" s="222">
        <v>12</v>
      </c>
      <c r="F180" s="401">
        <v>5610</v>
      </c>
      <c r="G180" s="402">
        <v>5610</v>
      </c>
      <c r="H180" s="401">
        <v>19050</v>
      </c>
      <c r="I180" s="402">
        <v>19050</v>
      </c>
      <c r="J180" s="401"/>
      <c r="K180" s="402"/>
      <c r="L180" s="401"/>
      <c r="M180" s="402"/>
      <c r="N180" s="401"/>
      <c r="O180" s="402"/>
      <c r="P180" s="401"/>
      <c r="Q180" s="402"/>
      <c r="R180" s="401"/>
      <c r="S180" s="402"/>
      <c r="T180" s="401"/>
      <c r="U180" s="402"/>
      <c r="V180" s="401"/>
      <c r="W180" s="402"/>
      <c r="X180" s="401"/>
      <c r="Y180" s="402"/>
      <c r="Z180" s="401"/>
      <c r="AA180" s="402"/>
      <c r="AB180" s="401"/>
      <c r="AC180" s="402"/>
      <c r="AD180" s="401"/>
      <c r="AE180" s="402"/>
      <c r="AF180" s="401"/>
      <c r="AG180" s="402"/>
      <c r="AH180" s="401"/>
      <c r="AI180" s="402"/>
      <c r="AJ180" s="401"/>
      <c r="AK180" s="402"/>
      <c r="AL180" s="401"/>
      <c r="AM180" s="402"/>
      <c r="AN180" s="401"/>
      <c r="AO180" s="402"/>
      <c r="AP180" s="53"/>
      <c r="AQ180" s="53"/>
      <c r="AR180" s="53"/>
    </row>
    <row r="181" spans="1:44">
      <c r="A181" s="222" t="s">
        <v>197</v>
      </c>
      <c r="B181" s="220" t="s">
        <v>221</v>
      </c>
      <c r="C181" s="221"/>
      <c r="D181" s="222">
        <v>156338</v>
      </c>
      <c r="E181" s="222">
        <v>12</v>
      </c>
      <c r="F181" s="401">
        <v>5610</v>
      </c>
      <c r="G181" s="402">
        <v>5610</v>
      </c>
      <c r="H181" s="401">
        <v>19050</v>
      </c>
      <c r="I181" s="402">
        <v>19050</v>
      </c>
      <c r="J181" s="401"/>
      <c r="K181" s="402"/>
      <c r="L181" s="401"/>
      <c r="M181" s="402"/>
      <c r="N181" s="401"/>
      <c r="O181" s="402"/>
      <c r="P181" s="401"/>
      <c r="Q181" s="402"/>
      <c r="R181" s="401"/>
      <c r="S181" s="402"/>
      <c r="T181" s="401"/>
      <c r="U181" s="402"/>
      <c r="V181" s="401"/>
      <c r="W181" s="402"/>
      <c r="X181" s="401"/>
      <c r="Y181" s="402"/>
      <c r="Z181" s="401"/>
      <c r="AA181" s="402"/>
      <c r="AB181" s="401"/>
      <c r="AC181" s="402"/>
      <c r="AD181" s="401"/>
      <c r="AE181" s="402"/>
      <c r="AF181" s="401"/>
      <c r="AG181" s="402"/>
      <c r="AH181" s="401"/>
      <c r="AI181" s="402"/>
      <c r="AJ181" s="401"/>
      <c r="AK181" s="402"/>
      <c r="AL181" s="401"/>
      <c r="AM181" s="402"/>
      <c r="AN181" s="401"/>
      <c r="AO181" s="402"/>
      <c r="AP181" s="53"/>
      <c r="AQ181" s="53"/>
      <c r="AR181" s="53"/>
    </row>
    <row r="182" spans="1:44">
      <c r="A182" s="249" t="s">
        <v>222</v>
      </c>
      <c r="B182" s="250" t="s">
        <v>223</v>
      </c>
      <c r="C182" s="457"/>
      <c r="D182" s="458">
        <v>159391</v>
      </c>
      <c r="E182" s="459">
        <v>1</v>
      </c>
      <c r="F182" s="401">
        <v>11962</v>
      </c>
      <c r="G182" s="402">
        <v>11958</v>
      </c>
      <c r="H182" s="401">
        <v>28639</v>
      </c>
      <c r="I182" s="402">
        <v>28635</v>
      </c>
      <c r="J182" s="401">
        <v>13035</v>
      </c>
      <c r="K182" s="402">
        <v>13031</v>
      </c>
      <c r="L182" s="401">
        <v>29970</v>
      </c>
      <c r="M182" s="402">
        <v>29966</v>
      </c>
      <c r="N182" s="401">
        <v>23673</v>
      </c>
      <c r="O182" s="402">
        <v>23668.9</v>
      </c>
      <c r="P182" s="401">
        <v>39113</v>
      </c>
      <c r="Q182" s="402">
        <v>39108.9</v>
      </c>
      <c r="R182" s="401"/>
      <c r="S182" s="402"/>
      <c r="T182" s="401"/>
      <c r="U182" s="402"/>
      <c r="V182" s="401"/>
      <c r="W182" s="402"/>
      <c r="X182" s="401"/>
      <c r="Y182" s="402"/>
      <c r="Z182" s="401"/>
      <c r="AA182" s="402"/>
      <c r="AB182" s="401"/>
      <c r="AC182" s="402"/>
      <c r="AD182" s="401"/>
      <c r="AE182" s="402"/>
      <c r="AF182" s="401"/>
      <c r="AG182" s="402"/>
      <c r="AH182" s="401"/>
      <c r="AI182" s="402"/>
      <c r="AJ182" s="401"/>
      <c r="AK182" s="402"/>
      <c r="AL182" s="401">
        <v>27399</v>
      </c>
      <c r="AM182" s="402">
        <v>27395</v>
      </c>
      <c r="AN182" s="401">
        <v>56499</v>
      </c>
      <c r="AO182" s="402">
        <v>56495</v>
      </c>
      <c r="AP182" s="53"/>
      <c r="AQ182" s="53"/>
      <c r="AR182" s="53"/>
    </row>
    <row r="183" spans="1:44">
      <c r="A183" s="249" t="s">
        <v>222</v>
      </c>
      <c r="B183" s="250" t="s">
        <v>224</v>
      </c>
      <c r="C183" s="457"/>
      <c r="D183" s="458">
        <v>159647</v>
      </c>
      <c r="E183" s="459">
        <v>2</v>
      </c>
      <c r="F183" s="401">
        <v>10634</v>
      </c>
      <c r="G183" s="402">
        <v>10635</v>
      </c>
      <c r="H183" s="401">
        <v>19547.2</v>
      </c>
      <c r="I183" s="402">
        <v>19548</v>
      </c>
      <c r="J183" s="401">
        <v>10053</v>
      </c>
      <c r="K183" s="402">
        <v>10053</v>
      </c>
      <c r="L183" s="401">
        <v>16794</v>
      </c>
      <c r="M183" s="402">
        <v>16794</v>
      </c>
      <c r="N183" s="401"/>
      <c r="O183" s="402"/>
      <c r="P183" s="401"/>
      <c r="Q183" s="402"/>
      <c r="R183" s="401"/>
      <c r="S183" s="402"/>
      <c r="T183" s="401"/>
      <c r="U183" s="402"/>
      <c r="V183" s="401"/>
      <c r="W183" s="402"/>
      <c r="X183" s="401"/>
      <c r="Y183" s="402"/>
      <c r="Z183" s="401"/>
      <c r="AA183" s="402"/>
      <c r="AB183" s="401"/>
      <c r="AC183" s="402"/>
      <c r="AD183" s="401"/>
      <c r="AE183" s="402"/>
      <c r="AF183" s="401"/>
      <c r="AG183" s="402"/>
      <c r="AH183" s="401"/>
      <c r="AI183" s="402"/>
      <c r="AJ183" s="401"/>
      <c r="AK183" s="402"/>
      <c r="AL183" s="401"/>
      <c r="AM183" s="402"/>
      <c r="AN183" s="401"/>
      <c r="AO183" s="402"/>
      <c r="AP183" s="53"/>
      <c r="AQ183" s="53"/>
      <c r="AR183" s="53"/>
    </row>
    <row r="184" spans="1:44">
      <c r="A184" s="249" t="s">
        <v>222</v>
      </c>
      <c r="B184" s="250" t="s">
        <v>225</v>
      </c>
      <c r="C184" s="457"/>
      <c r="D184" s="458">
        <v>160658</v>
      </c>
      <c r="E184" s="459">
        <v>2</v>
      </c>
      <c r="F184" s="401">
        <v>11174</v>
      </c>
      <c r="G184" s="402">
        <v>11162</v>
      </c>
      <c r="H184" s="401">
        <v>24902</v>
      </c>
      <c r="I184" s="402">
        <v>24890</v>
      </c>
      <c r="J184" s="401">
        <v>11114</v>
      </c>
      <c r="K184" s="402">
        <v>11102</v>
      </c>
      <c r="L184" s="401">
        <v>24842</v>
      </c>
      <c r="M184" s="402">
        <v>24830</v>
      </c>
      <c r="N184" s="401"/>
      <c r="O184" s="402"/>
      <c r="P184" s="401"/>
      <c r="Q184" s="402"/>
      <c r="R184" s="401"/>
      <c r="S184" s="402"/>
      <c r="T184" s="401"/>
      <c r="U184" s="402"/>
      <c r="V184" s="401"/>
      <c r="W184" s="402"/>
      <c r="X184" s="401"/>
      <c r="Y184" s="402"/>
      <c r="Z184" s="401"/>
      <c r="AA184" s="402"/>
      <c r="AB184" s="401"/>
      <c r="AC184" s="402"/>
      <c r="AD184" s="401"/>
      <c r="AE184" s="402"/>
      <c r="AF184" s="401"/>
      <c r="AG184" s="402"/>
      <c r="AH184" s="401"/>
      <c r="AI184" s="402"/>
      <c r="AJ184" s="401"/>
      <c r="AK184" s="402"/>
      <c r="AL184" s="401"/>
      <c r="AM184" s="402"/>
      <c r="AN184" s="401"/>
      <c r="AO184" s="402"/>
      <c r="AP184" s="53"/>
      <c r="AQ184" s="53"/>
      <c r="AR184" s="53"/>
    </row>
    <row r="185" spans="1:44">
      <c r="A185" s="249" t="s">
        <v>222</v>
      </c>
      <c r="B185" s="250" t="s">
        <v>226</v>
      </c>
      <c r="C185" s="457"/>
      <c r="D185" s="458">
        <v>159939</v>
      </c>
      <c r="E185" s="459">
        <v>2</v>
      </c>
      <c r="F185" s="401">
        <v>9354</v>
      </c>
      <c r="G185" s="402">
        <v>9354</v>
      </c>
      <c r="H185" s="401">
        <v>14190</v>
      </c>
      <c r="I185" s="402">
        <v>14190</v>
      </c>
      <c r="J185" s="401">
        <v>9648</v>
      </c>
      <c r="K185" s="402">
        <v>9648</v>
      </c>
      <c r="L185" s="401">
        <v>14218</v>
      </c>
      <c r="M185" s="402">
        <v>14218</v>
      </c>
      <c r="N185" s="401"/>
      <c r="O185" s="402"/>
      <c r="P185" s="401"/>
      <c r="Q185" s="402"/>
      <c r="R185" s="401"/>
      <c r="S185" s="402"/>
      <c r="T185" s="401"/>
      <c r="U185" s="402"/>
      <c r="V185" s="401"/>
      <c r="W185" s="402"/>
      <c r="X185" s="401"/>
      <c r="Y185" s="402"/>
      <c r="Z185" s="401"/>
      <c r="AA185" s="402"/>
      <c r="AB185" s="401"/>
      <c r="AC185" s="402"/>
      <c r="AD185" s="401"/>
      <c r="AE185" s="402"/>
      <c r="AF185" s="401"/>
      <c r="AG185" s="402"/>
      <c r="AH185" s="401"/>
      <c r="AI185" s="402"/>
      <c r="AJ185" s="401"/>
      <c r="AK185" s="402"/>
      <c r="AL185" s="401"/>
      <c r="AM185" s="402"/>
      <c r="AN185" s="401"/>
      <c r="AO185" s="402"/>
      <c r="AP185" s="53"/>
      <c r="AQ185" s="53"/>
      <c r="AR185" s="53"/>
    </row>
    <row r="186" spans="1:44">
      <c r="A186" s="249" t="s">
        <v>222</v>
      </c>
      <c r="B186" s="250" t="s">
        <v>232</v>
      </c>
      <c r="C186" s="460"/>
      <c r="D186" s="458">
        <v>159717</v>
      </c>
      <c r="E186" s="459">
        <v>3</v>
      </c>
      <c r="F186" s="401">
        <v>8665</v>
      </c>
      <c r="G186" s="402">
        <v>8662.66</v>
      </c>
      <c r="H186" s="401">
        <v>19740</v>
      </c>
      <c r="I186" s="402">
        <v>19737.66</v>
      </c>
      <c r="J186" s="401">
        <v>8822</v>
      </c>
      <c r="K186" s="402">
        <v>8819.68</v>
      </c>
      <c r="L186" s="401">
        <v>19897</v>
      </c>
      <c r="M186" s="402">
        <v>19894.68</v>
      </c>
      <c r="N186" s="401"/>
      <c r="O186" s="402"/>
      <c r="P186" s="401"/>
      <c r="Q186" s="402"/>
      <c r="R186" s="401"/>
      <c r="S186" s="402"/>
      <c r="T186" s="401"/>
      <c r="U186" s="402"/>
      <c r="V186" s="401"/>
      <c r="W186" s="402"/>
      <c r="X186" s="401"/>
      <c r="Y186" s="402"/>
      <c r="Z186" s="401"/>
      <c r="AA186" s="402"/>
      <c r="AB186" s="401"/>
      <c r="AC186" s="402"/>
      <c r="AD186" s="401"/>
      <c r="AE186" s="402"/>
      <c r="AF186" s="401"/>
      <c r="AG186" s="402"/>
      <c r="AH186" s="401"/>
      <c r="AI186" s="402"/>
      <c r="AJ186" s="401"/>
      <c r="AK186" s="402"/>
      <c r="AL186" s="401"/>
      <c r="AM186" s="402"/>
      <c r="AN186" s="401"/>
      <c r="AO186" s="402"/>
      <c r="AP186" s="53"/>
      <c r="AQ186" s="53"/>
      <c r="AR186" s="53"/>
    </row>
    <row r="187" spans="1:44">
      <c r="A187" s="249" t="s">
        <v>222</v>
      </c>
      <c r="B187" s="250" t="s">
        <v>227</v>
      </c>
      <c r="C187" s="457"/>
      <c r="D187" s="458">
        <v>160612</v>
      </c>
      <c r="E187" s="459">
        <v>3</v>
      </c>
      <c r="F187" s="401">
        <v>8454</v>
      </c>
      <c r="G187" s="402">
        <v>8454</v>
      </c>
      <c r="H187" s="401">
        <v>20932</v>
      </c>
      <c r="I187" s="402">
        <v>20932</v>
      </c>
      <c r="J187" s="401">
        <v>8962</v>
      </c>
      <c r="K187" s="402">
        <v>8962</v>
      </c>
      <c r="L187" s="401">
        <v>21440</v>
      </c>
      <c r="M187" s="402">
        <v>21440</v>
      </c>
      <c r="N187" s="401"/>
      <c r="O187" s="402"/>
      <c r="P187" s="401"/>
      <c r="Q187" s="402"/>
      <c r="R187" s="401"/>
      <c r="S187" s="402"/>
      <c r="T187" s="401"/>
      <c r="U187" s="402"/>
      <c r="V187" s="401"/>
      <c r="W187" s="402"/>
      <c r="X187" s="401"/>
      <c r="Y187" s="402"/>
      <c r="Z187" s="401"/>
      <c r="AA187" s="402"/>
      <c r="AB187" s="401"/>
      <c r="AC187" s="402"/>
      <c r="AD187" s="401"/>
      <c r="AE187" s="402"/>
      <c r="AF187" s="401"/>
      <c r="AG187" s="402"/>
      <c r="AH187" s="401"/>
      <c r="AI187" s="402"/>
      <c r="AJ187" s="401"/>
      <c r="AK187" s="402"/>
      <c r="AL187" s="401"/>
      <c r="AM187" s="402"/>
      <c r="AN187" s="401"/>
      <c r="AO187" s="402"/>
      <c r="AP187" s="53"/>
      <c r="AQ187" s="53"/>
      <c r="AR187" s="53"/>
    </row>
    <row r="188" spans="1:44">
      <c r="A188" s="249" t="s">
        <v>222</v>
      </c>
      <c r="B188" s="250" t="s">
        <v>228</v>
      </c>
      <c r="C188" s="457"/>
      <c r="D188" s="458">
        <v>160621</v>
      </c>
      <c r="E188" s="459">
        <v>3</v>
      </c>
      <c r="F188" s="401">
        <v>9236</v>
      </c>
      <c r="G188" s="402">
        <v>9842</v>
      </c>
      <c r="H188" s="401">
        <v>16586</v>
      </c>
      <c r="I188" s="402">
        <v>17192</v>
      </c>
      <c r="J188" s="401">
        <v>10616</v>
      </c>
      <c r="K188" s="402">
        <v>11222</v>
      </c>
      <c r="L188" s="401">
        <v>17062</v>
      </c>
      <c r="M188" s="402">
        <v>17668</v>
      </c>
      <c r="N188" s="401"/>
      <c r="O188" s="402"/>
      <c r="P188" s="401"/>
      <c r="Q188" s="402"/>
      <c r="R188" s="401"/>
      <c r="S188" s="402"/>
      <c r="T188" s="401"/>
      <c r="U188" s="402"/>
      <c r="V188" s="401"/>
      <c r="W188" s="402"/>
      <c r="X188" s="401"/>
      <c r="Y188" s="402"/>
      <c r="Z188" s="401"/>
      <c r="AA188" s="402"/>
      <c r="AB188" s="401"/>
      <c r="AC188" s="402"/>
      <c r="AD188" s="401"/>
      <c r="AE188" s="402"/>
      <c r="AF188" s="401"/>
      <c r="AG188" s="402"/>
      <c r="AH188" s="401"/>
      <c r="AI188" s="402"/>
      <c r="AJ188" s="401"/>
      <c r="AK188" s="402"/>
      <c r="AL188" s="401"/>
      <c r="AM188" s="402"/>
      <c r="AN188" s="401"/>
      <c r="AO188" s="402"/>
      <c r="AP188" s="53"/>
      <c r="AQ188" s="53"/>
      <c r="AR188" s="53"/>
    </row>
    <row r="189" spans="1:44">
      <c r="A189" s="249" t="s">
        <v>222</v>
      </c>
      <c r="B189" s="250" t="s">
        <v>229</v>
      </c>
      <c r="C189" s="457"/>
      <c r="D189" s="458">
        <v>159993</v>
      </c>
      <c r="E189" s="459">
        <v>3</v>
      </c>
      <c r="F189" s="401">
        <v>9399</v>
      </c>
      <c r="G189" s="402">
        <v>9387</v>
      </c>
      <c r="H189" s="401">
        <v>21499</v>
      </c>
      <c r="I189" s="402">
        <v>21487</v>
      </c>
      <c r="J189" s="401">
        <v>9788</v>
      </c>
      <c r="K189" s="402">
        <v>9776</v>
      </c>
      <c r="L189" s="401">
        <v>21888</v>
      </c>
      <c r="M189" s="402">
        <v>21876</v>
      </c>
      <c r="N189" s="401"/>
      <c r="O189" s="402"/>
      <c r="P189" s="401"/>
      <c r="Q189" s="402"/>
      <c r="R189" s="401"/>
      <c r="S189" s="402"/>
      <c r="T189" s="401"/>
      <c r="U189" s="402"/>
      <c r="V189" s="401"/>
      <c r="W189" s="402"/>
      <c r="X189" s="401"/>
      <c r="Y189" s="402"/>
      <c r="Z189" s="401">
        <v>24493</v>
      </c>
      <c r="AA189" s="402">
        <v>24481</v>
      </c>
      <c r="AB189" s="401">
        <v>44749</v>
      </c>
      <c r="AC189" s="402">
        <v>44737</v>
      </c>
      <c r="AD189" s="401"/>
      <c r="AE189" s="402"/>
      <c r="AF189" s="401"/>
      <c r="AG189" s="402"/>
      <c r="AH189" s="401"/>
      <c r="AI189" s="402"/>
      <c r="AJ189" s="401"/>
      <c r="AK189" s="402"/>
      <c r="AL189" s="401"/>
      <c r="AM189" s="402"/>
      <c r="AN189" s="401"/>
      <c r="AO189" s="402"/>
      <c r="AP189" s="53"/>
      <c r="AQ189" s="53"/>
      <c r="AR189" s="53"/>
    </row>
    <row r="190" spans="1:44">
      <c r="A190" s="249" t="s">
        <v>222</v>
      </c>
      <c r="B190" s="250" t="s">
        <v>230</v>
      </c>
      <c r="C190" s="457"/>
      <c r="D190" s="458">
        <v>159009</v>
      </c>
      <c r="E190" s="459">
        <v>4</v>
      </c>
      <c r="F190" s="401">
        <v>7635</v>
      </c>
      <c r="G190" s="402">
        <v>7683</v>
      </c>
      <c r="H190" s="401">
        <v>16658</v>
      </c>
      <c r="I190" s="402">
        <v>16706</v>
      </c>
      <c r="J190" s="401">
        <v>7575</v>
      </c>
      <c r="K190" s="402">
        <v>7623</v>
      </c>
      <c r="L190" s="401">
        <v>16598</v>
      </c>
      <c r="M190" s="402">
        <v>16646</v>
      </c>
      <c r="N190" s="401"/>
      <c r="O190" s="402"/>
      <c r="P190" s="401"/>
      <c r="Q190" s="402"/>
      <c r="R190" s="401"/>
      <c r="S190" s="402"/>
      <c r="T190" s="401"/>
      <c r="U190" s="402"/>
      <c r="V190" s="401"/>
      <c r="W190" s="402"/>
      <c r="X190" s="401"/>
      <c r="Y190" s="402"/>
      <c r="Z190" s="401"/>
      <c r="AA190" s="402"/>
      <c r="AB190" s="401"/>
      <c r="AC190" s="402"/>
      <c r="AD190" s="401"/>
      <c r="AE190" s="402"/>
      <c r="AF190" s="401"/>
      <c r="AG190" s="402"/>
      <c r="AH190" s="401"/>
      <c r="AI190" s="402"/>
      <c r="AJ190" s="401"/>
      <c r="AK190" s="402"/>
      <c r="AL190" s="401"/>
      <c r="AM190" s="402"/>
      <c r="AN190" s="401"/>
      <c r="AO190" s="402"/>
      <c r="AP190" s="53"/>
      <c r="AQ190" s="53"/>
      <c r="AR190" s="53"/>
    </row>
    <row r="191" spans="1:44">
      <c r="A191" s="249" t="s">
        <v>222</v>
      </c>
      <c r="B191" s="250" t="s">
        <v>231</v>
      </c>
      <c r="C191" s="457"/>
      <c r="D191" s="458">
        <v>159416</v>
      </c>
      <c r="E191" s="459">
        <v>4</v>
      </c>
      <c r="F191" s="401">
        <v>7434.18</v>
      </c>
      <c r="G191" s="402">
        <v>7520.04</v>
      </c>
      <c r="H191" s="401">
        <v>20588.34</v>
      </c>
      <c r="I191" s="402">
        <v>20674.2</v>
      </c>
      <c r="J191" s="401">
        <v>7687.65</v>
      </c>
      <c r="K191" s="402">
        <v>7414.68</v>
      </c>
      <c r="L191" s="401">
        <v>20184.87</v>
      </c>
      <c r="M191" s="402">
        <v>19911.900000000001</v>
      </c>
      <c r="N191" s="401"/>
      <c r="O191" s="402"/>
      <c r="P191" s="401"/>
      <c r="Q191" s="402"/>
      <c r="R191" s="401"/>
      <c r="S191" s="402"/>
      <c r="T191" s="401"/>
      <c r="U191" s="402"/>
      <c r="V191" s="401"/>
      <c r="W191" s="402"/>
      <c r="X191" s="401"/>
      <c r="Y191" s="402"/>
      <c r="Z191" s="401"/>
      <c r="AA191" s="402"/>
      <c r="AB191" s="401"/>
      <c r="AC191" s="402"/>
      <c r="AD191" s="401"/>
      <c r="AE191" s="402"/>
      <c r="AF191" s="401"/>
      <c r="AG191" s="402"/>
      <c r="AH191" s="401"/>
      <c r="AI191" s="402"/>
      <c r="AJ191" s="401"/>
      <c r="AK191" s="402"/>
      <c r="AL191" s="401"/>
      <c r="AM191" s="402"/>
      <c r="AN191" s="401"/>
      <c r="AO191" s="402"/>
      <c r="AP191" s="53"/>
      <c r="AQ191" s="53"/>
      <c r="AR191" s="53"/>
    </row>
    <row r="192" spans="1:44">
      <c r="A192" s="249" t="s">
        <v>222</v>
      </c>
      <c r="B192" s="250" t="s">
        <v>233</v>
      </c>
      <c r="C192" s="457"/>
      <c r="D192" s="458">
        <v>159966</v>
      </c>
      <c r="E192" s="459">
        <v>4</v>
      </c>
      <c r="F192" s="401">
        <v>7975</v>
      </c>
      <c r="G192" s="402">
        <v>7975</v>
      </c>
      <c r="H192" s="401">
        <v>9068</v>
      </c>
      <c r="I192" s="402">
        <v>9068</v>
      </c>
      <c r="J192" s="401">
        <v>8581</v>
      </c>
      <c r="K192" s="402">
        <v>8581</v>
      </c>
      <c r="L192" s="401">
        <v>9674</v>
      </c>
      <c r="M192" s="402">
        <v>9674</v>
      </c>
      <c r="N192" s="401"/>
      <c r="O192" s="402"/>
      <c r="P192" s="401"/>
      <c r="Q192" s="402"/>
      <c r="R192" s="401"/>
      <c r="S192" s="402"/>
      <c r="T192" s="401"/>
      <c r="U192" s="402"/>
      <c r="V192" s="401"/>
      <c r="W192" s="402"/>
      <c r="X192" s="401"/>
      <c r="Y192" s="402"/>
      <c r="Z192" s="401"/>
      <c r="AA192" s="402"/>
      <c r="AB192" s="401"/>
      <c r="AC192" s="402"/>
      <c r="AD192" s="401"/>
      <c r="AE192" s="402"/>
      <c r="AF192" s="401"/>
      <c r="AG192" s="402"/>
      <c r="AH192" s="401"/>
      <c r="AI192" s="402"/>
      <c r="AJ192" s="401"/>
      <c r="AK192" s="402"/>
      <c r="AL192" s="401"/>
      <c r="AM192" s="402"/>
      <c r="AN192" s="401"/>
      <c r="AO192" s="402"/>
      <c r="AP192" s="53"/>
      <c r="AQ192" s="53"/>
      <c r="AR192" s="53"/>
    </row>
    <row r="193" spans="1:44">
      <c r="A193" s="249" t="s">
        <v>222</v>
      </c>
      <c r="B193" s="250" t="s">
        <v>234</v>
      </c>
      <c r="C193" s="457"/>
      <c r="D193" s="458">
        <v>160038</v>
      </c>
      <c r="E193" s="459">
        <v>4</v>
      </c>
      <c r="F193" s="401">
        <v>8702</v>
      </c>
      <c r="G193" s="402">
        <v>8702</v>
      </c>
      <c r="H193" s="401">
        <v>19490</v>
      </c>
      <c r="I193" s="402">
        <v>19490</v>
      </c>
      <c r="J193" s="401">
        <v>9764</v>
      </c>
      <c r="K193" s="402">
        <v>9764</v>
      </c>
      <c r="L193" s="401">
        <v>20552</v>
      </c>
      <c r="M193" s="402">
        <v>20552</v>
      </c>
      <c r="N193" s="401"/>
      <c r="O193" s="402"/>
      <c r="P193" s="401"/>
      <c r="Q193" s="402"/>
      <c r="R193" s="401"/>
      <c r="S193" s="402"/>
      <c r="T193" s="401"/>
      <c r="U193" s="402"/>
      <c r="V193" s="401"/>
      <c r="W193" s="402"/>
      <c r="X193" s="401"/>
      <c r="Y193" s="402"/>
      <c r="Z193" s="401"/>
      <c r="AA193" s="402"/>
      <c r="AB193" s="401"/>
      <c r="AC193" s="402"/>
      <c r="AD193" s="401"/>
      <c r="AE193" s="402"/>
      <c r="AF193" s="401"/>
      <c r="AG193" s="402"/>
      <c r="AH193" s="401"/>
      <c r="AI193" s="402"/>
      <c r="AJ193" s="401"/>
      <c r="AK193" s="402"/>
      <c r="AL193" s="401"/>
      <c r="AM193" s="402"/>
      <c r="AN193" s="401"/>
      <c r="AO193" s="402"/>
      <c r="AP193" s="53"/>
      <c r="AQ193" s="53"/>
      <c r="AR193" s="53"/>
    </row>
    <row r="194" spans="1:44">
      <c r="A194" s="252" t="s">
        <v>222</v>
      </c>
      <c r="B194" s="250" t="s">
        <v>235</v>
      </c>
      <c r="C194" s="460"/>
      <c r="D194" s="458">
        <v>160630</v>
      </c>
      <c r="E194" s="459">
        <v>5</v>
      </c>
      <c r="F194" s="401">
        <v>7287.3339999999998</v>
      </c>
      <c r="G194" s="402">
        <v>7381.34</v>
      </c>
      <c r="H194" s="401">
        <v>16188.34</v>
      </c>
      <c r="I194" s="402">
        <v>16282.34</v>
      </c>
      <c r="J194" s="401">
        <v>9120.34</v>
      </c>
      <c r="K194" s="402">
        <v>9214.34</v>
      </c>
      <c r="L194" s="401">
        <v>16062.34</v>
      </c>
      <c r="M194" s="402">
        <v>16156.34</v>
      </c>
      <c r="N194" s="401"/>
      <c r="O194" s="402"/>
      <c r="P194" s="401"/>
      <c r="Q194" s="402"/>
      <c r="R194" s="401"/>
      <c r="S194" s="402"/>
      <c r="T194" s="401"/>
      <c r="U194" s="402"/>
      <c r="V194" s="401"/>
      <c r="W194" s="402"/>
      <c r="X194" s="401"/>
      <c r="Y194" s="402"/>
      <c r="Z194" s="401"/>
      <c r="AA194" s="402"/>
      <c r="AB194" s="401"/>
      <c r="AC194" s="402"/>
      <c r="AD194" s="401"/>
      <c r="AE194" s="402"/>
      <c r="AF194" s="401"/>
      <c r="AG194" s="402"/>
      <c r="AH194" s="401"/>
      <c r="AI194" s="402"/>
      <c r="AJ194" s="401"/>
      <c r="AK194" s="402"/>
      <c r="AL194" s="401"/>
      <c r="AM194" s="402"/>
      <c r="AN194" s="401"/>
      <c r="AO194" s="402"/>
      <c r="AP194" s="53"/>
      <c r="AQ194" s="53"/>
      <c r="AR194" s="53"/>
    </row>
    <row r="195" spans="1:44">
      <c r="A195" s="249" t="s">
        <v>222</v>
      </c>
      <c r="B195" s="250" t="s">
        <v>236</v>
      </c>
      <c r="C195" s="460"/>
      <c r="D195" s="458">
        <v>159382</v>
      </c>
      <c r="E195" s="459">
        <v>6</v>
      </c>
      <c r="F195" s="401">
        <v>6910.1</v>
      </c>
      <c r="G195" s="402">
        <v>6910.02</v>
      </c>
      <c r="H195" s="401">
        <v>14175.86</v>
      </c>
      <c r="I195" s="402">
        <v>14175.78</v>
      </c>
      <c r="J195" s="401"/>
      <c r="K195" s="402"/>
      <c r="L195" s="401"/>
      <c r="M195" s="402"/>
      <c r="N195" s="401"/>
      <c r="O195" s="402"/>
      <c r="P195" s="401"/>
      <c r="Q195" s="402"/>
      <c r="R195" s="401"/>
      <c r="S195" s="402"/>
      <c r="T195" s="401"/>
      <c r="U195" s="402"/>
      <c r="V195" s="401"/>
      <c r="W195" s="402"/>
      <c r="X195" s="401"/>
      <c r="Y195" s="402"/>
      <c r="Z195" s="401"/>
      <c r="AA195" s="402"/>
      <c r="AB195" s="401"/>
      <c r="AC195" s="402"/>
      <c r="AD195" s="401"/>
      <c r="AE195" s="402"/>
      <c r="AF195" s="401"/>
      <c r="AG195" s="402"/>
      <c r="AH195" s="401"/>
      <c r="AI195" s="402"/>
      <c r="AJ195" s="401"/>
      <c r="AK195" s="402"/>
      <c r="AL195" s="401"/>
      <c r="AM195" s="402"/>
      <c r="AN195" s="401"/>
      <c r="AO195" s="402"/>
      <c r="AP195" s="53"/>
      <c r="AQ195" s="53"/>
      <c r="AR195" s="53"/>
    </row>
    <row r="196" spans="1:44">
      <c r="A196" s="249" t="s">
        <v>222</v>
      </c>
      <c r="B196" s="250" t="s">
        <v>237</v>
      </c>
      <c r="C196" s="457"/>
      <c r="D196" s="458">
        <v>437103</v>
      </c>
      <c r="E196" s="459">
        <v>8</v>
      </c>
      <c r="F196" s="401">
        <v>4221.3599999999997</v>
      </c>
      <c r="G196" s="402">
        <v>4321.3599999999997</v>
      </c>
      <c r="H196" s="406">
        <v>4221.3599999999997</v>
      </c>
      <c r="I196" s="402">
        <v>4321.3599999999997</v>
      </c>
      <c r="J196" s="401"/>
      <c r="K196" s="402"/>
      <c r="L196" s="401"/>
      <c r="M196" s="402"/>
      <c r="N196" s="401"/>
      <c r="O196" s="402"/>
      <c r="P196" s="401"/>
      <c r="Q196" s="402"/>
      <c r="R196" s="401"/>
      <c r="S196" s="402"/>
      <c r="T196" s="401"/>
      <c r="U196" s="402"/>
      <c r="V196" s="401"/>
      <c r="W196" s="402"/>
      <c r="X196" s="401"/>
      <c r="Y196" s="402"/>
      <c r="Z196" s="401"/>
      <c r="AA196" s="402"/>
      <c r="AB196" s="401"/>
      <c r="AC196" s="402"/>
      <c r="AD196" s="401"/>
      <c r="AE196" s="402"/>
      <c r="AF196" s="401"/>
      <c r="AG196" s="402"/>
      <c r="AH196" s="401"/>
      <c r="AI196" s="402"/>
      <c r="AJ196" s="401"/>
      <c r="AK196" s="402"/>
      <c r="AL196" s="401"/>
      <c r="AM196" s="402"/>
      <c r="AN196" s="401"/>
      <c r="AO196" s="402"/>
      <c r="AP196" s="53"/>
      <c r="AQ196" s="53"/>
      <c r="AR196" s="53"/>
    </row>
    <row r="197" spans="1:44">
      <c r="A197" s="249" t="s">
        <v>222</v>
      </c>
      <c r="B197" s="250" t="s">
        <v>239</v>
      </c>
      <c r="C197" s="457"/>
      <c r="D197" s="458">
        <v>158662</v>
      </c>
      <c r="E197" s="459">
        <v>8</v>
      </c>
      <c r="F197" s="401">
        <v>4279.04</v>
      </c>
      <c r="G197" s="402">
        <v>4279.04</v>
      </c>
      <c r="H197" s="406">
        <v>4279.04</v>
      </c>
      <c r="I197" s="402">
        <v>4279.04</v>
      </c>
      <c r="J197" s="401"/>
      <c r="K197" s="402"/>
      <c r="L197" s="401"/>
      <c r="M197" s="402"/>
      <c r="N197" s="401"/>
      <c r="O197" s="402"/>
      <c r="P197" s="401"/>
      <c r="Q197" s="402"/>
      <c r="R197" s="401"/>
      <c r="S197" s="402"/>
      <c r="T197" s="401"/>
      <c r="U197" s="402"/>
      <c r="V197" s="401"/>
      <c r="W197" s="402"/>
      <c r="X197" s="401"/>
      <c r="Y197" s="402"/>
      <c r="Z197" s="401"/>
      <c r="AA197" s="402"/>
      <c r="AB197" s="401"/>
      <c r="AC197" s="402"/>
      <c r="AD197" s="401"/>
      <c r="AE197" s="402"/>
      <c r="AF197" s="401"/>
      <c r="AG197" s="402"/>
      <c r="AH197" s="401"/>
      <c r="AI197" s="402"/>
      <c r="AJ197" s="401"/>
      <c r="AK197" s="402"/>
      <c r="AL197" s="401"/>
      <c r="AM197" s="402"/>
      <c r="AN197" s="401"/>
      <c r="AO197" s="402"/>
      <c r="AP197" s="53"/>
      <c r="AQ197" s="53"/>
      <c r="AR197" s="53"/>
    </row>
    <row r="198" spans="1:44">
      <c r="A198" s="249" t="s">
        <v>222</v>
      </c>
      <c r="B198" s="250" t="s">
        <v>238</v>
      </c>
      <c r="C198" s="457"/>
      <c r="D198" s="458">
        <v>158431</v>
      </c>
      <c r="E198" s="459">
        <v>9</v>
      </c>
      <c r="F198" s="401">
        <v>4283.04</v>
      </c>
      <c r="G198" s="402">
        <v>4283.04</v>
      </c>
      <c r="H198" s="406">
        <v>4283.04</v>
      </c>
      <c r="I198" s="402">
        <v>4283.04</v>
      </c>
      <c r="J198" s="401"/>
      <c r="K198" s="402"/>
      <c r="L198" s="401"/>
      <c r="M198" s="402"/>
      <c r="N198" s="401"/>
      <c r="O198" s="402"/>
      <c r="P198" s="401"/>
      <c r="Q198" s="402"/>
      <c r="R198" s="401"/>
      <c r="S198" s="402"/>
      <c r="T198" s="401"/>
      <c r="U198" s="402"/>
      <c r="V198" s="401"/>
      <c r="W198" s="402"/>
      <c r="X198" s="401"/>
      <c r="Y198" s="402"/>
      <c r="Z198" s="401"/>
      <c r="AA198" s="402"/>
      <c r="AB198" s="401"/>
      <c r="AC198" s="402"/>
      <c r="AD198" s="401"/>
      <c r="AE198" s="402"/>
      <c r="AF198" s="401"/>
      <c r="AG198" s="402"/>
      <c r="AH198" s="401"/>
      <c r="AI198" s="402"/>
      <c r="AJ198" s="401"/>
      <c r="AK198" s="402"/>
      <c r="AL198" s="401"/>
      <c r="AM198" s="402"/>
      <c r="AN198" s="401"/>
      <c r="AO198" s="402"/>
      <c r="AP198" s="53"/>
      <c r="AQ198" s="53"/>
      <c r="AR198" s="53"/>
    </row>
    <row r="199" spans="1:44">
      <c r="A199" s="249" t="s">
        <v>222</v>
      </c>
      <c r="B199" s="250" t="s">
        <v>240</v>
      </c>
      <c r="C199" s="460"/>
      <c r="D199" s="458">
        <v>483212</v>
      </c>
      <c r="E199" s="459">
        <v>9</v>
      </c>
      <c r="F199" s="401">
        <v>4159.04</v>
      </c>
      <c r="G199" s="402">
        <v>4199.04</v>
      </c>
      <c r="H199" s="406">
        <v>4159.04</v>
      </c>
      <c r="I199" s="402">
        <v>4199.04</v>
      </c>
      <c r="J199" s="401"/>
      <c r="K199" s="402"/>
      <c r="L199" s="401"/>
      <c r="M199" s="402"/>
      <c r="N199" s="401"/>
      <c r="O199" s="402"/>
      <c r="P199" s="401"/>
      <c r="Q199" s="402"/>
      <c r="R199" s="401"/>
      <c r="S199" s="402"/>
      <c r="T199" s="401"/>
      <c r="U199" s="402"/>
      <c r="V199" s="401"/>
      <c r="W199" s="402"/>
      <c r="X199" s="401"/>
      <c r="Y199" s="402"/>
      <c r="Z199" s="401"/>
      <c r="AA199" s="402"/>
      <c r="AB199" s="401"/>
      <c r="AC199" s="402"/>
      <c r="AD199" s="401"/>
      <c r="AE199" s="402"/>
      <c r="AF199" s="401"/>
      <c r="AG199" s="402"/>
      <c r="AH199" s="401"/>
      <c r="AI199" s="402"/>
      <c r="AJ199" s="401"/>
      <c r="AK199" s="402"/>
      <c r="AL199" s="401"/>
      <c r="AM199" s="402"/>
      <c r="AN199" s="401"/>
      <c r="AO199" s="402"/>
      <c r="AP199" s="53"/>
      <c r="AQ199" s="53"/>
      <c r="AR199" s="53"/>
    </row>
    <row r="200" spans="1:44">
      <c r="A200" s="249" t="s">
        <v>222</v>
      </c>
      <c r="B200" s="250" t="s">
        <v>241</v>
      </c>
      <c r="C200" s="457"/>
      <c r="D200" s="458">
        <v>434061</v>
      </c>
      <c r="E200" s="459">
        <v>9</v>
      </c>
      <c r="F200" s="401">
        <v>4205.04</v>
      </c>
      <c r="G200" s="402">
        <v>4205.04</v>
      </c>
      <c r="H200" s="406">
        <v>4205.04</v>
      </c>
      <c r="I200" s="402">
        <v>4205.04</v>
      </c>
      <c r="J200" s="401"/>
      <c r="K200" s="402"/>
      <c r="L200" s="401"/>
      <c r="M200" s="402"/>
      <c r="N200" s="401"/>
      <c r="O200" s="402"/>
      <c r="P200" s="401"/>
      <c r="Q200" s="402"/>
      <c r="R200" s="401"/>
      <c r="S200" s="402"/>
      <c r="T200" s="401"/>
      <c r="U200" s="402"/>
      <c r="V200" s="401"/>
      <c r="W200" s="402"/>
      <c r="X200" s="401"/>
      <c r="Y200" s="402"/>
      <c r="Z200" s="401"/>
      <c r="AA200" s="402"/>
      <c r="AB200" s="401"/>
      <c r="AC200" s="402"/>
      <c r="AD200" s="401"/>
      <c r="AE200" s="402"/>
      <c r="AF200" s="401"/>
      <c r="AG200" s="402"/>
      <c r="AH200" s="401"/>
      <c r="AI200" s="402"/>
      <c r="AJ200" s="401"/>
      <c r="AK200" s="402"/>
      <c r="AL200" s="401"/>
      <c r="AM200" s="402"/>
      <c r="AN200" s="401"/>
      <c r="AO200" s="402"/>
      <c r="AP200" s="53"/>
      <c r="AQ200" s="53"/>
      <c r="AR200" s="53"/>
    </row>
    <row r="201" spans="1:44">
      <c r="A201" s="249" t="s">
        <v>222</v>
      </c>
      <c r="B201" s="250" t="s">
        <v>242</v>
      </c>
      <c r="C201" s="461" t="s">
        <v>1009</v>
      </c>
      <c r="D201" s="458">
        <v>160649</v>
      </c>
      <c r="E201" s="459">
        <v>9</v>
      </c>
      <c r="F201" s="401">
        <v>4379.5</v>
      </c>
      <c r="G201" s="402">
        <v>4379.5</v>
      </c>
      <c r="H201" s="401">
        <v>7679.5</v>
      </c>
      <c r="I201" s="402">
        <v>7679.5</v>
      </c>
      <c r="J201" s="401"/>
      <c r="K201" s="402"/>
      <c r="L201" s="401"/>
      <c r="M201" s="402"/>
      <c r="N201" s="401"/>
      <c r="O201" s="402"/>
      <c r="P201" s="401"/>
      <c r="Q201" s="402"/>
      <c r="R201" s="401"/>
      <c r="S201" s="402"/>
      <c r="T201" s="401"/>
      <c r="U201" s="402"/>
      <c r="V201" s="401"/>
      <c r="W201" s="402"/>
      <c r="X201" s="401"/>
      <c r="Y201" s="402"/>
      <c r="Z201" s="401"/>
      <c r="AA201" s="402"/>
      <c r="AB201" s="401"/>
      <c r="AC201" s="402"/>
      <c r="AD201" s="401"/>
      <c r="AE201" s="402"/>
      <c r="AF201" s="401"/>
      <c r="AG201" s="402"/>
      <c r="AH201" s="401"/>
      <c r="AI201" s="402"/>
      <c r="AJ201" s="401"/>
      <c r="AK201" s="402"/>
      <c r="AL201" s="401"/>
      <c r="AM201" s="402"/>
      <c r="AN201" s="401"/>
      <c r="AO201" s="402"/>
      <c r="AP201" s="53"/>
      <c r="AQ201" s="53"/>
      <c r="AR201" s="53"/>
    </row>
    <row r="202" spans="1:44">
      <c r="A202" s="249" t="s">
        <v>222</v>
      </c>
      <c r="B202" s="250" t="s">
        <v>243</v>
      </c>
      <c r="C202" s="359"/>
      <c r="D202" s="458">
        <v>159407</v>
      </c>
      <c r="E202" s="459">
        <v>9</v>
      </c>
      <c r="F202" s="401">
        <v>4779</v>
      </c>
      <c r="G202" s="402">
        <v>4778.3999999999996</v>
      </c>
      <c r="H202" s="401">
        <v>10143</v>
      </c>
      <c r="I202" s="402">
        <v>10142.4</v>
      </c>
      <c r="J202" s="401"/>
      <c r="K202" s="402"/>
      <c r="L202" s="401"/>
      <c r="M202" s="402"/>
      <c r="N202" s="401"/>
      <c r="O202" s="402"/>
      <c r="P202" s="401"/>
      <c r="Q202" s="402"/>
      <c r="R202" s="401"/>
      <c r="S202" s="402"/>
      <c r="T202" s="401"/>
      <c r="U202" s="402"/>
      <c r="V202" s="401"/>
      <c r="W202" s="402"/>
      <c r="X202" s="401"/>
      <c r="Y202" s="402"/>
      <c r="Z202" s="401"/>
      <c r="AA202" s="402"/>
      <c r="AB202" s="401"/>
      <c r="AC202" s="402"/>
      <c r="AD202" s="401"/>
      <c r="AE202" s="402"/>
      <c r="AF202" s="401"/>
      <c r="AG202" s="402"/>
      <c r="AH202" s="401"/>
      <c r="AI202" s="402"/>
      <c r="AJ202" s="401"/>
      <c r="AK202" s="402"/>
      <c r="AL202" s="401"/>
      <c r="AM202" s="402"/>
      <c r="AN202" s="401"/>
      <c r="AO202" s="402"/>
      <c r="AP202" s="53"/>
      <c r="AQ202" s="53"/>
      <c r="AR202" s="53"/>
    </row>
    <row r="203" spans="1:44">
      <c r="A203" s="249" t="s">
        <v>222</v>
      </c>
      <c r="B203" s="250" t="s">
        <v>244</v>
      </c>
      <c r="C203" s="457"/>
      <c r="D203" s="458">
        <v>158884</v>
      </c>
      <c r="E203" s="459">
        <v>10</v>
      </c>
      <c r="F203" s="401">
        <v>4327.04</v>
      </c>
      <c r="G203" s="402">
        <v>4255.04</v>
      </c>
      <c r="H203" s="406">
        <v>4327.04</v>
      </c>
      <c r="I203" s="402">
        <v>4255.04</v>
      </c>
      <c r="J203" s="401"/>
      <c r="K203" s="402"/>
      <c r="L203" s="401"/>
      <c r="M203" s="402"/>
      <c r="N203" s="401"/>
      <c r="O203" s="402"/>
      <c r="P203" s="401"/>
      <c r="Q203" s="402"/>
      <c r="R203" s="401"/>
      <c r="S203" s="402"/>
      <c r="T203" s="401"/>
      <c r="U203" s="402"/>
      <c r="V203" s="401"/>
      <c r="W203" s="402"/>
      <c r="X203" s="401"/>
      <c r="Y203" s="402"/>
      <c r="Z203" s="401"/>
      <c r="AA203" s="402"/>
      <c r="AB203" s="401"/>
      <c r="AC203" s="402"/>
      <c r="AD203" s="401"/>
      <c r="AE203" s="402"/>
      <c r="AF203" s="401"/>
      <c r="AG203" s="402"/>
      <c r="AH203" s="401"/>
      <c r="AI203" s="402"/>
      <c r="AJ203" s="401"/>
      <c r="AK203" s="402"/>
      <c r="AL203" s="401"/>
      <c r="AM203" s="402"/>
      <c r="AN203" s="401"/>
      <c r="AO203" s="402"/>
      <c r="AP203" s="53"/>
      <c r="AQ203" s="53"/>
      <c r="AR203" s="53"/>
    </row>
    <row r="204" spans="1:44">
      <c r="A204" s="252" t="s">
        <v>222</v>
      </c>
      <c r="B204" s="250" t="s">
        <v>245</v>
      </c>
      <c r="C204" s="457"/>
      <c r="D204" s="458">
        <v>436304</v>
      </c>
      <c r="E204" s="459">
        <v>10</v>
      </c>
      <c r="F204" s="401">
        <v>4109.04</v>
      </c>
      <c r="G204" s="402">
        <v>4109.04</v>
      </c>
      <c r="H204" s="406">
        <v>4109.04</v>
      </c>
      <c r="I204" s="402">
        <v>4109.04</v>
      </c>
      <c r="J204" s="401"/>
      <c r="K204" s="402"/>
      <c r="L204" s="401"/>
      <c r="M204" s="402"/>
      <c r="N204" s="401"/>
      <c r="O204" s="402"/>
      <c r="P204" s="401"/>
      <c r="Q204" s="402"/>
      <c r="R204" s="401"/>
      <c r="S204" s="402"/>
      <c r="T204" s="401"/>
      <c r="U204" s="402"/>
      <c r="V204" s="401"/>
      <c r="W204" s="402"/>
      <c r="X204" s="401"/>
      <c r="Y204" s="402"/>
      <c r="Z204" s="401"/>
      <c r="AA204" s="402"/>
      <c r="AB204" s="401"/>
      <c r="AC204" s="402"/>
      <c r="AD204" s="401"/>
      <c r="AE204" s="402"/>
      <c r="AF204" s="401"/>
      <c r="AG204" s="402"/>
      <c r="AH204" s="401"/>
      <c r="AI204" s="402"/>
      <c r="AJ204" s="401"/>
      <c r="AK204" s="402"/>
      <c r="AL204" s="401"/>
      <c r="AM204" s="402"/>
      <c r="AN204" s="401"/>
      <c r="AO204" s="402"/>
      <c r="AP204" s="53"/>
      <c r="AQ204" s="53"/>
      <c r="AR204" s="53"/>
    </row>
    <row r="205" spans="1:44">
      <c r="A205" s="252" t="s">
        <v>222</v>
      </c>
      <c r="B205" s="250" t="s">
        <v>622</v>
      </c>
      <c r="C205" s="457"/>
      <c r="D205" s="458">
        <v>158088</v>
      </c>
      <c r="E205" s="459">
        <v>12</v>
      </c>
      <c r="F205" s="401">
        <v>4109.04</v>
      </c>
      <c r="G205" s="402">
        <v>4209.04</v>
      </c>
      <c r="H205" s="406">
        <v>4109.04</v>
      </c>
      <c r="I205" s="402">
        <v>4209.04</v>
      </c>
      <c r="J205" s="401"/>
      <c r="K205" s="402"/>
      <c r="L205" s="401"/>
      <c r="M205" s="402"/>
      <c r="N205" s="401"/>
      <c r="O205" s="402"/>
      <c r="P205" s="401"/>
      <c r="Q205" s="402"/>
      <c r="R205" s="401"/>
      <c r="S205" s="402"/>
      <c r="T205" s="401"/>
      <c r="U205" s="402"/>
      <c r="V205" s="401"/>
      <c r="W205" s="402"/>
      <c r="X205" s="401"/>
      <c r="Y205" s="402"/>
      <c r="Z205" s="401"/>
      <c r="AA205" s="402"/>
      <c r="AB205" s="401"/>
      <c r="AC205" s="402"/>
      <c r="AD205" s="401"/>
      <c r="AE205" s="402"/>
      <c r="AF205" s="401"/>
      <c r="AG205" s="402"/>
      <c r="AH205" s="401"/>
      <c r="AI205" s="402"/>
      <c r="AJ205" s="401"/>
      <c r="AK205" s="402"/>
      <c r="AL205" s="401"/>
      <c r="AM205" s="402"/>
      <c r="AN205" s="401"/>
      <c r="AO205" s="402"/>
      <c r="AP205" s="53"/>
      <c r="AQ205" s="53"/>
      <c r="AR205" s="53"/>
    </row>
    <row r="206" spans="1:44">
      <c r="A206" s="252" t="s">
        <v>222</v>
      </c>
      <c r="B206" s="250" t="s">
        <v>246</v>
      </c>
      <c r="C206" s="460"/>
      <c r="D206" s="458">
        <v>160481</v>
      </c>
      <c r="E206" s="459">
        <v>12</v>
      </c>
      <c r="F206" s="401">
        <v>4119.04</v>
      </c>
      <c r="G206" s="402">
        <v>4119.04</v>
      </c>
      <c r="H206" s="406">
        <v>4119.04</v>
      </c>
      <c r="I206" s="402">
        <v>4119.04</v>
      </c>
      <c r="J206" s="401"/>
      <c r="K206" s="402"/>
      <c r="L206" s="401"/>
      <c r="M206" s="402"/>
      <c r="N206" s="401"/>
      <c r="O206" s="402"/>
      <c r="P206" s="401"/>
      <c r="Q206" s="402"/>
      <c r="R206" s="401"/>
      <c r="S206" s="402"/>
      <c r="T206" s="401"/>
      <c r="U206" s="402"/>
      <c r="V206" s="401"/>
      <c r="W206" s="402"/>
      <c r="X206" s="401"/>
      <c r="Y206" s="402"/>
      <c r="Z206" s="401"/>
      <c r="AA206" s="402"/>
      <c r="AB206" s="401"/>
      <c r="AC206" s="402"/>
      <c r="AD206" s="401"/>
      <c r="AE206" s="402"/>
      <c r="AF206" s="401"/>
      <c r="AG206" s="402"/>
      <c r="AH206" s="401"/>
      <c r="AI206" s="402"/>
      <c r="AJ206" s="401"/>
      <c r="AK206" s="402"/>
      <c r="AL206" s="401"/>
      <c r="AM206" s="402"/>
      <c r="AN206" s="401"/>
      <c r="AO206" s="402"/>
      <c r="AP206" s="53"/>
      <c r="AQ206" s="53"/>
      <c r="AR206" s="53"/>
    </row>
    <row r="207" spans="1:44">
      <c r="A207" s="252" t="s">
        <v>222</v>
      </c>
      <c r="B207" s="250" t="s">
        <v>247</v>
      </c>
      <c r="C207" s="457"/>
      <c r="D207" s="458">
        <v>160667</v>
      </c>
      <c r="E207" s="459">
        <v>12</v>
      </c>
      <c r="F207" s="401">
        <v>4103.04</v>
      </c>
      <c r="G207" s="402">
        <v>4203.04</v>
      </c>
      <c r="H207" s="406">
        <v>4103.04</v>
      </c>
      <c r="I207" s="402">
        <v>4203.04</v>
      </c>
      <c r="J207" s="401"/>
      <c r="K207" s="402"/>
      <c r="L207" s="401"/>
      <c r="M207" s="402"/>
      <c r="N207" s="401"/>
      <c r="O207" s="402"/>
      <c r="P207" s="401"/>
      <c r="Q207" s="402"/>
      <c r="R207" s="401"/>
      <c r="S207" s="402"/>
      <c r="T207" s="401"/>
      <c r="U207" s="402"/>
      <c r="V207" s="401"/>
      <c r="W207" s="402"/>
      <c r="X207" s="401"/>
      <c r="Y207" s="402"/>
      <c r="Z207" s="401"/>
      <c r="AA207" s="402"/>
      <c r="AB207" s="401"/>
      <c r="AC207" s="402"/>
      <c r="AD207" s="401"/>
      <c r="AE207" s="402"/>
      <c r="AF207" s="401"/>
      <c r="AG207" s="402"/>
      <c r="AH207" s="401"/>
      <c r="AI207" s="402"/>
      <c r="AJ207" s="401"/>
      <c r="AK207" s="402"/>
      <c r="AL207" s="401"/>
      <c r="AM207" s="402"/>
      <c r="AN207" s="401"/>
      <c r="AO207" s="402"/>
      <c r="AP207" s="53"/>
      <c r="AQ207" s="53"/>
      <c r="AR207" s="53"/>
    </row>
    <row r="208" spans="1:44">
      <c r="A208" s="252" t="s">
        <v>222</v>
      </c>
      <c r="B208" s="250" t="s">
        <v>249</v>
      </c>
      <c r="C208" s="457"/>
      <c r="D208" s="458">
        <v>160579</v>
      </c>
      <c r="E208" s="459">
        <v>12</v>
      </c>
      <c r="F208" s="401">
        <v>4184.87</v>
      </c>
      <c r="G208" s="402">
        <v>4184.87</v>
      </c>
      <c r="H208" s="406">
        <v>4184.87</v>
      </c>
      <c r="I208" s="402">
        <v>4184.87</v>
      </c>
      <c r="J208" s="401"/>
      <c r="K208" s="402"/>
      <c r="L208" s="401"/>
      <c r="M208" s="402"/>
      <c r="N208" s="401"/>
      <c r="O208" s="402"/>
      <c r="P208" s="401"/>
      <c r="Q208" s="402"/>
      <c r="R208" s="401"/>
      <c r="S208" s="402"/>
      <c r="T208" s="401"/>
      <c r="U208" s="402"/>
      <c r="V208" s="401"/>
      <c r="W208" s="402"/>
      <c r="X208" s="401"/>
      <c r="Y208" s="402"/>
      <c r="Z208" s="401"/>
      <c r="AA208" s="402"/>
      <c r="AB208" s="401"/>
      <c r="AC208" s="402"/>
      <c r="AD208" s="401"/>
      <c r="AE208" s="402"/>
      <c r="AF208" s="401"/>
      <c r="AG208" s="402"/>
      <c r="AH208" s="401"/>
      <c r="AI208" s="402"/>
      <c r="AJ208" s="401"/>
      <c r="AK208" s="402"/>
      <c r="AL208" s="401"/>
      <c r="AM208" s="402"/>
      <c r="AN208" s="401"/>
      <c r="AO208" s="402"/>
      <c r="AP208" s="53"/>
      <c r="AQ208" s="53"/>
      <c r="AR208" s="53"/>
    </row>
    <row r="209" spans="1:44">
      <c r="A209" s="252" t="s">
        <v>222</v>
      </c>
      <c r="B209" s="250" t="s">
        <v>248</v>
      </c>
      <c r="C209" s="457"/>
      <c r="D209" s="458">
        <v>160010</v>
      </c>
      <c r="E209" s="459">
        <v>13</v>
      </c>
      <c r="F209" s="401">
        <v>4109.3500000000004</v>
      </c>
      <c r="G209" s="402">
        <v>4109.3500000000004</v>
      </c>
      <c r="H209" s="406">
        <v>4109.3500000000004</v>
      </c>
      <c r="I209" s="402">
        <v>4109.3500000000004</v>
      </c>
      <c r="J209" s="401"/>
      <c r="K209" s="402"/>
      <c r="L209" s="401"/>
      <c r="M209" s="402"/>
      <c r="N209" s="401"/>
      <c r="O209" s="402"/>
      <c r="P209" s="401"/>
      <c r="Q209" s="402"/>
      <c r="R209" s="401"/>
      <c r="S209" s="402"/>
      <c r="T209" s="401"/>
      <c r="U209" s="402"/>
      <c r="V209" s="401"/>
      <c r="W209" s="402"/>
      <c r="X209" s="401"/>
      <c r="Y209" s="402"/>
      <c r="Z209" s="401"/>
      <c r="AA209" s="402"/>
      <c r="AB209" s="401"/>
      <c r="AC209" s="402"/>
      <c r="AD209" s="401"/>
      <c r="AE209" s="402"/>
      <c r="AF209" s="401"/>
      <c r="AG209" s="402"/>
      <c r="AH209" s="401"/>
      <c r="AI209" s="402"/>
      <c r="AJ209" s="401"/>
      <c r="AK209" s="402"/>
      <c r="AL209" s="401"/>
      <c r="AM209" s="402"/>
      <c r="AN209" s="401"/>
      <c r="AO209" s="402"/>
      <c r="AP209" s="53"/>
      <c r="AQ209" s="53"/>
      <c r="AR209" s="53"/>
    </row>
    <row r="210" spans="1:44">
      <c r="A210" s="252" t="s">
        <v>222</v>
      </c>
      <c r="B210" s="250" t="s">
        <v>250</v>
      </c>
      <c r="C210" s="457"/>
      <c r="D210" s="458">
        <v>159373</v>
      </c>
      <c r="E210" s="459">
        <v>15</v>
      </c>
      <c r="F210" s="401"/>
      <c r="G210" s="402"/>
      <c r="H210" s="401"/>
      <c r="I210" s="402"/>
      <c r="J210" s="401"/>
      <c r="K210" s="402"/>
      <c r="L210" s="401"/>
      <c r="M210" s="402"/>
      <c r="N210" s="401"/>
      <c r="O210" s="402"/>
      <c r="P210" s="401"/>
      <c r="Q210" s="402"/>
      <c r="R210" s="401">
        <v>32936.949999999997</v>
      </c>
      <c r="S210" s="402">
        <v>32936.949999999997</v>
      </c>
      <c r="T210" s="401">
        <v>61114.29</v>
      </c>
      <c r="U210" s="402">
        <v>61114.29</v>
      </c>
      <c r="V210" s="401">
        <v>34403</v>
      </c>
      <c r="W210" s="402">
        <v>34403</v>
      </c>
      <c r="X210" s="401">
        <v>63869</v>
      </c>
      <c r="Y210" s="402">
        <v>63869</v>
      </c>
      <c r="Z210" s="401"/>
      <c r="AA210" s="402"/>
      <c r="AB210" s="401"/>
      <c r="AC210" s="402"/>
      <c r="AD210" s="401"/>
      <c r="AE210" s="402"/>
      <c r="AF210" s="401"/>
      <c r="AG210" s="402"/>
      <c r="AH210" s="401"/>
      <c r="AI210" s="402"/>
      <c r="AJ210" s="401"/>
      <c r="AK210" s="402"/>
      <c r="AL210" s="401"/>
      <c r="AM210" s="402"/>
      <c r="AN210" s="401"/>
      <c r="AO210" s="402"/>
      <c r="AP210" s="53"/>
      <c r="AQ210" s="53"/>
      <c r="AR210" s="53"/>
    </row>
    <row r="211" spans="1:44">
      <c r="A211" s="252" t="s">
        <v>222</v>
      </c>
      <c r="B211" s="250" t="s">
        <v>251</v>
      </c>
      <c r="C211" s="457"/>
      <c r="D211" s="458">
        <v>435000</v>
      </c>
      <c r="E211" s="459">
        <v>15</v>
      </c>
      <c r="F211" s="401"/>
      <c r="G211" s="402"/>
      <c r="H211" s="401"/>
      <c r="I211" s="402"/>
      <c r="J211" s="401"/>
      <c r="K211" s="402"/>
      <c r="L211" s="401"/>
      <c r="M211" s="402"/>
      <c r="N211" s="401"/>
      <c r="O211" s="402"/>
      <c r="P211" s="401"/>
      <c r="Q211" s="402"/>
      <c r="R211" s="401">
        <v>29343.25</v>
      </c>
      <c r="S211" s="402">
        <v>29343.25</v>
      </c>
      <c r="T211" s="401">
        <v>61165.25</v>
      </c>
      <c r="U211" s="402">
        <v>61165.25</v>
      </c>
      <c r="V211" s="401"/>
      <c r="W211" s="402"/>
      <c r="X211" s="401"/>
      <c r="Y211" s="402"/>
      <c r="Z211" s="401"/>
      <c r="AA211" s="402"/>
      <c r="AB211" s="401"/>
      <c r="AC211" s="402"/>
      <c r="AD211" s="401"/>
      <c r="AE211" s="402"/>
      <c r="AF211" s="401"/>
      <c r="AG211" s="402"/>
      <c r="AH211" s="401"/>
      <c r="AI211" s="402"/>
      <c r="AJ211" s="401"/>
      <c r="AK211" s="402"/>
      <c r="AL211" s="401"/>
      <c r="AM211" s="402"/>
      <c r="AN211" s="401"/>
      <c r="AO211" s="402"/>
      <c r="AP211" s="53"/>
      <c r="AQ211" s="53"/>
      <c r="AR211" s="53"/>
    </row>
    <row r="212" spans="1:44">
      <c r="A212" s="252" t="s">
        <v>222</v>
      </c>
      <c r="B212" s="254" t="s">
        <v>637</v>
      </c>
      <c r="C212" s="457"/>
      <c r="D212" s="458">
        <v>440916</v>
      </c>
      <c r="E212" s="459">
        <v>15</v>
      </c>
      <c r="F212" s="401"/>
      <c r="G212" s="402"/>
      <c r="H212" s="401"/>
      <c r="I212" s="402"/>
      <c r="J212" s="401"/>
      <c r="K212" s="402"/>
      <c r="L212" s="401"/>
      <c r="M212" s="402"/>
      <c r="N212" s="401">
        <v>17434</v>
      </c>
      <c r="O212" s="402">
        <v>17434</v>
      </c>
      <c r="P212" s="401">
        <v>30034</v>
      </c>
      <c r="Q212" s="402">
        <v>30034</v>
      </c>
      <c r="R212" s="401"/>
      <c r="S212" s="402"/>
      <c r="T212" s="401"/>
      <c r="U212" s="402"/>
      <c r="V212" s="401"/>
      <c r="W212" s="402"/>
      <c r="X212" s="401"/>
      <c r="Y212" s="402"/>
      <c r="Z212" s="401"/>
      <c r="AA212" s="402"/>
      <c r="AB212" s="401"/>
      <c r="AC212" s="402"/>
      <c r="AD212" s="401"/>
      <c r="AE212" s="402"/>
      <c r="AF212" s="401"/>
      <c r="AG212" s="402"/>
      <c r="AH212" s="401"/>
      <c r="AI212" s="402"/>
      <c r="AJ212" s="401"/>
      <c r="AK212" s="402"/>
      <c r="AL212" s="401"/>
      <c r="AM212" s="402"/>
      <c r="AN212" s="401"/>
      <c r="AO212" s="402"/>
      <c r="AP212" s="53"/>
      <c r="AQ212" s="53"/>
      <c r="AR212" s="53"/>
    </row>
    <row r="213" spans="1:44">
      <c r="A213" s="256" t="s">
        <v>252</v>
      </c>
      <c r="B213" s="226" t="s">
        <v>268</v>
      </c>
      <c r="C213" s="440"/>
      <c r="D213" s="436">
        <v>161688</v>
      </c>
      <c r="E213" s="439">
        <v>10</v>
      </c>
      <c r="F213" s="401">
        <v>4920</v>
      </c>
      <c r="G213" s="402">
        <v>4912</v>
      </c>
      <c r="H213" s="401">
        <v>10470</v>
      </c>
      <c r="I213" s="402">
        <v>10462</v>
      </c>
      <c r="J213" s="401"/>
      <c r="K213" s="402"/>
      <c r="L213" s="401"/>
      <c r="M213" s="402"/>
      <c r="N213" s="401"/>
      <c r="O213" s="402"/>
      <c r="P213" s="401"/>
      <c r="Q213" s="402"/>
      <c r="R213" s="401"/>
      <c r="S213" s="402"/>
      <c r="T213" s="401"/>
      <c r="U213" s="402"/>
      <c r="V213" s="401"/>
      <c r="W213" s="402"/>
      <c r="X213" s="401"/>
      <c r="Y213" s="402"/>
      <c r="Z213" s="401"/>
      <c r="AA213" s="402"/>
      <c r="AB213" s="401"/>
      <c r="AC213" s="402"/>
      <c r="AD213" s="401"/>
      <c r="AE213" s="402"/>
      <c r="AF213" s="401"/>
      <c r="AG213" s="402"/>
      <c r="AH213" s="401"/>
      <c r="AI213" s="402"/>
      <c r="AJ213" s="401"/>
      <c r="AK213" s="402"/>
      <c r="AL213" s="401"/>
      <c r="AM213" s="402"/>
      <c r="AN213" s="401"/>
      <c r="AO213" s="402"/>
      <c r="AP213" s="53"/>
      <c r="AQ213" s="53"/>
      <c r="AR213" s="53"/>
    </row>
    <row r="214" spans="1:44">
      <c r="A214" s="225" t="s">
        <v>252</v>
      </c>
      <c r="B214" s="226" t="s">
        <v>264</v>
      </c>
      <c r="C214" s="438"/>
      <c r="D214" s="436">
        <v>161767</v>
      </c>
      <c r="E214" s="439">
        <v>8</v>
      </c>
      <c r="F214" s="401">
        <v>4400</v>
      </c>
      <c r="G214" s="402">
        <v>4910</v>
      </c>
      <c r="H214" s="401">
        <v>13040</v>
      </c>
      <c r="I214" s="402">
        <v>13550</v>
      </c>
      <c r="J214" s="401"/>
      <c r="K214" s="402"/>
      <c r="L214" s="401"/>
      <c r="M214" s="402"/>
      <c r="N214" s="401"/>
      <c r="O214" s="402"/>
      <c r="P214" s="401"/>
      <c r="Q214" s="402"/>
      <c r="R214" s="401"/>
      <c r="S214" s="402"/>
      <c r="T214" s="401"/>
      <c r="U214" s="402"/>
      <c r="V214" s="401"/>
      <c r="W214" s="402"/>
      <c r="X214" s="401"/>
      <c r="Y214" s="402"/>
      <c r="Z214" s="401"/>
      <c r="AA214" s="402"/>
      <c r="AB214" s="401"/>
      <c r="AC214" s="402"/>
      <c r="AD214" s="401"/>
      <c r="AE214" s="402"/>
      <c r="AF214" s="401"/>
      <c r="AG214" s="402"/>
      <c r="AH214" s="401"/>
      <c r="AI214" s="402"/>
      <c r="AJ214" s="401"/>
      <c r="AK214" s="402"/>
      <c r="AL214" s="401"/>
      <c r="AM214" s="402"/>
      <c r="AN214" s="401"/>
      <c r="AO214" s="402"/>
      <c r="AP214" s="53"/>
      <c r="AQ214" s="53"/>
      <c r="AR214" s="53"/>
    </row>
    <row r="215" spans="1:44">
      <c r="A215" s="225" t="s">
        <v>252</v>
      </c>
      <c r="B215" s="226" t="s">
        <v>269</v>
      </c>
      <c r="C215" s="438"/>
      <c r="D215" s="436">
        <v>161864</v>
      </c>
      <c r="E215" s="439">
        <v>9</v>
      </c>
      <c r="F215" s="401">
        <v>4214</v>
      </c>
      <c r="G215" s="402">
        <v>3314</v>
      </c>
      <c r="H215" s="401">
        <v>9314</v>
      </c>
      <c r="I215" s="402">
        <v>7394</v>
      </c>
      <c r="J215" s="401"/>
      <c r="K215" s="402"/>
      <c r="L215" s="401"/>
      <c r="M215" s="402"/>
      <c r="N215" s="401"/>
      <c r="O215" s="402"/>
      <c r="P215" s="401"/>
      <c r="Q215" s="402"/>
      <c r="R215" s="401"/>
      <c r="S215" s="402"/>
      <c r="T215" s="401"/>
      <c r="U215" s="402"/>
      <c r="V215" s="401"/>
      <c r="W215" s="402"/>
      <c r="X215" s="401"/>
      <c r="Y215" s="402"/>
      <c r="Z215" s="401"/>
      <c r="AA215" s="402"/>
      <c r="AB215" s="401"/>
      <c r="AC215" s="402"/>
      <c r="AD215" s="401"/>
      <c r="AE215" s="402"/>
      <c r="AF215" s="401"/>
      <c r="AG215" s="402"/>
      <c r="AH215" s="401"/>
      <c r="AI215" s="402"/>
      <c r="AJ215" s="401"/>
      <c r="AK215" s="402"/>
      <c r="AL215" s="401"/>
      <c r="AM215" s="402"/>
      <c r="AN215" s="401"/>
      <c r="AO215" s="402"/>
      <c r="AP215" s="53"/>
      <c r="AQ215" s="53"/>
      <c r="AR215" s="53"/>
    </row>
    <row r="216" spans="1:44">
      <c r="A216" s="256" t="s">
        <v>252</v>
      </c>
      <c r="B216" s="226" t="s">
        <v>270</v>
      </c>
      <c r="C216" s="376" t="s">
        <v>1015</v>
      </c>
      <c r="D216" s="436">
        <v>405872</v>
      </c>
      <c r="E216" s="439">
        <v>9</v>
      </c>
      <c r="F216" s="401">
        <v>5160</v>
      </c>
      <c r="G216" s="402">
        <v>5160</v>
      </c>
      <c r="H216" s="401">
        <v>12630</v>
      </c>
      <c r="I216" s="402">
        <v>10860</v>
      </c>
      <c r="J216" s="401"/>
      <c r="K216" s="402"/>
      <c r="L216" s="401"/>
      <c r="M216" s="402"/>
      <c r="N216" s="401"/>
      <c r="O216" s="402"/>
      <c r="P216" s="401"/>
      <c r="Q216" s="402"/>
      <c r="R216" s="401"/>
      <c r="S216" s="402"/>
      <c r="T216" s="401"/>
      <c r="U216" s="402"/>
      <c r="V216" s="401"/>
      <c r="W216" s="402"/>
      <c r="X216" s="401"/>
      <c r="Y216" s="402"/>
      <c r="Z216" s="401"/>
      <c r="AA216" s="402"/>
      <c r="AB216" s="401"/>
      <c r="AC216" s="402"/>
      <c r="AD216" s="401"/>
      <c r="AE216" s="402"/>
      <c r="AF216" s="401"/>
      <c r="AG216" s="402"/>
      <c r="AH216" s="401"/>
      <c r="AI216" s="402"/>
      <c r="AJ216" s="401"/>
      <c r="AK216" s="402"/>
      <c r="AL216" s="401"/>
      <c r="AM216" s="402"/>
      <c r="AN216" s="401"/>
      <c r="AO216" s="402"/>
      <c r="AP216" s="53"/>
      <c r="AQ216" s="53"/>
      <c r="AR216" s="53"/>
    </row>
    <row r="217" spans="1:44">
      <c r="A217" s="225" t="s">
        <v>252</v>
      </c>
      <c r="B217" s="226" t="s">
        <v>275</v>
      </c>
      <c r="C217" s="438"/>
      <c r="D217" s="436">
        <v>162104</v>
      </c>
      <c r="E217" s="439">
        <v>10</v>
      </c>
      <c r="F217" s="401">
        <v>4770</v>
      </c>
      <c r="G217" s="402">
        <v>4770</v>
      </c>
      <c r="H217" s="401">
        <v>9510</v>
      </c>
      <c r="I217" s="402">
        <v>9510</v>
      </c>
      <c r="J217" s="401"/>
      <c r="K217" s="402"/>
      <c r="L217" s="401"/>
      <c r="M217" s="402"/>
      <c r="N217" s="401"/>
      <c r="O217" s="402"/>
      <c r="P217" s="401"/>
      <c r="Q217" s="402"/>
      <c r="R217" s="401"/>
      <c r="S217" s="402"/>
      <c r="T217" s="401"/>
      <c r="U217" s="402"/>
      <c r="V217" s="401"/>
      <c r="W217" s="402"/>
      <c r="X217" s="401"/>
      <c r="Y217" s="402"/>
      <c r="Z217" s="401"/>
      <c r="AA217" s="402"/>
      <c r="AB217" s="401"/>
      <c r="AC217" s="402"/>
      <c r="AD217" s="401"/>
      <c r="AE217" s="402"/>
      <c r="AF217" s="401"/>
      <c r="AG217" s="402"/>
      <c r="AH217" s="401"/>
      <c r="AI217" s="402"/>
      <c r="AJ217" s="401"/>
      <c r="AK217" s="402"/>
      <c r="AL217" s="401"/>
      <c r="AM217" s="402"/>
      <c r="AN217" s="401"/>
      <c r="AO217" s="402"/>
      <c r="AP217" s="53"/>
      <c r="AQ217" s="53"/>
      <c r="AR217" s="53"/>
    </row>
    <row r="218" spans="1:44">
      <c r="A218" s="225" t="s">
        <v>252</v>
      </c>
      <c r="B218" s="226" t="s">
        <v>276</v>
      </c>
      <c r="C218" s="440"/>
      <c r="D218" s="436">
        <v>162168</v>
      </c>
      <c r="E218" s="439">
        <v>10</v>
      </c>
      <c r="F218" s="401">
        <v>4850</v>
      </c>
      <c r="G218" s="402">
        <v>4850</v>
      </c>
      <c r="H218" s="401">
        <v>9230</v>
      </c>
      <c r="I218" s="402">
        <v>9230</v>
      </c>
      <c r="J218" s="401"/>
      <c r="K218" s="402"/>
      <c r="L218" s="401"/>
      <c r="M218" s="402"/>
      <c r="N218" s="401"/>
      <c r="O218" s="402"/>
      <c r="P218" s="401"/>
      <c r="Q218" s="402"/>
      <c r="R218" s="401"/>
      <c r="S218" s="402"/>
      <c r="T218" s="401"/>
      <c r="U218" s="402"/>
      <c r="V218" s="401"/>
      <c r="W218" s="402"/>
      <c r="X218" s="401"/>
      <c r="Y218" s="402"/>
      <c r="Z218" s="401"/>
      <c r="AA218" s="402"/>
      <c r="AB218" s="401"/>
      <c r="AC218" s="402"/>
      <c r="AD218" s="401"/>
      <c r="AE218" s="402"/>
      <c r="AF218" s="401"/>
      <c r="AG218" s="402"/>
      <c r="AH218" s="401"/>
      <c r="AI218" s="402"/>
      <c r="AJ218" s="401"/>
      <c r="AK218" s="402"/>
      <c r="AL218" s="401"/>
      <c r="AM218" s="402"/>
      <c r="AN218" s="401"/>
      <c r="AO218" s="402"/>
      <c r="AP218" s="53"/>
      <c r="AQ218" s="53"/>
      <c r="AR218" s="53"/>
    </row>
    <row r="219" spans="1:44">
      <c r="A219" s="225" t="s">
        <v>252</v>
      </c>
      <c r="B219" s="226" t="s">
        <v>265</v>
      </c>
      <c r="C219" s="440"/>
      <c r="D219" s="436">
        <v>162122</v>
      </c>
      <c r="E219" s="462">
        <v>9</v>
      </c>
      <c r="F219" s="401">
        <v>4913</v>
      </c>
      <c r="G219" s="402">
        <v>5025</v>
      </c>
      <c r="H219" s="401">
        <v>11025</v>
      </c>
      <c r="I219" s="402">
        <v>11288</v>
      </c>
      <c r="J219" s="401"/>
      <c r="K219" s="402"/>
      <c r="L219" s="401"/>
      <c r="M219" s="402"/>
      <c r="N219" s="401"/>
      <c r="O219" s="402"/>
      <c r="P219" s="401"/>
      <c r="Q219" s="402"/>
      <c r="R219" s="401"/>
      <c r="S219" s="402"/>
      <c r="T219" s="401"/>
      <c r="U219" s="402"/>
      <c r="V219" s="401"/>
      <c r="W219" s="402"/>
      <c r="X219" s="401"/>
      <c r="Y219" s="402"/>
      <c r="Z219" s="401"/>
      <c r="AA219" s="402"/>
      <c r="AB219" s="401"/>
      <c r="AC219" s="402"/>
      <c r="AD219" s="401"/>
      <c r="AE219" s="402"/>
      <c r="AF219" s="401"/>
      <c r="AG219" s="402"/>
      <c r="AH219" s="401"/>
      <c r="AI219" s="402"/>
      <c r="AJ219" s="401"/>
      <c r="AK219" s="402"/>
      <c r="AL219" s="401"/>
      <c r="AM219" s="402"/>
      <c r="AN219" s="401"/>
      <c r="AO219" s="402"/>
      <c r="AP219" s="53"/>
      <c r="AQ219" s="53"/>
      <c r="AR219" s="53"/>
    </row>
    <row r="220" spans="1:44">
      <c r="A220" s="225" t="s">
        <v>252</v>
      </c>
      <c r="B220" s="226" t="s">
        <v>660</v>
      </c>
      <c r="C220" s="438"/>
      <c r="D220" s="436">
        <v>434672</v>
      </c>
      <c r="E220" s="439">
        <v>8</v>
      </c>
      <c r="F220" s="401">
        <v>5016</v>
      </c>
      <c r="G220" s="402">
        <v>5016</v>
      </c>
      <c r="H220" s="401">
        <v>12516</v>
      </c>
      <c r="I220" s="402">
        <v>12516</v>
      </c>
      <c r="J220" s="401"/>
      <c r="K220" s="402"/>
      <c r="L220" s="401"/>
      <c r="M220" s="402"/>
      <c r="N220" s="401"/>
      <c r="O220" s="402"/>
      <c r="P220" s="401"/>
      <c r="Q220" s="402"/>
      <c r="R220" s="401"/>
      <c r="S220" s="402"/>
      <c r="T220" s="401"/>
      <c r="U220" s="402"/>
      <c r="V220" s="401"/>
      <c r="W220" s="402"/>
      <c r="X220" s="401"/>
      <c r="Y220" s="402"/>
      <c r="Z220" s="401"/>
      <c r="AA220" s="402"/>
      <c r="AB220" s="401"/>
      <c r="AC220" s="402"/>
      <c r="AD220" s="401"/>
      <c r="AE220" s="402"/>
      <c r="AF220" s="401"/>
      <c r="AG220" s="402"/>
      <c r="AH220" s="401"/>
      <c r="AI220" s="402"/>
      <c r="AJ220" s="401"/>
      <c r="AK220" s="402"/>
      <c r="AL220" s="401"/>
      <c r="AM220" s="402"/>
      <c r="AN220" s="401"/>
      <c r="AO220" s="402"/>
      <c r="AP220" s="53"/>
      <c r="AQ220" s="53"/>
      <c r="AR220" s="53"/>
    </row>
    <row r="221" spans="1:44">
      <c r="A221" s="225" t="s">
        <v>252</v>
      </c>
      <c r="B221" s="226" t="s">
        <v>271</v>
      </c>
      <c r="C221" s="438"/>
      <c r="D221" s="436">
        <v>162557</v>
      </c>
      <c r="E221" s="439">
        <v>9</v>
      </c>
      <c r="F221" s="401">
        <v>4669</v>
      </c>
      <c r="G221" s="402">
        <v>4717</v>
      </c>
      <c r="H221" s="401">
        <v>12199</v>
      </c>
      <c r="I221" s="402">
        <v>12307</v>
      </c>
      <c r="J221" s="401"/>
      <c r="K221" s="402"/>
      <c r="L221" s="401"/>
      <c r="M221" s="402"/>
      <c r="N221" s="401"/>
      <c r="O221" s="402"/>
      <c r="P221" s="401"/>
      <c r="Q221" s="402"/>
      <c r="R221" s="401"/>
      <c r="S221" s="402"/>
      <c r="T221" s="401"/>
      <c r="U221" s="402"/>
      <c r="V221" s="401"/>
      <c r="W221" s="402"/>
      <c r="X221" s="401"/>
      <c r="Y221" s="402"/>
      <c r="Z221" s="401"/>
      <c r="AA221" s="402"/>
      <c r="AB221" s="401"/>
      <c r="AC221" s="402"/>
      <c r="AD221" s="401"/>
      <c r="AE221" s="402"/>
      <c r="AF221" s="401"/>
      <c r="AG221" s="402"/>
      <c r="AH221" s="401"/>
      <c r="AI221" s="402"/>
      <c r="AJ221" s="401"/>
      <c r="AK221" s="402"/>
      <c r="AL221" s="401"/>
      <c r="AM221" s="402"/>
      <c r="AN221" s="401"/>
      <c r="AO221" s="402"/>
      <c r="AP221" s="53"/>
      <c r="AQ221" s="53"/>
      <c r="AR221" s="53"/>
    </row>
    <row r="222" spans="1:44">
      <c r="A222" s="225" t="s">
        <v>252</v>
      </c>
      <c r="B222" s="226" t="s">
        <v>277</v>
      </c>
      <c r="C222" s="438"/>
      <c r="D222" s="436">
        <v>162609</v>
      </c>
      <c r="E222" s="439">
        <v>10</v>
      </c>
      <c r="F222" s="401">
        <v>4260</v>
      </c>
      <c r="G222" s="402">
        <v>4260</v>
      </c>
      <c r="H222" s="401">
        <v>11340</v>
      </c>
      <c r="I222" s="402">
        <v>11760</v>
      </c>
      <c r="J222" s="401"/>
      <c r="K222" s="402"/>
      <c r="L222" s="401"/>
      <c r="M222" s="402"/>
      <c r="N222" s="401"/>
      <c r="O222" s="402"/>
      <c r="P222" s="401"/>
      <c r="Q222" s="402"/>
      <c r="R222" s="401"/>
      <c r="S222" s="402"/>
      <c r="T222" s="401"/>
      <c r="U222" s="402"/>
      <c r="V222" s="401"/>
      <c r="W222" s="402"/>
      <c r="X222" s="401"/>
      <c r="Y222" s="402"/>
      <c r="Z222" s="401"/>
      <c r="AA222" s="402"/>
      <c r="AB222" s="401"/>
      <c r="AC222" s="402"/>
      <c r="AD222" s="401"/>
      <c r="AE222" s="402"/>
      <c r="AF222" s="401"/>
      <c r="AG222" s="402"/>
      <c r="AH222" s="401"/>
      <c r="AI222" s="402"/>
      <c r="AJ222" s="401"/>
      <c r="AK222" s="402"/>
      <c r="AL222" s="401"/>
      <c r="AM222" s="402"/>
      <c r="AN222" s="401"/>
      <c r="AO222" s="402"/>
      <c r="AP222" s="53"/>
      <c r="AQ222" s="53"/>
      <c r="AR222" s="53"/>
    </row>
    <row r="223" spans="1:44">
      <c r="A223" s="225" t="s">
        <v>252</v>
      </c>
      <c r="B223" s="226" t="s">
        <v>272</v>
      </c>
      <c r="C223" s="438"/>
      <c r="D223" s="436">
        <v>162690</v>
      </c>
      <c r="E223" s="439">
        <v>9</v>
      </c>
      <c r="F223" s="401">
        <v>4170</v>
      </c>
      <c r="G223" s="402">
        <v>4170</v>
      </c>
      <c r="H223" s="401">
        <v>8040</v>
      </c>
      <c r="I223" s="402">
        <v>8040</v>
      </c>
      <c r="J223" s="401"/>
      <c r="K223" s="402"/>
      <c r="L223" s="401"/>
      <c r="M223" s="402"/>
      <c r="N223" s="401"/>
      <c r="O223" s="402"/>
      <c r="P223" s="401"/>
      <c r="Q223" s="402"/>
      <c r="R223" s="401"/>
      <c r="S223" s="402"/>
      <c r="T223" s="401"/>
      <c r="U223" s="402"/>
      <c r="V223" s="401"/>
      <c r="W223" s="402"/>
      <c r="X223" s="401"/>
      <c r="Y223" s="402"/>
      <c r="Z223" s="401"/>
      <c r="AA223" s="402"/>
      <c r="AB223" s="401"/>
      <c r="AC223" s="402"/>
      <c r="AD223" s="401"/>
      <c r="AE223" s="402"/>
      <c r="AF223" s="401"/>
      <c r="AG223" s="402"/>
      <c r="AH223" s="401"/>
      <c r="AI223" s="402"/>
      <c r="AJ223" s="401"/>
      <c r="AK223" s="402"/>
      <c r="AL223" s="401"/>
      <c r="AM223" s="402"/>
      <c r="AN223" s="401"/>
      <c r="AO223" s="402"/>
      <c r="AP223" s="53"/>
      <c r="AQ223" s="53"/>
      <c r="AR223" s="53"/>
    </row>
    <row r="224" spans="1:44">
      <c r="A224" s="256" t="s">
        <v>252</v>
      </c>
      <c r="B224" s="226" t="s">
        <v>273</v>
      </c>
      <c r="C224" s="440"/>
      <c r="D224" s="436">
        <v>162706</v>
      </c>
      <c r="E224" s="439">
        <v>9</v>
      </c>
      <c r="F224" s="401">
        <v>4783</v>
      </c>
      <c r="G224" s="402">
        <v>4783</v>
      </c>
      <c r="H224" s="401">
        <v>10377</v>
      </c>
      <c r="I224" s="402">
        <v>10377</v>
      </c>
      <c r="J224" s="401"/>
      <c r="K224" s="402"/>
      <c r="L224" s="401"/>
      <c r="M224" s="402"/>
      <c r="N224" s="401"/>
      <c r="O224" s="402"/>
      <c r="P224" s="401"/>
      <c r="Q224" s="402"/>
      <c r="R224" s="401"/>
      <c r="S224" s="402"/>
      <c r="T224" s="401"/>
      <c r="U224" s="402"/>
      <c r="V224" s="401"/>
      <c r="W224" s="402"/>
      <c r="X224" s="401"/>
      <c r="Y224" s="402"/>
      <c r="Z224" s="401"/>
      <c r="AA224" s="402"/>
      <c r="AB224" s="401"/>
      <c r="AC224" s="402"/>
      <c r="AD224" s="401"/>
      <c r="AE224" s="402"/>
      <c r="AF224" s="401"/>
      <c r="AG224" s="402"/>
      <c r="AH224" s="401"/>
      <c r="AI224" s="402"/>
      <c r="AJ224" s="401"/>
      <c r="AK224" s="402"/>
      <c r="AL224" s="401"/>
      <c r="AM224" s="402"/>
      <c r="AN224" s="401"/>
      <c r="AO224" s="402"/>
      <c r="AP224" s="53"/>
      <c r="AQ224" s="53"/>
      <c r="AR224" s="53"/>
    </row>
    <row r="225" spans="1:44">
      <c r="A225" s="256" t="s">
        <v>252</v>
      </c>
      <c r="B225" s="226" t="s">
        <v>266</v>
      </c>
      <c r="C225" s="438"/>
      <c r="D225" s="436">
        <v>162779</v>
      </c>
      <c r="E225" s="439">
        <v>8</v>
      </c>
      <c r="F225" s="401">
        <v>5110</v>
      </c>
      <c r="G225" s="402">
        <v>5110</v>
      </c>
      <c r="H225" s="401">
        <v>9610</v>
      </c>
      <c r="I225" s="402">
        <v>9970</v>
      </c>
      <c r="J225" s="401"/>
      <c r="K225" s="402"/>
      <c r="L225" s="401"/>
      <c r="M225" s="402"/>
      <c r="N225" s="401"/>
      <c r="O225" s="402"/>
      <c r="P225" s="401"/>
      <c r="Q225" s="402"/>
      <c r="R225" s="401"/>
      <c r="S225" s="402"/>
      <c r="T225" s="401"/>
      <c r="U225" s="402"/>
      <c r="V225" s="401"/>
      <c r="W225" s="402"/>
      <c r="X225" s="401"/>
      <c r="Y225" s="402"/>
      <c r="Z225" s="401"/>
      <c r="AA225" s="402"/>
      <c r="AB225" s="401"/>
      <c r="AC225" s="402"/>
      <c r="AD225" s="401"/>
      <c r="AE225" s="402"/>
      <c r="AF225" s="401"/>
      <c r="AG225" s="402"/>
      <c r="AH225" s="401"/>
      <c r="AI225" s="402"/>
      <c r="AJ225" s="401"/>
      <c r="AK225" s="402"/>
      <c r="AL225" s="401"/>
      <c r="AM225" s="402"/>
      <c r="AN225" s="401"/>
      <c r="AO225" s="402"/>
      <c r="AP225" s="53"/>
      <c r="AQ225" s="53"/>
      <c r="AR225" s="53"/>
    </row>
    <row r="226" spans="1:44">
      <c r="A226" s="225" t="s">
        <v>252</v>
      </c>
      <c r="B226" s="226" t="s">
        <v>661</v>
      </c>
      <c r="C226" s="438"/>
      <c r="D226" s="436">
        <v>163426</v>
      </c>
      <c r="E226" s="439">
        <v>8</v>
      </c>
      <c r="F226" s="401">
        <v>5322</v>
      </c>
      <c r="G226" s="402">
        <v>5322</v>
      </c>
      <c r="H226" s="401">
        <v>14034</v>
      </c>
      <c r="I226" s="402">
        <v>14034</v>
      </c>
      <c r="J226" s="401"/>
      <c r="K226" s="402"/>
      <c r="L226" s="401"/>
      <c r="M226" s="402"/>
      <c r="N226" s="401"/>
      <c r="O226" s="402"/>
      <c r="P226" s="401"/>
      <c r="Q226" s="402"/>
      <c r="R226" s="401"/>
      <c r="S226" s="402"/>
      <c r="T226" s="401"/>
      <c r="U226" s="402"/>
      <c r="V226" s="401"/>
      <c r="W226" s="402"/>
      <c r="X226" s="401"/>
      <c r="Y226" s="402"/>
      <c r="Z226" s="401"/>
      <c r="AA226" s="402"/>
      <c r="AB226" s="401"/>
      <c r="AC226" s="402"/>
      <c r="AD226" s="401"/>
      <c r="AE226" s="402"/>
      <c r="AF226" s="401"/>
      <c r="AG226" s="402"/>
      <c r="AH226" s="401"/>
      <c r="AI226" s="402"/>
      <c r="AJ226" s="401"/>
      <c r="AK226" s="402"/>
      <c r="AL226" s="401"/>
      <c r="AM226" s="402"/>
      <c r="AN226" s="401"/>
      <c r="AO226" s="402"/>
      <c r="AP226" s="53"/>
      <c r="AQ226" s="53"/>
      <c r="AR226" s="53"/>
    </row>
    <row r="227" spans="1:44">
      <c r="A227" s="225" t="s">
        <v>252</v>
      </c>
      <c r="B227" s="226" t="s">
        <v>267</v>
      </c>
      <c r="C227" s="438"/>
      <c r="D227" s="436">
        <v>163657</v>
      </c>
      <c r="E227" s="439">
        <v>8</v>
      </c>
      <c r="F227" s="401">
        <v>4670</v>
      </c>
      <c r="G227" s="402">
        <v>3746</v>
      </c>
      <c r="H227" s="401">
        <v>10580</v>
      </c>
      <c r="I227" s="402">
        <v>8474</v>
      </c>
      <c r="J227" s="401"/>
      <c r="K227" s="402"/>
      <c r="L227" s="401"/>
      <c r="M227" s="402"/>
      <c r="N227" s="401"/>
      <c r="O227" s="402"/>
      <c r="P227" s="401"/>
      <c r="Q227" s="402"/>
      <c r="R227" s="401"/>
      <c r="S227" s="402"/>
      <c r="T227" s="401"/>
      <c r="U227" s="402"/>
      <c r="V227" s="401"/>
      <c r="W227" s="402"/>
      <c r="X227" s="401"/>
      <c r="Y227" s="402"/>
      <c r="Z227" s="401"/>
      <c r="AA227" s="402"/>
      <c r="AB227" s="401"/>
      <c r="AC227" s="402"/>
      <c r="AD227" s="401"/>
      <c r="AE227" s="402"/>
      <c r="AF227" s="401"/>
      <c r="AG227" s="402"/>
      <c r="AH227" s="401"/>
      <c r="AI227" s="402"/>
      <c r="AJ227" s="401"/>
      <c r="AK227" s="402"/>
      <c r="AL227" s="401"/>
      <c r="AM227" s="402"/>
      <c r="AN227" s="401"/>
      <c r="AO227" s="402"/>
      <c r="AP227" s="53"/>
      <c r="AQ227" s="53"/>
      <c r="AR227" s="53"/>
    </row>
    <row r="228" spans="1:44">
      <c r="A228" s="225" t="s">
        <v>252</v>
      </c>
      <c r="B228" s="226" t="s">
        <v>274</v>
      </c>
      <c r="C228" s="440"/>
      <c r="D228" s="436">
        <v>164313</v>
      </c>
      <c r="E228" s="439">
        <v>10</v>
      </c>
      <c r="F228" s="401">
        <v>4380</v>
      </c>
      <c r="G228" s="402">
        <v>4530</v>
      </c>
      <c r="H228" s="401">
        <v>9990</v>
      </c>
      <c r="I228" s="402">
        <v>10350</v>
      </c>
      <c r="J228" s="401"/>
      <c r="K228" s="402"/>
      <c r="L228" s="401"/>
      <c r="M228" s="402"/>
      <c r="N228" s="401"/>
      <c r="O228" s="402"/>
      <c r="P228" s="401"/>
      <c r="Q228" s="402"/>
      <c r="R228" s="401"/>
      <c r="S228" s="402"/>
      <c r="T228" s="401"/>
      <c r="U228" s="402"/>
      <c r="V228" s="401"/>
      <c r="W228" s="402"/>
      <c r="X228" s="401"/>
      <c r="Y228" s="402"/>
      <c r="Z228" s="401"/>
      <c r="AA228" s="402"/>
      <c r="AB228" s="401"/>
      <c r="AC228" s="402"/>
      <c r="AD228" s="401"/>
      <c r="AE228" s="402"/>
      <c r="AF228" s="401"/>
      <c r="AG228" s="402"/>
      <c r="AH228" s="401"/>
      <c r="AI228" s="402"/>
      <c r="AJ228" s="401"/>
      <c r="AK228" s="402"/>
      <c r="AL228" s="401"/>
      <c r="AM228" s="402"/>
      <c r="AN228" s="401"/>
      <c r="AO228" s="402"/>
      <c r="AP228" s="53"/>
      <c r="AQ228" s="53"/>
      <c r="AR228" s="53"/>
    </row>
    <row r="229" spans="1:44">
      <c r="A229" s="225" t="s">
        <v>252</v>
      </c>
      <c r="B229" s="226" t="s">
        <v>257</v>
      </c>
      <c r="C229" s="438"/>
      <c r="D229" s="436">
        <v>162007</v>
      </c>
      <c r="E229" s="439">
        <v>4</v>
      </c>
      <c r="F229" s="401">
        <v>8455</v>
      </c>
      <c r="G229" s="402">
        <v>8563</v>
      </c>
      <c r="H229" s="401">
        <v>19136</v>
      </c>
      <c r="I229" s="402">
        <v>19304</v>
      </c>
      <c r="J229" s="401">
        <v>13047</v>
      </c>
      <c r="K229" s="402">
        <v>13244</v>
      </c>
      <c r="L229" s="401">
        <v>19911</v>
      </c>
      <c r="M229" s="402">
        <v>20084</v>
      </c>
      <c r="N229" s="401"/>
      <c r="O229" s="402"/>
      <c r="P229" s="401"/>
      <c r="Q229" s="402"/>
      <c r="R229" s="401"/>
      <c r="S229" s="402"/>
      <c r="T229" s="401"/>
      <c r="U229" s="402"/>
      <c r="V229" s="401"/>
      <c r="W229" s="402"/>
      <c r="X229" s="401"/>
      <c r="Y229" s="402"/>
      <c r="Z229" s="401"/>
      <c r="AA229" s="402"/>
      <c r="AB229" s="401"/>
      <c r="AC229" s="402"/>
      <c r="AD229" s="401"/>
      <c r="AE229" s="402"/>
      <c r="AF229" s="401"/>
      <c r="AG229" s="402"/>
      <c r="AH229" s="401"/>
      <c r="AI229" s="402"/>
      <c r="AJ229" s="401"/>
      <c r="AK229" s="402"/>
      <c r="AL229" s="401"/>
      <c r="AM229" s="402"/>
      <c r="AN229" s="401"/>
      <c r="AO229" s="402"/>
      <c r="AP229" s="53"/>
      <c r="AQ229" s="53"/>
      <c r="AR229" s="53"/>
    </row>
    <row r="230" spans="1:44">
      <c r="A230" s="225" t="s">
        <v>252</v>
      </c>
      <c r="B230" s="226" t="s">
        <v>262</v>
      </c>
      <c r="C230" s="438"/>
      <c r="D230" s="436">
        <v>162283</v>
      </c>
      <c r="E230" s="439">
        <v>5</v>
      </c>
      <c r="F230" s="401">
        <v>6716</v>
      </c>
      <c r="G230" s="402">
        <v>6809</v>
      </c>
      <c r="H230" s="401">
        <v>13113</v>
      </c>
      <c r="I230" s="402">
        <v>13334</v>
      </c>
      <c r="J230" s="401">
        <v>10278</v>
      </c>
      <c r="K230" s="402">
        <v>10446</v>
      </c>
      <c r="L230" s="401">
        <v>17214</v>
      </c>
      <c r="M230" s="402">
        <v>17526</v>
      </c>
      <c r="N230" s="401"/>
      <c r="O230" s="402"/>
      <c r="P230" s="401"/>
      <c r="Q230" s="402"/>
      <c r="R230" s="401"/>
      <c r="S230" s="402"/>
      <c r="T230" s="401"/>
      <c r="U230" s="402"/>
      <c r="V230" s="401"/>
      <c r="W230" s="402"/>
      <c r="X230" s="401"/>
      <c r="Y230" s="402"/>
      <c r="Z230" s="401"/>
      <c r="AA230" s="402"/>
      <c r="AB230" s="401"/>
      <c r="AC230" s="402"/>
      <c r="AD230" s="401"/>
      <c r="AE230" s="402"/>
      <c r="AF230" s="401"/>
      <c r="AG230" s="402"/>
      <c r="AH230" s="401"/>
      <c r="AI230" s="402"/>
      <c r="AJ230" s="401"/>
      <c r="AK230" s="402"/>
      <c r="AL230" s="401"/>
      <c r="AM230" s="402"/>
      <c r="AN230" s="401"/>
      <c r="AO230" s="402"/>
      <c r="AP230" s="53"/>
      <c r="AQ230" s="53"/>
      <c r="AR230" s="53"/>
    </row>
    <row r="231" spans="1:44">
      <c r="A231" s="225" t="s">
        <v>252</v>
      </c>
      <c r="B231" s="226" t="s">
        <v>258</v>
      </c>
      <c r="C231" s="438"/>
      <c r="D231" s="436">
        <v>162584</v>
      </c>
      <c r="E231" s="439">
        <v>4</v>
      </c>
      <c r="F231" s="401">
        <v>9410</v>
      </c>
      <c r="G231" s="402">
        <v>9594</v>
      </c>
      <c r="H231" s="401">
        <v>23510</v>
      </c>
      <c r="I231" s="402">
        <v>24080</v>
      </c>
      <c r="J231" s="401">
        <v>13753</v>
      </c>
      <c r="K231" s="402">
        <v>14114</v>
      </c>
      <c r="L231" s="401">
        <v>16705</v>
      </c>
      <c r="M231" s="402">
        <v>17186</v>
      </c>
      <c r="N231" s="401"/>
      <c r="O231" s="402"/>
      <c r="P231" s="401"/>
      <c r="Q231" s="402"/>
      <c r="R231" s="401"/>
      <c r="S231" s="402"/>
      <c r="T231" s="401"/>
      <c r="U231" s="402"/>
      <c r="V231" s="401"/>
      <c r="W231" s="402"/>
      <c r="X231" s="401"/>
      <c r="Y231" s="402"/>
      <c r="Z231" s="401"/>
      <c r="AA231" s="402"/>
      <c r="AB231" s="401"/>
      <c r="AC231" s="402"/>
      <c r="AD231" s="401"/>
      <c r="AE231" s="402"/>
      <c r="AF231" s="401"/>
      <c r="AG231" s="402"/>
      <c r="AH231" s="401"/>
      <c r="AI231" s="402"/>
      <c r="AJ231" s="401"/>
      <c r="AK231" s="402"/>
      <c r="AL231" s="401"/>
      <c r="AM231" s="402"/>
      <c r="AN231" s="401"/>
      <c r="AO231" s="402"/>
      <c r="AP231" s="53"/>
      <c r="AQ231" s="53"/>
      <c r="AR231" s="53"/>
    </row>
    <row r="232" spans="1:44">
      <c r="A232" s="258" t="s">
        <v>252</v>
      </c>
      <c r="B232" s="226" t="s">
        <v>259</v>
      </c>
      <c r="C232" s="438"/>
      <c r="D232" s="436">
        <v>163851</v>
      </c>
      <c r="E232" s="439">
        <v>4</v>
      </c>
      <c r="F232" s="401">
        <v>10044</v>
      </c>
      <c r="G232" s="402">
        <v>10188</v>
      </c>
      <c r="H232" s="401">
        <v>20110</v>
      </c>
      <c r="I232" s="402">
        <v>20458</v>
      </c>
      <c r="J232" s="401">
        <v>12480</v>
      </c>
      <c r="K232" s="402">
        <v>12672</v>
      </c>
      <c r="L232" s="401">
        <v>20496</v>
      </c>
      <c r="M232" s="402">
        <v>20832</v>
      </c>
      <c r="N232" s="401"/>
      <c r="O232" s="402"/>
      <c r="P232" s="401"/>
      <c r="Q232" s="402"/>
      <c r="R232" s="401"/>
      <c r="S232" s="402"/>
      <c r="T232" s="401"/>
      <c r="U232" s="402"/>
      <c r="V232" s="401"/>
      <c r="W232" s="402"/>
      <c r="X232" s="401"/>
      <c r="Y232" s="402"/>
      <c r="Z232" s="401"/>
      <c r="AA232" s="402"/>
      <c r="AB232" s="401"/>
      <c r="AC232" s="402"/>
      <c r="AD232" s="401"/>
      <c r="AE232" s="402"/>
      <c r="AF232" s="401"/>
      <c r="AG232" s="402"/>
      <c r="AH232" s="401"/>
      <c r="AI232" s="402"/>
      <c r="AJ232" s="401"/>
      <c r="AK232" s="402"/>
      <c r="AL232" s="401"/>
      <c r="AM232" s="402"/>
      <c r="AN232" s="401"/>
      <c r="AO232" s="402"/>
      <c r="AP232" s="53"/>
      <c r="AQ232" s="53"/>
      <c r="AR232" s="53"/>
    </row>
    <row r="233" spans="1:44">
      <c r="A233" s="256" t="s">
        <v>252</v>
      </c>
      <c r="B233" s="226" t="s">
        <v>256</v>
      </c>
      <c r="C233" s="438"/>
      <c r="D233" s="436">
        <v>164076</v>
      </c>
      <c r="E233" s="439">
        <v>3</v>
      </c>
      <c r="F233" s="401">
        <v>10198</v>
      </c>
      <c r="G233" s="402">
        <v>10464</v>
      </c>
      <c r="H233" s="401">
        <v>24334</v>
      </c>
      <c r="I233" s="402">
        <v>25516</v>
      </c>
      <c r="J233" s="401">
        <v>14256</v>
      </c>
      <c r="K233" s="402">
        <v>14952</v>
      </c>
      <c r="L233" s="401">
        <v>25512</v>
      </c>
      <c r="M233" s="402">
        <v>26760</v>
      </c>
      <c r="N233" s="401"/>
      <c r="O233" s="402"/>
      <c r="P233" s="401"/>
      <c r="Q233" s="402"/>
      <c r="R233" s="401"/>
      <c r="S233" s="402"/>
      <c r="T233" s="401"/>
      <c r="U233" s="402"/>
      <c r="V233" s="401"/>
      <c r="W233" s="402"/>
      <c r="X233" s="401"/>
      <c r="Y233" s="402"/>
      <c r="Z233" s="401"/>
      <c r="AA233" s="402"/>
      <c r="AB233" s="401"/>
      <c r="AC233" s="402"/>
      <c r="AD233" s="401"/>
      <c r="AE233" s="402"/>
      <c r="AF233" s="401"/>
      <c r="AG233" s="402"/>
      <c r="AH233" s="401"/>
      <c r="AI233" s="402"/>
      <c r="AJ233" s="401"/>
      <c r="AK233" s="402"/>
      <c r="AL233" s="401"/>
      <c r="AM233" s="402"/>
      <c r="AN233" s="401"/>
      <c r="AO233" s="402"/>
      <c r="AP233" s="53"/>
      <c r="AQ233" s="53"/>
      <c r="AR233" s="53"/>
    </row>
    <row r="234" spans="1:44">
      <c r="A234" s="256" t="s">
        <v>252</v>
      </c>
      <c r="B234" s="226" t="s">
        <v>260</v>
      </c>
      <c r="C234" s="440"/>
      <c r="D234" s="436">
        <v>161873</v>
      </c>
      <c r="E234" s="439">
        <v>3</v>
      </c>
      <c r="F234" s="401">
        <v>9096</v>
      </c>
      <c r="G234" s="402">
        <v>9364</v>
      </c>
      <c r="H234" s="401">
        <v>21456</v>
      </c>
      <c r="I234" s="402">
        <v>22550</v>
      </c>
      <c r="J234" s="401">
        <v>20282</v>
      </c>
      <c r="K234" s="402">
        <v>23058.25</v>
      </c>
      <c r="L234" s="401">
        <v>28754</v>
      </c>
      <c r="M234" s="402">
        <v>29300.4363636364</v>
      </c>
      <c r="N234" s="401">
        <v>32850</v>
      </c>
      <c r="O234" s="402">
        <v>33592</v>
      </c>
      <c r="P234" s="401">
        <v>47958</v>
      </c>
      <c r="Q234" s="402">
        <v>49004</v>
      </c>
      <c r="R234" s="401"/>
      <c r="S234" s="402"/>
      <c r="T234" s="401"/>
      <c r="U234" s="402"/>
      <c r="V234" s="401"/>
      <c r="W234" s="402"/>
      <c r="X234" s="401"/>
      <c r="Y234" s="402"/>
      <c r="Z234" s="401"/>
      <c r="AA234" s="402"/>
      <c r="AB234" s="401"/>
      <c r="AC234" s="402"/>
      <c r="AD234" s="401"/>
      <c r="AE234" s="402"/>
      <c r="AF234" s="401"/>
      <c r="AG234" s="402"/>
      <c r="AH234" s="401"/>
      <c r="AI234" s="402"/>
      <c r="AJ234" s="401"/>
      <c r="AK234" s="402"/>
      <c r="AL234" s="401"/>
      <c r="AM234" s="402"/>
      <c r="AN234" s="401"/>
      <c r="AO234" s="402"/>
      <c r="AP234" s="53"/>
      <c r="AQ234" s="53"/>
      <c r="AR234" s="53"/>
    </row>
    <row r="235" spans="1:44">
      <c r="A235" s="225" t="s">
        <v>252</v>
      </c>
      <c r="B235" s="226" t="s">
        <v>662</v>
      </c>
      <c r="C235" s="440"/>
      <c r="D235" s="436">
        <v>163259</v>
      </c>
      <c r="E235" s="439">
        <v>15</v>
      </c>
      <c r="F235" s="401">
        <v>11213</v>
      </c>
      <c r="G235" s="402">
        <v>10249.875</v>
      </c>
      <c r="H235" s="401">
        <v>40013</v>
      </c>
      <c r="I235" s="402">
        <v>37163</v>
      </c>
      <c r="J235" s="401">
        <v>20007</v>
      </c>
      <c r="K235" s="402">
        <v>20162.551428571402</v>
      </c>
      <c r="L235" s="401">
        <v>33879</v>
      </c>
      <c r="M235" s="402">
        <v>30376.608372093</v>
      </c>
      <c r="N235" s="401">
        <v>34716</v>
      </c>
      <c r="O235" s="402">
        <v>35536</v>
      </c>
      <c r="P235" s="401">
        <v>50334</v>
      </c>
      <c r="Q235" s="402">
        <v>51545</v>
      </c>
      <c r="R235" s="401">
        <v>39736</v>
      </c>
      <c r="S235" s="402">
        <v>39743</v>
      </c>
      <c r="T235" s="401">
        <v>68381</v>
      </c>
      <c r="U235" s="402">
        <v>68838</v>
      </c>
      <c r="V235" s="401">
        <v>43999</v>
      </c>
      <c r="W235" s="402">
        <v>46082</v>
      </c>
      <c r="X235" s="401">
        <v>80156</v>
      </c>
      <c r="Y235" s="402">
        <v>84047</v>
      </c>
      <c r="Z235" s="401">
        <v>28640</v>
      </c>
      <c r="AA235" s="402">
        <v>29442</v>
      </c>
      <c r="AB235" s="401">
        <v>46291</v>
      </c>
      <c r="AC235" s="402">
        <v>47067</v>
      </c>
      <c r="AD235" s="401"/>
      <c r="AE235" s="402"/>
      <c r="AF235" s="401"/>
      <c r="AG235" s="402"/>
      <c r="AH235" s="401"/>
      <c r="AI235" s="402"/>
      <c r="AJ235" s="401"/>
      <c r="AK235" s="402"/>
      <c r="AL235" s="401"/>
      <c r="AM235" s="402"/>
      <c r="AN235" s="401"/>
      <c r="AO235" s="402"/>
      <c r="AP235" s="53"/>
      <c r="AQ235" s="53"/>
      <c r="AR235" s="53"/>
    </row>
    <row r="236" spans="1:44">
      <c r="A236" s="225" t="s">
        <v>252</v>
      </c>
      <c r="B236" s="226" t="s">
        <v>255</v>
      </c>
      <c r="C236" s="438"/>
      <c r="D236" s="436">
        <v>163268</v>
      </c>
      <c r="E236" s="439">
        <v>2</v>
      </c>
      <c r="F236" s="401">
        <v>12028</v>
      </c>
      <c r="G236" s="402">
        <v>12280</v>
      </c>
      <c r="H236" s="401">
        <v>27662</v>
      </c>
      <c r="I236" s="402">
        <v>28470</v>
      </c>
      <c r="J236" s="401">
        <v>19560</v>
      </c>
      <c r="K236" s="402">
        <v>20160</v>
      </c>
      <c r="L236" s="401">
        <v>30912</v>
      </c>
      <c r="M236" s="402">
        <v>31440</v>
      </c>
      <c r="N236" s="401"/>
      <c r="O236" s="402"/>
      <c r="P236" s="401"/>
      <c r="Q236" s="402"/>
      <c r="R236" s="401"/>
      <c r="S236" s="402"/>
      <c r="T236" s="401"/>
      <c r="U236" s="402"/>
      <c r="V236" s="401"/>
      <c r="W236" s="402"/>
      <c r="X236" s="401"/>
      <c r="Y236" s="402"/>
      <c r="Z236" s="401"/>
      <c r="AA236" s="402"/>
      <c r="AB236" s="401"/>
      <c r="AC236" s="402"/>
      <c r="AD236" s="401"/>
      <c r="AE236" s="402"/>
      <c r="AF236" s="401"/>
      <c r="AG236" s="402"/>
      <c r="AH236" s="401"/>
      <c r="AI236" s="402"/>
      <c r="AJ236" s="401"/>
      <c r="AK236" s="402"/>
      <c r="AL236" s="401"/>
      <c r="AM236" s="402"/>
      <c r="AN236" s="401"/>
      <c r="AO236" s="402"/>
      <c r="AP236" s="53"/>
      <c r="AQ236" s="53"/>
      <c r="AR236" s="53"/>
    </row>
    <row r="237" spans="1:44">
      <c r="A237" s="256" t="s">
        <v>252</v>
      </c>
      <c r="B237" s="226" t="s">
        <v>253</v>
      </c>
      <c r="C237" s="438"/>
      <c r="D237" s="436">
        <v>163286</v>
      </c>
      <c r="E237" s="439">
        <v>1</v>
      </c>
      <c r="F237" s="401">
        <v>10779</v>
      </c>
      <c r="G237" s="402">
        <v>10955</v>
      </c>
      <c r="H237" s="401">
        <v>36891</v>
      </c>
      <c r="I237" s="402">
        <v>38638</v>
      </c>
      <c r="J237" s="401">
        <v>19485</v>
      </c>
      <c r="K237" s="402">
        <v>20362</v>
      </c>
      <c r="L237" s="401">
        <v>40941</v>
      </c>
      <c r="M237" s="402">
        <v>42585</v>
      </c>
      <c r="N237" s="401"/>
      <c r="O237" s="402"/>
      <c r="P237" s="401"/>
      <c r="Q237" s="402"/>
      <c r="R237" s="401"/>
      <c r="S237" s="402"/>
      <c r="T237" s="401"/>
      <c r="U237" s="402"/>
      <c r="V237" s="401"/>
      <c r="W237" s="402"/>
      <c r="X237" s="401"/>
      <c r="Y237" s="402"/>
      <c r="Z237" s="401"/>
      <c r="AA237" s="402"/>
      <c r="AB237" s="401"/>
      <c r="AC237" s="402"/>
      <c r="AD237" s="401"/>
      <c r="AE237" s="402"/>
      <c r="AF237" s="401"/>
      <c r="AG237" s="402"/>
      <c r="AH237" s="401"/>
      <c r="AI237" s="402"/>
      <c r="AJ237" s="401"/>
      <c r="AK237" s="402"/>
      <c r="AL237" s="401">
        <v>25435</v>
      </c>
      <c r="AM237" s="402">
        <v>26086</v>
      </c>
      <c r="AN237" s="401">
        <v>54568</v>
      </c>
      <c r="AO237" s="402">
        <v>55687</v>
      </c>
      <c r="AP237" s="53"/>
      <c r="AQ237" s="53"/>
      <c r="AR237" s="53"/>
    </row>
    <row r="238" spans="1:44">
      <c r="A238" s="256" t="s">
        <v>252</v>
      </c>
      <c r="B238" s="226" t="s">
        <v>261</v>
      </c>
      <c r="C238" s="438"/>
      <c r="D238" s="436">
        <v>163338</v>
      </c>
      <c r="E238" s="439">
        <v>4</v>
      </c>
      <c r="F238" s="401">
        <v>8558</v>
      </c>
      <c r="G238" s="402">
        <v>8724</v>
      </c>
      <c r="H238" s="401">
        <v>18968</v>
      </c>
      <c r="I238" s="402">
        <v>19343</v>
      </c>
      <c r="J238" s="401">
        <v>8260</v>
      </c>
      <c r="K238" s="402">
        <v>8430</v>
      </c>
      <c r="L238" s="401">
        <v>15076</v>
      </c>
      <c r="M238" s="402">
        <v>15366</v>
      </c>
      <c r="N238" s="401"/>
      <c r="O238" s="402"/>
      <c r="P238" s="401"/>
      <c r="Q238" s="402"/>
      <c r="R238" s="401"/>
      <c r="S238" s="402"/>
      <c r="T238" s="401"/>
      <c r="U238" s="402"/>
      <c r="V238" s="401"/>
      <c r="W238" s="402"/>
      <c r="X238" s="401"/>
      <c r="Y238" s="402"/>
      <c r="Z238" s="401">
        <v>31490</v>
      </c>
      <c r="AA238" s="402">
        <v>32120</v>
      </c>
      <c r="AB238" s="401">
        <v>60240</v>
      </c>
      <c r="AC238" s="402">
        <v>61445</v>
      </c>
      <c r="AD238" s="401"/>
      <c r="AE238" s="402"/>
      <c r="AF238" s="401"/>
      <c r="AG238" s="402"/>
      <c r="AH238" s="401"/>
      <c r="AI238" s="402"/>
      <c r="AJ238" s="401"/>
      <c r="AK238" s="402"/>
      <c r="AL238" s="401"/>
      <c r="AM238" s="402"/>
      <c r="AN238" s="401"/>
      <c r="AO238" s="402"/>
      <c r="AP238" s="53"/>
      <c r="AQ238" s="53"/>
      <c r="AR238" s="53"/>
    </row>
    <row r="239" spans="1:44">
      <c r="A239" s="256" t="s">
        <v>252</v>
      </c>
      <c r="B239" s="226" t="s">
        <v>640</v>
      </c>
      <c r="C239" s="438"/>
      <c r="D239" s="436">
        <v>163204</v>
      </c>
      <c r="E239" s="439">
        <v>15</v>
      </c>
      <c r="F239" s="401">
        <v>7560</v>
      </c>
      <c r="G239" s="402">
        <v>7704</v>
      </c>
      <c r="H239" s="401">
        <v>12336</v>
      </c>
      <c r="I239" s="402">
        <v>12336</v>
      </c>
      <c r="J239" s="401"/>
      <c r="K239" s="402"/>
      <c r="L239" s="401"/>
      <c r="M239" s="402"/>
      <c r="N239" s="401"/>
      <c r="O239" s="402"/>
      <c r="P239" s="401"/>
      <c r="Q239" s="402"/>
      <c r="R239" s="401"/>
      <c r="S239" s="402"/>
      <c r="T239" s="401"/>
      <c r="U239" s="402"/>
      <c r="V239" s="401"/>
      <c r="W239" s="402"/>
      <c r="X239" s="401"/>
      <c r="Y239" s="402"/>
      <c r="Z239" s="401"/>
      <c r="AA239" s="402"/>
      <c r="AB239" s="401"/>
      <c r="AC239" s="402"/>
      <c r="AD239" s="401"/>
      <c r="AE239" s="402"/>
      <c r="AF239" s="401"/>
      <c r="AG239" s="402"/>
      <c r="AH239" s="401"/>
      <c r="AI239" s="402"/>
      <c r="AJ239" s="401"/>
      <c r="AK239" s="402"/>
      <c r="AL239" s="401"/>
      <c r="AM239" s="402"/>
      <c r="AN239" s="401"/>
      <c r="AO239" s="402"/>
      <c r="AP239" s="53"/>
      <c r="AQ239" s="53"/>
      <c r="AR239" s="53"/>
    </row>
    <row r="240" spans="1:44">
      <c r="A240" s="225" t="s">
        <v>252</v>
      </c>
      <c r="B240" s="226" t="s">
        <v>254</v>
      </c>
      <c r="C240" s="440"/>
      <c r="D240" s="436">
        <v>163453</v>
      </c>
      <c r="E240" s="439">
        <v>2</v>
      </c>
      <c r="F240" s="401">
        <v>7628</v>
      </c>
      <c r="G240" s="402">
        <v>8008</v>
      </c>
      <c r="H240" s="401">
        <v>18100</v>
      </c>
      <c r="I240" s="402">
        <v>18480</v>
      </c>
      <c r="J240" s="401">
        <v>12588</v>
      </c>
      <c r="K240" s="402">
        <v>12876</v>
      </c>
      <c r="L240" s="401">
        <v>23118</v>
      </c>
      <c r="M240" s="402">
        <v>23412</v>
      </c>
      <c r="N240" s="401"/>
      <c r="O240" s="402"/>
      <c r="P240" s="401"/>
      <c r="Q240" s="402"/>
      <c r="R240" s="401"/>
      <c r="S240" s="402"/>
      <c r="T240" s="401"/>
      <c r="U240" s="402"/>
      <c r="V240" s="401"/>
      <c r="W240" s="402"/>
      <c r="X240" s="401"/>
      <c r="Y240" s="402"/>
      <c r="Z240" s="401"/>
      <c r="AA240" s="402"/>
      <c r="AB240" s="401"/>
      <c r="AC240" s="402"/>
      <c r="AD240" s="401"/>
      <c r="AE240" s="402"/>
      <c r="AF240" s="401"/>
      <c r="AG240" s="402"/>
      <c r="AH240" s="401"/>
      <c r="AI240" s="402"/>
      <c r="AJ240" s="401"/>
      <c r="AK240" s="402"/>
      <c r="AL240" s="401"/>
      <c r="AM240" s="402"/>
      <c r="AN240" s="401"/>
      <c r="AO240" s="402"/>
      <c r="AP240" s="53"/>
      <c r="AQ240" s="53"/>
      <c r="AR240" s="53"/>
    </row>
    <row r="241" spans="1:44">
      <c r="A241" s="225" t="s">
        <v>252</v>
      </c>
      <c r="B241" s="226" t="s">
        <v>263</v>
      </c>
      <c r="C241" s="438"/>
      <c r="D241" s="436">
        <v>163912</v>
      </c>
      <c r="E241" s="439">
        <v>6</v>
      </c>
      <c r="F241" s="401">
        <v>15124</v>
      </c>
      <c r="G241" s="402">
        <v>15124</v>
      </c>
      <c r="H241" s="401">
        <v>31200</v>
      </c>
      <c r="I241" s="402">
        <v>31200</v>
      </c>
      <c r="J241" s="401"/>
      <c r="K241" s="402"/>
      <c r="L241" s="401"/>
      <c r="M241" s="402"/>
      <c r="N241" s="401"/>
      <c r="O241" s="402"/>
      <c r="P241" s="401"/>
      <c r="Q241" s="402"/>
      <c r="R241" s="401"/>
      <c r="S241" s="402"/>
      <c r="T241" s="401"/>
      <c r="U241" s="402"/>
      <c r="V241" s="401"/>
      <c r="W241" s="402"/>
      <c r="X241" s="401"/>
      <c r="Y241" s="402"/>
      <c r="Z241" s="401"/>
      <c r="AA241" s="402"/>
      <c r="AB241" s="401"/>
      <c r="AC241" s="402"/>
      <c r="AD241" s="401"/>
      <c r="AE241" s="402"/>
      <c r="AF241" s="401"/>
      <c r="AG241" s="402"/>
      <c r="AH241" s="401"/>
      <c r="AI241" s="402"/>
      <c r="AJ241" s="401"/>
      <c r="AK241" s="402"/>
      <c r="AL241" s="401"/>
      <c r="AM241" s="402"/>
      <c r="AN241" s="401"/>
      <c r="AO241" s="402"/>
      <c r="AP241" s="53"/>
      <c r="AQ241" s="53"/>
      <c r="AR241" s="53"/>
    </row>
    <row r="242" spans="1:44" s="179" customFormat="1" ht="15" customHeight="1">
      <c r="A242" s="259" t="s">
        <v>278</v>
      </c>
      <c r="B242" s="260" t="s">
        <v>279</v>
      </c>
      <c r="C242" s="463"/>
      <c r="D242" s="464">
        <v>176080</v>
      </c>
      <c r="E242" s="465">
        <v>1</v>
      </c>
      <c r="F242" s="401">
        <v>8910</v>
      </c>
      <c r="G242" s="402">
        <v>9220</v>
      </c>
      <c r="H242" s="401">
        <v>23950</v>
      </c>
      <c r="I242" s="402">
        <v>24900</v>
      </c>
      <c r="J242" s="401">
        <v>8910</v>
      </c>
      <c r="K242" s="402">
        <v>9220</v>
      </c>
      <c r="L242" s="401">
        <v>23950</v>
      </c>
      <c r="M242" s="402">
        <v>24900</v>
      </c>
      <c r="N242" s="401"/>
      <c r="O242" s="402"/>
      <c r="P242" s="401"/>
      <c r="Q242" s="402"/>
      <c r="R242" s="401"/>
      <c r="S242" s="402"/>
      <c r="T242" s="401"/>
      <c r="U242" s="402"/>
      <c r="V242" s="401"/>
      <c r="W242" s="402"/>
      <c r="X242" s="401"/>
      <c r="Y242" s="402"/>
      <c r="Z242" s="401"/>
      <c r="AA242" s="402"/>
      <c r="AB242" s="401"/>
      <c r="AC242" s="402"/>
      <c r="AD242" s="401"/>
      <c r="AE242" s="402"/>
      <c r="AF242" s="401"/>
      <c r="AG242" s="402"/>
      <c r="AH242" s="401"/>
      <c r="AI242" s="402"/>
      <c r="AJ242" s="401"/>
      <c r="AK242" s="402"/>
      <c r="AL242" s="401">
        <v>27397</v>
      </c>
      <c r="AM242" s="409">
        <f>28048+100+10</f>
        <v>28158</v>
      </c>
      <c r="AN242" s="401">
        <v>48597</v>
      </c>
      <c r="AO242" s="409">
        <f>49248+100+10</f>
        <v>49358</v>
      </c>
    </row>
    <row r="243" spans="1:44" s="179" customFormat="1" ht="15.75" customHeight="1">
      <c r="A243" s="259" t="s">
        <v>278</v>
      </c>
      <c r="B243" s="260" t="s">
        <v>282</v>
      </c>
      <c r="C243" s="466"/>
      <c r="D243" s="464">
        <v>176017</v>
      </c>
      <c r="E243" s="465">
        <v>1</v>
      </c>
      <c r="F243" s="401">
        <v>8828</v>
      </c>
      <c r="G243" s="402">
        <v>9044</v>
      </c>
      <c r="H243" s="401">
        <v>25100</v>
      </c>
      <c r="I243" s="402">
        <v>25886</v>
      </c>
      <c r="J243" s="401">
        <v>8828</v>
      </c>
      <c r="K243" s="402">
        <v>9044</v>
      </c>
      <c r="L243" s="401">
        <v>25100</v>
      </c>
      <c r="M243" s="402">
        <v>25886</v>
      </c>
      <c r="N243" s="401">
        <v>16980</v>
      </c>
      <c r="O243" s="402">
        <f>17340+100+10</f>
        <v>17450</v>
      </c>
      <c r="P243" s="401">
        <v>37045</v>
      </c>
      <c r="Q243" s="402">
        <f>37405+100+10</f>
        <v>37515</v>
      </c>
      <c r="R243" s="401">
        <v>31197</v>
      </c>
      <c r="S243" s="402">
        <v>32133</v>
      </c>
      <c r="T243" s="401">
        <v>73460</v>
      </c>
      <c r="U243" s="402">
        <v>75664</v>
      </c>
      <c r="V243" s="401">
        <v>31167</v>
      </c>
      <c r="W243" s="402">
        <v>32102</v>
      </c>
      <c r="X243" s="401">
        <v>73220</v>
      </c>
      <c r="Y243" s="402">
        <v>75417</v>
      </c>
      <c r="Z243" s="401">
        <v>26582</v>
      </c>
      <c r="AA243" s="402">
        <v>26798</v>
      </c>
      <c r="AB243" s="401">
        <v>53660</v>
      </c>
      <c r="AC243" s="402">
        <v>54446</v>
      </c>
      <c r="AD243" s="401"/>
      <c r="AE243" s="402"/>
      <c r="AF243" s="401"/>
      <c r="AG243" s="402"/>
      <c r="AH243" s="401"/>
      <c r="AI243" s="402"/>
      <c r="AJ243" s="401"/>
      <c r="AK243" s="402"/>
      <c r="AL243" s="401"/>
      <c r="AM243" s="409"/>
      <c r="AN243" s="401"/>
      <c r="AO243" s="409"/>
    </row>
    <row r="244" spans="1:44">
      <c r="A244" s="259" t="s">
        <v>278</v>
      </c>
      <c r="B244" s="260" t="s">
        <v>280</v>
      </c>
      <c r="C244" s="463"/>
      <c r="D244" s="464">
        <v>176372</v>
      </c>
      <c r="E244" s="465">
        <v>1</v>
      </c>
      <c r="F244" s="401">
        <v>8896</v>
      </c>
      <c r="G244" s="402">
        <v>9204</v>
      </c>
      <c r="H244" s="401">
        <v>10896</v>
      </c>
      <c r="I244" s="402">
        <v>11204</v>
      </c>
      <c r="J244" s="401">
        <v>8896</v>
      </c>
      <c r="K244" s="402">
        <v>9204</v>
      </c>
      <c r="L244" s="401">
        <v>10896</v>
      </c>
      <c r="M244" s="402">
        <v>11204</v>
      </c>
      <c r="N244" s="401"/>
      <c r="O244" s="402"/>
      <c r="P244" s="401"/>
      <c r="Q244" s="402"/>
      <c r="R244" s="401"/>
      <c r="S244" s="402"/>
      <c r="T244" s="401"/>
      <c r="U244" s="402"/>
      <c r="V244" s="401"/>
      <c r="W244" s="402"/>
      <c r="X244" s="401"/>
      <c r="Y244" s="402"/>
      <c r="Z244" s="401"/>
      <c r="AA244" s="402"/>
      <c r="AB244" s="401"/>
      <c r="AC244" s="402"/>
      <c r="AD244" s="401"/>
      <c r="AE244" s="402"/>
      <c r="AF244" s="401"/>
      <c r="AG244" s="402"/>
      <c r="AH244" s="401"/>
      <c r="AI244" s="402"/>
      <c r="AJ244" s="401"/>
      <c r="AK244" s="402"/>
      <c r="AL244" s="401"/>
      <c r="AM244" s="409"/>
      <c r="AN244" s="401"/>
      <c r="AO244" s="409"/>
      <c r="AP244" s="53"/>
      <c r="AQ244" s="53"/>
      <c r="AR244" s="53"/>
    </row>
    <row r="245" spans="1:44">
      <c r="A245" s="259" t="s">
        <v>278</v>
      </c>
      <c r="B245" s="260" t="s">
        <v>281</v>
      </c>
      <c r="C245" s="463"/>
      <c r="D245" s="464">
        <v>175856</v>
      </c>
      <c r="E245" s="465">
        <v>2</v>
      </c>
      <c r="F245" s="401">
        <v>8445</v>
      </c>
      <c r="G245" s="402">
        <v>8445</v>
      </c>
      <c r="H245" s="401">
        <v>9445</v>
      </c>
      <c r="I245" s="402">
        <v>9445</v>
      </c>
      <c r="J245" s="401">
        <v>8445</v>
      </c>
      <c r="K245" s="402">
        <v>8445</v>
      </c>
      <c r="L245" s="401">
        <v>9445</v>
      </c>
      <c r="M245" s="402">
        <v>9445</v>
      </c>
      <c r="N245" s="401"/>
      <c r="O245" s="402"/>
      <c r="P245" s="401"/>
      <c r="Q245" s="402"/>
      <c r="R245" s="401"/>
      <c r="S245" s="402"/>
      <c r="T245" s="401"/>
      <c r="U245" s="402"/>
      <c r="V245" s="401"/>
      <c r="W245" s="402"/>
      <c r="X245" s="401"/>
      <c r="Y245" s="402"/>
      <c r="Z245" s="401"/>
      <c r="AA245" s="402"/>
      <c r="AB245" s="401"/>
      <c r="AC245" s="402"/>
      <c r="AD245" s="401"/>
      <c r="AE245" s="402"/>
      <c r="AF245" s="401"/>
      <c r="AG245" s="402"/>
      <c r="AH245" s="401"/>
      <c r="AI245" s="402"/>
      <c r="AJ245" s="401"/>
      <c r="AK245" s="402"/>
      <c r="AL245" s="401"/>
      <c r="AM245" s="409"/>
      <c r="AN245" s="401"/>
      <c r="AO245" s="409"/>
      <c r="AP245" s="53"/>
      <c r="AQ245" s="53"/>
      <c r="AR245" s="53"/>
    </row>
    <row r="246" spans="1:44">
      <c r="A246" s="263" t="s">
        <v>278</v>
      </c>
      <c r="B246" s="260" t="s">
        <v>283</v>
      </c>
      <c r="C246" s="463"/>
      <c r="D246" s="464">
        <v>175342</v>
      </c>
      <c r="E246" s="465">
        <v>4</v>
      </c>
      <c r="F246" s="401">
        <v>7907</v>
      </c>
      <c r="G246" s="402">
        <v>8176</v>
      </c>
      <c r="H246" s="406">
        <v>7907</v>
      </c>
      <c r="I246" s="402">
        <v>8176</v>
      </c>
      <c r="J246" s="401">
        <v>7907</v>
      </c>
      <c r="K246" s="402">
        <v>8176</v>
      </c>
      <c r="L246" s="406">
        <v>7907</v>
      </c>
      <c r="M246" s="402">
        <v>8176</v>
      </c>
      <c r="N246" s="401"/>
      <c r="O246" s="402"/>
      <c r="P246" s="401"/>
      <c r="Q246" s="402"/>
      <c r="R246" s="401"/>
      <c r="S246" s="402"/>
      <c r="T246" s="401"/>
      <c r="U246" s="402"/>
      <c r="V246" s="401"/>
      <c r="W246" s="402"/>
      <c r="X246" s="401"/>
      <c r="Y246" s="402"/>
      <c r="Z246" s="401"/>
      <c r="AA246" s="402"/>
      <c r="AB246" s="401"/>
      <c r="AC246" s="402"/>
      <c r="AD246" s="401"/>
      <c r="AE246" s="402"/>
      <c r="AF246" s="401"/>
      <c r="AG246" s="402"/>
      <c r="AH246" s="401"/>
      <c r="AI246" s="402"/>
      <c r="AJ246" s="401"/>
      <c r="AK246" s="402"/>
      <c r="AL246" s="401"/>
      <c r="AM246" s="409"/>
      <c r="AN246" s="401"/>
      <c r="AO246" s="409"/>
      <c r="AP246" s="53"/>
      <c r="AQ246" s="53"/>
      <c r="AR246" s="53"/>
    </row>
    <row r="247" spans="1:44">
      <c r="A247" s="259" t="s">
        <v>278</v>
      </c>
      <c r="B247" s="260" t="s">
        <v>284</v>
      </c>
      <c r="C247" s="463"/>
      <c r="D247" s="464">
        <v>175616</v>
      </c>
      <c r="E247" s="465">
        <v>4</v>
      </c>
      <c r="F247" s="401">
        <v>8121</v>
      </c>
      <c r="G247" s="402">
        <v>8360</v>
      </c>
      <c r="H247" s="406">
        <v>8121</v>
      </c>
      <c r="I247" s="402">
        <v>8360</v>
      </c>
      <c r="J247" s="401">
        <v>8121</v>
      </c>
      <c r="K247" s="402">
        <v>8360</v>
      </c>
      <c r="L247" s="406">
        <v>8121</v>
      </c>
      <c r="M247" s="402">
        <v>8360</v>
      </c>
      <c r="N247" s="401"/>
      <c r="O247" s="402"/>
      <c r="P247" s="401"/>
      <c r="Q247" s="402"/>
      <c r="R247" s="401"/>
      <c r="S247" s="402"/>
      <c r="T247" s="401"/>
      <c r="U247" s="402"/>
      <c r="V247" s="401"/>
      <c r="W247" s="402"/>
      <c r="X247" s="401"/>
      <c r="Y247" s="402"/>
      <c r="Z247" s="401"/>
      <c r="AA247" s="402"/>
      <c r="AB247" s="401"/>
      <c r="AC247" s="402"/>
      <c r="AD247" s="401"/>
      <c r="AE247" s="402"/>
      <c r="AF247" s="401"/>
      <c r="AG247" s="402"/>
      <c r="AH247" s="401"/>
      <c r="AI247" s="402"/>
      <c r="AJ247" s="401"/>
      <c r="AK247" s="402"/>
      <c r="AL247" s="401"/>
      <c r="AM247" s="409"/>
      <c r="AN247" s="401"/>
      <c r="AO247" s="409"/>
      <c r="AP247" s="53"/>
      <c r="AQ247" s="53"/>
      <c r="AR247" s="53"/>
    </row>
    <row r="248" spans="1:44">
      <c r="A248" s="259" t="s">
        <v>278</v>
      </c>
      <c r="B248" s="260" t="s">
        <v>286</v>
      </c>
      <c r="C248" s="463"/>
      <c r="D248" s="464">
        <v>176035</v>
      </c>
      <c r="E248" s="465">
        <v>4</v>
      </c>
      <c r="F248" s="401">
        <v>7525</v>
      </c>
      <c r="G248" s="402">
        <v>7756</v>
      </c>
      <c r="H248" s="406">
        <v>7525</v>
      </c>
      <c r="I248" s="402">
        <v>7756</v>
      </c>
      <c r="J248" s="401">
        <v>7525</v>
      </c>
      <c r="K248" s="402">
        <v>7756</v>
      </c>
      <c r="L248" s="406">
        <v>7525</v>
      </c>
      <c r="M248" s="402">
        <v>7756</v>
      </c>
      <c r="N248" s="401"/>
      <c r="O248" s="402"/>
      <c r="P248" s="401"/>
      <c r="Q248" s="402"/>
      <c r="R248" s="401"/>
      <c r="S248" s="402"/>
      <c r="T248" s="401"/>
      <c r="U248" s="402"/>
      <c r="V248" s="401"/>
      <c r="W248" s="402"/>
      <c r="X248" s="401"/>
      <c r="Y248" s="402"/>
      <c r="Z248" s="401"/>
      <c r="AA248" s="402"/>
      <c r="AB248" s="401"/>
      <c r="AC248" s="402"/>
      <c r="AD248" s="401"/>
      <c r="AE248" s="402"/>
      <c r="AF248" s="401"/>
      <c r="AG248" s="402"/>
      <c r="AH248" s="401"/>
      <c r="AI248" s="402"/>
      <c r="AJ248" s="401"/>
      <c r="AK248" s="402"/>
      <c r="AL248" s="401"/>
      <c r="AM248" s="409"/>
      <c r="AN248" s="401"/>
      <c r="AO248" s="409"/>
      <c r="AP248" s="53"/>
      <c r="AQ248" s="53"/>
      <c r="AR248" s="53"/>
    </row>
    <row r="249" spans="1:44">
      <c r="A249" s="259" t="s">
        <v>278</v>
      </c>
      <c r="B249" s="260" t="s">
        <v>285</v>
      </c>
      <c r="C249" s="463"/>
      <c r="D249" s="464">
        <v>176044</v>
      </c>
      <c r="E249" s="465">
        <v>4</v>
      </c>
      <c r="F249" s="401">
        <v>6746</v>
      </c>
      <c r="G249" s="402">
        <v>7048</v>
      </c>
      <c r="H249" s="406">
        <v>6746</v>
      </c>
      <c r="I249" s="402">
        <v>7048</v>
      </c>
      <c r="J249" s="401">
        <v>6746</v>
      </c>
      <c r="K249" s="402">
        <v>7048</v>
      </c>
      <c r="L249" s="406">
        <v>6746</v>
      </c>
      <c r="M249" s="402">
        <v>7048</v>
      </c>
      <c r="N249" s="401"/>
      <c r="O249" s="402"/>
      <c r="P249" s="401"/>
      <c r="Q249" s="402"/>
      <c r="R249" s="401"/>
      <c r="S249" s="402"/>
      <c r="T249" s="401"/>
      <c r="U249" s="402"/>
      <c r="V249" s="401"/>
      <c r="W249" s="402"/>
      <c r="X249" s="401"/>
      <c r="Y249" s="402"/>
      <c r="Z249" s="401"/>
      <c r="AA249" s="402"/>
      <c r="AB249" s="401"/>
      <c r="AC249" s="402"/>
      <c r="AD249" s="401"/>
      <c r="AE249" s="402"/>
      <c r="AF249" s="401"/>
      <c r="AG249" s="402"/>
      <c r="AH249" s="401"/>
      <c r="AI249" s="402"/>
      <c r="AJ249" s="401"/>
      <c r="AK249" s="402"/>
      <c r="AL249" s="401"/>
      <c r="AM249" s="409"/>
      <c r="AN249" s="401"/>
      <c r="AO249" s="409"/>
      <c r="AP249" s="53"/>
      <c r="AQ249" s="53"/>
      <c r="AR249" s="53"/>
    </row>
    <row r="250" spans="1:44">
      <c r="A250" s="410" t="s">
        <v>278</v>
      </c>
      <c r="B250" s="3" t="s">
        <v>976</v>
      </c>
      <c r="C250" s="467"/>
      <c r="D250" s="468">
        <v>175786</v>
      </c>
      <c r="E250" s="469">
        <v>8</v>
      </c>
      <c r="F250" s="390">
        <v>3460</v>
      </c>
      <c r="G250" s="391">
        <v>3760</v>
      </c>
      <c r="H250" s="390">
        <v>6660</v>
      </c>
      <c r="I250" s="391">
        <v>6960</v>
      </c>
      <c r="J250" s="390"/>
      <c r="K250" s="391"/>
      <c r="L250" s="390"/>
      <c r="M250" s="391"/>
      <c r="N250" s="390"/>
      <c r="O250" s="391"/>
      <c r="P250" s="390"/>
      <c r="Q250" s="391"/>
      <c r="R250" s="390"/>
      <c r="S250" s="391"/>
      <c r="T250" s="390"/>
      <c r="U250" s="391"/>
      <c r="V250" s="390"/>
      <c r="W250" s="391"/>
      <c r="X250" s="390"/>
      <c r="Y250" s="391"/>
      <c r="Z250" s="390"/>
      <c r="AA250" s="391"/>
      <c r="AB250" s="390"/>
      <c r="AC250" s="391"/>
      <c r="AD250" s="390"/>
      <c r="AE250" s="391"/>
      <c r="AF250" s="390"/>
      <c r="AG250" s="391"/>
      <c r="AH250" s="390"/>
      <c r="AI250" s="391"/>
      <c r="AJ250" s="390"/>
      <c r="AK250" s="391"/>
      <c r="AL250" s="390"/>
      <c r="AM250" s="391"/>
      <c r="AN250" s="390"/>
      <c r="AO250" s="391"/>
    </row>
    <row r="251" spans="1:44">
      <c r="A251" s="410" t="s">
        <v>278</v>
      </c>
      <c r="B251" s="3" t="s">
        <v>977</v>
      </c>
      <c r="C251" s="470"/>
      <c r="D251" s="468">
        <v>175810</v>
      </c>
      <c r="E251" s="469">
        <v>8</v>
      </c>
      <c r="F251" s="390">
        <v>3110</v>
      </c>
      <c r="G251" s="391">
        <v>3210</v>
      </c>
      <c r="H251" s="390">
        <v>5690</v>
      </c>
      <c r="I251" s="391">
        <v>5910</v>
      </c>
      <c r="J251" s="390"/>
      <c r="K251" s="391"/>
      <c r="L251" s="390"/>
      <c r="M251" s="391"/>
      <c r="N251" s="390"/>
      <c r="O251" s="391"/>
      <c r="P251" s="390"/>
      <c r="Q251" s="391"/>
      <c r="R251" s="390"/>
      <c r="S251" s="391"/>
      <c r="T251" s="390"/>
      <c r="U251" s="391"/>
      <c r="V251" s="390"/>
      <c r="W251" s="391"/>
      <c r="X251" s="390"/>
      <c r="Y251" s="391"/>
      <c r="Z251" s="390"/>
      <c r="AA251" s="391"/>
      <c r="AB251" s="390"/>
      <c r="AC251" s="391"/>
      <c r="AD251" s="390"/>
      <c r="AE251" s="391"/>
      <c r="AF251" s="390"/>
      <c r="AG251" s="391"/>
      <c r="AH251" s="390"/>
      <c r="AI251" s="391"/>
      <c r="AJ251" s="390"/>
      <c r="AK251" s="391"/>
      <c r="AL251" s="390"/>
      <c r="AM251" s="391"/>
      <c r="AN251" s="390"/>
      <c r="AO251" s="391"/>
    </row>
    <row r="252" spans="1:44">
      <c r="A252" s="410" t="s">
        <v>278</v>
      </c>
      <c r="B252" s="3" t="s">
        <v>978</v>
      </c>
      <c r="C252" s="202" t="s">
        <v>999</v>
      </c>
      <c r="D252" s="468">
        <v>176071</v>
      </c>
      <c r="E252" s="469">
        <v>8</v>
      </c>
      <c r="F252" s="390">
        <v>3300</v>
      </c>
      <c r="G252" s="391">
        <v>3500</v>
      </c>
      <c r="H252" s="390">
        <v>6400</v>
      </c>
      <c r="I252" s="391">
        <v>6800</v>
      </c>
      <c r="J252" s="390"/>
      <c r="K252" s="391"/>
      <c r="L252" s="390"/>
      <c r="M252" s="391"/>
      <c r="N252" s="390"/>
      <c r="O252" s="391"/>
      <c r="P252" s="390"/>
      <c r="Q252" s="391"/>
      <c r="R252" s="390"/>
      <c r="S252" s="391"/>
      <c r="T252" s="390"/>
      <c r="U252" s="391"/>
      <c r="V252" s="390"/>
      <c r="W252" s="391"/>
      <c r="X252" s="390"/>
      <c r="Y252" s="391"/>
      <c r="Z252" s="390"/>
      <c r="AA252" s="391"/>
      <c r="AB252" s="390"/>
      <c r="AC252" s="391"/>
      <c r="AD252" s="390"/>
      <c r="AE252" s="391"/>
      <c r="AF252" s="390"/>
      <c r="AG252" s="391"/>
      <c r="AH252" s="390"/>
      <c r="AI252" s="391"/>
      <c r="AJ252" s="390"/>
      <c r="AK252" s="391"/>
      <c r="AL252" s="390"/>
      <c r="AM252" s="391"/>
      <c r="AN252" s="390"/>
      <c r="AO252" s="391"/>
    </row>
    <row r="253" spans="1:44">
      <c r="A253" s="203" t="s">
        <v>278</v>
      </c>
      <c r="B253" s="3" t="s">
        <v>979</v>
      </c>
      <c r="C253" s="202" t="s">
        <v>999</v>
      </c>
      <c r="D253" s="468">
        <v>176178</v>
      </c>
      <c r="E253" s="469">
        <v>8</v>
      </c>
      <c r="F253" s="390">
        <v>3390</v>
      </c>
      <c r="G253" s="391">
        <v>3390</v>
      </c>
      <c r="H253" s="390">
        <v>5790</v>
      </c>
      <c r="I253" s="391">
        <v>5790</v>
      </c>
      <c r="J253" s="390"/>
      <c r="K253" s="391"/>
      <c r="L253" s="390"/>
      <c r="M253" s="391"/>
      <c r="N253" s="390"/>
      <c r="O253" s="391"/>
      <c r="P253" s="390"/>
      <c r="Q253" s="391"/>
      <c r="R253" s="390"/>
      <c r="S253" s="391"/>
      <c r="T253" s="390"/>
      <c r="U253" s="391"/>
      <c r="V253" s="390"/>
      <c r="W253" s="391"/>
      <c r="X253" s="390"/>
      <c r="Y253" s="391"/>
      <c r="Z253" s="390"/>
      <c r="AA253" s="391"/>
      <c r="AB253" s="390"/>
      <c r="AC253" s="391"/>
      <c r="AD253" s="390"/>
      <c r="AE253" s="391"/>
      <c r="AF253" s="390"/>
      <c r="AG253" s="391"/>
      <c r="AH253" s="390"/>
      <c r="AI253" s="391"/>
      <c r="AJ253" s="390"/>
      <c r="AK253" s="391"/>
      <c r="AL253" s="390"/>
      <c r="AM253" s="391"/>
      <c r="AN253" s="390"/>
      <c r="AO253" s="391"/>
    </row>
    <row r="254" spans="1:44">
      <c r="A254" s="203" t="s">
        <v>278</v>
      </c>
      <c r="B254" s="3" t="s">
        <v>980</v>
      </c>
      <c r="C254" s="202" t="s">
        <v>1050</v>
      </c>
      <c r="D254" s="468">
        <v>175573</v>
      </c>
      <c r="E254" s="469">
        <v>9</v>
      </c>
      <c r="F254" s="390">
        <v>3180</v>
      </c>
      <c r="G254" s="391">
        <v>3380</v>
      </c>
      <c r="H254" s="390">
        <v>5180</v>
      </c>
      <c r="I254" s="391">
        <v>5380</v>
      </c>
      <c r="J254" s="390"/>
      <c r="K254" s="391"/>
      <c r="L254" s="390"/>
      <c r="M254" s="391"/>
      <c r="N254" s="390"/>
      <c r="O254" s="391"/>
      <c r="P254" s="390"/>
      <c r="Q254" s="391"/>
      <c r="R254" s="390"/>
      <c r="S254" s="391"/>
      <c r="T254" s="390"/>
      <c r="U254" s="391"/>
      <c r="V254" s="390"/>
      <c r="W254" s="391"/>
      <c r="X254" s="390"/>
      <c r="Y254" s="391"/>
      <c r="Z254" s="390"/>
      <c r="AA254" s="391"/>
      <c r="AB254" s="390"/>
      <c r="AC254" s="391"/>
      <c r="AD254" s="390"/>
      <c r="AE254" s="391"/>
      <c r="AF254" s="390"/>
      <c r="AG254" s="391"/>
      <c r="AH254" s="390"/>
      <c r="AI254" s="391"/>
      <c r="AJ254" s="390"/>
      <c r="AK254" s="391"/>
      <c r="AL254" s="390"/>
      <c r="AM254" s="391"/>
      <c r="AN254" s="390"/>
      <c r="AO254" s="391"/>
    </row>
    <row r="255" spans="1:44">
      <c r="A255" s="203" t="s">
        <v>278</v>
      </c>
      <c r="B255" s="3" t="s">
        <v>981</v>
      </c>
      <c r="C255" s="202"/>
      <c r="D255" s="468">
        <v>175643</v>
      </c>
      <c r="E255" s="469">
        <v>9</v>
      </c>
      <c r="F255" s="390">
        <v>3180</v>
      </c>
      <c r="G255" s="391">
        <v>3180</v>
      </c>
      <c r="H255" s="390">
        <v>5280</v>
      </c>
      <c r="I255" s="391">
        <v>5280</v>
      </c>
      <c r="J255" s="390"/>
      <c r="K255" s="391"/>
      <c r="L255" s="390"/>
      <c r="M255" s="391"/>
      <c r="N255" s="390"/>
      <c r="O255" s="391"/>
      <c r="P255" s="390"/>
      <c r="Q255" s="391"/>
      <c r="R255" s="390"/>
      <c r="S255" s="391"/>
      <c r="T255" s="390"/>
      <c r="U255" s="391"/>
      <c r="V255" s="390"/>
      <c r="W255" s="391"/>
      <c r="X255" s="390"/>
      <c r="Y255" s="391"/>
      <c r="Z255" s="390"/>
      <c r="AA255" s="391"/>
      <c r="AB255" s="390"/>
      <c r="AC255" s="391"/>
      <c r="AD255" s="390"/>
      <c r="AE255" s="391"/>
      <c r="AF255" s="390"/>
      <c r="AG255" s="391"/>
      <c r="AH255" s="390"/>
      <c r="AI255" s="391"/>
      <c r="AJ255" s="390"/>
      <c r="AK255" s="391"/>
      <c r="AL255" s="390"/>
      <c r="AM255" s="391"/>
      <c r="AN255" s="390"/>
      <c r="AO255" s="391"/>
    </row>
    <row r="256" spans="1:44">
      <c r="A256" s="203" t="s">
        <v>278</v>
      </c>
      <c r="B256" s="3" t="s">
        <v>982</v>
      </c>
      <c r="C256" s="202" t="s">
        <v>1015</v>
      </c>
      <c r="D256" s="468">
        <v>175652</v>
      </c>
      <c r="E256" s="469">
        <v>9</v>
      </c>
      <c r="F256" s="390">
        <v>3790</v>
      </c>
      <c r="G256" s="391">
        <v>3790</v>
      </c>
      <c r="H256" s="390">
        <v>6790</v>
      </c>
      <c r="I256" s="391">
        <v>6790</v>
      </c>
      <c r="J256" s="390"/>
      <c r="K256" s="391"/>
      <c r="L256" s="390"/>
      <c r="M256" s="391"/>
      <c r="N256" s="390"/>
      <c r="O256" s="391"/>
      <c r="P256" s="390"/>
      <c r="Q256" s="391"/>
      <c r="R256" s="390"/>
      <c r="S256" s="391"/>
      <c r="T256" s="390"/>
      <c r="U256" s="391"/>
      <c r="V256" s="390"/>
      <c r="W256" s="391"/>
      <c r="X256" s="390"/>
      <c r="Y256" s="391"/>
      <c r="Z256" s="390"/>
      <c r="AA256" s="391"/>
      <c r="AB256" s="390"/>
      <c r="AC256" s="391"/>
      <c r="AD256" s="390"/>
      <c r="AE256" s="391"/>
      <c r="AF256" s="390"/>
      <c r="AG256" s="391"/>
      <c r="AH256" s="390"/>
      <c r="AI256" s="391"/>
      <c r="AJ256" s="390"/>
      <c r="AK256" s="391"/>
      <c r="AL256" s="390"/>
      <c r="AM256" s="391"/>
      <c r="AN256" s="390"/>
      <c r="AO256" s="391"/>
    </row>
    <row r="257" spans="1:44">
      <c r="A257" s="410" t="s">
        <v>278</v>
      </c>
      <c r="B257" s="3" t="s">
        <v>983</v>
      </c>
      <c r="C257" s="537"/>
      <c r="D257" s="468">
        <v>175829</v>
      </c>
      <c r="E257" s="471">
        <v>9</v>
      </c>
      <c r="F257" s="390">
        <v>3120</v>
      </c>
      <c r="G257" s="402">
        <v>3120</v>
      </c>
      <c r="H257" s="390">
        <v>5320</v>
      </c>
      <c r="I257" s="391">
        <v>5320</v>
      </c>
      <c r="J257" s="390"/>
      <c r="K257" s="391"/>
      <c r="L257" s="390"/>
      <c r="M257" s="391"/>
      <c r="N257" s="390"/>
      <c r="O257" s="391"/>
      <c r="P257" s="390"/>
      <c r="Q257" s="391"/>
      <c r="R257" s="390"/>
      <c r="S257" s="391"/>
      <c r="T257" s="390"/>
      <c r="U257" s="391"/>
      <c r="V257" s="390"/>
      <c r="W257" s="391"/>
      <c r="X257" s="390"/>
      <c r="Y257" s="391"/>
      <c r="Z257" s="390"/>
      <c r="AA257" s="391"/>
      <c r="AB257" s="390"/>
      <c r="AC257" s="391"/>
      <c r="AD257" s="390"/>
      <c r="AE257" s="391"/>
      <c r="AF257" s="390"/>
      <c r="AG257" s="391"/>
      <c r="AH257" s="390"/>
      <c r="AI257" s="391"/>
      <c r="AJ257" s="390"/>
      <c r="AK257" s="391"/>
      <c r="AL257" s="390"/>
      <c r="AM257" s="391"/>
      <c r="AN257" s="390"/>
      <c r="AO257" s="391"/>
    </row>
    <row r="258" spans="1:44">
      <c r="A258" s="410" t="s">
        <v>278</v>
      </c>
      <c r="B258" s="3" t="s">
        <v>984</v>
      </c>
      <c r="C258" s="202"/>
      <c r="D258" s="468">
        <v>175883</v>
      </c>
      <c r="E258" s="469">
        <v>9</v>
      </c>
      <c r="F258" s="390">
        <v>3870</v>
      </c>
      <c r="G258" s="391">
        <v>3870</v>
      </c>
      <c r="H258" s="390">
        <v>5870</v>
      </c>
      <c r="I258" s="391">
        <v>5870</v>
      </c>
      <c r="J258" s="390"/>
      <c r="K258" s="391"/>
      <c r="L258" s="390"/>
      <c r="M258" s="391"/>
      <c r="N258" s="390"/>
      <c r="O258" s="391"/>
      <c r="P258" s="390"/>
      <c r="Q258" s="391"/>
      <c r="R258" s="390"/>
      <c r="S258" s="391"/>
      <c r="T258" s="390"/>
      <c r="U258" s="391"/>
      <c r="V258" s="390"/>
      <c r="W258" s="391"/>
      <c r="X258" s="390"/>
      <c r="Y258" s="391"/>
      <c r="Z258" s="390"/>
      <c r="AA258" s="391"/>
      <c r="AB258" s="390"/>
      <c r="AC258" s="391"/>
      <c r="AD258" s="390"/>
      <c r="AE258" s="391"/>
      <c r="AF258" s="390"/>
      <c r="AG258" s="391"/>
      <c r="AH258" s="390"/>
      <c r="AI258" s="391"/>
      <c r="AJ258" s="390"/>
      <c r="AK258" s="391"/>
      <c r="AL258" s="390"/>
      <c r="AM258" s="391"/>
      <c r="AN258" s="390"/>
      <c r="AO258" s="391"/>
    </row>
    <row r="259" spans="1:44">
      <c r="A259" s="410" t="s">
        <v>278</v>
      </c>
      <c r="B259" s="3" t="s">
        <v>985</v>
      </c>
      <c r="C259" s="202"/>
      <c r="D259" s="468">
        <v>175935</v>
      </c>
      <c r="E259" s="469">
        <v>9</v>
      </c>
      <c r="F259" s="390">
        <v>3654</v>
      </c>
      <c r="G259" s="391">
        <v>3654</v>
      </c>
      <c r="H259" s="390">
        <v>5454</v>
      </c>
      <c r="I259" s="391">
        <v>5508</v>
      </c>
      <c r="J259" s="390"/>
      <c r="K259" s="391"/>
      <c r="L259" s="390"/>
      <c r="M259" s="391"/>
      <c r="N259" s="390"/>
      <c r="O259" s="391"/>
      <c r="P259" s="390"/>
      <c r="Q259" s="391"/>
      <c r="R259" s="390"/>
      <c r="S259" s="391"/>
      <c r="T259" s="390"/>
      <c r="U259" s="391"/>
      <c r="V259" s="390"/>
      <c r="W259" s="391"/>
      <c r="X259" s="390"/>
      <c r="Y259" s="391"/>
      <c r="Z259" s="390"/>
      <c r="AA259" s="391"/>
      <c r="AB259" s="390"/>
      <c r="AC259" s="391"/>
      <c r="AD259" s="390"/>
      <c r="AE259" s="391"/>
      <c r="AF259" s="390"/>
      <c r="AG259" s="391"/>
      <c r="AH259" s="390"/>
      <c r="AI259" s="391"/>
      <c r="AJ259" s="390"/>
      <c r="AK259" s="391"/>
      <c r="AL259" s="390"/>
      <c r="AM259" s="391"/>
      <c r="AN259" s="390"/>
      <c r="AO259" s="391"/>
    </row>
    <row r="260" spans="1:44">
      <c r="A260" s="410" t="s">
        <v>278</v>
      </c>
      <c r="B260" s="3" t="s">
        <v>986</v>
      </c>
      <c r="C260" s="202" t="s">
        <v>1015</v>
      </c>
      <c r="D260" s="468">
        <v>176008</v>
      </c>
      <c r="E260" s="469">
        <v>9</v>
      </c>
      <c r="F260" s="390">
        <v>3150</v>
      </c>
      <c r="G260" s="391">
        <v>3150</v>
      </c>
      <c r="H260" s="390">
        <v>5350</v>
      </c>
      <c r="I260" s="391">
        <v>5350</v>
      </c>
      <c r="J260" s="390"/>
      <c r="K260" s="391"/>
      <c r="L260" s="390"/>
      <c r="M260" s="391"/>
      <c r="N260" s="390"/>
      <c r="O260" s="391"/>
      <c r="P260" s="390"/>
      <c r="Q260" s="391"/>
      <c r="R260" s="390"/>
      <c r="S260" s="391"/>
      <c r="T260" s="390"/>
      <c r="U260" s="391"/>
      <c r="V260" s="390"/>
      <c r="W260" s="391"/>
      <c r="X260" s="390"/>
      <c r="Y260" s="391"/>
      <c r="Z260" s="390"/>
      <c r="AA260" s="391"/>
      <c r="AB260" s="390"/>
      <c r="AC260" s="391"/>
      <c r="AD260" s="390"/>
      <c r="AE260" s="391"/>
      <c r="AF260" s="390"/>
      <c r="AG260" s="391"/>
      <c r="AH260" s="390"/>
      <c r="AI260" s="391"/>
      <c r="AJ260" s="390"/>
      <c r="AK260" s="391"/>
      <c r="AL260" s="390"/>
      <c r="AM260" s="391"/>
      <c r="AN260" s="390"/>
      <c r="AO260" s="391"/>
    </row>
    <row r="261" spans="1:44">
      <c r="A261" s="410" t="s">
        <v>278</v>
      </c>
      <c r="B261" s="3" t="s">
        <v>987</v>
      </c>
      <c r="C261" s="467"/>
      <c r="D261" s="468">
        <v>176169</v>
      </c>
      <c r="E261" s="469">
        <v>9</v>
      </c>
      <c r="F261" s="390">
        <v>3690</v>
      </c>
      <c r="G261" s="391">
        <v>3870</v>
      </c>
      <c r="H261" s="390">
        <v>6820</v>
      </c>
      <c r="I261" s="391">
        <v>7150</v>
      </c>
      <c r="J261" s="390"/>
      <c r="K261" s="391"/>
      <c r="L261" s="390"/>
      <c r="M261" s="391"/>
      <c r="N261" s="390"/>
      <c r="O261" s="391"/>
      <c r="P261" s="390"/>
      <c r="Q261" s="391"/>
      <c r="R261" s="390"/>
      <c r="S261" s="391"/>
      <c r="T261" s="390"/>
      <c r="U261" s="391"/>
      <c r="V261" s="390"/>
      <c r="W261" s="391"/>
      <c r="X261" s="390"/>
      <c r="Y261" s="391"/>
      <c r="Z261" s="390"/>
      <c r="AA261" s="391"/>
      <c r="AB261" s="390"/>
      <c r="AC261" s="391"/>
      <c r="AD261" s="390"/>
      <c r="AE261" s="391"/>
      <c r="AF261" s="390"/>
      <c r="AG261" s="391"/>
      <c r="AH261" s="390"/>
      <c r="AI261" s="391"/>
      <c r="AJ261" s="390"/>
      <c r="AK261" s="391"/>
      <c r="AL261" s="390"/>
      <c r="AM261" s="391"/>
      <c r="AN261" s="390"/>
      <c r="AO261" s="391"/>
    </row>
    <row r="262" spans="1:44">
      <c r="A262" s="410" t="s">
        <v>278</v>
      </c>
      <c r="B262" s="3" t="s">
        <v>988</v>
      </c>
      <c r="C262" s="467"/>
      <c r="D262" s="468">
        <v>176239</v>
      </c>
      <c r="E262" s="469">
        <v>9</v>
      </c>
      <c r="F262" s="390">
        <v>3410</v>
      </c>
      <c r="G262" s="391">
        <v>3410</v>
      </c>
      <c r="H262" s="390">
        <v>6660</v>
      </c>
      <c r="I262" s="391">
        <v>6660</v>
      </c>
      <c r="J262" s="390"/>
      <c r="K262" s="391"/>
      <c r="L262" s="390"/>
      <c r="M262" s="391"/>
      <c r="N262" s="390"/>
      <c r="O262" s="391"/>
      <c r="P262" s="390"/>
      <c r="Q262" s="391"/>
      <c r="R262" s="390"/>
      <c r="S262" s="391"/>
      <c r="T262" s="390"/>
      <c r="U262" s="391"/>
      <c r="V262" s="390"/>
      <c r="W262" s="391"/>
      <c r="X262" s="390"/>
      <c r="Y262" s="391"/>
      <c r="Z262" s="390"/>
      <c r="AA262" s="391"/>
      <c r="AB262" s="390"/>
      <c r="AC262" s="391"/>
      <c r="AD262" s="390"/>
      <c r="AE262" s="391"/>
      <c r="AF262" s="390"/>
      <c r="AG262" s="391"/>
      <c r="AH262" s="390"/>
      <c r="AI262" s="391"/>
      <c r="AJ262" s="390"/>
      <c r="AK262" s="391"/>
      <c r="AL262" s="390"/>
      <c r="AM262" s="391"/>
      <c r="AN262" s="390"/>
      <c r="AO262" s="391"/>
    </row>
    <row r="263" spans="1:44">
      <c r="A263" s="410" t="s">
        <v>278</v>
      </c>
      <c r="B263" s="3" t="s">
        <v>989</v>
      </c>
      <c r="C263" s="467"/>
      <c r="D263" s="468">
        <v>175519</v>
      </c>
      <c r="E263" s="469">
        <v>10</v>
      </c>
      <c r="F263" s="390">
        <v>3070</v>
      </c>
      <c r="G263" s="391">
        <v>3270</v>
      </c>
      <c r="H263" s="390">
        <v>6170</v>
      </c>
      <c r="I263" s="391">
        <v>6370</v>
      </c>
      <c r="J263" s="390"/>
      <c r="K263" s="391"/>
      <c r="L263" s="390"/>
      <c r="M263" s="391"/>
      <c r="N263" s="390"/>
      <c r="O263" s="391"/>
      <c r="P263" s="390"/>
      <c r="Q263" s="391"/>
      <c r="R263" s="390"/>
      <c r="S263" s="391"/>
      <c r="T263" s="390"/>
      <c r="U263" s="391"/>
      <c r="V263" s="390"/>
      <c r="W263" s="391"/>
      <c r="X263" s="390"/>
      <c r="Y263" s="391"/>
      <c r="Z263" s="390"/>
      <c r="AA263" s="391"/>
      <c r="AB263" s="390"/>
      <c r="AC263" s="391"/>
      <c r="AD263" s="390"/>
      <c r="AE263" s="391"/>
      <c r="AF263" s="390"/>
      <c r="AG263" s="391"/>
      <c r="AH263" s="390"/>
      <c r="AI263" s="391"/>
      <c r="AJ263" s="390"/>
      <c r="AK263" s="391"/>
      <c r="AL263" s="390"/>
      <c r="AM263" s="391"/>
      <c r="AN263" s="390"/>
      <c r="AO263" s="391"/>
    </row>
    <row r="264" spans="1:44">
      <c r="A264" s="410" t="s">
        <v>278</v>
      </c>
      <c r="B264" s="3" t="s">
        <v>990</v>
      </c>
      <c r="C264" s="467"/>
      <c r="D264" s="468">
        <v>176354</v>
      </c>
      <c r="E264" s="469">
        <v>10</v>
      </c>
      <c r="F264" s="390">
        <v>3380</v>
      </c>
      <c r="G264" s="391">
        <v>3380</v>
      </c>
      <c r="H264" s="390">
        <v>6080</v>
      </c>
      <c r="I264" s="391">
        <v>6080</v>
      </c>
      <c r="J264" s="390"/>
      <c r="K264" s="391"/>
      <c r="L264" s="390"/>
      <c r="M264" s="391"/>
      <c r="N264" s="390"/>
      <c r="O264" s="391"/>
      <c r="P264" s="390"/>
      <c r="Q264" s="391"/>
      <c r="R264" s="390"/>
      <c r="S264" s="391"/>
      <c r="T264" s="390"/>
      <c r="U264" s="391"/>
      <c r="V264" s="390"/>
      <c r="W264" s="391"/>
      <c r="X264" s="390"/>
      <c r="Y264" s="391"/>
      <c r="Z264" s="390"/>
      <c r="AA264" s="391"/>
      <c r="AB264" s="390"/>
      <c r="AC264" s="391"/>
      <c r="AD264" s="390"/>
      <c r="AE264" s="391"/>
      <c r="AF264" s="390"/>
      <c r="AG264" s="391"/>
      <c r="AH264" s="390"/>
      <c r="AI264" s="391"/>
      <c r="AJ264" s="390"/>
      <c r="AK264" s="391"/>
      <c r="AL264" s="390"/>
      <c r="AM264" s="391"/>
      <c r="AN264" s="390"/>
      <c r="AO264" s="391"/>
    </row>
    <row r="265" spans="1:44">
      <c r="A265" s="266" t="s">
        <v>287</v>
      </c>
      <c r="B265" s="267" t="s">
        <v>344</v>
      </c>
      <c r="C265" s="472"/>
      <c r="D265" s="473">
        <v>199193</v>
      </c>
      <c r="E265" s="474">
        <v>1</v>
      </c>
      <c r="F265" s="401">
        <v>9101</v>
      </c>
      <c r="G265" s="402">
        <v>9131</v>
      </c>
      <c r="H265" s="401">
        <v>29220</v>
      </c>
      <c r="I265" s="411">
        <v>29916</v>
      </c>
      <c r="J265" s="401">
        <v>11673</v>
      </c>
      <c r="K265" s="402">
        <v>11703</v>
      </c>
      <c r="L265" s="401">
        <v>28999</v>
      </c>
      <c r="M265" s="402">
        <v>29690</v>
      </c>
      <c r="N265" s="401"/>
      <c r="O265" s="402"/>
      <c r="P265" s="401"/>
      <c r="Q265" s="402"/>
      <c r="R265" s="401"/>
      <c r="S265" s="402"/>
      <c r="T265" s="401"/>
      <c r="U265" s="402"/>
      <c r="V265" s="401"/>
      <c r="W265" s="402"/>
      <c r="X265" s="401"/>
      <c r="Y265" s="402"/>
      <c r="Z265" s="401"/>
      <c r="AA265" s="402"/>
      <c r="AB265" s="401"/>
      <c r="AC265" s="402"/>
      <c r="AD265" s="401"/>
      <c r="AE265" s="402"/>
      <c r="AF265" s="401"/>
      <c r="AG265" s="402"/>
      <c r="AH265" s="401"/>
      <c r="AI265" s="402"/>
      <c r="AJ265" s="401"/>
      <c r="AK265" s="402"/>
      <c r="AL265" s="401">
        <v>19617</v>
      </c>
      <c r="AM265" s="402">
        <v>19647</v>
      </c>
      <c r="AN265" s="401">
        <v>47658</v>
      </c>
      <c r="AO265" s="402">
        <v>48348</v>
      </c>
      <c r="AP265" s="53"/>
      <c r="AQ265" s="53"/>
      <c r="AR265" s="53"/>
    </row>
    <row r="266" spans="1:44">
      <c r="A266" s="266" t="s">
        <v>287</v>
      </c>
      <c r="B266" s="267" t="s">
        <v>345</v>
      </c>
      <c r="C266" s="472"/>
      <c r="D266" s="473">
        <v>199120</v>
      </c>
      <c r="E266" s="474">
        <v>1</v>
      </c>
      <c r="F266" s="401">
        <v>8980</v>
      </c>
      <c r="G266" s="402">
        <v>9028</v>
      </c>
      <c r="H266" s="401">
        <v>36159</v>
      </c>
      <c r="I266" s="402">
        <v>36891</v>
      </c>
      <c r="J266" s="401">
        <v>12522</v>
      </c>
      <c r="K266" s="402">
        <v>12566</v>
      </c>
      <c r="L266" s="401">
        <v>30248</v>
      </c>
      <c r="M266" s="402">
        <v>30858</v>
      </c>
      <c r="N266" s="401">
        <v>24480</v>
      </c>
      <c r="O266" s="402">
        <v>24530</v>
      </c>
      <c r="P266" s="401">
        <v>41626</v>
      </c>
      <c r="Q266" s="402">
        <v>44742</v>
      </c>
      <c r="R266" s="401">
        <v>34695</v>
      </c>
      <c r="S266" s="402">
        <v>34745</v>
      </c>
      <c r="T266" s="401">
        <v>62089</v>
      </c>
      <c r="U266" s="402">
        <v>62705</v>
      </c>
      <c r="V266" s="401">
        <v>40653</v>
      </c>
      <c r="W266" s="402">
        <v>16674</v>
      </c>
      <c r="X266" s="401">
        <v>67168</v>
      </c>
      <c r="Y266" s="402">
        <v>35087</v>
      </c>
      <c r="Z266" s="401">
        <v>24335</v>
      </c>
      <c r="AA266" s="402">
        <v>24385</v>
      </c>
      <c r="AB266" s="401">
        <v>46896</v>
      </c>
      <c r="AC266" s="402">
        <v>47512</v>
      </c>
      <c r="AD266" s="401"/>
      <c r="AE266" s="402"/>
      <c r="AF266" s="401"/>
      <c r="AG266" s="402"/>
      <c r="AH266" s="401"/>
      <c r="AI266" s="402"/>
      <c r="AJ266" s="401"/>
      <c r="AK266" s="402"/>
      <c r="AL266" s="401"/>
      <c r="AM266" s="402"/>
      <c r="AN266" s="401"/>
      <c r="AO266" s="402"/>
      <c r="AP266" s="53"/>
      <c r="AQ266" s="53"/>
      <c r="AR266" s="53"/>
    </row>
    <row r="267" spans="1:44">
      <c r="A267" s="266" t="s">
        <v>287</v>
      </c>
      <c r="B267" s="267" t="s">
        <v>346</v>
      </c>
      <c r="C267" s="475"/>
      <c r="D267" s="473">
        <v>199139</v>
      </c>
      <c r="E267" s="474">
        <v>1</v>
      </c>
      <c r="F267" s="401">
        <v>6941</v>
      </c>
      <c r="G267" s="402">
        <v>7188</v>
      </c>
      <c r="H267" s="401">
        <v>20375</v>
      </c>
      <c r="I267" s="402">
        <v>20622</v>
      </c>
      <c r="J267" s="401">
        <v>7466</v>
      </c>
      <c r="K267" s="402">
        <v>7713</v>
      </c>
      <c r="L267" s="401">
        <v>20900</v>
      </c>
      <c r="M267" s="402">
        <v>21147</v>
      </c>
      <c r="N267" s="401"/>
      <c r="O267" s="402"/>
      <c r="P267" s="401"/>
      <c r="Q267" s="402"/>
      <c r="R267" s="401"/>
      <c r="S267" s="402"/>
      <c r="T267" s="401"/>
      <c r="U267" s="402"/>
      <c r="V267" s="401"/>
      <c r="W267" s="402"/>
      <c r="X267" s="401"/>
      <c r="Y267" s="402"/>
      <c r="Z267" s="401"/>
      <c r="AA267" s="402"/>
      <c r="AB267" s="401"/>
      <c r="AC267" s="402"/>
      <c r="AD267" s="401"/>
      <c r="AE267" s="402"/>
      <c r="AF267" s="401"/>
      <c r="AG267" s="402"/>
      <c r="AH267" s="401"/>
      <c r="AI267" s="402"/>
      <c r="AJ267" s="401"/>
      <c r="AK267" s="402"/>
      <c r="AL267" s="401"/>
      <c r="AM267" s="402"/>
      <c r="AN267" s="401"/>
      <c r="AO267" s="402"/>
      <c r="AP267" s="53"/>
      <c r="AQ267" s="53"/>
      <c r="AR267" s="53"/>
    </row>
    <row r="268" spans="1:44">
      <c r="A268" s="266" t="s">
        <v>287</v>
      </c>
      <c r="B268" s="267" t="s">
        <v>347</v>
      </c>
      <c r="C268" s="472"/>
      <c r="D268" s="473">
        <v>199148</v>
      </c>
      <c r="E268" s="474">
        <v>1</v>
      </c>
      <c r="F268" s="401">
        <v>7403</v>
      </c>
      <c r="G268" s="402">
        <v>7468</v>
      </c>
      <c r="H268" s="401">
        <v>22562</v>
      </c>
      <c r="I268" s="402">
        <v>22627</v>
      </c>
      <c r="J268" s="401">
        <v>8200</v>
      </c>
      <c r="K268" s="402">
        <v>8265</v>
      </c>
      <c r="L268" s="401">
        <v>21918</v>
      </c>
      <c r="M268" s="402">
        <v>21983</v>
      </c>
      <c r="N268" s="401"/>
      <c r="O268" s="402"/>
      <c r="P268" s="401"/>
      <c r="Q268" s="402"/>
      <c r="R268" s="401"/>
      <c r="S268" s="402"/>
      <c r="T268" s="401"/>
      <c r="U268" s="402"/>
      <c r="V268" s="401"/>
      <c r="W268" s="402"/>
      <c r="X268" s="401"/>
      <c r="Y268" s="402"/>
      <c r="Z268" s="401"/>
      <c r="AA268" s="402"/>
      <c r="AB268" s="401"/>
      <c r="AC268" s="402"/>
      <c r="AD268" s="401"/>
      <c r="AE268" s="402"/>
      <c r="AF268" s="401"/>
      <c r="AG268" s="402"/>
      <c r="AH268" s="401"/>
      <c r="AI268" s="402"/>
      <c r="AJ268" s="401"/>
      <c r="AK268" s="402"/>
      <c r="AL268" s="401"/>
      <c r="AM268" s="402"/>
      <c r="AN268" s="401"/>
      <c r="AO268" s="402"/>
      <c r="AP268" s="53"/>
      <c r="AQ268" s="53"/>
      <c r="AR268" s="53"/>
    </row>
    <row r="269" spans="1:44">
      <c r="A269" s="266" t="s">
        <v>287</v>
      </c>
      <c r="B269" s="267" t="s">
        <v>348</v>
      </c>
      <c r="C269" s="475"/>
      <c r="D269" s="473">
        <v>198464</v>
      </c>
      <c r="E269" s="474">
        <v>2</v>
      </c>
      <c r="F269" s="401">
        <v>7239</v>
      </c>
      <c r="G269" s="402">
        <v>7297</v>
      </c>
      <c r="H269" s="401">
        <v>23516</v>
      </c>
      <c r="I269" s="402">
        <v>23574</v>
      </c>
      <c r="J269" s="401">
        <v>7536</v>
      </c>
      <c r="K269" s="402">
        <v>7594</v>
      </c>
      <c r="L269" s="401">
        <v>20685</v>
      </c>
      <c r="M269" s="402">
        <v>20743</v>
      </c>
      <c r="N269" s="401"/>
      <c r="O269" s="402"/>
      <c r="P269" s="401"/>
      <c r="Q269" s="402"/>
      <c r="R269" s="401">
        <v>23154</v>
      </c>
      <c r="S269" s="402">
        <v>23116</v>
      </c>
      <c r="T269" s="406">
        <v>23154</v>
      </c>
      <c r="U269" s="402">
        <v>23116</v>
      </c>
      <c r="V269" s="401">
        <v>33046</v>
      </c>
      <c r="W269" s="402">
        <v>33046</v>
      </c>
      <c r="X269" s="406">
        <v>33046</v>
      </c>
      <c r="Y269" s="402">
        <v>33046</v>
      </c>
      <c r="Z269" s="401"/>
      <c r="AA269" s="402"/>
      <c r="AB269" s="401"/>
      <c r="AC269" s="402"/>
      <c r="AD269" s="401"/>
      <c r="AE269" s="402"/>
      <c r="AF269" s="401"/>
      <c r="AG269" s="402"/>
      <c r="AH269" s="401"/>
      <c r="AI269" s="402"/>
      <c r="AJ269" s="401"/>
      <c r="AK269" s="402"/>
      <c r="AL269" s="401"/>
      <c r="AM269" s="402"/>
      <c r="AN269" s="401"/>
      <c r="AO269" s="402"/>
      <c r="AP269" s="53"/>
      <c r="AQ269" s="53"/>
      <c r="AR269" s="53"/>
    </row>
    <row r="270" spans="1:44">
      <c r="A270" s="266" t="s">
        <v>287</v>
      </c>
      <c r="B270" s="267" t="s">
        <v>349</v>
      </c>
      <c r="C270" s="472"/>
      <c r="D270" s="473">
        <v>197869</v>
      </c>
      <c r="E270" s="474">
        <v>3</v>
      </c>
      <c r="F270" s="401">
        <v>7410</v>
      </c>
      <c r="G270" s="402">
        <v>7410</v>
      </c>
      <c r="H270" s="401">
        <v>22217</v>
      </c>
      <c r="I270" s="402">
        <v>23017</v>
      </c>
      <c r="J270" s="401">
        <v>8007</v>
      </c>
      <c r="K270" s="402">
        <v>8007</v>
      </c>
      <c r="L270" s="401">
        <v>21439</v>
      </c>
      <c r="M270" s="402">
        <v>23017</v>
      </c>
      <c r="N270" s="401"/>
      <c r="O270" s="402"/>
      <c r="P270" s="401"/>
      <c r="Q270" s="402"/>
      <c r="R270" s="401"/>
      <c r="S270" s="402"/>
      <c r="T270" s="401"/>
      <c r="U270" s="402"/>
      <c r="V270" s="401"/>
      <c r="W270" s="402"/>
      <c r="X270" s="401"/>
      <c r="Y270" s="402"/>
      <c r="Z270" s="401"/>
      <c r="AA270" s="402"/>
      <c r="AB270" s="401"/>
      <c r="AC270" s="402"/>
      <c r="AD270" s="401"/>
      <c r="AE270" s="402"/>
      <c r="AF270" s="401"/>
      <c r="AG270" s="402"/>
      <c r="AH270" s="401"/>
      <c r="AI270" s="402"/>
      <c r="AJ270" s="401"/>
      <c r="AK270" s="402"/>
      <c r="AL270" s="401"/>
      <c r="AM270" s="402"/>
      <c r="AN270" s="401"/>
      <c r="AO270" s="402"/>
      <c r="AP270" s="53"/>
      <c r="AQ270" s="53"/>
      <c r="AR270" s="53"/>
    </row>
    <row r="271" spans="1:44">
      <c r="A271" s="266" t="s">
        <v>287</v>
      </c>
      <c r="B271" s="479" t="s">
        <v>350</v>
      </c>
      <c r="C271" s="476" t="s">
        <v>1010</v>
      </c>
      <c r="D271" s="477">
        <v>199102</v>
      </c>
      <c r="E271" s="478">
        <v>2</v>
      </c>
      <c r="F271" s="401">
        <v>6657</v>
      </c>
      <c r="G271" s="402">
        <v>6733</v>
      </c>
      <c r="H271" s="401">
        <v>20167</v>
      </c>
      <c r="I271" s="402">
        <v>20243</v>
      </c>
      <c r="J271" s="401">
        <v>7862</v>
      </c>
      <c r="K271" s="402">
        <v>7938</v>
      </c>
      <c r="L271" s="401">
        <v>20662</v>
      </c>
      <c r="M271" s="402">
        <v>20738</v>
      </c>
      <c r="N271" s="401"/>
      <c r="O271" s="402"/>
      <c r="P271" s="401"/>
      <c r="Q271" s="402"/>
      <c r="R271" s="401"/>
      <c r="S271" s="402"/>
      <c r="T271" s="401"/>
      <c r="U271" s="402"/>
      <c r="V271" s="401"/>
      <c r="W271" s="402"/>
      <c r="X271" s="401"/>
      <c r="Y271" s="402"/>
      <c r="Z271" s="401"/>
      <c r="AA271" s="402"/>
      <c r="AB271" s="401"/>
      <c r="AC271" s="402"/>
      <c r="AD271" s="401"/>
      <c r="AE271" s="402"/>
      <c r="AF271" s="401"/>
      <c r="AG271" s="402"/>
      <c r="AH271" s="401"/>
      <c r="AI271" s="402"/>
      <c r="AJ271" s="401"/>
      <c r="AK271" s="402"/>
      <c r="AL271" s="401"/>
      <c r="AM271" s="402"/>
      <c r="AN271" s="401"/>
      <c r="AO271" s="402"/>
      <c r="AP271" s="53"/>
      <c r="AQ271" s="53"/>
      <c r="AR271" s="53"/>
    </row>
    <row r="272" spans="1:44">
      <c r="A272" s="266" t="s">
        <v>287</v>
      </c>
      <c r="B272" s="267" t="s">
        <v>351</v>
      </c>
      <c r="C272" s="472"/>
      <c r="D272" s="473">
        <v>199157</v>
      </c>
      <c r="E272" s="474">
        <v>3</v>
      </c>
      <c r="F272" s="401">
        <v>6629</v>
      </c>
      <c r="G272" s="402">
        <v>6644</v>
      </c>
      <c r="H272" s="401">
        <v>19336</v>
      </c>
      <c r="I272" s="402">
        <v>19351</v>
      </c>
      <c r="J272" s="401">
        <v>7641</v>
      </c>
      <c r="K272" s="402">
        <v>7641</v>
      </c>
      <c r="L272" s="401">
        <v>20595</v>
      </c>
      <c r="M272" s="402">
        <v>20595</v>
      </c>
      <c r="N272" s="401">
        <v>16345</v>
      </c>
      <c r="O272" s="402">
        <v>16345</v>
      </c>
      <c r="P272" s="401">
        <v>39017</v>
      </c>
      <c r="Q272" s="402">
        <v>39017</v>
      </c>
      <c r="R272" s="401"/>
      <c r="S272" s="402"/>
      <c r="T272" s="401"/>
      <c r="U272" s="402"/>
      <c r="V272" s="401"/>
      <c r="W272" s="402"/>
      <c r="X272" s="401"/>
      <c r="Y272" s="402"/>
      <c r="Z272" s="401"/>
      <c r="AA272" s="402"/>
      <c r="AB272" s="401"/>
      <c r="AC272" s="402"/>
      <c r="AD272" s="401"/>
      <c r="AE272" s="402"/>
      <c r="AF272" s="401"/>
      <c r="AG272" s="402"/>
      <c r="AH272" s="401"/>
      <c r="AI272" s="402"/>
      <c r="AJ272" s="401"/>
      <c r="AK272" s="402"/>
      <c r="AL272" s="401"/>
      <c r="AM272" s="402"/>
      <c r="AN272" s="401"/>
      <c r="AO272" s="402"/>
      <c r="AP272" s="53"/>
      <c r="AQ272" s="53"/>
      <c r="AR272" s="53"/>
    </row>
    <row r="273" spans="1:44">
      <c r="A273" s="266" t="s">
        <v>287</v>
      </c>
      <c r="B273" s="267" t="s">
        <v>352</v>
      </c>
      <c r="C273" s="472"/>
      <c r="D273" s="473">
        <v>199218</v>
      </c>
      <c r="E273" s="474">
        <v>3</v>
      </c>
      <c r="F273" s="401">
        <v>7181</v>
      </c>
      <c r="G273" s="402">
        <v>7238</v>
      </c>
      <c r="H273" s="401">
        <v>21246</v>
      </c>
      <c r="I273" s="402">
        <v>21303</v>
      </c>
      <c r="J273" s="401">
        <v>7457</v>
      </c>
      <c r="K273" s="402">
        <v>7514</v>
      </c>
      <c r="L273" s="401">
        <v>21286</v>
      </c>
      <c r="M273" s="402">
        <v>21343</v>
      </c>
      <c r="N273" s="401"/>
      <c r="O273" s="402"/>
      <c r="P273" s="401"/>
      <c r="Q273" s="402"/>
      <c r="R273" s="401"/>
      <c r="S273" s="402"/>
      <c r="T273" s="401"/>
      <c r="U273" s="402"/>
      <c r="V273" s="401"/>
      <c r="W273" s="402"/>
      <c r="X273" s="401"/>
      <c r="Y273" s="402"/>
      <c r="Z273" s="401"/>
      <c r="AA273" s="402"/>
      <c r="AB273" s="401"/>
      <c r="AC273" s="402"/>
      <c r="AD273" s="401"/>
      <c r="AE273" s="402"/>
      <c r="AF273" s="401"/>
      <c r="AG273" s="402"/>
      <c r="AH273" s="401"/>
      <c r="AI273" s="402"/>
      <c r="AJ273" s="401"/>
      <c r="AK273" s="402"/>
      <c r="AL273" s="401"/>
      <c r="AM273" s="402"/>
      <c r="AN273" s="401"/>
      <c r="AO273" s="402"/>
      <c r="AP273" s="53"/>
      <c r="AQ273" s="53"/>
      <c r="AR273" s="53"/>
    </row>
    <row r="274" spans="1:44">
      <c r="A274" s="266" t="s">
        <v>287</v>
      </c>
      <c r="B274" s="267" t="s">
        <v>353</v>
      </c>
      <c r="C274" s="472"/>
      <c r="D274" s="473">
        <v>200004</v>
      </c>
      <c r="E274" s="474">
        <v>3</v>
      </c>
      <c r="F274" s="401">
        <v>4285</v>
      </c>
      <c r="G274" s="402">
        <v>4367</v>
      </c>
      <c r="H274" s="401">
        <v>8285</v>
      </c>
      <c r="I274" s="402">
        <v>8367</v>
      </c>
      <c r="J274" s="401">
        <v>7414</v>
      </c>
      <c r="K274" s="402">
        <v>7480</v>
      </c>
      <c r="L274" s="401">
        <v>17821</v>
      </c>
      <c r="M274" s="402">
        <v>17887</v>
      </c>
      <c r="N274" s="401"/>
      <c r="O274" s="402"/>
      <c r="P274" s="401"/>
      <c r="Q274" s="402"/>
      <c r="R274" s="401"/>
      <c r="S274" s="402"/>
      <c r="T274" s="401"/>
      <c r="U274" s="402"/>
      <c r="V274" s="401"/>
      <c r="W274" s="402"/>
      <c r="X274" s="401"/>
      <c r="Y274" s="402"/>
      <c r="Z274" s="401"/>
      <c r="AA274" s="402"/>
      <c r="AB274" s="401"/>
      <c r="AC274" s="402"/>
      <c r="AD274" s="401"/>
      <c r="AE274" s="402"/>
      <c r="AF274" s="401"/>
      <c r="AG274" s="402"/>
      <c r="AH274" s="401"/>
      <c r="AI274" s="402"/>
      <c r="AJ274" s="401"/>
      <c r="AK274" s="402"/>
      <c r="AL274" s="401"/>
      <c r="AM274" s="402"/>
      <c r="AN274" s="401"/>
      <c r="AO274" s="402"/>
      <c r="AP274" s="53"/>
      <c r="AQ274" s="53"/>
      <c r="AR274" s="53"/>
    </row>
    <row r="275" spans="1:44">
      <c r="A275" s="266" t="s">
        <v>287</v>
      </c>
      <c r="B275" s="267" t="s">
        <v>354</v>
      </c>
      <c r="C275" s="472"/>
      <c r="D275" s="473">
        <v>198543</v>
      </c>
      <c r="E275" s="474">
        <v>4</v>
      </c>
      <c r="F275" s="401">
        <v>5309</v>
      </c>
      <c r="G275" s="402">
        <v>5379</v>
      </c>
      <c r="H275" s="401">
        <v>16917</v>
      </c>
      <c r="I275" s="402">
        <v>16987</v>
      </c>
      <c r="J275" s="401">
        <v>5765</v>
      </c>
      <c r="K275" s="402">
        <v>5835</v>
      </c>
      <c r="L275" s="401">
        <v>16830</v>
      </c>
      <c r="M275" s="402">
        <v>16900</v>
      </c>
      <c r="N275" s="401"/>
      <c r="O275" s="402"/>
      <c r="P275" s="401"/>
      <c r="Q275" s="402"/>
      <c r="R275" s="401"/>
      <c r="S275" s="402"/>
      <c r="T275" s="401"/>
      <c r="U275" s="402"/>
      <c r="V275" s="401"/>
      <c r="W275" s="402"/>
      <c r="X275" s="401"/>
      <c r="Y275" s="402"/>
      <c r="Z275" s="401"/>
      <c r="AA275" s="402"/>
      <c r="AB275" s="401"/>
      <c r="AC275" s="402"/>
      <c r="AD275" s="401"/>
      <c r="AE275" s="402"/>
      <c r="AF275" s="401"/>
      <c r="AG275" s="402"/>
      <c r="AH275" s="401"/>
      <c r="AI275" s="402"/>
      <c r="AJ275" s="401"/>
      <c r="AK275" s="402"/>
      <c r="AL275" s="401"/>
      <c r="AM275" s="402"/>
      <c r="AN275" s="401"/>
      <c r="AO275" s="402"/>
      <c r="AP275" s="53"/>
      <c r="AQ275" s="53"/>
      <c r="AR275" s="53"/>
    </row>
    <row r="276" spans="1:44">
      <c r="A276" s="266" t="s">
        <v>287</v>
      </c>
      <c r="B276" s="267" t="s">
        <v>355</v>
      </c>
      <c r="C276" s="472"/>
      <c r="D276" s="473">
        <v>199281</v>
      </c>
      <c r="E276" s="474">
        <v>5</v>
      </c>
      <c r="F276" s="401">
        <v>3456</v>
      </c>
      <c r="G276" s="402">
        <v>3495</v>
      </c>
      <c r="H276" s="401">
        <v>7456</v>
      </c>
      <c r="I276" s="402">
        <v>7495</v>
      </c>
      <c r="J276" s="401">
        <v>6736</v>
      </c>
      <c r="K276" s="402">
        <v>6775</v>
      </c>
      <c r="L276" s="401">
        <v>18800</v>
      </c>
      <c r="M276" s="402">
        <v>19329</v>
      </c>
      <c r="N276" s="401"/>
      <c r="O276" s="402"/>
      <c r="P276" s="401"/>
      <c r="Q276" s="402"/>
      <c r="R276" s="401"/>
      <c r="S276" s="402"/>
      <c r="T276" s="401"/>
      <c r="U276" s="402"/>
      <c r="V276" s="401"/>
      <c r="W276" s="402"/>
      <c r="X276" s="401"/>
      <c r="Y276" s="402"/>
      <c r="Z276" s="401"/>
      <c r="AA276" s="402"/>
      <c r="AB276" s="401"/>
      <c r="AC276" s="402"/>
      <c r="AD276" s="401"/>
      <c r="AE276" s="402"/>
      <c r="AF276" s="401"/>
      <c r="AG276" s="402"/>
      <c r="AH276" s="401"/>
      <c r="AI276" s="402"/>
      <c r="AJ276" s="401"/>
      <c r="AK276" s="402"/>
      <c r="AL276" s="401"/>
      <c r="AM276" s="402"/>
      <c r="AN276" s="401"/>
      <c r="AO276" s="402"/>
      <c r="AP276" s="53"/>
      <c r="AQ276" s="53"/>
      <c r="AR276" s="53"/>
    </row>
    <row r="277" spans="1:44">
      <c r="A277" s="266" t="s">
        <v>287</v>
      </c>
      <c r="B277" s="267" t="s">
        <v>356</v>
      </c>
      <c r="C277" s="472"/>
      <c r="D277" s="473">
        <v>199999</v>
      </c>
      <c r="E277" s="474">
        <v>5</v>
      </c>
      <c r="F277" s="401">
        <v>5941</v>
      </c>
      <c r="G277" s="402">
        <v>6247</v>
      </c>
      <c r="H277" s="401">
        <v>16188</v>
      </c>
      <c r="I277" s="402">
        <v>16903</v>
      </c>
      <c r="J277" s="401">
        <v>6412</v>
      </c>
      <c r="K277" s="402">
        <v>6718</v>
      </c>
      <c r="L277" s="401">
        <v>16527</v>
      </c>
      <c r="M277" s="402">
        <v>17253</v>
      </c>
      <c r="N277" s="401"/>
      <c r="O277" s="402"/>
      <c r="P277" s="401"/>
      <c r="Q277" s="402"/>
      <c r="R277" s="401"/>
      <c r="S277" s="402"/>
      <c r="T277" s="401"/>
      <c r="U277" s="402"/>
      <c r="V277" s="401"/>
      <c r="W277" s="402"/>
      <c r="X277" s="401"/>
      <c r="Y277" s="402"/>
      <c r="Z277" s="401"/>
      <c r="AA277" s="402"/>
      <c r="AB277" s="401"/>
      <c r="AC277" s="402"/>
      <c r="AD277" s="401"/>
      <c r="AE277" s="402"/>
      <c r="AF277" s="401"/>
      <c r="AG277" s="402"/>
      <c r="AH277" s="401"/>
      <c r="AI277" s="402"/>
      <c r="AJ277" s="401"/>
      <c r="AK277" s="402"/>
      <c r="AL277" s="401"/>
      <c r="AM277" s="402"/>
      <c r="AN277" s="401"/>
      <c r="AO277" s="402"/>
      <c r="AP277" s="53"/>
      <c r="AQ277" s="53"/>
      <c r="AR277" s="53"/>
    </row>
    <row r="278" spans="1:44">
      <c r="A278" s="266" t="s">
        <v>287</v>
      </c>
      <c r="B278" s="267" t="s">
        <v>357</v>
      </c>
      <c r="C278" s="472"/>
      <c r="D278" s="473">
        <v>198507</v>
      </c>
      <c r="E278" s="474">
        <v>6</v>
      </c>
      <c r="F278" s="401">
        <v>3260</v>
      </c>
      <c r="G278" s="402">
        <v>3326</v>
      </c>
      <c r="H278" s="401">
        <v>7260</v>
      </c>
      <c r="I278" s="402">
        <v>7326</v>
      </c>
      <c r="J278" s="401">
        <v>5635</v>
      </c>
      <c r="K278" s="402">
        <v>5701</v>
      </c>
      <c r="L278" s="401">
        <v>18697</v>
      </c>
      <c r="M278" s="402">
        <v>18763</v>
      </c>
      <c r="N278" s="401"/>
      <c r="O278" s="402"/>
      <c r="P278" s="401"/>
      <c r="Q278" s="402"/>
      <c r="R278" s="401"/>
      <c r="S278" s="402"/>
      <c r="T278" s="401"/>
      <c r="U278" s="402"/>
      <c r="V278" s="401"/>
      <c r="W278" s="402"/>
      <c r="X278" s="401"/>
      <c r="Y278" s="402"/>
      <c r="Z278" s="401"/>
      <c r="AA278" s="402"/>
      <c r="AB278" s="401"/>
      <c r="AC278" s="402"/>
      <c r="AD278" s="401"/>
      <c r="AE278" s="402"/>
      <c r="AF278" s="401"/>
      <c r="AG278" s="402"/>
      <c r="AH278" s="401"/>
      <c r="AI278" s="402"/>
      <c r="AJ278" s="401"/>
      <c r="AK278" s="402"/>
      <c r="AL278" s="401"/>
      <c r="AM278" s="402"/>
      <c r="AN278" s="401"/>
      <c r="AO278" s="402"/>
      <c r="AP278" s="53"/>
      <c r="AQ278" s="53"/>
      <c r="AR278" s="53"/>
    </row>
    <row r="279" spans="1:44">
      <c r="A279" s="266" t="s">
        <v>287</v>
      </c>
      <c r="B279" s="267" t="s">
        <v>358</v>
      </c>
      <c r="C279" s="472"/>
      <c r="D279" s="473">
        <v>199111</v>
      </c>
      <c r="E279" s="474">
        <v>6</v>
      </c>
      <c r="F279" s="401">
        <v>7244</v>
      </c>
      <c r="G279" s="402">
        <v>7319</v>
      </c>
      <c r="H279" s="401">
        <v>24592</v>
      </c>
      <c r="I279" s="402">
        <v>24667</v>
      </c>
      <c r="J279" s="401">
        <v>8036</v>
      </c>
      <c r="K279" s="402">
        <v>8036</v>
      </c>
      <c r="L279" s="401">
        <v>24358</v>
      </c>
      <c r="M279" s="402">
        <v>24359</v>
      </c>
      <c r="N279" s="401"/>
      <c r="O279" s="402"/>
      <c r="P279" s="401"/>
      <c r="Q279" s="402"/>
      <c r="R279" s="401"/>
      <c r="S279" s="402"/>
      <c r="T279" s="401"/>
      <c r="U279" s="402"/>
      <c r="V279" s="401"/>
      <c r="W279" s="402"/>
      <c r="X279" s="401"/>
      <c r="Y279" s="402"/>
      <c r="Z279" s="401"/>
      <c r="AA279" s="402"/>
      <c r="AB279" s="401"/>
      <c r="AC279" s="402"/>
      <c r="AD279" s="401"/>
      <c r="AE279" s="402"/>
      <c r="AF279" s="401"/>
      <c r="AG279" s="402"/>
      <c r="AH279" s="401"/>
      <c r="AI279" s="402"/>
      <c r="AJ279" s="401"/>
      <c r="AK279" s="402"/>
      <c r="AL279" s="401"/>
      <c r="AM279" s="402"/>
      <c r="AN279" s="401"/>
      <c r="AO279" s="402"/>
      <c r="AP279" s="53"/>
      <c r="AQ279" s="53"/>
      <c r="AR279" s="53"/>
    </row>
    <row r="280" spans="1:44">
      <c r="A280" s="266" t="s">
        <v>287</v>
      </c>
      <c r="B280" s="267" t="s">
        <v>623</v>
      </c>
      <c r="C280" s="472"/>
      <c r="D280" s="473">
        <v>199184</v>
      </c>
      <c r="E280" s="474">
        <v>15</v>
      </c>
      <c r="F280" s="401">
        <v>9358</v>
      </c>
      <c r="G280" s="402">
        <v>8941</v>
      </c>
      <c r="H280" s="401">
        <v>25901</v>
      </c>
      <c r="I280" s="402">
        <v>26175</v>
      </c>
      <c r="J280" s="401">
        <v>12057</v>
      </c>
      <c r="K280" s="402">
        <v>11640</v>
      </c>
      <c r="L280" s="401">
        <v>26064</v>
      </c>
      <c r="M280" s="402">
        <v>26343</v>
      </c>
      <c r="N280" s="401"/>
      <c r="O280" s="402"/>
      <c r="P280" s="401"/>
      <c r="Q280" s="402"/>
      <c r="R280" s="401"/>
      <c r="S280" s="402"/>
      <c r="T280" s="401"/>
      <c r="U280" s="402"/>
      <c r="V280" s="401"/>
      <c r="W280" s="402"/>
      <c r="X280" s="401"/>
      <c r="Y280" s="402"/>
      <c r="Z280" s="401"/>
      <c r="AA280" s="402"/>
      <c r="AB280" s="401"/>
      <c r="AC280" s="402"/>
      <c r="AD280" s="401"/>
      <c r="AE280" s="402"/>
      <c r="AF280" s="401"/>
      <c r="AG280" s="402"/>
      <c r="AH280" s="401"/>
      <c r="AI280" s="402"/>
      <c r="AJ280" s="401"/>
      <c r="AK280" s="402"/>
      <c r="AL280" s="401"/>
      <c r="AM280" s="402"/>
      <c r="AN280" s="401"/>
      <c r="AO280" s="402"/>
      <c r="AP280" s="53"/>
      <c r="AQ280" s="53"/>
      <c r="AR280" s="53"/>
    </row>
    <row r="281" spans="1:44">
      <c r="A281" s="236" t="s">
        <v>287</v>
      </c>
      <c r="B281" s="237" t="s">
        <v>289</v>
      </c>
      <c r="C281" s="238"/>
      <c r="D281" s="239">
        <v>197887</v>
      </c>
      <c r="E281" s="408">
        <v>8</v>
      </c>
      <c r="F281" s="401">
        <v>2632</v>
      </c>
      <c r="G281" s="402">
        <v>2632</v>
      </c>
      <c r="H281" s="401">
        <v>8776</v>
      </c>
      <c r="I281" s="402">
        <v>8776</v>
      </c>
      <c r="J281" s="401"/>
      <c r="K281" s="402"/>
      <c r="L281" s="401"/>
      <c r="M281" s="402"/>
      <c r="N281" s="401"/>
      <c r="O281" s="402"/>
      <c r="P281" s="401"/>
      <c r="Q281" s="402"/>
      <c r="R281" s="401"/>
      <c r="S281" s="402"/>
      <c r="T281" s="401"/>
      <c r="U281" s="402"/>
      <c r="V281" s="401"/>
      <c r="W281" s="402"/>
      <c r="X281" s="401"/>
      <c r="Y281" s="402"/>
      <c r="Z281" s="401"/>
      <c r="AA281" s="402"/>
      <c r="AB281" s="401"/>
      <c r="AC281" s="402"/>
      <c r="AD281" s="401"/>
      <c r="AE281" s="402"/>
      <c r="AF281" s="401"/>
      <c r="AG281" s="402"/>
      <c r="AH281" s="401"/>
      <c r="AI281" s="402"/>
      <c r="AJ281" s="401"/>
      <c r="AK281" s="402"/>
      <c r="AL281" s="401"/>
      <c r="AM281" s="402"/>
      <c r="AN281" s="401"/>
      <c r="AO281" s="402"/>
      <c r="AP281" s="53"/>
      <c r="AQ281" s="53"/>
      <c r="AR281" s="53"/>
    </row>
    <row r="282" spans="1:44">
      <c r="A282" s="236" t="s">
        <v>287</v>
      </c>
      <c r="B282" s="237" t="s">
        <v>295</v>
      </c>
      <c r="C282" s="238"/>
      <c r="D282" s="239">
        <v>198154</v>
      </c>
      <c r="E282" s="408">
        <v>8</v>
      </c>
      <c r="F282" s="401">
        <v>2748</v>
      </c>
      <c r="G282" s="402">
        <v>2748</v>
      </c>
      <c r="H282" s="401">
        <v>8892</v>
      </c>
      <c r="I282" s="402">
        <v>8892</v>
      </c>
      <c r="J282" s="401"/>
      <c r="K282" s="402"/>
      <c r="L282" s="401"/>
      <c r="M282" s="402"/>
      <c r="N282" s="401"/>
      <c r="O282" s="402"/>
      <c r="P282" s="401"/>
      <c r="Q282" s="402"/>
      <c r="R282" s="401"/>
      <c r="S282" s="402"/>
      <c r="T282" s="401"/>
      <c r="U282" s="402"/>
      <c r="V282" s="401"/>
      <c r="W282" s="402"/>
      <c r="X282" s="401"/>
      <c r="Y282" s="402"/>
      <c r="Z282" s="401"/>
      <c r="AA282" s="402"/>
      <c r="AB282" s="401"/>
      <c r="AC282" s="402"/>
      <c r="AD282" s="401"/>
      <c r="AE282" s="402"/>
      <c r="AF282" s="401"/>
      <c r="AG282" s="402"/>
      <c r="AH282" s="401"/>
      <c r="AI282" s="402"/>
      <c r="AJ282" s="401"/>
      <c r="AK282" s="402"/>
      <c r="AL282" s="401"/>
      <c r="AM282" s="402"/>
      <c r="AN282" s="401"/>
      <c r="AO282" s="402"/>
      <c r="AP282" s="53"/>
      <c r="AQ282" s="53"/>
      <c r="AR282" s="53"/>
    </row>
    <row r="283" spans="1:44">
      <c r="A283" s="236" t="s">
        <v>287</v>
      </c>
      <c r="B283" s="237" t="s">
        <v>299</v>
      </c>
      <c r="C283" s="238"/>
      <c r="D283" s="239">
        <v>198260</v>
      </c>
      <c r="E283" s="408">
        <v>8</v>
      </c>
      <c r="F283" s="401">
        <v>2792</v>
      </c>
      <c r="G283" s="402">
        <v>2792</v>
      </c>
      <c r="H283" s="401">
        <v>8936</v>
      </c>
      <c r="I283" s="402">
        <v>8936</v>
      </c>
      <c r="J283" s="401"/>
      <c r="K283" s="402"/>
      <c r="L283" s="401"/>
      <c r="M283" s="402"/>
      <c r="N283" s="401"/>
      <c r="O283" s="402"/>
      <c r="P283" s="401"/>
      <c r="Q283" s="402"/>
      <c r="R283" s="401"/>
      <c r="S283" s="402"/>
      <c r="T283" s="401"/>
      <c r="U283" s="402"/>
      <c r="V283" s="401"/>
      <c r="W283" s="402"/>
      <c r="X283" s="401"/>
      <c r="Y283" s="402"/>
      <c r="Z283" s="401"/>
      <c r="AA283" s="402"/>
      <c r="AB283" s="401"/>
      <c r="AC283" s="402"/>
      <c r="AD283" s="401"/>
      <c r="AE283" s="402"/>
      <c r="AF283" s="401"/>
      <c r="AG283" s="402"/>
      <c r="AH283" s="401"/>
      <c r="AI283" s="402"/>
      <c r="AJ283" s="401"/>
      <c r="AK283" s="402"/>
      <c r="AL283" s="401"/>
      <c r="AM283" s="402"/>
      <c r="AN283" s="401"/>
      <c r="AO283" s="402"/>
      <c r="AP283" s="53"/>
      <c r="AQ283" s="53"/>
      <c r="AR283" s="53"/>
    </row>
    <row r="284" spans="1:44">
      <c r="A284" s="236" t="s">
        <v>287</v>
      </c>
      <c r="B284" s="237" t="s">
        <v>305</v>
      </c>
      <c r="C284" s="238"/>
      <c r="D284" s="239">
        <v>198534</v>
      </c>
      <c r="E284" s="408">
        <v>8</v>
      </c>
      <c r="F284" s="401">
        <v>2544</v>
      </c>
      <c r="G284" s="402">
        <v>2544</v>
      </c>
      <c r="H284" s="401">
        <v>8688</v>
      </c>
      <c r="I284" s="402">
        <v>8688</v>
      </c>
      <c r="J284" s="401"/>
      <c r="K284" s="402"/>
      <c r="L284" s="401"/>
      <c r="M284" s="402"/>
      <c r="N284" s="401"/>
      <c r="O284" s="402"/>
      <c r="P284" s="401"/>
      <c r="Q284" s="402"/>
      <c r="R284" s="401"/>
      <c r="S284" s="402"/>
      <c r="T284" s="401"/>
      <c r="U284" s="402"/>
      <c r="V284" s="401"/>
      <c r="W284" s="402"/>
      <c r="X284" s="401"/>
      <c r="Y284" s="402"/>
      <c r="Z284" s="401"/>
      <c r="AA284" s="402"/>
      <c r="AB284" s="401"/>
      <c r="AC284" s="402"/>
      <c r="AD284" s="401"/>
      <c r="AE284" s="402"/>
      <c r="AF284" s="401"/>
      <c r="AG284" s="402"/>
      <c r="AH284" s="401"/>
      <c r="AI284" s="402"/>
      <c r="AJ284" s="401"/>
      <c r="AK284" s="402"/>
      <c r="AL284" s="401"/>
      <c r="AM284" s="402"/>
      <c r="AN284" s="401"/>
      <c r="AO284" s="402"/>
      <c r="AP284" s="53"/>
      <c r="AQ284" s="53"/>
      <c r="AR284" s="53"/>
    </row>
    <row r="285" spans="1:44">
      <c r="A285" s="236" t="s">
        <v>287</v>
      </c>
      <c r="B285" s="237" t="s">
        <v>306</v>
      </c>
      <c r="C285" s="238"/>
      <c r="D285" s="239">
        <v>198552</v>
      </c>
      <c r="E285" s="408">
        <v>8</v>
      </c>
      <c r="F285" s="401">
        <v>2152</v>
      </c>
      <c r="G285" s="402">
        <v>2152</v>
      </c>
      <c r="H285" s="401">
        <v>7168</v>
      </c>
      <c r="I285" s="402">
        <v>7168</v>
      </c>
      <c r="J285" s="401"/>
      <c r="K285" s="402"/>
      <c r="L285" s="401"/>
      <c r="M285" s="402"/>
      <c r="N285" s="401"/>
      <c r="O285" s="402"/>
      <c r="P285" s="401"/>
      <c r="Q285" s="402"/>
      <c r="R285" s="401"/>
      <c r="S285" s="402"/>
      <c r="T285" s="401"/>
      <c r="U285" s="402"/>
      <c r="V285" s="401"/>
      <c r="W285" s="402"/>
      <c r="X285" s="401"/>
      <c r="Y285" s="402"/>
      <c r="Z285" s="401"/>
      <c r="AA285" s="402"/>
      <c r="AB285" s="401"/>
      <c r="AC285" s="402"/>
      <c r="AD285" s="401"/>
      <c r="AE285" s="402"/>
      <c r="AF285" s="401"/>
      <c r="AG285" s="402"/>
      <c r="AH285" s="401"/>
      <c r="AI285" s="402"/>
      <c r="AJ285" s="401"/>
      <c r="AK285" s="402"/>
      <c r="AL285" s="401"/>
      <c r="AM285" s="402"/>
      <c r="AN285" s="401"/>
      <c r="AO285" s="402"/>
      <c r="AP285" s="53"/>
      <c r="AQ285" s="53"/>
      <c r="AR285" s="53"/>
    </row>
    <row r="286" spans="1:44">
      <c r="A286" s="236" t="s">
        <v>287</v>
      </c>
      <c r="B286" s="237" t="s">
        <v>308</v>
      </c>
      <c r="C286" s="238"/>
      <c r="D286" s="239">
        <v>198622</v>
      </c>
      <c r="E286" s="408">
        <v>8</v>
      </c>
      <c r="F286" s="401">
        <v>2319</v>
      </c>
      <c r="G286" s="402">
        <v>2289</v>
      </c>
      <c r="H286" s="401">
        <v>7695</v>
      </c>
      <c r="I286" s="402">
        <v>7665</v>
      </c>
      <c r="J286" s="401"/>
      <c r="K286" s="402"/>
      <c r="L286" s="401"/>
      <c r="M286" s="402"/>
      <c r="N286" s="401"/>
      <c r="O286" s="402"/>
      <c r="P286" s="401"/>
      <c r="Q286" s="402"/>
      <c r="R286" s="401"/>
      <c r="S286" s="402"/>
      <c r="T286" s="401"/>
      <c r="U286" s="402"/>
      <c r="V286" s="401"/>
      <c r="W286" s="402"/>
      <c r="X286" s="401"/>
      <c r="Y286" s="402"/>
      <c r="Z286" s="401"/>
      <c r="AA286" s="402"/>
      <c r="AB286" s="401"/>
      <c r="AC286" s="402"/>
      <c r="AD286" s="401"/>
      <c r="AE286" s="402"/>
      <c r="AF286" s="401"/>
      <c r="AG286" s="402"/>
      <c r="AH286" s="401"/>
      <c r="AI286" s="402"/>
      <c r="AJ286" s="401"/>
      <c r="AK286" s="402"/>
      <c r="AL286" s="401"/>
      <c r="AM286" s="402"/>
      <c r="AN286" s="401"/>
      <c r="AO286" s="402"/>
      <c r="AP286" s="53"/>
      <c r="AQ286" s="53"/>
      <c r="AR286" s="53"/>
    </row>
    <row r="287" spans="1:44">
      <c r="A287" s="236" t="s">
        <v>287</v>
      </c>
      <c r="B287" s="237" t="s">
        <v>323</v>
      </c>
      <c r="C287" s="238"/>
      <c r="D287" s="239">
        <v>199333</v>
      </c>
      <c r="E287" s="408">
        <v>8</v>
      </c>
      <c r="F287" s="401">
        <v>1940</v>
      </c>
      <c r="G287" s="402">
        <v>1940</v>
      </c>
      <c r="H287" s="401">
        <v>6548</v>
      </c>
      <c r="I287" s="402">
        <v>6548</v>
      </c>
      <c r="J287" s="401"/>
      <c r="K287" s="402"/>
      <c r="L287" s="401"/>
      <c r="M287" s="402"/>
      <c r="N287" s="401"/>
      <c r="O287" s="402"/>
      <c r="P287" s="401"/>
      <c r="Q287" s="402"/>
      <c r="R287" s="401"/>
      <c r="S287" s="402"/>
      <c r="T287" s="401"/>
      <c r="U287" s="402"/>
      <c r="V287" s="401"/>
      <c r="W287" s="402"/>
      <c r="X287" s="401"/>
      <c r="Y287" s="402"/>
      <c r="Z287" s="401"/>
      <c r="AA287" s="402"/>
      <c r="AB287" s="401"/>
      <c r="AC287" s="402"/>
      <c r="AD287" s="401"/>
      <c r="AE287" s="402"/>
      <c r="AF287" s="401"/>
      <c r="AG287" s="402"/>
      <c r="AH287" s="401"/>
      <c r="AI287" s="402"/>
      <c r="AJ287" s="401"/>
      <c r="AK287" s="402"/>
      <c r="AL287" s="401"/>
      <c r="AM287" s="402"/>
      <c r="AN287" s="401"/>
      <c r="AO287" s="402"/>
      <c r="AP287" s="53"/>
      <c r="AQ287" s="53"/>
      <c r="AR287" s="53"/>
    </row>
    <row r="288" spans="1:44">
      <c r="A288" s="236" t="s">
        <v>287</v>
      </c>
      <c r="B288" s="237" t="s">
        <v>329</v>
      </c>
      <c r="C288" s="238"/>
      <c r="D288" s="239">
        <v>199494</v>
      </c>
      <c r="E288" s="408">
        <v>8</v>
      </c>
      <c r="F288" s="401">
        <v>2632</v>
      </c>
      <c r="G288" s="402">
        <v>2626</v>
      </c>
      <c r="H288" s="401">
        <v>8776</v>
      </c>
      <c r="I288" s="402">
        <v>8770</v>
      </c>
      <c r="J288" s="401"/>
      <c r="K288" s="402"/>
      <c r="L288" s="401"/>
      <c r="M288" s="402"/>
      <c r="N288" s="401"/>
      <c r="O288" s="402"/>
      <c r="P288" s="401"/>
      <c r="Q288" s="402"/>
      <c r="R288" s="401"/>
      <c r="S288" s="402"/>
      <c r="T288" s="401"/>
      <c r="U288" s="402"/>
      <c r="V288" s="401"/>
      <c r="W288" s="402"/>
      <c r="X288" s="401"/>
      <c r="Y288" s="402"/>
      <c r="Z288" s="401"/>
      <c r="AA288" s="402"/>
      <c r="AB288" s="401"/>
      <c r="AC288" s="402"/>
      <c r="AD288" s="401"/>
      <c r="AE288" s="402"/>
      <c r="AF288" s="401"/>
      <c r="AG288" s="402"/>
      <c r="AH288" s="401"/>
      <c r="AI288" s="402"/>
      <c r="AJ288" s="401"/>
      <c r="AK288" s="402"/>
      <c r="AL288" s="401"/>
      <c r="AM288" s="402"/>
      <c r="AN288" s="401"/>
      <c r="AO288" s="402"/>
      <c r="AP288" s="53"/>
      <c r="AQ288" s="53"/>
      <c r="AR288" s="53"/>
    </row>
    <row r="289" spans="1:44">
      <c r="A289" s="236" t="s">
        <v>287</v>
      </c>
      <c r="B289" s="237" t="s">
        <v>339</v>
      </c>
      <c r="C289" s="238"/>
      <c r="D289" s="239">
        <v>199856</v>
      </c>
      <c r="E289" s="408">
        <v>8</v>
      </c>
      <c r="F289" s="401">
        <v>2432</v>
      </c>
      <c r="G289" s="402">
        <v>2768</v>
      </c>
      <c r="H289" s="401">
        <v>8576</v>
      </c>
      <c r="I289" s="402">
        <v>8912</v>
      </c>
      <c r="J289" s="401"/>
      <c r="K289" s="402"/>
      <c r="L289" s="401"/>
      <c r="M289" s="402"/>
      <c r="N289" s="401"/>
      <c r="O289" s="402"/>
      <c r="P289" s="401"/>
      <c r="Q289" s="402"/>
      <c r="R289" s="401"/>
      <c r="S289" s="402"/>
      <c r="T289" s="401"/>
      <c r="U289" s="402"/>
      <c r="V289" s="401"/>
      <c r="W289" s="402"/>
      <c r="X289" s="401"/>
      <c r="Y289" s="402"/>
      <c r="Z289" s="401"/>
      <c r="AA289" s="402"/>
      <c r="AB289" s="401"/>
      <c r="AC289" s="402"/>
      <c r="AD289" s="401"/>
      <c r="AE289" s="402"/>
      <c r="AF289" s="401"/>
      <c r="AG289" s="402"/>
      <c r="AH289" s="401"/>
      <c r="AI289" s="402"/>
      <c r="AJ289" s="401"/>
      <c r="AK289" s="402"/>
      <c r="AL289" s="401"/>
      <c r="AM289" s="402"/>
      <c r="AN289" s="401"/>
      <c r="AO289" s="402"/>
      <c r="AP289" s="53"/>
      <c r="AQ289" s="53"/>
      <c r="AR289" s="53"/>
    </row>
    <row r="290" spans="1:44">
      <c r="A290" s="236" t="s">
        <v>287</v>
      </c>
      <c r="B290" s="237" t="s">
        <v>288</v>
      </c>
      <c r="C290" s="238"/>
      <c r="D290" s="239">
        <v>199786</v>
      </c>
      <c r="E290" s="408">
        <v>9</v>
      </c>
      <c r="F290" s="401">
        <v>2492</v>
      </c>
      <c r="G290" s="402">
        <v>2492</v>
      </c>
      <c r="H290" s="401">
        <v>8636</v>
      </c>
      <c r="I290" s="402">
        <v>8636</v>
      </c>
      <c r="J290" s="401"/>
      <c r="K290" s="402"/>
      <c r="L290" s="401"/>
      <c r="M290" s="402"/>
      <c r="N290" s="401"/>
      <c r="O290" s="402"/>
      <c r="P290" s="401"/>
      <c r="Q290" s="402"/>
      <c r="R290" s="401"/>
      <c r="S290" s="402"/>
      <c r="T290" s="401"/>
      <c r="U290" s="402"/>
      <c r="V290" s="401"/>
      <c r="W290" s="402"/>
      <c r="X290" s="401"/>
      <c r="Y290" s="402"/>
      <c r="Z290" s="401"/>
      <c r="AA290" s="402"/>
      <c r="AB290" s="401"/>
      <c r="AC290" s="402"/>
      <c r="AD290" s="401"/>
      <c r="AE290" s="402"/>
      <c r="AF290" s="401"/>
      <c r="AG290" s="402"/>
      <c r="AH290" s="401"/>
      <c r="AI290" s="402"/>
      <c r="AJ290" s="401"/>
      <c r="AK290" s="402"/>
      <c r="AL290" s="401"/>
      <c r="AM290" s="402"/>
      <c r="AN290" s="401"/>
      <c r="AO290" s="402"/>
      <c r="AP290" s="53"/>
      <c r="AQ290" s="53"/>
      <c r="AR290" s="53"/>
    </row>
    <row r="291" spans="1:44">
      <c r="A291" s="236" t="s">
        <v>287</v>
      </c>
      <c r="B291" s="237" t="s">
        <v>294</v>
      </c>
      <c r="C291" s="238"/>
      <c r="D291" s="239">
        <v>198118</v>
      </c>
      <c r="E291" s="408">
        <v>9</v>
      </c>
      <c r="F291" s="401">
        <v>2528</v>
      </c>
      <c r="G291" s="402">
        <v>2537</v>
      </c>
      <c r="H291" s="401">
        <v>8672</v>
      </c>
      <c r="I291" s="402">
        <v>8681</v>
      </c>
      <c r="J291" s="401"/>
      <c r="K291" s="402"/>
      <c r="L291" s="401"/>
      <c r="M291" s="402"/>
      <c r="N291" s="401"/>
      <c r="O291" s="402"/>
      <c r="P291" s="401"/>
      <c r="Q291" s="402"/>
      <c r="R291" s="401"/>
      <c r="S291" s="402"/>
      <c r="T291" s="401"/>
      <c r="U291" s="402"/>
      <c r="V291" s="401"/>
      <c r="W291" s="402"/>
      <c r="X291" s="401"/>
      <c r="Y291" s="402"/>
      <c r="Z291" s="401"/>
      <c r="AA291" s="402"/>
      <c r="AB291" s="401"/>
      <c r="AC291" s="402"/>
      <c r="AD291" s="401"/>
      <c r="AE291" s="402"/>
      <c r="AF291" s="401"/>
      <c r="AG291" s="402"/>
      <c r="AH291" s="401"/>
      <c r="AI291" s="402"/>
      <c r="AJ291" s="401"/>
      <c r="AK291" s="402"/>
      <c r="AL291" s="401"/>
      <c r="AM291" s="402"/>
      <c r="AN291" s="401"/>
      <c r="AO291" s="402"/>
      <c r="AP291" s="53"/>
      <c r="AQ291" s="53"/>
      <c r="AR291" s="53"/>
    </row>
    <row r="292" spans="1:44">
      <c r="A292" s="236" t="s">
        <v>287</v>
      </c>
      <c r="B292" s="237" t="s">
        <v>297</v>
      </c>
      <c r="C292" s="238"/>
      <c r="D292" s="239">
        <v>198233</v>
      </c>
      <c r="E292" s="408">
        <v>9</v>
      </c>
      <c r="F292" s="401">
        <v>2367</v>
      </c>
      <c r="G292" s="402">
        <v>2367</v>
      </c>
      <c r="H292" s="401">
        <v>7743</v>
      </c>
      <c r="I292" s="402">
        <v>7743</v>
      </c>
      <c r="J292" s="401"/>
      <c r="K292" s="402"/>
      <c r="L292" s="401"/>
      <c r="M292" s="402"/>
      <c r="N292" s="401"/>
      <c r="O292" s="402"/>
      <c r="P292" s="401"/>
      <c r="Q292" s="402"/>
      <c r="R292" s="401"/>
      <c r="S292" s="402"/>
      <c r="T292" s="401"/>
      <c r="U292" s="402"/>
      <c r="V292" s="401"/>
      <c r="W292" s="402"/>
      <c r="X292" s="401"/>
      <c r="Y292" s="402"/>
      <c r="Z292" s="401"/>
      <c r="AA292" s="402"/>
      <c r="AB292" s="401"/>
      <c r="AC292" s="402"/>
      <c r="AD292" s="401"/>
      <c r="AE292" s="402"/>
      <c r="AF292" s="401"/>
      <c r="AG292" s="402"/>
      <c r="AH292" s="401"/>
      <c r="AI292" s="402"/>
      <c r="AJ292" s="401"/>
      <c r="AK292" s="402"/>
      <c r="AL292" s="401"/>
      <c r="AM292" s="402"/>
      <c r="AN292" s="401"/>
      <c r="AO292" s="402"/>
      <c r="AP292" s="53"/>
      <c r="AQ292" s="53"/>
      <c r="AR292" s="53"/>
    </row>
    <row r="293" spans="1:44">
      <c r="A293" s="236" t="s">
        <v>287</v>
      </c>
      <c r="B293" s="237" t="s">
        <v>298</v>
      </c>
      <c r="C293" s="238"/>
      <c r="D293" s="239">
        <v>198251</v>
      </c>
      <c r="E293" s="408">
        <v>9</v>
      </c>
      <c r="F293" s="401">
        <v>2554</v>
      </c>
      <c r="G293" s="402">
        <v>2554</v>
      </c>
      <c r="H293" s="401">
        <v>8698</v>
      </c>
      <c r="I293" s="402">
        <v>8698</v>
      </c>
      <c r="J293" s="401"/>
      <c r="K293" s="402"/>
      <c r="L293" s="401"/>
      <c r="M293" s="402"/>
      <c r="N293" s="401"/>
      <c r="O293" s="402"/>
      <c r="P293" s="401"/>
      <c r="Q293" s="402"/>
      <c r="R293" s="401"/>
      <c r="S293" s="402"/>
      <c r="T293" s="401"/>
      <c r="U293" s="402"/>
      <c r="V293" s="401"/>
      <c r="W293" s="402"/>
      <c r="X293" s="401"/>
      <c r="Y293" s="402"/>
      <c r="Z293" s="401"/>
      <c r="AA293" s="402"/>
      <c r="AB293" s="401"/>
      <c r="AC293" s="402"/>
      <c r="AD293" s="401"/>
      <c r="AE293" s="402"/>
      <c r="AF293" s="401"/>
      <c r="AG293" s="402"/>
      <c r="AH293" s="401"/>
      <c r="AI293" s="402"/>
      <c r="AJ293" s="401"/>
      <c r="AK293" s="402"/>
      <c r="AL293" s="401"/>
      <c r="AM293" s="402"/>
      <c r="AN293" s="401"/>
      <c r="AO293" s="402"/>
      <c r="AP293" s="53"/>
      <c r="AQ293" s="53"/>
      <c r="AR293" s="53"/>
    </row>
    <row r="294" spans="1:44">
      <c r="A294" s="236" t="s">
        <v>287</v>
      </c>
      <c r="B294" s="237" t="s">
        <v>300</v>
      </c>
      <c r="C294" s="238"/>
      <c r="D294" s="239">
        <v>198321</v>
      </c>
      <c r="E294" s="408">
        <v>9</v>
      </c>
      <c r="F294" s="401">
        <v>2602</v>
      </c>
      <c r="G294" s="402">
        <v>2602</v>
      </c>
      <c r="H294" s="401">
        <v>8746</v>
      </c>
      <c r="I294" s="402">
        <v>8746</v>
      </c>
      <c r="J294" s="401"/>
      <c r="K294" s="402"/>
      <c r="L294" s="401"/>
      <c r="M294" s="402"/>
      <c r="N294" s="401"/>
      <c r="O294" s="402"/>
      <c r="P294" s="401"/>
      <c r="Q294" s="402"/>
      <c r="R294" s="401"/>
      <c r="S294" s="402"/>
      <c r="T294" s="401"/>
      <c r="U294" s="402"/>
      <c r="V294" s="401"/>
      <c r="W294" s="402"/>
      <c r="X294" s="401"/>
      <c r="Y294" s="402"/>
      <c r="Z294" s="401"/>
      <c r="AA294" s="402"/>
      <c r="AB294" s="401"/>
      <c r="AC294" s="402"/>
      <c r="AD294" s="401"/>
      <c r="AE294" s="402"/>
      <c r="AF294" s="401"/>
      <c r="AG294" s="402"/>
      <c r="AH294" s="401"/>
      <c r="AI294" s="402"/>
      <c r="AJ294" s="401"/>
      <c r="AK294" s="402"/>
      <c r="AL294" s="401"/>
      <c r="AM294" s="402"/>
      <c r="AN294" s="401"/>
      <c r="AO294" s="402"/>
      <c r="AP294" s="53"/>
      <c r="AQ294" s="53"/>
      <c r="AR294" s="53"/>
    </row>
    <row r="295" spans="1:44">
      <c r="A295" s="236" t="s">
        <v>287</v>
      </c>
      <c r="B295" s="237" t="s">
        <v>301</v>
      </c>
      <c r="C295" s="238"/>
      <c r="D295" s="239">
        <v>198330</v>
      </c>
      <c r="E295" s="408">
        <v>9</v>
      </c>
      <c r="F295" s="401">
        <v>2462</v>
      </c>
      <c r="G295" s="402">
        <v>2462</v>
      </c>
      <c r="H295" s="401">
        <v>8606</v>
      </c>
      <c r="I295" s="402">
        <v>8606</v>
      </c>
      <c r="J295" s="401"/>
      <c r="K295" s="402"/>
      <c r="L295" s="401"/>
      <c r="M295" s="402"/>
      <c r="N295" s="401"/>
      <c r="O295" s="402"/>
      <c r="P295" s="401"/>
      <c r="Q295" s="402"/>
      <c r="R295" s="401"/>
      <c r="S295" s="402"/>
      <c r="T295" s="401"/>
      <c r="U295" s="402"/>
      <c r="V295" s="401"/>
      <c r="W295" s="402"/>
      <c r="X295" s="401"/>
      <c r="Y295" s="402"/>
      <c r="Z295" s="401"/>
      <c r="AA295" s="402"/>
      <c r="AB295" s="401"/>
      <c r="AC295" s="402"/>
      <c r="AD295" s="401"/>
      <c r="AE295" s="402"/>
      <c r="AF295" s="401"/>
      <c r="AG295" s="402"/>
      <c r="AH295" s="401"/>
      <c r="AI295" s="402"/>
      <c r="AJ295" s="401"/>
      <c r="AK295" s="402"/>
      <c r="AL295" s="401"/>
      <c r="AM295" s="402"/>
      <c r="AN295" s="401"/>
      <c r="AO295" s="402"/>
      <c r="AP295" s="53"/>
      <c r="AQ295" s="53"/>
      <c r="AR295" s="53"/>
    </row>
    <row r="296" spans="1:44">
      <c r="A296" s="236" t="s">
        <v>287</v>
      </c>
      <c r="B296" s="237" t="s">
        <v>302</v>
      </c>
      <c r="C296" s="238"/>
      <c r="D296" s="239">
        <v>198367</v>
      </c>
      <c r="E296" s="408">
        <v>9</v>
      </c>
      <c r="F296" s="401">
        <v>2114</v>
      </c>
      <c r="G296" s="402">
        <v>2022</v>
      </c>
      <c r="H296" s="401">
        <v>6722</v>
      </c>
      <c r="I296" s="402">
        <v>6630</v>
      </c>
      <c r="J296" s="401"/>
      <c r="K296" s="402"/>
      <c r="L296" s="401"/>
      <c r="M296" s="402"/>
      <c r="N296" s="401"/>
      <c r="O296" s="402"/>
      <c r="P296" s="401"/>
      <c r="Q296" s="402"/>
      <c r="R296" s="401"/>
      <c r="S296" s="402"/>
      <c r="T296" s="401"/>
      <c r="U296" s="402"/>
      <c r="V296" s="401"/>
      <c r="W296" s="402"/>
      <c r="X296" s="401"/>
      <c r="Y296" s="402"/>
      <c r="Z296" s="401"/>
      <c r="AA296" s="402"/>
      <c r="AB296" s="401"/>
      <c r="AC296" s="402"/>
      <c r="AD296" s="401"/>
      <c r="AE296" s="402"/>
      <c r="AF296" s="401"/>
      <c r="AG296" s="402"/>
      <c r="AH296" s="401"/>
      <c r="AI296" s="402"/>
      <c r="AJ296" s="401"/>
      <c r="AK296" s="402"/>
      <c r="AL296" s="401"/>
      <c r="AM296" s="402"/>
      <c r="AN296" s="401"/>
      <c r="AO296" s="402"/>
      <c r="AP296" s="53"/>
      <c r="AQ296" s="53"/>
      <c r="AR296" s="53"/>
    </row>
    <row r="297" spans="1:44">
      <c r="A297" s="236" t="s">
        <v>287</v>
      </c>
      <c r="B297" s="237" t="s">
        <v>663</v>
      </c>
      <c r="C297" s="238"/>
      <c r="D297" s="239">
        <v>198376</v>
      </c>
      <c r="E297" s="408">
        <v>9</v>
      </c>
      <c r="F297" s="401">
        <v>2588</v>
      </c>
      <c r="G297" s="402">
        <v>1978</v>
      </c>
      <c r="H297" s="401">
        <v>8732</v>
      </c>
      <c r="I297" s="402">
        <v>6586</v>
      </c>
      <c r="J297" s="401"/>
      <c r="K297" s="402"/>
      <c r="L297" s="401"/>
      <c r="M297" s="402"/>
      <c r="N297" s="401"/>
      <c r="O297" s="402"/>
      <c r="P297" s="401"/>
      <c r="Q297" s="402"/>
      <c r="R297" s="401"/>
      <c r="S297" s="402"/>
      <c r="T297" s="401"/>
      <c r="U297" s="402"/>
      <c r="V297" s="401"/>
      <c r="W297" s="402"/>
      <c r="X297" s="401"/>
      <c r="Y297" s="402"/>
      <c r="Z297" s="401"/>
      <c r="AA297" s="402"/>
      <c r="AB297" s="401"/>
      <c r="AC297" s="402"/>
      <c r="AD297" s="401"/>
      <c r="AE297" s="402"/>
      <c r="AF297" s="401"/>
      <c r="AG297" s="402"/>
      <c r="AH297" s="401"/>
      <c r="AI297" s="402"/>
      <c r="AJ297" s="401"/>
      <c r="AK297" s="402"/>
      <c r="AL297" s="401"/>
      <c r="AM297" s="402"/>
      <c r="AN297" s="401"/>
      <c r="AO297" s="402"/>
      <c r="AP297" s="53"/>
      <c r="AQ297" s="53"/>
      <c r="AR297" s="53"/>
    </row>
    <row r="298" spans="1:44">
      <c r="A298" s="236" t="s">
        <v>287</v>
      </c>
      <c r="B298" s="237" t="s">
        <v>303</v>
      </c>
      <c r="C298" s="238"/>
      <c r="D298" s="239">
        <v>198455</v>
      </c>
      <c r="E298" s="408">
        <v>9</v>
      </c>
      <c r="F298" s="401">
        <v>1958</v>
      </c>
      <c r="G298" s="402">
        <v>1958</v>
      </c>
      <c r="H298" s="401">
        <v>6566</v>
      </c>
      <c r="I298" s="402">
        <v>6566</v>
      </c>
      <c r="J298" s="401"/>
      <c r="K298" s="402"/>
      <c r="L298" s="401"/>
      <c r="M298" s="402"/>
      <c r="N298" s="401"/>
      <c r="O298" s="402"/>
      <c r="P298" s="401"/>
      <c r="Q298" s="402"/>
      <c r="R298" s="401"/>
      <c r="S298" s="402"/>
      <c r="T298" s="401"/>
      <c r="U298" s="402"/>
      <c r="V298" s="401"/>
      <c r="W298" s="402"/>
      <c r="X298" s="401"/>
      <c r="Y298" s="402"/>
      <c r="Z298" s="401"/>
      <c r="AA298" s="402"/>
      <c r="AB298" s="401"/>
      <c r="AC298" s="402"/>
      <c r="AD298" s="401"/>
      <c r="AE298" s="402"/>
      <c r="AF298" s="401"/>
      <c r="AG298" s="402"/>
      <c r="AH298" s="401"/>
      <c r="AI298" s="402"/>
      <c r="AJ298" s="401"/>
      <c r="AK298" s="402"/>
      <c r="AL298" s="401"/>
      <c r="AM298" s="402"/>
      <c r="AN298" s="401"/>
      <c r="AO298" s="402"/>
      <c r="AP298" s="53"/>
      <c r="AQ298" s="53"/>
      <c r="AR298" s="53"/>
    </row>
    <row r="299" spans="1:44">
      <c r="A299" s="236" t="s">
        <v>287</v>
      </c>
      <c r="B299" s="237" t="s">
        <v>307</v>
      </c>
      <c r="C299" s="238"/>
      <c r="D299" s="239">
        <v>198570</v>
      </c>
      <c r="E299" s="408">
        <v>9</v>
      </c>
      <c r="F299" s="401">
        <v>2704</v>
      </c>
      <c r="G299" s="402">
        <v>2862</v>
      </c>
      <c r="H299" s="401">
        <v>8848</v>
      </c>
      <c r="I299" s="402">
        <v>9006</v>
      </c>
      <c r="J299" s="401"/>
      <c r="K299" s="402"/>
      <c r="L299" s="401"/>
      <c r="M299" s="402"/>
      <c r="N299" s="401"/>
      <c r="O299" s="402"/>
      <c r="P299" s="401"/>
      <c r="Q299" s="402"/>
      <c r="R299" s="401"/>
      <c r="S299" s="402"/>
      <c r="T299" s="401"/>
      <c r="U299" s="402"/>
      <c r="V299" s="401"/>
      <c r="W299" s="402"/>
      <c r="X299" s="401"/>
      <c r="Y299" s="402"/>
      <c r="Z299" s="401"/>
      <c r="AA299" s="402"/>
      <c r="AB299" s="401"/>
      <c r="AC299" s="402"/>
      <c r="AD299" s="401"/>
      <c r="AE299" s="402"/>
      <c r="AF299" s="401"/>
      <c r="AG299" s="402"/>
      <c r="AH299" s="401"/>
      <c r="AI299" s="402"/>
      <c r="AJ299" s="401"/>
      <c r="AK299" s="402"/>
      <c r="AL299" s="401"/>
      <c r="AM299" s="402"/>
      <c r="AN299" s="401"/>
      <c r="AO299" s="402"/>
      <c r="AP299" s="53"/>
      <c r="AQ299" s="53"/>
      <c r="AR299" s="53"/>
    </row>
    <row r="300" spans="1:44">
      <c r="A300" s="236" t="s">
        <v>287</v>
      </c>
      <c r="B300" s="237" t="s">
        <v>313</v>
      </c>
      <c r="C300" s="238"/>
      <c r="D300" s="239">
        <v>198774</v>
      </c>
      <c r="E300" s="408">
        <v>9</v>
      </c>
      <c r="F300" s="401">
        <v>2657</v>
      </c>
      <c r="G300" s="402">
        <v>2657</v>
      </c>
      <c r="H300" s="401">
        <v>8801</v>
      </c>
      <c r="I300" s="402">
        <v>8801</v>
      </c>
      <c r="J300" s="401"/>
      <c r="K300" s="402"/>
      <c r="L300" s="401"/>
      <c r="M300" s="402"/>
      <c r="N300" s="401"/>
      <c r="O300" s="402"/>
      <c r="P300" s="401"/>
      <c r="Q300" s="402"/>
      <c r="R300" s="401"/>
      <c r="S300" s="402"/>
      <c r="T300" s="401"/>
      <c r="U300" s="402"/>
      <c r="V300" s="401"/>
      <c r="W300" s="402"/>
      <c r="X300" s="401"/>
      <c r="Y300" s="402"/>
      <c r="Z300" s="401"/>
      <c r="AA300" s="402"/>
      <c r="AB300" s="401"/>
      <c r="AC300" s="402"/>
      <c r="AD300" s="401"/>
      <c r="AE300" s="402"/>
      <c r="AF300" s="401"/>
      <c r="AG300" s="402"/>
      <c r="AH300" s="401"/>
      <c r="AI300" s="402"/>
      <c r="AJ300" s="401"/>
      <c r="AK300" s="402"/>
      <c r="AL300" s="401"/>
      <c r="AM300" s="402"/>
      <c r="AN300" s="401"/>
      <c r="AO300" s="402"/>
      <c r="AP300" s="53"/>
      <c r="AQ300" s="53"/>
      <c r="AR300" s="53"/>
    </row>
    <row r="301" spans="1:44">
      <c r="A301" s="236" t="s">
        <v>287</v>
      </c>
      <c r="B301" s="237" t="s">
        <v>314</v>
      </c>
      <c r="C301" s="238"/>
      <c r="D301" s="239">
        <v>198817</v>
      </c>
      <c r="E301" s="408">
        <v>9</v>
      </c>
      <c r="F301" s="401">
        <v>2568</v>
      </c>
      <c r="G301" s="402">
        <v>2568</v>
      </c>
      <c r="H301" s="401">
        <v>8712</v>
      </c>
      <c r="I301" s="402">
        <v>8712</v>
      </c>
      <c r="J301" s="401"/>
      <c r="K301" s="402"/>
      <c r="L301" s="401"/>
      <c r="M301" s="402"/>
      <c r="N301" s="401"/>
      <c r="O301" s="402"/>
      <c r="P301" s="401"/>
      <c r="Q301" s="402"/>
      <c r="R301" s="401"/>
      <c r="S301" s="402"/>
      <c r="T301" s="401"/>
      <c r="U301" s="402"/>
      <c r="V301" s="401"/>
      <c r="W301" s="402"/>
      <c r="X301" s="401"/>
      <c r="Y301" s="402"/>
      <c r="Z301" s="401"/>
      <c r="AA301" s="402"/>
      <c r="AB301" s="401"/>
      <c r="AC301" s="402"/>
      <c r="AD301" s="401"/>
      <c r="AE301" s="402"/>
      <c r="AF301" s="401"/>
      <c r="AG301" s="402"/>
      <c r="AH301" s="401"/>
      <c r="AI301" s="402"/>
      <c r="AJ301" s="401"/>
      <c r="AK301" s="402"/>
      <c r="AL301" s="401"/>
      <c r="AM301" s="402"/>
      <c r="AN301" s="401"/>
      <c r="AO301" s="402"/>
      <c r="AP301" s="53"/>
      <c r="AQ301" s="53"/>
      <c r="AR301" s="53"/>
    </row>
    <row r="302" spans="1:44">
      <c r="A302" s="236" t="s">
        <v>287</v>
      </c>
      <c r="B302" s="237" t="s">
        <v>318</v>
      </c>
      <c r="C302" s="238"/>
      <c r="D302" s="239">
        <v>198987</v>
      </c>
      <c r="E302" s="408">
        <v>9</v>
      </c>
      <c r="F302" s="401">
        <v>2651</v>
      </c>
      <c r="G302" s="402">
        <v>2651</v>
      </c>
      <c r="H302" s="401">
        <v>8795</v>
      </c>
      <c r="I302" s="402">
        <v>8795</v>
      </c>
      <c r="J302" s="401"/>
      <c r="K302" s="402"/>
      <c r="L302" s="401"/>
      <c r="M302" s="402"/>
      <c r="N302" s="401"/>
      <c r="O302" s="402"/>
      <c r="P302" s="401"/>
      <c r="Q302" s="402"/>
      <c r="R302" s="401"/>
      <c r="S302" s="402"/>
      <c r="T302" s="401"/>
      <c r="U302" s="402"/>
      <c r="V302" s="401"/>
      <c r="W302" s="402"/>
      <c r="X302" s="401"/>
      <c r="Y302" s="402"/>
      <c r="Z302" s="401"/>
      <c r="AA302" s="402"/>
      <c r="AB302" s="401"/>
      <c r="AC302" s="402"/>
      <c r="AD302" s="401"/>
      <c r="AE302" s="402"/>
      <c r="AF302" s="401"/>
      <c r="AG302" s="402"/>
      <c r="AH302" s="401"/>
      <c r="AI302" s="402"/>
      <c r="AJ302" s="401"/>
      <c r="AK302" s="402"/>
      <c r="AL302" s="401"/>
      <c r="AM302" s="402"/>
      <c r="AN302" s="401"/>
      <c r="AO302" s="402"/>
      <c r="AP302" s="53"/>
      <c r="AQ302" s="53"/>
      <c r="AR302" s="53"/>
    </row>
    <row r="303" spans="1:44">
      <c r="A303" s="236" t="s">
        <v>287</v>
      </c>
      <c r="B303" s="237" t="s">
        <v>320</v>
      </c>
      <c r="C303" s="238"/>
      <c r="D303" s="239">
        <v>199087</v>
      </c>
      <c r="E303" s="408">
        <v>9</v>
      </c>
      <c r="F303" s="401">
        <v>2666</v>
      </c>
      <c r="G303" s="402">
        <v>2834</v>
      </c>
      <c r="H303" s="401">
        <v>8810</v>
      </c>
      <c r="I303" s="402">
        <v>8834</v>
      </c>
      <c r="J303" s="401"/>
      <c r="K303" s="402"/>
      <c r="L303" s="401"/>
      <c r="M303" s="402"/>
      <c r="N303" s="401"/>
      <c r="O303" s="402"/>
      <c r="P303" s="401"/>
      <c r="Q303" s="402"/>
      <c r="R303" s="401"/>
      <c r="S303" s="402"/>
      <c r="T303" s="401"/>
      <c r="U303" s="402"/>
      <c r="V303" s="401"/>
      <c r="W303" s="402"/>
      <c r="X303" s="401"/>
      <c r="Y303" s="402"/>
      <c r="Z303" s="401"/>
      <c r="AA303" s="402"/>
      <c r="AB303" s="401"/>
      <c r="AC303" s="402"/>
      <c r="AD303" s="401"/>
      <c r="AE303" s="402"/>
      <c r="AF303" s="401"/>
      <c r="AG303" s="402"/>
      <c r="AH303" s="401"/>
      <c r="AI303" s="402"/>
      <c r="AJ303" s="401"/>
      <c r="AK303" s="402"/>
      <c r="AL303" s="401"/>
      <c r="AM303" s="402"/>
      <c r="AN303" s="401"/>
      <c r="AO303" s="402"/>
      <c r="AP303" s="53"/>
      <c r="AQ303" s="53"/>
      <c r="AR303" s="53"/>
    </row>
    <row r="304" spans="1:44">
      <c r="A304" s="236" t="s">
        <v>287</v>
      </c>
      <c r="B304" s="237" t="s">
        <v>324</v>
      </c>
      <c r="C304" s="238"/>
      <c r="D304" s="239">
        <v>199421</v>
      </c>
      <c r="E304" s="408">
        <v>9</v>
      </c>
      <c r="F304" s="401">
        <v>2386</v>
      </c>
      <c r="G304" s="402">
        <v>2386</v>
      </c>
      <c r="H304" s="401">
        <v>8146</v>
      </c>
      <c r="I304" s="402">
        <v>8146</v>
      </c>
      <c r="J304" s="401"/>
      <c r="K304" s="402"/>
      <c r="L304" s="401"/>
      <c r="M304" s="402"/>
      <c r="N304" s="401"/>
      <c r="O304" s="402"/>
      <c r="P304" s="401"/>
      <c r="Q304" s="402"/>
      <c r="R304" s="401"/>
      <c r="S304" s="402"/>
      <c r="T304" s="401"/>
      <c r="U304" s="402"/>
      <c r="V304" s="401"/>
      <c r="W304" s="402"/>
      <c r="X304" s="401"/>
      <c r="Y304" s="402"/>
      <c r="Z304" s="401"/>
      <c r="AA304" s="402"/>
      <c r="AB304" s="401"/>
      <c r="AC304" s="402"/>
      <c r="AD304" s="401"/>
      <c r="AE304" s="402"/>
      <c r="AF304" s="401"/>
      <c r="AG304" s="402"/>
      <c r="AH304" s="401"/>
      <c r="AI304" s="402"/>
      <c r="AJ304" s="401"/>
      <c r="AK304" s="402"/>
      <c r="AL304" s="401"/>
      <c r="AM304" s="402"/>
      <c r="AN304" s="401"/>
      <c r="AO304" s="402"/>
      <c r="AP304" s="53"/>
      <c r="AQ304" s="53"/>
      <c r="AR304" s="53"/>
    </row>
    <row r="305" spans="1:44">
      <c r="A305" s="236" t="s">
        <v>287</v>
      </c>
      <c r="B305" s="237" t="s">
        <v>325</v>
      </c>
      <c r="C305" s="240"/>
      <c r="D305" s="239">
        <v>199449</v>
      </c>
      <c r="E305" s="408">
        <v>9</v>
      </c>
      <c r="F305" s="401">
        <v>2536</v>
      </c>
      <c r="G305" s="402">
        <v>2536</v>
      </c>
      <c r="H305" s="401">
        <v>8680</v>
      </c>
      <c r="I305" s="402">
        <v>8680</v>
      </c>
      <c r="J305" s="401"/>
      <c r="K305" s="402"/>
      <c r="L305" s="401"/>
      <c r="M305" s="402"/>
      <c r="N305" s="401"/>
      <c r="O305" s="402"/>
      <c r="P305" s="401"/>
      <c r="Q305" s="402"/>
      <c r="R305" s="401"/>
      <c r="S305" s="402"/>
      <c r="T305" s="401"/>
      <c r="U305" s="402"/>
      <c r="V305" s="401"/>
      <c r="W305" s="402"/>
      <c r="X305" s="401"/>
      <c r="Y305" s="402"/>
      <c r="Z305" s="401"/>
      <c r="AA305" s="402"/>
      <c r="AB305" s="401"/>
      <c r="AC305" s="402"/>
      <c r="AD305" s="401"/>
      <c r="AE305" s="402"/>
      <c r="AF305" s="401"/>
      <c r="AG305" s="402"/>
      <c r="AH305" s="401"/>
      <c r="AI305" s="402"/>
      <c r="AJ305" s="401"/>
      <c r="AK305" s="402"/>
      <c r="AL305" s="401"/>
      <c r="AM305" s="402"/>
      <c r="AN305" s="401"/>
      <c r="AO305" s="402"/>
      <c r="AP305" s="53"/>
      <c r="AQ305" s="53"/>
      <c r="AR305" s="53"/>
    </row>
    <row r="306" spans="1:44">
      <c r="A306" s="236" t="s">
        <v>287</v>
      </c>
      <c r="B306" s="237" t="s">
        <v>331</v>
      </c>
      <c r="C306" s="238"/>
      <c r="D306" s="239">
        <v>199634</v>
      </c>
      <c r="E306" s="408">
        <v>9</v>
      </c>
      <c r="F306" s="401">
        <v>2764</v>
      </c>
      <c r="G306" s="402">
        <v>2764</v>
      </c>
      <c r="H306" s="401">
        <v>8908</v>
      </c>
      <c r="I306" s="402">
        <v>8908</v>
      </c>
      <c r="J306" s="401"/>
      <c r="K306" s="402"/>
      <c r="L306" s="401"/>
      <c r="M306" s="402"/>
      <c r="N306" s="401"/>
      <c r="O306" s="402"/>
      <c r="P306" s="401"/>
      <c r="Q306" s="402"/>
      <c r="R306" s="401"/>
      <c r="S306" s="402"/>
      <c r="T306" s="401"/>
      <c r="U306" s="402"/>
      <c r="V306" s="401"/>
      <c r="W306" s="402"/>
      <c r="X306" s="401"/>
      <c r="Y306" s="402"/>
      <c r="Z306" s="401"/>
      <c r="AA306" s="402"/>
      <c r="AB306" s="401"/>
      <c r="AC306" s="402"/>
      <c r="AD306" s="401"/>
      <c r="AE306" s="402"/>
      <c r="AF306" s="401"/>
      <c r="AG306" s="402"/>
      <c r="AH306" s="401"/>
      <c r="AI306" s="402"/>
      <c r="AJ306" s="401"/>
      <c r="AK306" s="402"/>
      <c r="AL306" s="401"/>
      <c r="AM306" s="402"/>
      <c r="AN306" s="401"/>
      <c r="AO306" s="402"/>
      <c r="AP306" s="53"/>
      <c r="AQ306" s="53"/>
      <c r="AR306" s="53"/>
    </row>
    <row r="307" spans="1:44">
      <c r="A307" s="236" t="s">
        <v>287</v>
      </c>
      <c r="B307" s="237" t="s">
        <v>332</v>
      </c>
      <c r="C307" s="240"/>
      <c r="D307" s="239">
        <v>197850</v>
      </c>
      <c r="E307" s="408">
        <v>9</v>
      </c>
      <c r="F307" s="401">
        <v>2015</v>
      </c>
      <c r="G307" s="402">
        <v>2015</v>
      </c>
      <c r="H307" s="401">
        <v>6623</v>
      </c>
      <c r="I307" s="402">
        <v>6623</v>
      </c>
      <c r="J307" s="401"/>
      <c r="K307" s="402"/>
      <c r="L307" s="401"/>
      <c r="M307" s="402"/>
      <c r="N307" s="401"/>
      <c r="O307" s="402"/>
      <c r="P307" s="401"/>
      <c r="Q307" s="402"/>
      <c r="R307" s="401"/>
      <c r="S307" s="402"/>
      <c r="T307" s="401"/>
      <c r="U307" s="402"/>
      <c r="V307" s="401"/>
      <c r="W307" s="402"/>
      <c r="X307" s="401"/>
      <c r="Y307" s="402"/>
      <c r="Z307" s="401"/>
      <c r="AA307" s="402"/>
      <c r="AB307" s="401"/>
      <c r="AC307" s="402"/>
      <c r="AD307" s="401"/>
      <c r="AE307" s="402"/>
      <c r="AF307" s="401"/>
      <c r="AG307" s="402"/>
      <c r="AH307" s="401"/>
      <c r="AI307" s="402"/>
      <c r="AJ307" s="401"/>
      <c r="AK307" s="402"/>
      <c r="AL307" s="401"/>
      <c r="AM307" s="402"/>
      <c r="AN307" s="401"/>
      <c r="AO307" s="402"/>
      <c r="AP307" s="53"/>
      <c r="AQ307" s="53"/>
      <c r="AR307" s="53"/>
    </row>
    <row r="308" spans="1:44">
      <c r="A308" s="236" t="s">
        <v>287</v>
      </c>
      <c r="B308" s="237" t="s">
        <v>335</v>
      </c>
      <c r="C308" s="238"/>
      <c r="D308" s="239">
        <v>199740</v>
      </c>
      <c r="E308" s="408">
        <v>9</v>
      </c>
      <c r="F308" s="401">
        <v>2674</v>
      </c>
      <c r="G308" s="402">
        <v>2794</v>
      </c>
      <c r="H308" s="401">
        <v>8818</v>
      </c>
      <c r="I308" s="402">
        <v>9245</v>
      </c>
      <c r="J308" s="401"/>
      <c r="K308" s="402"/>
      <c r="L308" s="401"/>
      <c r="M308" s="402"/>
      <c r="N308" s="401"/>
      <c r="O308" s="402"/>
      <c r="P308" s="401"/>
      <c r="Q308" s="402"/>
      <c r="R308" s="401"/>
      <c r="S308" s="402"/>
      <c r="T308" s="401"/>
      <c r="U308" s="402"/>
      <c r="V308" s="401"/>
      <c r="W308" s="402"/>
      <c r="X308" s="401"/>
      <c r="Y308" s="402"/>
      <c r="Z308" s="401"/>
      <c r="AA308" s="402"/>
      <c r="AB308" s="401"/>
      <c r="AC308" s="402"/>
      <c r="AD308" s="401"/>
      <c r="AE308" s="402"/>
      <c r="AF308" s="401"/>
      <c r="AG308" s="402"/>
      <c r="AH308" s="401"/>
      <c r="AI308" s="402"/>
      <c r="AJ308" s="401"/>
      <c r="AK308" s="402"/>
      <c r="AL308" s="401"/>
      <c r="AM308" s="402"/>
      <c r="AN308" s="401"/>
      <c r="AO308" s="402"/>
      <c r="AP308" s="53"/>
      <c r="AQ308" s="53"/>
      <c r="AR308" s="53"/>
    </row>
    <row r="309" spans="1:44">
      <c r="A309" s="236" t="s">
        <v>287</v>
      </c>
      <c r="B309" s="237" t="s">
        <v>336</v>
      </c>
      <c r="C309" s="238"/>
      <c r="D309" s="239">
        <v>199768</v>
      </c>
      <c r="E309" s="408">
        <v>9</v>
      </c>
      <c r="F309" s="401">
        <v>2663</v>
      </c>
      <c r="G309" s="402">
        <v>2663</v>
      </c>
      <c r="H309" s="401">
        <v>8807</v>
      </c>
      <c r="I309" s="402">
        <v>8807</v>
      </c>
      <c r="J309" s="401"/>
      <c r="K309" s="402"/>
      <c r="L309" s="401"/>
      <c r="M309" s="402"/>
      <c r="N309" s="401"/>
      <c r="O309" s="402"/>
      <c r="P309" s="401"/>
      <c r="Q309" s="402"/>
      <c r="R309" s="401"/>
      <c r="S309" s="402"/>
      <c r="T309" s="401"/>
      <c r="U309" s="402"/>
      <c r="V309" s="401"/>
      <c r="W309" s="402"/>
      <c r="X309" s="401"/>
      <c r="Y309" s="402"/>
      <c r="Z309" s="401"/>
      <c r="AA309" s="402"/>
      <c r="AB309" s="401"/>
      <c r="AC309" s="402"/>
      <c r="AD309" s="401"/>
      <c r="AE309" s="402"/>
      <c r="AF309" s="401"/>
      <c r="AG309" s="402"/>
      <c r="AH309" s="401"/>
      <c r="AI309" s="402"/>
      <c r="AJ309" s="401"/>
      <c r="AK309" s="402"/>
      <c r="AL309" s="401"/>
      <c r="AM309" s="402"/>
      <c r="AN309" s="401"/>
      <c r="AO309" s="402"/>
      <c r="AP309" s="53"/>
      <c r="AQ309" s="53"/>
      <c r="AR309" s="53"/>
    </row>
    <row r="310" spans="1:44">
      <c r="A310" s="236" t="s">
        <v>287</v>
      </c>
      <c r="B310" s="237" t="s">
        <v>338</v>
      </c>
      <c r="C310" s="238"/>
      <c r="D310" s="239">
        <v>199838</v>
      </c>
      <c r="E310" s="408">
        <v>9</v>
      </c>
      <c r="F310" s="401">
        <v>1948</v>
      </c>
      <c r="G310" s="402">
        <v>1944</v>
      </c>
      <c r="H310" s="401">
        <v>6556</v>
      </c>
      <c r="I310" s="402">
        <v>6552</v>
      </c>
      <c r="J310" s="401"/>
      <c r="K310" s="402"/>
      <c r="L310" s="401"/>
      <c r="M310" s="402"/>
      <c r="N310" s="401"/>
      <c r="O310" s="402"/>
      <c r="P310" s="401"/>
      <c r="Q310" s="402"/>
      <c r="R310" s="401"/>
      <c r="S310" s="402"/>
      <c r="T310" s="401"/>
      <c r="U310" s="402"/>
      <c r="V310" s="401"/>
      <c r="W310" s="402"/>
      <c r="X310" s="401"/>
      <c r="Y310" s="402"/>
      <c r="Z310" s="401"/>
      <c r="AA310" s="402"/>
      <c r="AB310" s="401"/>
      <c r="AC310" s="402"/>
      <c r="AD310" s="401"/>
      <c r="AE310" s="402"/>
      <c r="AF310" s="401"/>
      <c r="AG310" s="402"/>
      <c r="AH310" s="401"/>
      <c r="AI310" s="402"/>
      <c r="AJ310" s="401"/>
      <c r="AK310" s="402"/>
      <c r="AL310" s="401"/>
      <c r="AM310" s="402"/>
      <c r="AN310" s="401"/>
      <c r="AO310" s="402"/>
      <c r="AP310" s="53"/>
      <c r="AQ310" s="53"/>
      <c r="AR310" s="53"/>
    </row>
    <row r="311" spans="1:44">
      <c r="A311" s="236" t="s">
        <v>287</v>
      </c>
      <c r="B311" s="237" t="s">
        <v>340</v>
      </c>
      <c r="C311" s="238"/>
      <c r="D311" s="239">
        <v>199892</v>
      </c>
      <c r="E311" s="408">
        <v>9</v>
      </c>
      <c r="F311" s="401">
        <v>2524</v>
      </c>
      <c r="G311" s="402">
        <v>2524</v>
      </c>
      <c r="H311" s="401">
        <v>8668</v>
      </c>
      <c r="I311" s="402">
        <v>8668</v>
      </c>
      <c r="J311" s="401"/>
      <c r="K311" s="402"/>
      <c r="L311" s="401"/>
      <c r="M311" s="402"/>
      <c r="N311" s="401"/>
      <c r="O311" s="402"/>
      <c r="P311" s="401"/>
      <c r="Q311" s="402"/>
      <c r="R311" s="401"/>
      <c r="S311" s="402"/>
      <c r="T311" s="401"/>
      <c r="U311" s="402"/>
      <c r="V311" s="401"/>
      <c r="W311" s="402"/>
      <c r="X311" s="401"/>
      <c r="Y311" s="402"/>
      <c r="Z311" s="401"/>
      <c r="AA311" s="402"/>
      <c r="AB311" s="401"/>
      <c r="AC311" s="402"/>
      <c r="AD311" s="401"/>
      <c r="AE311" s="402"/>
      <c r="AF311" s="401"/>
      <c r="AG311" s="402"/>
      <c r="AH311" s="401"/>
      <c r="AI311" s="402"/>
      <c r="AJ311" s="401"/>
      <c r="AK311" s="402"/>
      <c r="AL311" s="401"/>
      <c r="AM311" s="402"/>
      <c r="AN311" s="401"/>
      <c r="AO311" s="402"/>
      <c r="AP311" s="53"/>
      <c r="AQ311" s="53"/>
      <c r="AR311" s="53"/>
    </row>
    <row r="312" spans="1:44">
      <c r="A312" s="236" t="s">
        <v>287</v>
      </c>
      <c r="B312" s="237" t="s">
        <v>342</v>
      </c>
      <c r="C312" s="238"/>
      <c r="D312" s="239">
        <v>199926</v>
      </c>
      <c r="E312" s="408">
        <v>9</v>
      </c>
      <c r="F312" s="401">
        <v>2572</v>
      </c>
      <c r="G312" s="402">
        <v>2572</v>
      </c>
      <c r="H312" s="401">
        <v>8716</v>
      </c>
      <c r="I312" s="402">
        <v>8716</v>
      </c>
      <c r="J312" s="401"/>
      <c r="K312" s="402"/>
      <c r="L312" s="401"/>
      <c r="M312" s="402"/>
      <c r="N312" s="401"/>
      <c r="O312" s="402"/>
      <c r="P312" s="401"/>
      <c r="Q312" s="402"/>
      <c r="R312" s="401"/>
      <c r="S312" s="402"/>
      <c r="T312" s="401"/>
      <c r="U312" s="402"/>
      <c r="V312" s="401"/>
      <c r="W312" s="402"/>
      <c r="X312" s="401"/>
      <c r="Y312" s="402"/>
      <c r="Z312" s="401"/>
      <c r="AA312" s="402"/>
      <c r="AB312" s="401"/>
      <c r="AC312" s="402"/>
      <c r="AD312" s="401"/>
      <c r="AE312" s="402"/>
      <c r="AF312" s="401"/>
      <c r="AG312" s="402"/>
      <c r="AH312" s="401"/>
      <c r="AI312" s="402"/>
      <c r="AJ312" s="401"/>
      <c r="AK312" s="402"/>
      <c r="AL312" s="401"/>
      <c r="AM312" s="402"/>
      <c r="AN312" s="401"/>
      <c r="AO312" s="402"/>
      <c r="AP312" s="53"/>
      <c r="AQ312" s="53"/>
      <c r="AR312" s="53"/>
    </row>
    <row r="313" spans="1:44">
      <c r="A313" s="236" t="s">
        <v>287</v>
      </c>
      <c r="B313" s="237" t="s">
        <v>290</v>
      </c>
      <c r="C313" s="238"/>
      <c r="D313" s="239">
        <v>197966</v>
      </c>
      <c r="E313" s="408">
        <v>10</v>
      </c>
      <c r="F313" s="401">
        <v>2518</v>
      </c>
      <c r="G313" s="402">
        <v>2518</v>
      </c>
      <c r="H313" s="401">
        <v>8662</v>
      </c>
      <c r="I313" s="402">
        <v>8662</v>
      </c>
      <c r="J313" s="401"/>
      <c r="K313" s="402"/>
      <c r="L313" s="401"/>
      <c r="M313" s="402"/>
      <c r="N313" s="401"/>
      <c r="O313" s="402"/>
      <c r="P313" s="401"/>
      <c r="Q313" s="402"/>
      <c r="R313" s="401"/>
      <c r="S313" s="402"/>
      <c r="T313" s="401"/>
      <c r="U313" s="402"/>
      <c r="V313" s="401"/>
      <c r="W313" s="402"/>
      <c r="X313" s="401"/>
      <c r="Y313" s="402"/>
      <c r="Z313" s="401"/>
      <c r="AA313" s="402"/>
      <c r="AB313" s="401"/>
      <c r="AC313" s="402"/>
      <c r="AD313" s="401"/>
      <c r="AE313" s="402"/>
      <c r="AF313" s="401"/>
      <c r="AG313" s="402"/>
      <c r="AH313" s="401"/>
      <c r="AI313" s="402"/>
      <c r="AJ313" s="401"/>
      <c r="AK313" s="402"/>
      <c r="AL313" s="401"/>
      <c r="AM313" s="402"/>
      <c r="AN313" s="401"/>
      <c r="AO313" s="402"/>
      <c r="AP313" s="53"/>
      <c r="AQ313" s="53"/>
      <c r="AR313" s="53"/>
    </row>
    <row r="314" spans="1:44">
      <c r="A314" s="236" t="s">
        <v>287</v>
      </c>
      <c r="B314" s="237" t="s">
        <v>291</v>
      </c>
      <c r="C314" s="238"/>
      <c r="D314" s="239">
        <v>198011</v>
      </c>
      <c r="E314" s="408">
        <v>10</v>
      </c>
      <c r="F314" s="401">
        <v>2558</v>
      </c>
      <c r="G314" s="402">
        <v>2558</v>
      </c>
      <c r="H314" s="401">
        <v>8702</v>
      </c>
      <c r="I314" s="402">
        <v>8702</v>
      </c>
      <c r="J314" s="401"/>
      <c r="K314" s="402"/>
      <c r="L314" s="401"/>
      <c r="M314" s="402"/>
      <c r="N314" s="401"/>
      <c r="O314" s="402"/>
      <c r="P314" s="401"/>
      <c r="Q314" s="402"/>
      <c r="R314" s="401"/>
      <c r="S314" s="402"/>
      <c r="T314" s="401"/>
      <c r="U314" s="402"/>
      <c r="V314" s="401"/>
      <c r="W314" s="402"/>
      <c r="X314" s="401"/>
      <c r="Y314" s="402"/>
      <c r="Z314" s="401"/>
      <c r="AA314" s="402"/>
      <c r="AB314" s="401"/>
      <c r="AC314" s="402"/>
      <c r="AD314" s="401"/>
      <c r="AE314" s="402"/>
      <c r="AF314" s="401"/>
      <c r="AG314" s="402"/>
      <c r="AH314" s="401"/>
      <c r="AI314" s="402"/>
      <c r="AJ314" s="401"/>
      <c r="AK314" s="402"/>
      <c r="AL314" s="401"/>
      <c r="AM314" s="402"/>
      <c r="AN314" s="401"/>
      <c r="AO314" s="402"/>
      <c r="AP314" s="53"/>
      <c r="AQ314" s="53"/>
      <c r="AR314" s="53"/>
    </row>
    <row r="315" spans="1:44">
      <c r="A315" s="236" t="s">
        <v>287</v>
      </c>
      <c r="B315" s="237" t="s">
        <v>292</v>
      </c>
      <c r="C315" s="238"/>
      <c r="D315" s="239">
        <v>198039</v>
      </c>
      <c r="E315" s="408">
        <v>10</v>
      </c>
      <c r="F315" s="401">
        <v>2651</v>
      </c>
      <c r="G315" s="402">
        <v>2651</v>
      </c>
      <c r="H315" s="401">
        <v>8795</v>
      </c>
      <c r="I315" s="402">
        <v>8795</v>
      </c>
      <c r="J315" s="401"/>
      <c r="K315" s="402"/>
      <c r="L315" s="401"/>
      <c r="M315" s="402"/>
      <c r="N315" s="401"/>
      <c r="O315" s="402"/>
      <c r="P315" s="401"/>
      <c r="Q315" s="402"/>
      <c r="R315" s="401"/>
      <c r="S315" s="402"/>
      <c r="T315" s="401"/>
      <c r="U315" s="402"/>
      <c r="V315" s="401"/>
      <c r="W315" s="402"/>
      <c r="X315" s="401"/>
      <c r="Y315" s="402"/>
      <c r="Z315" s="401"/>
      <c r="AA315" s="402"/>
      <c r="AB315" s="401"/>
      <c r="AC315" s="402"/>
      <c r="AD315" s="401"/>
      <c r="AE315" s="402"/>
      <c r="AF315" s="401"/>
      <c r="AG315" s="402"/>
      <c r="AH315" s="401"/>
      <c r="AI315" s="402"/>
      <c r="AJ315" s="401"/>
      <c r="AK315" s="402"/>
      <c r="AL315" s="401"/>
      <c r="AM315" s="402"/>
      <c r="AN315" s="401"/>
      <c r="AO315" s="402"/>
      <c r="AP315" s="53"/>
      <c r="AQ315" s="53"/>
      <c r="AR315" s="53"/>
    </row>
    <row r="316" spans="1:44">
      <c r="A316" s="236" t="s">
        <v>287</v>
      </c>
      <c r="B316" s="237" t="s">
        <v>293</v>
      </c>
      <c r="C316" s="238"/>
      <c r="D316" s="239">
        <v>198084</v>
      </c>
      <c r="E316" s="408">
        <v>10</v>
      </c>
      <c r="F316" s="401">
        <v>2532</v>
      </c>
      <c r="G316" s="402">
        <v>2532</v>
      </c>
      <c r="H316" s="401">
        <v>8676</v>
      </c>
      <c r="I316" s="402">
        <v>8676</v>
      </c>
      <c r="J316" s="401"/>
      <c r="K316" s="402"/>
      <c r="L316" s="401"/>
      <c r="M316" s="402"/>
      <c r="N316" s="401"/>
      <c r="O316" s="402"/>
      <c r="P316" s="401"/>
      <c r="Q316" s="402"/>
      <c r="R316" s="401"/>
      <c r="S316" s="402"/>
      <c r="T316" s="401"/>
      <c r="U316" s="402"/>
      <c r="V316" s="401"/>
      <c r="W316" s="402"/>
      <c r="X316" s="401"/>
      <c r="Y316" s="402"/>
      <c r="Z316" s="401"/>
      <c r="AA316" s="402"/>
      <c r="AB316" s="401"/>
      <c r="AC316" s="402"/>
      <c r="AD316" s="401"/>
      <c r="AE316" s="402"/>
      <c r="AF316" s="401"/>
      <c r="AG316" s="402"/>
      <c r="AH316" s="401"/>
      <c r="AI316" s="402"/>
      <c r="AJ316" s="401"/>
      <c r="AK316" s="402"/>
      <c r="AL316" s="401"/>
      <c r="AM316" s="402"/>
      <c r="AN316" s="401"/>
      <c r="AO316" s="402"/>
      <c r="AP316" s="53"/>
      <c r="AQ316" s="53"/>
      <c r="AR316" s="53"/>
    </row>
    <row r="317" spans="1:44">
      <c r="A317" s="236" t="s">
        <v>287</v>
      </c>
      <c r="B317" s="237" t="s">
        <v>296</v>
      </c>
      <c r="C317" s="238"/>
      <c r="D317" s="239">
        <v>198206</v>
      </c>
      <c r="E317" s="408">
        <v>10</v>
      </c>
      <c r="F317" s="401">
        <v>2640</v>
      </c>
      <c r="G317" s="402">
        <v>2610</v>
      </c>
      <c r="H317" s="401">
        <v>8976</v>
      </c>
      <c r="I317" s="402">
        <v>8754</v>
      </c>
      <c r="J317" s="401"/>
      <c r="K317" s="402"/>
      <c r="L317" s="401"/>
      <c r="M317" s="402"/>
      <c r="N317" s="401"/>
      <c r="O317" s="402"/>
      <c r="P317" s="401"/>
      <c r="Q317" s="402"/>
      <c r="R317" s="401"/>
      <c r="S317" s="402"/>
      <c r="T317" s="401"/>
      <c r="U317" s="402"/>
      <c r="V317" s="401"/>
      <c r="W317" s="402"/>
      <c r="X317" s="401"/>
      <c r="Y317" s="402"/>
      <c r="Z317" s="401"/>
      <c r="AA317" s="402"/>
      <c r="AB317" s="401"/>
      <c r="AC317" s="402"/>
      <c r="AD317" s="401"/>
      <c r="AE317" s="402"/>
      <c r="AF317" s="401"/>
      <c r="AG317" s="402"/>
      <c r="AH317" s="401"/>
      <c r="AI317" s="402"/>
      <c r="AJ317" s="401"/>
      <c r="AK317" s="402"/>
      <c r="AL317" s="401"/>
      <c r="AM317" s="402"/>
      <c r="AN317" s="401"/>
      <c r="AO317" s="402"/>
      <c r="AP317" s="53"/>
      <c r="AQ317" s="53"/>
      <c r="AR317" s="53"/>
    </row>
    <row r="318" spans="1:44">
      <c r="A318" s="236" t="s">
        <v>287</v>
      </c>
      <c r="B318" s="237" t="s">
        <v>664</v>
      </c>
      <c r="C318" s="238" t="s">
        <v>641</v>
      </c>
      <c r="D318" s="239">
        <v>197814</v>
      </c>
      <c r="E318" s="408">
        <v>10</v>
      </c>
      <c r="F318" s="401">
        <v>2270</v>
      </c>
      <c r="G318" s="402">
        <v>2228</v>
      </c>
      <c r="H318" s="401">
        <v>7522</v>
      </c>
      <c r="I318" s="402">
        <v>7346</v>
      </c>
      <c r="J318" s="401"/>
      <c r="K318" s="402"/>
      <c r="L318" s="401"/>
      <c r="M318" s="402"/>
      <c r="N318" s="401"/>
      <c r="O318" s="402"/>
      <c r="P318" s="401"/>
      <c r="Q318" s="402"/>
      <c r="R318" s="401"/>
      <c r="S318" s="402"/>
      <c r="T318" s="401"/>
      <c r="U318" s="402"/>
      <c r="V318" s="401"/>
      <c r="W318" s="402"/>
      <c r="X318" s="401"/>
      <c r="Y318" s="402"/>
      <c r="Z318" s="401"/>
      <c r="AA318" s="402"/>
      <c r="AB318" s="401"/>
      <c r="AC318" s="402"/>
      <c r="AD318" s="401"/>
      <c r="AE318" s="402"/>
      <c r="AF318" s="401"/>
      <c r="AG318" s="402"/>
      <c r="AH318" s="401"/>
      <c r="AI318" s="402"/>
      <c r="AJ318" s="401"/>
      <c r="AK318" s="402"/>
      <c r="AL318" s="401"/>
      <c r="AM318" s="402"/>
      <c r="AN318" s="401"/>
      <c r="AO318" s="402"/>
      <c r="AP318" s="53"/>
      <c r="AQ318" s="53"/>
      <c r="AR318" s="53"/>
    </row>
    <row r="319" spans="1:44">
      <c r="A319" s="236" t="s">
        <v>287</v>
      </c>
      <c r="B319" s="237" t="s">
        <v>304</v>
      </c>
      <c r="C319" s="240"/>
      <c r="D319" s="239">
        <v>198491</v>
      </c>
      <c r="E319" s="408">
        <v>10</v>
      </c>
      <c r="F319" s="401">
        <v>2640</v>
      </c>
      <c r="G319" s="402">
        <v>2640</v>
      </c>
      <c r="H319" s="401">
        <v>8784</v>
      </c>
      <c r="I319" s="402">
        <v>8784</v>
      </c>
      <c r="J319" s="401"/>
      <c r="K319" s="402"/>
      <c r="L319" s="401"/>
      <c r="M319" s="402"/>
      <c r="N319" s="401"/>
      <c r="O319" s="402"/>
      <c r="P319" s="401"/>
      <c r="Q319" s="402"/>
      <c r="R319" s="401"/>
      <c r="S319" s="402"/>
      <c r="T319" s="401"/>
      <c r="U319" s="402"/>
      <c r="V319" s="401"/>
      <c r="W319" s="402"/>
      <c r="X319" s="401"/>
      <c r="Y319" s="402"/>
      <c r="Z319" s="401"/>
      <c r="AA319" s="402"/>
      <c r="AB319" s="401"/>
      <c r="AC319" s="402"/>
      <c r="AD319" s="401"/>
      <c r="AE319" s="402"/>
      <c r="AF319" s="401"/>
      <c r="AG319" s="402"/>
      <c r="AH319" s="401"/>
      <c r="AI319" s="402"/>
      <c r="AJ319" s="401"/>
      <c r="AK319" s="402"/>
      <c r="AL319" s="401"/>
      <c r="AM319" s="402"/>
      <c r="AN319" s="401"/>
      <c r="AO319" s="402"/>
      <c r="AP319" s="53"/>
      <c r="AQ319" s="53"/>
      <c r="AR319" s="53"/>
    </row>
    <row r="320" spans="1:44">
      <c r="A320" s="236" t="s">
        <v>287</v>
      </c>
      <c r="B320" s="237" t="s">
        <v>309</v>
      </c>
      <c r="C320" s="238"/>
      <c r="D320" s="239">
        <v>198640</v>
      </c>
      <c r="E320" s="408">
        <v>10</v>
      </c>
      <c r="F320" s="401">
        <v>2608</v>
      </c>
      <c r="G320" s="402">
        <v>2608</v>
      </c>
      <c r="H320" s="401">
        <v>8752</v>
      </c>
      <c r="I320" s="402">
        <v>8752</v>
      </c>
      <c r="J320" s="401"/>
      <c r="K320" s="402"/>
      <c r="L320" s="401"/>
      <c r="M320" s="402"/>
      <c r="N320" s="401"/>
      <c r="O320" s="402"/>
      <c r="P320" s="401"/>
      <c r="Q320" s="402"/>
      <c r="R320" s="401"/>
      <c r="S320" s="402"/>
      <c r="T320" s="401"/>
      <c r="U320" s="402"/>
      <c r="V320" s="401"/>
      <c r="W320" s="402"/>
      <c r="X320" s="401"/>
      <c r="Y320" s="402"/>
      <c r="Z320" s="401"/>
      <c r="AA320" s="402"/>
      <c r="AB320" s="401"/>
      <c r="AC320" s="402"/>
      <c r="AD320" s="401"/>
      <c r="AE320" s="402"/>
      <c r="AF320" s="401"/>
      <c r="AG320" s="402"/>
      <c r="AH320" s="401"/>
      <c r="AI320" s="402"/>
      <c r="AJ320" s="401"/>
      <c r="AK320" s="402"/>
      <c r="AL320" s="401"/>
      <c r="AM320" s="402"/>
      <c r="AN320" s="401"/>
      <c r="AO320" s="402"/>
      <c r="AP320" s="53"/>
      <c r="AQ320" s="53"/>
      <c r="AR320" s="53"/>
    </row>
    <row r="321" spans="1:44">
      <c r="A321" s="236" t="s">
        <v>287</v>
      </c>
      <c r="B321" s="237" t="s">
        <v>310</v>
      </c>
      <c r="C321" s="240"/>
      <c r="D321" s="239">
        <v>198668</v>
      </c>
      <c r="E321" s="408">
        <v>10</v>
      </c>
      <c r="F321" s="401">
        <v>2580</v>
      </c>
      <c r="G321" s="402">
        <v>2580</v>
      </c>
      <c r="H321" s="401">
        <v>8724</v>
      </c>
      <c r="I321" s="402">
        <v>8724</v>
      </c>
      <c r="J321" s="401"/>
      <c r="K321" s="402"/>
      <c r="L321" s="401"/>
      <c r="M321" s="402"/>
      <c r="N321" s="401"/>
      <c r="O321" s="402"/>
      <c r="P321" s="401"/>
      <c r="Q321" s="402"/>
      <c r="R321" s="401"/>
      <c r="S321" s="402"/>
      <c r="T321" s="401"/>
      <c r="U321" s="402"/>
      <c r="V321" s="401"/>
      <c r="W321" s="402"/>
      <c r="X321" s="401"/>
      <c r="Y321" s="402"/>
      <c r="Z321" s="401"/>
      <c r="AA321" s="402"/>
      <c r="AB321" s="401"/>
      <c r="AC321" s="402"/>
      <c r="AD321" s="401"/>
      <c r="AE321" s="402"/>
      <c r="AF321" s="401"/>
      <c r="AG321" s="402"/>
      <c r="AH321" s="401"/>
      <c r="AI321" s="402"/>
      <c r="AJ321" s="401"/>
      <c r="AK321" s="402"/>
      <c r="AL321" s="401"/>
      <c r="AM321" s="402"/>
      <c r="AN321" s="401"/>
      <c r="AO321" s="402"/>
      <c r="AP321" s="53"/>
      <c r="AQ321" s="53"/>
      <c r="AR321" s="53"/>
    </row>
    <row r="322" spans="1:44">
      <c r="A322" s="236" t="s">
        <v>287</v>
      </c>
      <c r="B322" s="237" t="s">
        <v>311</v>
      </c>
      <c r="C322" s="240"/>
      <c r="D322" s="239">
        <v>198710</v>
      </c>
      <c r="E322" s="408">
        <v>10</v>
      </c>
      <c r="F322" s="401">
        <v>1994</v>
      </c>
      <c r="G322" s="402">
        <v>1994</v>
      </c>
      <c r="H322" s="401">
        <v>6602</v>
      </c>
      <c r="I322" s="402">
        <v>6602</v>
      </c>
      <c r="J322" s="401"/>
      <c r="K322" s="402"/>
      <c r="L322" s="401"/>
      <c r="M322" s="402"/>
      <c r="N322" s="401"/>
      <c r="O322" s="402"/>
      <c r="P322" s="401"/>
      <c r="Q322" s="402"/>
      <c r="R322" s="401"/>
      <c r="S322" s="402"/>
      <c r="T322" s="401"/>
      <c r="U322" s="402"/>
      <c r="V322" s="401"/>
      <c r="W322" s="402"/>
      <c r="X322" s="401"/>
      <c r="Y322" s="402"/>
      <c r="Z322" s="401"/>
      <c r="AA322" s="402"/>
      <c r="AB322" s="401"/>
      <c r="AC322" s="402"/>
      <c r="AD322" s="401"/>
      <c r="AE322" s="402"/>
      <c r="AF322" s="401"/>
      <c r="AG322" s="402"/>
      <c r="AH322" s="401"/>
      <c r="AI322" s="402"/>
      <c r="AJ322" s="401"/>
      <c r="AK322" s="402"/>
      <c r="AL322" s="401"/>
      <c r="AM322" s="402"/>
      <c r="AN322" s="401"/>
      <c r="AO322" s="402"/>
      <c r="AP322" s="53"/>
      <c r="AQ322" s="53"/>
      <c r="AR322" s="53"/>
    </row>
    <row r="323" spans="1:44">
      <c r="A323" s="236" t="s">
        <v>287</v>
      </c>
      <c r="B323" s="237" t="s">
        <v>312</v>
      </c>
      <c r="C323" s="238"/>
      <c r="D323" s="239">
        <v>198729</v>
      </c>
      <c r="E323" s="408">
        <v>10</v>
      </c>
      <c r="F323" s="401">
        <v>2570</v>
      </c>
      <c r="G323" s="402">
        <v>2570</v>
      </c>
      <c r="H323" s="401">
        <v>8714</v>
      </c>
      <c r="I323" s="402">
        <v>8714</v>
      </c>
      <c r="J323" s="401"/>
      <c r="K323" s="402"/>
      <c r="L323" s="401"/>
      <c r="M323" s="402"/>
      <c r="N323" s="401"/>
      <c r="O323" s="402"/>
      <c r="P323" s="401"/>
      <c r="Q323" s="402"/>
      <c r="R323" s="401"/>
      <c r="S323" s="402"/>
      <c r="T323" s="401"/>
      <c r="U323" s="402"/>
      <c r="V323" s="401"/>
      <c r="W323" s="402"/>
      <c r="X323" s="401"/>
      <c r="Y323" s="402"/>
      <c r="Z323" s="401"/>
      <c r="AA323" s="402"/>
      <c r="AB323" s="401"/>
      <c r="AC323" s="402"/>
      <c r="AD323" s="401"/>
      <c r="AE323" s="402"/>
      <c r="AF323" s="401"/>
      <c r="AG323" s="402"/>
      <c r="AH323" s="401"/>
      <c r="AI323" s="402"/>
      <c r="AJ323" s="401"/>
      <c r="AK323" s="402"/>
      <c r="AL323" s="401"/>
      <c r="AM323" s="402"/>
      <c r="AN323" s="401"/>
      <c r="AO323" s="402"/>
      <c r="AP323" s="53"/>
      <c r="AQ323" s="53"/>
      <c r="AR323" s="53"/>
    </row>
    <row r="324" spans="1:44">
      <c r="A324" s="236" t="s">
        <v>287</v>
      </c>
      <c r="B324" s="237" t="s">
        <v>315</v>
      </c>
      <c r="C324" s="238"/>
      <c r="D324" s="239">
        <v>198905</v>
      </c>
      <c r="E324" s="408">
        <v>10</v>
      </c>
      <c r="F324" s="401">
        <v>1915</v>
      </c>
      <c r="G324" s="402">
        <v>1915</v>
      </c>
      <c r="H324" s="401">
        <v>6523</v>
      </c>
      <c r="I324" s="402">
        <v>6523</v>
      </c>
      <c r="J324" s="401"/>
      <c r="K324" s="402"/>
      <c r="L324" s="401"/>
      <c r="M324" s="402"/>
      <c r="N324" s="401"/>
      <c r="O324" s="402"/>
      <c r="P324" s="401"/>
      <c r="Q324" s="402"/>
      <c r="R324" s="401"/>
      <c r="S324" s="402"/>
      <c r="T324" s="401"/>
      <c r="U324" s="402"/>
      <c r="V324" s="401"/>
      <c r="W324" s="402"/>
      <c r="X324" s="401"/>
      <c r="Y324" s="402"/>
      <c r="Z324" s="401"/>
      <c r="AA324" s="402"/>
      <c r="AB324" s="401"/>
      <c r="AC324" s="402"/>
      <c r="AD324" s="401"/>
      <c r="AE324" s="402"/>
      <c r="AF324" s="401"/>
      <c r="AG324" s="402"/>
      <c r="AH324" s="401"/>
      <c r="AI324" s="402"/>
      <c r="AJ324" s="401"/>
      <c r="AK324" s="402"/>
      <c r="AL324" s="401"/>
      <c r="AM324" s="402"/>
      <c r="AN324" s="401"/>
      <c r="AO324" s="402"/>
      <c r="AP324" s="53"/>
      <c r="AQ324" s="53"/>
      <c r="AR324" s="53"/>
    </row>
    <row r="325" spans="1:44">
      <c r="A325" s="236" t="s">
        <v>287</v>
      </c>
      <c r="B325" s="237" t="s">
        <v>316</v>
      </c>
      <c r="C325" s="238"/>
      <c r="D325" s="239">
        <v>198914</v>
      </c>
      <c r="E325" s="408">
        <v>10</v>
      </c>
      <c r="F325" s="401">
        <v>2558</v>
      </c>
      <c r="G325" s="402">
        <v>2561</v>
      </c>
      <c r="H325" s="401">
        <v>8702</v>
      </c>
      <c r="I325" s="402">
        <v>8705</v>
      </c>
      <c r="J325" s="401"/>
      <c r="K325" s="402"/>
      <c r="L325" s="401"/>
      <c r="M325" s="402"/>
      <c r="N325" s="401"/>
      <c r="O325" s="402"/>
      <c r="P325" s="401"/>
      <c r="Q325" s="402"/>
      <c r="R325" s="401"/>
      <c r="S325" s="402"/>
      <c r="T325" s="401"/>
      <c r="U325" s="402"/>
      <c r="V325" s="401"/>
      <c r="W325" s="402"/>
      <c r="X325" s="401"/>
      <c r="Y325" s="402"/>
      <c r="Z325" s="401"/>
      <c r="AA325" s="402"/>
      <c r="AB325" s="401"/>
      <c r="AC325" s="402"/>
      <c r="AD325" s="401"/>
      <c r="AE325" s="402"/>
      <c r="AF325" s="401"/>
      <c r="AG325" s="402"/>
      <c r="AH325" s="401"/>
      <c r="AI325" s="402"/>
      <c r="AJ325" s="401"/>
      <c r="AK325" s="402"/>
      <c r="AL325" s="401"/>
      <c r="AM325" s="402"/>
      <c r="AN325" s="401"/>
      <c r="AO325" s="402"/>
      <c r="AP325" s="53"/>
      <c r="AQ325" s="53"/>
      <c r="AR325" s="53"/>
    </row>
    <row r="326" spans="1:44">
      <c r="A326" s="236" t="s">
        <v>287</v>
      </c>
      <c r="B326" s="237" t="s">
        <v>317</v>
      </c>
      <c r="C326" s="238"/>
      <c r="D326" s="239">
        <v>198923</v>
      </c>
      <c r="E326" s="408">
        <v>10</v>
      </c>
      <c r="F326" s="401">
        <v>1926</v>
      </c>
      <c r="G326" s="402">
        <v>1926</v>
      </c>
      <c r="H326" s="401">
        <v>6534</v>
      </c>
      <c r="I326" s="402">
        <v>6534</v>
      </c>
      <c r="J326" s="401"/>
      <c r="K326" s="402"/>
      <c r="L326" s="401"/>
      <c r="M326" s="402"/>
      <c r="N326" s="401"/>
      <c r="O326" s="402"/>
      <c r="P326" s="401"/>
      <c r="Q326" s="402"/>
      <c r="R326" s="401"/>
      <c r="S326" s="402"/>
      <c r="T326" s="401"/>
      <c r="U326" s="402"/>
      <c r="V326" s="401"/>
      <c r="W326" s="402"/>
      <c r="X326" s="401"/>
      <c r="Y326" s="402"/>
      <c r="Z326" s="401"/>
      <c r="AA326" s="402"/>
      <c r="AB326" s="401"/>
      <c r="AC326" s="402"/>
      <c r="AD326" s="401"/>
      <c r="AE326" s="402"/>
      <c r="AF326" s="401"/>
      <c r="AG326" s="402"/>
      <c r="AH326" s="401"/>
      <c r="AI326" s="402"/>
      <c r="AJ326" s="401"/>
      <c r="AK326" s="402"/>
      <c r="AL326" s="401"/>
      <c r="AM326" s="402"/>
      <c r="AN326" s="401"/>
      <c r="AO326" s="402"/>
      <c r="AP326" s="53"/>
      <c r="AQ326" s="53"/>
      <c r="AR326" s="53"/>
    </row>
    <row r="327" spans="1:44">
      <c r="A327" s="236" t="s">
        <v>287</v>
      </c>
      <c r="B327" s="237" t="s">
        <v>319</v>
      </c>
      <c r="C327" s="238"/>
      <c r="D327" s="239">
        <v>199023</v>
      </c>
      <c r="E327" s="408">
        <v>10</v>
      </c>
      <c r="F327" s="401">
        <v>2537</v>
      </c>
      <c r="G327" s="402">
        <v>2538</v>
      </c>
      <c r="H327" s="401">
        <v>8681</v>
      </c>
      <c r="I327" s="402">
        <v>8682</v>
      </c>
      <c r="J327" s="401"/>
      <c r="K327" s="402"/>
      <c r="L327" s="401"/>
      <c r="M327" s="402"/>
      <c r="N327" s="401"/>
      <c r="O327" s="402"/>
      <c r="P327" s="401"/>
      <c r="Q327" s="402"/>
      <c r="R327" s="401"/>
      <c r="S327" s="402"/>
      <c r="T327" s="401"/>
      <c r="U327" s="402"/>
      <c r="V327" s="401"/>
      <c r="W327" s="402"/>
      <c r="X327" s="401"/>
      <c r="Y327" s="402"/>
      <c r="Z327" s="401"/>
      <c r="AA327" s="402"/>
      <c r="AB327" s="401"/>
      <c r="AC327" s="402"/>
      <c r="AD327" s="401"/>
      <c r="AE327" s="402"/>
      <c r="AF327" s="401"/>
      <c r="AG327" s="402"/>
      <c r="AH327" s="401"/>
      <c r="AI327" s="402"/>
      <c r="AJ327" s="401"/>
      <c r="AK327" s="402"/>
      <c r="AL327" s="401"/>
      <c r="AM327" s="402"/>
      <c r="AN327" s="401"/>
      <c r="AO327" s="402"/>
      <c r="AP327" s="53"/>
      <c r="AQ327" s="53"/>
      <c r="AR327" s="53"/>
    </row>
    <row r="328" spans="1:44">
      <c r="A328" s="236" t="s">
        <v>287</v>
      </c>
      <c r="B328" s="237" t="s">
        <v>321</v>
      </c>
      <c r="C328" s="238"/>
      <c r="D328" s="239">
        <v>199263</v>
      </c>
      <c r="E328" s="408">
        <v>10</v>
      </c>
      <c r="F328" s="401">
        <v>1867</v>
      </c>
      <c r="G328" s="402">
        <v>1867</v>
      </c>
      <c r="H328" s="401">
        <v>6475</v>
      </c>
      <c r="I328" s="402">
        <v>6475</v>
      </c>
      <c r="J328" s="401"/>
      <c r="K328" s="402"/>
      <c r="L328" s="401"/>
      <c r="M328" s="402"/>
      <c r="N328" s="401"/>
      <c r="O328" s="402"/>
      <c r="P328" s="401"/>
      <c r="Q328" s="402"/>
      <c r="R328" s="401"/>
      <c r="S328" s="402"/>
      <c r="T328" s="401"/>
      <c r="U328" s="402"/>
      <c r="V328" s="401"/>
      <c r="W328" s="402"/>
      <c r="X328" s="401"/>
      <c r="Y328" s="402"/>
      <c r="Z328" s="401"/>
      <c r="AA328" s="402"/>
      <c r="AB328" s="401"/>
      <c r="AC328" s="402"/>
      <c r="AD328" s="401"/>
      <c r="AE328" s="402"/>
      <c r="AF328" s="401"/>
      <c r="AG328" s="402"/>
      <c r="AH328" s="401"/>
      <c r="AI328" s="402"/>
      <c r="AJ328" s="401"/>
      <c r="AK328" s="402"/>
      <c r="AL328" s="401"/>
      <c r="AM328" s="402"/>
      <c r="AN328" s="401"/>
      <c r="AO328" s="402"/>
      <c r="AP328" s="53"/>
      <c r="AQ328" s="53"/>
      <c r="AR328" s="53"/>
    </row>
    <row r="329" spans="1:44">
      <c r="A329" s="236" t="s">
        <v>287</v>
      </c>
      <c r="B329" s="237" t="s">
        <v>322</v>
      </c>
      <c r="C329" s="238"/>
      <c r="D329" s="239">
        <v>199324</v>
      </c>
      <c r="E329" s="408">
        <v>10</v>
      </c>
      <c r="F329" s="401">
        <v>2546</v>
      </c>
      <c r="G329" s="402">
        <v>2551</v>
      </c>
      <c r="H329" s="401">
        <v>8690</v>
      </c>
      <c r="I329" s="402">
        <v>8695</v>
      </c>
      <c r="J329" s="401"/>
      <c r="K329" s="402"/>
      <c r="L329" s="401"/>
      <c r="M329" s="402"/>
      <c r="N329" s="401"/>
      <c r="O329" s="402"/>
      <c r="P329" s="401"/>
      <c r="Q329" s="402"/>
      <c r="R329" s="401"/>
      <c r="S329" s="402"/>
      <c r="T329" s="401"/>
      <c r="U329" s="402"/>
      <c r="V329" s="401"/>
      <c r="W329" s="402"/>
      <c r="X329" s="401"/>
      <c r="Y329" s="402"/>
      <c r="Z329" s="401"/>
      <c r="AA329" s="402"/>
      <c r="AB329" s="401"/>
      <c r="AC329" s="402"/>
      <c r="AD329" s="401"/>
      <c r="AE329" s="402"/>
      <c r="AF329" s="401"/>
      <c r="AG329" s="402"/>
      <c r="AH329" s="401"/>
      <c r="AI329" s="402"/>
      <c r="AJ329" s="401"/>
      <c r="AK329" s="402"/>
      <c r="AL329" s="401"/>
      <c r="AM329" s="402"/>
      <c r="AN329" s="401"/>
      <c r="AO329" s="402"/>
      <c r="AP329" s="53"/>
      <c r="AQ329" s="53"/>
      <c r="AR329" s="53"/>
    </row>
    <row r="330" spans="1:44">
      <c r="A330" s="236" t="s">
        <v>287</v>
      </c>
      <c r="B330" s="237" t="s">
        <v>326</v>
      </c>
      <c r="C330" s="238"/>
      <c r="D330" s="239">
        <v>199467</v>
      </c>
      <c r="E330" s="408">
        <v>10</v>
      </c>
      <c r="F330" s="401">
        <v>2642</v>
      </c>
      <c r="G330" s="402">
        <v>2642</v>
      </c>
      <c r="H330" s="401">
        <v>8786</v>
      </c>
      <c r="I330" s="402">
        <v>8786</v>
      </c>
      <c r="J330" s="401"/>
      <c r="K330" s="402"/>
      <c r="L330" s="401"/>
      <c r="M330" s="402"/>
      <c r="N330" s="401"/>
      <c r="O330" s="402"/>
      <c r="P330" s="401"/>
      <c r="Q330" s="402"/>
      <c r="R330" s="401"/>
      <c r="S330" s="402"/>
      <c r="T330" s="401"/>
      <c r="U330" s="402"/>
      <c r="V330" s="401"/>
      <c r="W330" s="402"/>
      <c r="X330" s="401"/>
      <c r="Y330" s="402"/>
      <c r="Z330" s="401"/>
      <c r="AA330" s="402"/>
      <c r="AB330" s="401"/>
      <c r="AC330" s="402"/>
      <c r="AD330" s="401"/>
      <c r="AE330" s="402"/>
      <c r="AF330" s="401"/>
      <c r="AG330" s="402"/>
      <c r="AH330" s="401"/>
      <c r="AI330" s="402"/>
      <c r="AJ330" s="401"/>
      <c r="AK330" s="402"/>
      <c r="AL330" s="401"/>
      <c r="AM330" s="402"/>
      <c r="AN330" s="401"/>
      <c r="AO330" s="402"/>
      <c r="AP330" s="53"/>
      <c r="AQ330" s="53"/>
      <c r="AR330" s="53"/>
    </row>
    <row r="331" spans="1:44">
      <c r="A331" s="236" t="s">
        <v>287</v>
      </c>
      <c r="B331" s="237" t="s">
        <v>327</v>
      </c>
      <c r="C331" s="238" t="s">
        <v>907</v>
      </c>
      <c r="D331" s="239">
        <v>199476</v>
      </c>
      <c r="E331" s="408">
        <v>10</v>
      </c>
      <c r="F331" s="401">
        <v>2563</v>
      </c>
      <c r="G331" s="402">
        <v>2563</v>
      </c>
      <c r="H331" s="401">
        <v>8707</v>
      </c>
      <c r="I331" s="402">
        <v>8707</v>
      </c>
      <c r="J331" s="401"/>
      <c r="K331" s="402"/>
      <c r="L331" s="401"/>
      <c r="M331" s="402"/>
      <c r="N331" s="401"/>
      <c r="O331" s="402"/>
      <c r="P331" s="401"/>
      <c r="Q331" s="402"/>
      <c r="R331" s="401"/>
      <c r="S331" s="402"/>
      <c r="T331" s="401"/>
      <c r="U331" s="402"/>
      <c r="V331" s="401"/>
      <c r="W331" s="402"/>
      <c r="X331" s="401"/>
      <c r="Y331" s="402"/>
      <c r="Z331" s="401"/>
      <c r="AA331" s="402"/>
      <c r="AB331" s="401"/>
      <c r="AC331" s="402"/>
      <c r="AD331" s="401"/>
      <c r="AE331" s="402"/>
      <c r="AF331" s="401"/>
      <c r="AG331" s="402"/>
      <c r="AH331" s="401"/>
      <c r="AI331" s="402"/>
      <c r="AJ331" s="401"/>
      <c r="AK331" s="402"/>
      <c r="AL331" s="401"/>
      <c r="AM331" s="402"/>
      <c r="AN331" s="401"/>
      <c r="AO331" s="402"/>
      <c r="AP331" s="53"/>
      <c r="AQ331" s="53"/>
      <c r="AR331" s="53"/>
    </row>
    <row r="332" spans="1:44">
      <c r="A332" s="236" t="s">
        <v>287</v>
      </c>
      <c r="B332" s="237" t="s">
        <v>328</v>
      </c>
      <c r="C332" s="238"/>
      <c r="D332" s="239">
        <v>199485</v>
      </c>
      <c r="E332" s="408">
        <v>10</v>
      </c>
      <c r="F332" s="401">
        <v>1966</v>
      </c>
      <c r="G332" s="402">
        <v>1966</v>
      </c>
      <c r="H332" s="401">
        <v>6574</v>
      </c>
      <c r="I332" s="402">
        <v>6574</v>
      </c>
      <c r="J332" s="401"/>
      <c r="K332" s="402"/>
      <c r="L332" s="401"/>
      <c r="M332" s="402"/>
      <c r="N332" s="401"/>
      <c r="O332" s="402"/>
      <c r="P332" s="401"/>
      <c r="Q332" s="402"/>
      <c r="R332" s="401"/>
      <c r="S332" s="402"/>
      <c r="T332" s="401"/>
      <c r="U332" s="402"/>
      <c r="V332" s="401"/>
      <c r="W332" s="402"/>
      <c r="X332" s="401"/>
      <c r="Y332" s="402"/>
      <c r="Z332" s="401"/>
      <c r="AA332" s="402"/>
      <c r="AB332" s="401"/>
      <c r="AC332" s="402"/>
      <c r="AD332" s="401"/>
      <c r="AE332" s="402"/>
      <c r="AF332" s="401"/>
      <c r="AG332" s="402"/>
      <c r="AH332" s="401"/>
      <c r="AI332" s="402"/>
      <c r="AJ332" s="401"/>
      <c r="AK332" s="402"/>
      <c r="AL332" s="401"/>
      <c r="AM332" s="402"/>
      <c r="AN332" s="401"/>
      <c r="AO332" s="402"/>
      <c r="AP332" s="53"/>
      <c r="AQ332" s="53"/>
      <c r="AR332" s="53"/>
    </row>
    <row r="333" spans="1:44">
      <c r="A333" s="236" t="s">
        <v>287</v>
      </c>
      <c r="B333" s="237" t="s">
        <v>330</v>
      </c>
      <c r="C333" s="238"/>
      <c r="D333" s="239">
        <v>199625</v>
      </c>
      <c r="E333" s="408">
        <v>10</v>
      </c>
      <c r="F333" s="401">
        <v>2830</v>
      </c>
      <c r="G333" s="402">
        <v>2830</v>
      </c>
      <c r="H333" s="401">
        <v>9742</v>
      </c>
      <c r="I333" s="402">
        <v>9742</v>
      </c>
      <c r="J333" s="401"/>
      <c r="K333" s="402"/>
      <c r="L333" s="401"/>
      <c r="M333" s="402"/>
      <c r="N333" s="401"/>
      <c r="O333" s="402"/>
      <c r="P333" s="401"/>
      <c r="Q333" s="402"/>
      <c r="R333" s="401"/>
      <c r="S333" s="402"/>
      <c r="T333" s="401"/>
      <c r="U333" s="402"/>
      <c r="V333" s="401"/>
      <c r="W333" s="402"/>
      <c r="X333" s="401"/>
      <c r="Y333" s="402"/>
      <c r="Z333" s="401"/>
      <c r="AA333" s="402"/>
      <c r="AB333" s="401"/>
      <c r="AC333" s="402"/>
      <c r="AD333" s="401"/>
      <c r="AE333" s="402"/>
      <c r="AF333" s="401"/>
      <c r="AG333" s="402"/>
      <c r="AH333" s="401"/>
      <c r="AI333" s="402"/>
      <c r="AJ333" s="401"/>
      <c r="AK333" s="402"/>
      <c r="AL333" s="401"/>
      <c r="AM333" s="402"/>
      <c r="AN333" s="401"/>
      <c r="AO333" s="402"/>
      <c r="AP333" s="53"/>
      <c r="AQ333" s="53"/>
      <c r="AR333" s="53"/>
    </row>
    <row r="334" spans="1:44">
      <c r="A334" s="236" t="s">
        <v>287</v>
      </c>
      <c r="B334" s="237" t="s">
        <v>333</v>
      </c>
      <c r="C334" s="238"/>
      <c r="D334" s="239">
        <v>199722</v>
      </c>
      <c r="E334" s="408">
        <v>10</v>
      </c>
      <c r="F334" s="401">
        <v>2600</v>
      </c>
      <c r="G334" s="402">
        <v>2600</v>
      </c>
      <c r="H334" s="401">
        <v>8744</v>
      </c>
      <c r="I334" s="402">
        <v>8744</v>
      </c>
      <c r="J334" s="401"/>
      <c r="K334" s="402"/>
      <c r="L334" s="401"/>
      <c r="M334" s="402"/>
      <c r="N334" s="401"/>
      <c r="O334" s="402"/>
      <c r="P334" s="401"/>
      <c r="Q334" s="402"/>
      <c r="R334" s="401"/>
      <c r="S334" s="402"/>
      <c r="T334" s="401"/>
      <c r="U334" s="402"/>
      <c r="V334" s="401"/>
      <c r="W334" s="402"/>
      <c r="X334" s="401"/>
      <c r="Y334" s="402"/>
      <c r="Z334" s="401"/>
      <c r="AA334" s="402"/>
      <c r="AB334" s="401"/>
      <c r="AC334" s="402"/>
      <c r="AD334" s="401"/>
      <c r="AE334" s="402"/>
      <c r="AF334" s="401"/>
      <c r="AG334" s="402"/>
      <c r="AH334" s="401"/>
      <c r="AI334" s="402"/>
      <c r="AJ334" s="401"/>
      <c r="AK334" s="402"/>
      <c r="AL334" s="401"/>
      <c r="AM334" s="402"/>
      <c r="AN334" s="401"/>
      <c r="AO334" s="402"/>
      <c r="AP334" s="53"/>
      <c r="AQ334" s="53"/>
      <c r="AR334" s="53"/>
    </row>
    <row r="335" spans="1:44">
      <c r="A335" s="236" t="s">
        <v>287</v>
      </c>
      <c r="B335" s="237" t="s">
        <v>334</v>
      </c>
      <c r="C335" s="238"/>
      <c r="D335" s="239">
        <v>199731</v>
      </c>
      <c r="E335" s="408">
        <v>10</v>
      </c>
      <c r="F335" s="401">
        <v>2337</v>
      </c>
      <c r="G335" s="402">
        <v>2601</v>
      </c>
      <c r="H335" s="401">
        <v>7713</v>
      </c>
      <c r="I335" s="402">
        <v>7913</v>
      </c>
      <c r="J335" s="401"/>
      <c r="K335" s="402"/>
      <c r="L335" s="401"/>
      <c r="M335" s="402"/>
      <c r="N335" s="401"/>
      <c r="O335" s="402"/>
      <c r="P335" s="401"/>
      <c r="Q335" s="402"/>
      <c r="R335" s="401"/>
      <c r="S335" s="402"/>
      <c r="T335" s="401"/>
      <c r="U335" s="402"/>
      <c r="V335" s="401"/>
      <c r="W335" s="402"/>
      <c r="X335" s="401"/>
      <c r="Y335" s="402"/>
      <c r="Z335" s="401"/>
      <c r="AA335" s="402"/>
      <c r="AB335" s="401"/>
      <c r="AC335" s="402"/>
      <c r="AD335" s="401"/>
      <c r="AE335" s="402"/>
      <c r="AF335" s="401"/>
      <c r="AG335" s="402"/>
      <c r="AH335" s="401"/>
      <c r="AI335" s="402"/>
      <c r="AJ335" s="401"/>
      <c r="AK335" s="402"/>
      <c r="AL335" s="401"/>
      <c r="AM335" s="402"/>
      <c r="AN335" s="401"/>
      <c r="AO335" s="402"/>
      <c r="AP335" s="53"/>
      <c r="AQ335" s="53"/>
      <c r="AR335" s="53"/>
    </row>
    <row r="336" spans="1:44">
      <c r="A336" s="236" t="s">
        <v>287</v>
      </c>
      <c r="B336" s="237" t="s">
        <v>337</v>
      </c>
      <c r="C336" s="238"/>
      <c r="D336" s="239">
        <v>199795</v>
      </c>
      <c r="E336" s="408">
        <v>10</v>
      </c>
      <c r="F336" s="401">
        <v>2363</v>
      </c>
      <c r="G336" s="402">
        <v>2363</v>
      </c>
      <c r="H336" s="401">
        <v>8507</v>
      </c>
      <c r="I336" s="402">
        <v>8507</v>
      </c>
      <c r="J336" s="401"/>
      <c r="K336" s="402"/>
      <c r="L336" s="401"/>
      <c r="M336" s="402"/>
      <c r="N336" s="401"/>
      <c r="O336" s="402"/>
      <c r="P336" s="401"/>
      <c r="Q336" s="402"/>
      <c r="R336" s="401"/>
      <c r="S336" s="402"/>
      <c r="T336" s="401"/>
      <c r="U336" s="402"/>
      <c r="V336" s="401"/>
      <c r="W336" s="402"/>
      <c r="X336" s="401"/>
      <c r="Y336" s="402"/>
      <c r="Z336" s="401"/>
      <c r="AA336" s="402"/>
      <c r="AB336" s="401"/>
      <c r="AC336" s="402"/>
      <c r="AD336" s="401"/>
      <c r="AE336" s="402"/>
      <c r="AF336" s="401"/>
      <c r="AG336" s="402"/>
      <c r="AH336" s="401"/>
      <c r="AI336" s="402"/>
      <c r="AJ336" s="401"/>
      <c r="AK336" s="402"/>
      <c r="AL336" s="401"/>
      <c r="AM336" s="402"/>
      <c r="AN336" s="401"/>
      <c r="AO336" s="402"/>
      <c r="AP336" s="53"/>
      <c r="AQ336" s="53"/>
      <c r="AR336" s="53"/>
    </row>
    <row r="337" spans="1:44">
      <c r="A337" s="236" t="s">
        <v>287</v>
      </c>
      <c r="B337" s="237" t="s">
        <v>341</v>
      </c>
      <c r="C337" s="240"/>
      <c r="D337" s="239">
        <v>199908</v>
      </c>
      <c r="E337" s="408">
        <v>10</v>
      </c>
      <c r="F337" s="401">
        <v>2577</v>
      </c>
      <c r="G337" s="402">
        <v>2630</v>
      </c>
      <c r="H337" s="401">
        <v>8721</v>
      </c>
      <c r="I337" s="402">
        <v>8774</v>
      </c>
      <c r="J337" s="401"/>
      <c r="K337" s="402"/>
      <c r="L337" s="401"/>
      <c r="M337" s="402"/>
      <c r="N337" s="401"/>
      <c r="O337" s="402"/>
      <c r="P337" s="401"/>
      <c r="Q337" s="402"/>
      <c r="R337" s="401"/>
      <c r="S337" s="402"/>
      <c r="T337" s="401"/>
      <c r="U337" s="402"/>
      <c r="V337" s="401"/>
      <c r="W337" s="402"/>
      <c r="X337" s="401"/>
      <c r="Y337" s="402"/>
      <c r="Z337" s="401"/>
      <c r="AA337" s="402"/>
      <c r="AB337" s="401"/>
      <c r="AC337" s="402"/>
      <c r="AD337" s="401"/>
      <c r="AE337" s="402"/>
      <c r="AF337" s="401"/>
      <c r="AG337" s="402"/>
      <c r="AH337" s="401"/>
      <c r="AI337" s="402"/>
      <c r="AJ337" s="401"/>
      <c r="AK337" s="402"/>
      <c r="AL337" s="401"/>
      <c r="AM337" s="402"/>
      <c r="AN337" s="401"/>
      <c r="AO337" s="402"/>
      <c r="AP337" s="53"/>
      <c r="AQ337" s="53"/>
      <c r="AR337" s="53"/>
    </row>
    <row r="338" spans="1:44">
      <c r="A338" s="239" t="s">
        <v>287</v>
      </c>
      <c r="B338" s="237" t="s">
        <v>343</v>
      </c>
      <c r="C338" s="238"/>
      <c r="D338" s="239">
        <v>199953</v>
      </c>
      <c r="E338" s="408">
        <v>10</v>
      </c>
      <c r="F338" s="412">
        <v>2642</v>
      </c>
      <c r="G338" s="402">
        <v>2572</v>
      </c>
      <c r="H338" s="401">
        <v>8646</v>
      </c>
      <c r="I338" s="402">
        <v>8716</v>
      </c>
      <c r="J338" s="401"/>
      <c r="K338" s="402"/>
      <c r="L338" s="401"/>
      <c r="M338" s="402"/>
      <c r="N338" s="401"/>
      <c r="O338" s="402"/>
      <c r="P338" s="401"/>
      <c r="Q338" s="402"/>
      <c r="R338" s="401"/>
      <c r="S338" s="402"/>
      <c r="T338" s="401"/>
      <c r="U338" s="402"/>
      <c r="V338" s="401"/>
      <c r="W338" s="402"/>
      <c r="X338" s="401"/>
      <c r="Y338" s="402"/>
      <c r="Z338" s="401"/>
      <c r="AA338" s="402"/>
      <c r="AB338" s="401"/>
      <c r="AC338" s="402"/>
      <c r="AD338" s="401"/>
      <c r="AE338" s="402"/>
      <c r="AF338" s="401"/>
      <c r="AG338" s="402"/>
      <c r="AH338" s="401"/>
      <c r="AI338" s="402"/>
      <c r="AJ338" s="401"/>
      <c r="AK338" s="402"/>
      <c r="AL338" s="401"/>
      <c r="AM338" s="402"/>
      <c r="AN338" s="401"/>
      <c r="AO338" s="402"/>
      <c r="AP338" s="53"/>
      <c r="AQ338" s="53"/>
      <c r="AR338" s="53"/>
    </row>
    <row r="339" spans="1:44">
      <c r="A339" s="222" t="s">
        <v>359</v>
      </c>
      <c r="B339" s="220" t="s">
        <v>665</v>
      </c>
      <c r="C339" s="375" t="s">
        <v>1008</v>
      </c>
      <c r="D339" s="480">
        <v>365374</v>
      </c>
      <c r="E339" s="433">
        <v>12</v>
      </c>
      <c r="F339" s="401">
        <v>1800</v>
      </c>
      <c r="G339" s="402">
        <v>1800</v>
      </c>
      <c r="H339" s="401">
        <v>3600</v>
      </c>
      <c r="I339" s="402">
        <v>3600</v>
      </c>
      <c r="J339" s="401"/>
      <c r="K339" s="402"/>
      <c r="L339" s="401"/>
      <c r="M339" s="402"/>
      <c r="N339" s="401"/>
      <c r="O339" s="402"/>
      <c r="P339" s="401"/>
      <c r="Q339" s="402"/>
      <c r="R339" s="401"/>
      <c r="S339" s="402"/>
      <c r="T339" s="401"/>
      <c r="U339" s="402"/>
      <c r="V339" s="401"/>
      <c r="W339" s="402"/>
      <c r="X339" s="401"/>
      <c r="Y339" s="402"/>
      <c r="Z339" s="401"/>
      <c r="AA339" s="402"/>
      <c r="AB339" s="401"/>
      <c r="AC339" s="402"/>
      <c r="AD339" s="401"/>
      <c r="AE339" s="402"/>
      <c r="AF339" s="401"/>
      <c r="AG339" s="402"/>
      <c r="AH339" s="401"/>
      <c r="AI339" s="402"/>
      <c r="AJ339" s="401"/>
      <c r="AK339" s="402"/>
      <c r="AL339" s="401"/>
      <c r="AM339" s="402"/>
      <c r="AN339" s="401"/>
      <c r="AO339" s="402"/>
      <c r="AP339" s="53"/>
      <c r="AQ339" s="53"/>
      <c r="AR339" s="53"/>
    </row>
    <row r="340" spans="1:44">
      <c r="A340" s="222" t="s">
        <v>359</v>
      </c>
      <c r="B340" s="220" t="s">
        <v>666</v>
      </c>
      <c r="C340" s="375" t="s">
        <v>1008</v>
      </c>
      <c r="D340" s="480">
        <v>245999</v>
      </c>
      <c r="E340" s="433">
        <v>12</v>
      </c>
      <c r="F340" s="401">
        <v>1980</v>
      </c>
      <c r="G340" s="402">
        <v>1980</v>
      </c>
      <c r="H340" s="401">
        <v>3960</v>
      </c>
      <c r="I340" s="402">
        <v>3960</v>
      </c>
      <c r="J340" s="401"/>
      <c r="K340" s="402"/>
      <c r="L340" s="401"/>
      <c r="M340" s="402"/>
      <c r="N340" s="401"/>
      <c r="O340" s="402"/>
      <c r="P340" s="401"/>
      <c r="Q340" s="402"/>
      <c r="R340" s="401"/>
      <c r="S340" s="402"/>
      <c r="T340" s="401"/>
      <c r="U340" s="402"/>
      <c r="V340" s="401"/>
      <c r="W340" s="402"/>
      <c r="X340" s="401"/>
      <c r="Y340" s="402"/>
      <c r="Z340" s="401"/>
      <c r="AA340" s="402"/>
      <c r="AB340" s="401"/>
      <c r="AC340" s="402"/>
      <c r="AD340" s="401"/>
      <c r="AE340" s="402"/>
      <c r="AF340" s="401"/>
      <c r="AG340" s="402"/>
      <c r="AH340" s="401"/>
      <c r="AI340" s="402"/>
      <c r="AJ340" s="401"/>
      <c r="AK340" s="402"/>
      <c r="AL340" s="401"/>
      <c r="AM340" s="402"/>
      <c r="AN340" s="401"/>
      <c r="AO340" s="402"/>
      <c r="AP340" s="53"/>
      <c r="AQ340" s="53"/>
      <c r="AR340" s="53"/>
    </row>
    <row r="341" spans="1:44">
      <c r="A341" s="222" t="s">
        <v>359</v>
      </c>
      <c r="B341" s="220" t="s">
        <v>667</v>
      </c>
      <c r="C341" s="375" t="s">
        <v>1011</v>
      </c>
      <c r="D341" s="480">
        <v>261375</v>
      </c>
      <c r="E341" s="433">
        <v>12</v>
      </c>
      <c r="F341" s="401">
        <v>3600</v>
      </c>
      <c r="G341" s="402">
        <v>3600</v>
      </c>
      <c r="H341" s="401">
        <v>7200</v>
      </c>
      <c r="I341" s="402">
        <v>7200</v>
      </c>
      <c r="J341" s="401"/>
      <c r="K341" s="402"/>
      <c r="L341" s="401"/>
      <c r="M341" s="402"/>
      <c r="N341" s="401"/>
      <c r="O341" s="402"/>
      <c r="P341" s="401"/>
      <c r="Q341" s="402"/>
      <c r="R341" s="401"/>
      <c r="S341" s="402"/>
      <c r="T341" s="401"/>
      <c r="U341" s="402"/>
      <c r="V341" s="401"/>
      <c r="W341" s="402"/>
      <c r="X341" s="401"/>
      <c r="Y341" s="402"/>
      <c r="Z341" s="401"/>
      <c r="AA341" s="402"/>
      <c r="AB341" s="401"/>
      <c r="AC341" s="402"/>
      <c r="AD341" s="401"/>
      <c r="AE341" s="402"/>
      <c r="AF341" s="401"/>
      <c r="AG341" s="402"/>
      <c r="AH341" s="401"/>
      <c r="AI341" s="402"/>
      <c r="AJ341" s="401"/>
      <c r="AK341" s="402"/>
      <c r="AL341" s="401"/>
      <c r="AM341" s="402"/>
      <c r="AN341" s="401"/>
      <c r="AO341" s="402"/>
      <c r="AP341" s="53"/>
      <c r="AQ341" s="53"/>
      <c r="AR341" s="53"/>
    </row>
    <row r="342" spans="1:44">
      <c r="A342" s="222" t="s">
        <v>359</v>
      </c>
      <c r="B342" s="220" t="s">
        <v>669</v>
      </c>
      <c r="C342" s="481"/>
      <c r="D342" s="480">
        <v>365213</v>
      </c>
      <c r="E342" s="433">
        <v>13</v>
      </c>
      <c r="F342" s="401">
        <v>1800</v>
      </c>
      <c r="G342" s="402">
        <v>1800</v>
      </c>
      <c r="H342" s="401">
        <v>3600</v>
      </c>
      <c r="I342" s="402">
        <v>3600</v>
      </c>
      <c r="J342" s="401"/>
      <c r="K342" s="402"/>
      <c r="L342" s="401"/>
      <c r="M342" s="402"/>
      <c r="N342" s="401"/>
      <c r="O342" s="402"/>
      <c r="P342" s="401"/>
      <c r="Q342" s="402"/>
      <c r="R342" s="401"/>
      <c r="S342" s="402"/>
      <c r="T342" s="401"/>
      <c r="U342" s="402"/>
      <c r="V342" s="401"/>
      <c r="W342" s="402"/>
      <c r="X342" s="401"/>
      <c r="Y342" s="402"/>
      <c r="Z342" s="401"/>
      <c r="AA342" s="402"/>
      <c r="AB342" s="401"/>
      <c r="AC342" s="402"/>
      <c r="AD342" s="401"/>
      <c r="AE342" s="402"/>
      <c r="AF342" s="401"/>
      <c r="AG342" s="402"/>
      <c r="AH342" s="401"/>
      <c r="AI342" s="402"/>
      <c r="AJ342" s="401"/>
      <c r="AK342" s="402"/>
      <c r="AL342" s="401"/>
      <c r="AM342" s="402"/>
      <c r="AN342" s="401"/>
      <c r="AO342" s="402"/>
      <c r="AP342" s="53"/>
      <c r="AQ342" s="53"/>
      <c r="AR342" s="53"/>
    </row>
    <row r="343" spans="1:44">
      <c r="A343" s="222" t="s">
        <v>359</v>
      </c>
      <c r="B343" s="220" t="s">
        <v>670</v>
      </c>
      <c r="C343" s="481"/>
      <c r="D343" s="480">
        <v>364946</v>
      </c>
      <c r="E343" s="433">
        <v>13</v>
      </c>
      <c r="F343" s="401">
        <v>2250</v>
      </c>
      <c r="G343" s="402">
        <v>2250</v>
      </c>
      <c r="H343" s="401">
        <v>4500</v>
      </c>
      <c r="I343" s="402">
        <v>4500</v>
      </c>
      <c r="J343" s="401"/>
      <c r="K343" s="402"/>
      <c r="L343" s="401"/>
      <c r="M343" s="402"/>
      <c r="N343" s="401"/>
      <c r="O343" s="402"/>
      <c r="P343" s="401"/>
      <c r="Q343" s="402"/>
      <c r="R343" s="401"/>
      <c r="S343" s="402"/>
      <c r="T343" s="401"/>
      <c r="U343" s="402"/>
      <c r="V343" s="401"/>
      <c r="W343" s="402"/>
      <c r="X343" s="401"/>
      <c r="Y343" s="402"/>
      <c r="Z343" s="401"/>
      <c r="AA343" s="402"/>
      <c r="AB343" s="401"/>
      <c r="AC343" s="402"/>
      <c r="AD343" s="401"/>
      <c r="AE343" s="402"/>
      <c r="AF343" s="401"/>
      <c r="AG343" s="402"/>
      <c r="AH343" s="401"/>
      <c r="AI343" s="402"/>
      <c r="AJ343" s="401"/>
      <c r="AK343" s="402"/>
      <c r="AL343" s="401"/>
      <c r="AM343" s="402"/>
      <c r="AN343" s="401"/>
      <c r="AO343" s="402"/>
      <c r="AP343" s="53"/>
      <c r="AQ343" s="53"/>
      <c r="AR343" s="53"/>
    </row>
    <row r="344" spans="1:44">
      <c r="A344" s="222" t="s">
        <v>359</v>
      </c>
      <c r="B344" s="220" t="s">
        <v>671</v>
      </c>
      <c r="C344" s="481"/>
      <c r="D344" s="480">
        <v>246017</v>
      </c>
      <c r="E344" s="433">
        <v>13</v>
      </c>
      <c r="F344" s="401">
        <v>1350</v>
      </c>
      <c r="G344" s="402">
        <v>1350</v>
      </c>
      <c r="H344" s="401">
        <v>2700</v>
      </c>
      <c r="I344" s="402">
        <v>2700</v>
      </c>
      <c r="J344" s="401"/>
      <c r="K344" s="402"/>
      <c r="L344" s="401"/>
      <c r="M344" s="402"/>
      <c r="N344" s="401"/>
      <c r="O344" s="402"/>
      <c r="P344" s="401"/>
      <c r="Q344" s="402"/>
      <c r="R344" s="401"/>
      <c r="S344" s="402"/>
      <c r="T344" s="401"/>
      <c r="U344" s="402"/>
      <c r="V344" s="401"/>
      <c r="W344" s="402"/>
      <c r="X344" s="401"/>
      <c r="Y344" s="402"/>
      <c r="Z344" s="401"/>
      <c r="AA344" s="402"/>
      <c r="AB344" s="401"/>
      <c r="AC344" s="402"/>
      <c r="AD344" s="401"/>
      <c r="AE344" s="402"/>
      <c r="AF344" s="401"/>
      <c r="AG344" s="402"/>
      <c r="AH344" s="401"/>
      <c r="AI344" s="402"/>
      <c r="AJ344" s="401"/>
      <c r="AK344" s="402"/>
      <c r="AL344" s="401"/>
      <c r="AM344" s="402"/>
      <c r="AN344" s="401"/>
      <c r="AO344" s="402"/>
      <c r="AP344" s="53"/>
      <c r="AQ344" s="53"/>
      <c r="AR344" s="53"/>
    </row>
    <row r="345" spans="1:44">
      <c r="A345" s="222" t="s">
        <v>359</v>
      </c>
      <c r="B345" s="220" t="s">
        <v>672</v>
      </c>
      <c r="C345" s="481"/>
      <c r="D345" s="480">
        <v>375656</v>
      </c>
      <c r="E345" s="433">
        <v>13</v>
      </c>
      <c r="F345" s="401">
        <v>1800</v>
      </c>
      <c r="G345" s="402">
        <v>1800</v>
      </c>
      <c r="H345" s="401">
        <v>3600</v>
      </c>
      <c r="I345" s="402">
        <v>3600</v>
      </c>
      <c r="J345" s="401"/>
      <c r="K345" s="402"/>
      <c r="L345" s="401"/>
      <c r="M345" s="402"/>
      <c r="N345" s="401"/>
      <c r="O345" s="402"/>
      <c r="P345" s="401"/>
      <c r="Q345" s="402"/>
      <c r="R345" s="401"/>
      <c r="S345" s="402"/>
      <c r="T345" s="401"/>
      <c r="U345" s="402"/>
      <c r="V345" s="401"/>
      <c r="W345" s="402"/>
      <c r="X345" s="401"/>
      <c r="Y345" s="402"/>
      <c r="Z345" s="401"/>
      <c r="AA345" s="402"/>
      <c r="AB345" s="401"/>
      <c r="AC345" s="402"/>
      <c r="AD345" s="401"/>
      <c r="AE345" s="402"/>
      <c r="AF345" s="401"/>
      <c r="AG345" s="402"/>
      <c r="AH345" s="401"/>
      <c r="AI345" s="402"/>
      <c r="AJ345" s="401"/>
      <c r="AK345" s="402"/>
      <c r="AL345" s="401"/>
      <c r="AM345" s="402"/>
      <c r="AN345" s="401"/>
      <c r="AO345" s="402"/>
      <c r="AP345" s="53"/>
      <c r="AQ345" s="53"/>
      <c r="AR345" s="53"/>
    </row>
    <row r="346" spans="1:44">
      <c r="A346" s="222" t="s">
        <v>359</v>
      </c>
      <c r="B346" s="220" t="s">
        <v>673</v>
      </c>
      <c r="C346" s="481"/>
      <c r="D346" s="480">
        <v>418348</v>
      </c>
      <c r="E346" s="433">
        <v>13</v>
      </c>
      <c r="F346" s="401">
        <v>2025</v>
      </c>
      <c r="G346" s="402">
        <v>2025</v>
      </c>
      <c r="H346" s="401">
        <v>4050</v>
      </c>
      <c r="I346" s="402">
        <v>4050</v>
      </c>
      <c r="J346" s="401"/>
      <c r="K346" s="402"/>
      <c r="L346" s="401"/>
      <c r="M346" s="402"/>
      <c r="N346" s="401"/>
      <c r="O346" s="402"/>
      <c r="P346" s="401"/>
      <c r="Q346" s="402"/>
      <c r="R346" s="401"/>
      <c r="S346" s="402"/>
      <c r="T346" s="401"/>
      <c r="U346" s="402"/>
      <c r="V346" s="401"/>
      <c r="W346" s="402"/>
      <c r="X346" s="401"/>
      <c r="Y346" s="402"/>
      <c r="Z346" s="401"/>
      <c r="AA346" s="402"/>
      <c r="AB346" s="401"/>
      <c r="AC346" s="402"/>
      <c r="AD346" s="401"/>
      <c r="AE346" s="402"/>
      <c r="AF346" s="401"/>
      <c r="AG346" s="402"/>
      <c r="AH346" s="401"/>
      <c r="AI346" s="402"/>
      <c r="AJ346" s="401"/>
      <c r="AK346" s="402"/>
      <c r="AL346" s="401"/>
      <c r="AM346" s="402"/>
      <c r="AN346" s="401"/>
      <c r="AO346" s="402"/>
      <c r="AP346" s="53"/>
      <c r="AQ346" s="53"/>
      <c r="AR346" s="53"/>
    </row>
    <row r="347" spans="1:44">
      <c r="A347" s="222" t="s">
        <v>359</v>
      </c>
      <c r="B347" s="220" t="s">
        <v>674</v>
      </c>
      <c r="C347" s="435"/>
      <c r="D347" s="480">
        <v>375683</v>
      </c>
      <c r="E347" s="433">
        <v>13</v>
      </c>
      <c r="F347" s="401">
        <v>1926</v>
      </c>
      <c r="G347" s="402">
        <v>1854</v>
      </c>
      <c r="H347" s="401">
        <v>3852</v>
      </c>
      <c r="I347" s="402">
        <v>3960</v>
      </c>
      <c r="J347" s="401"/>
      <c r="K347" s="402"/>
      <c r="L347" s="401"/>
      <c r="M347" s="402"/>
      <c r="N347" s="401"/>
      <c r="O347" s="402"/>
      <c r="P347" s="401"/>
      <c r="Q347" s="402"/>
      <c r="R347" s="401"/>
      <c r="S347" s="402"/>
      <c r="T347" s="401"/>
      <c r="U347" s="402"/>
      <c r="V347" s="401"/>
      <c r="W347" s="402"/>
      <c r="X347" s="401"/>
      <c r="Y347" s="402"/>
      <c r="Z347" s="401"/>
      <c r="AA347" s="402"/>
      <c r="AB347" s="401"/>
      <c r="AC347" s="402"/>
      <c r="AD347" s="401"/>
      <c r="AE347" s="402"/>
      <c r="AF347" s="401"/>
      <c r="AG347" s="402"/>
      <c r="AH347" s="401"/>
      <c r="AI347" s="402"/>
      <c r="AJ347" s="401"/>
      <c r="AK347" s="402"/>
      <c r="AL347" s="401"/>
      <c r="AM347" s="402"/>
      <c r="AN347" s="401"/>
      <c r="AO347" s="402"/>
      <c r="AP347" s="53"/>
      <c r="AQ347" s="53"/>
      <c r="AR347" s="53"/>
    </row>
    <row r="348" spans="1:44">
      <c r="A348" s="222" t="s">
        <v>359</v>
      </c>
      <c r="B348" s="220" t="s">
        <v>675</v>
      </c>
      <c r="C348" s="481"/>
      <c r="D348" s="480">
        <v>364548</v>
      </c>
      <c r="E348" s="433">
        <v>13</v>
      </c>
      <c r="F348" s="401">
        <v>1800</v>
      </c>
      <c r="G348" s="402">
        <v>1800</v>
      </c>
      <c r="H348" s="401">
        <v>3600</v>
      </c>
      <c r="I348" s="402">
        <v>3600</v>
      </c>
      <c r="J348" s="401"/>
      <c r="K348" s="402"/>
      <c r="L348" s="401"/>
      <c r="M348" s="402"/>
      <c r="N348" s="401"/>
      <c r="O348" s="402"/>
      <c r="P348" s="401"/>
      <c r="Q348" s="402"/>
      <c r="R348" s="401"/>
      <c r="S348" s="402"/>
      <c r="T348" s="401"/>
      <c r="U348" s="402"/>
      <c r="V348" s="401"/>
      <c r="W348" s="402"/>
      <c r="X348" s="401"/>
      <c r="Y348" s="402"/>
      <c r="Z348" s="401"/>
      <c r="AA348" s="402"/>
      <c r="AB348" s="401"/>
      <c r="AC348" s="402"/>
      <c r="AD348" s="401"/>
      <c r="AE348" s="402"/>
      <c r="AF348" s="401"/>
      <c r="AG348" s="402"/>
      <c r="AH348" s="401"/>
      <c r="AI348" s="402"/>
      <c r="AJ348" s="401"/>
      <c r="AK348" s="402"/>
      <c r="AL348" s="401"/>
      <c r="AM348" s="402"/>
      <c r="AN348" s="401"/>
      <c r="AO348" s="402"/>
      <c r="AP348" s="53"/>
      <c r="AQ348" s="53"/>
      <c r="AR348" s="53"/>
    </row>
    <row r="349" spans="1:44">
      <c r="A349" s="222" t="s">
        <v>359</v>
      </c>
      <c r="B349" s="220" t="s">
        <v>676</v>
      </c>
      <c r="C349" s="482"/>
      <c r="D349" s="480">
        <v>428019</v>
      </c>
      <c r="E349" s="433">
        <v>13</v>
      </c>
      <c r="F349" s="401">
        <v>2250</v>
      </c>
      <c r="G349" s="402">
        <v>2250</v>
      </c>
      <c r="H349" s="401">
        <v>4500</v>
      </c>
      <c r="I349" s="402">
        <v>4500</v>
      </c>
      <c r="J349" s="401"/>
      <c r="K349" s="402"/>
      <c r="L349" s="401"/>
      <c r="M349" s="402"/>
      <c r="N349" s="401"/>
      <c r="O349" s="402"/>
      <c r="P349" s="401"/>
      <c r="Q349" s="402"/>
      <c r="R349" s="401"/>
      <c r="S349" s="402"/>
      <c r="T349" s="401"/>
      <c r="U349" s="402"/>
      <c r="V349" s="401"/>
      <c r="W349" s="402"/>
      <c r="X349" s="401"/>
      <c r="Y349" s="402"/>
      <c r="Z349" s="401"/>
      <c r="AA349" s="402"/>
      <c r="AB349" s="401"/>
      <c r="AC349" s="402"/>
      <c r="AD349" s="401"/>
      <c r="AE349" s="402"/>
      <c r="AF349" s="401"/>
      <c r="AG349" s="402"/>
      <c r="AH349" s="401"/>
      <c r="AI349" s="402"/>
      <c r="AJ349" s="401"/>
      <c r="AK349" s="402"/>
      <c r="AL349" s="401"/>
      <c r="AM349" s="402"/>
      <c r="AN349" s="401"/>
      <c r="AO349" s="402"/>
      <c r="AP349" s="53"/>
      <c r="AQ349" s="53"/>
      <c r="AR349" s="53"/>
    </row>
    <row r="350" spans="1:44">
      <c r="A350" s="222" t="s">
        <v>359</v>
      </c>
      <c r="B350" s="220" t="s">
        <v>677</v>
      </c>
      <c r="C350" s="481"/>
      <c r="D350" s="480">
        <v>208053</v>
      </c>
      <c r="E350" s="433">
        <v>13</v>
      </c>
      <c r="F350" s="401">
        <v>1575</v>
      </c>
      <c r="G350" s="402">
        <v>2025</v>
      </c>
      <c r="H350" s="401">
        <v>3150</v>
      </c>
      <c r="I350" s="402">
        <v>4050</v>
      </c>
      <c r="J350" s="401"/>
      <c r="K350" s="402"/>
      <c r="L350" s="401"/>
      <c r="M350" s="402"/>
      <c r="N350" s="401"/>
      <c r="O350" s="402"/>
      <c r="P350" s="401"/>
      <c r="Q350" s="402"/>
      <c r="R350" s="401"/>
      <c r="S350" s="402"/>
      <c r="T350" s="401"/>
      <c r="U350" s="402"/>
      <c r="V350" s="401"/>
      <c r="W350" s="402"/>
      <c r="X350" s="401"/>
      <c r="Y350" s="402"/>
      <c r="Z350" s="401"/>
      <c r="AA350" s="402"/>
      <c r="AB350" s="401"/>
      <c r="AC350" s="402"/>
      <c r="AD350" s="401"/>
      <c r="AE350" s="402"/>
      <c r="AF350" s="401"/>
      <c r="AG350" s="402"/>
      <c r="AH350" s="401"/>
      <c r="AI350" s="402"/>
      <c r="AJ350" s="401"/>
      <c r="AK350" s="402"/>
      <c r="AL350" s="401"/>
      <c r="AM350" s="402"/>
      <c r="AN350" s="401"/>
      <c r="AO350" s="402"/>
      <c r="AP350" s="53"/>
      <c r="AQ350" s="53"/>
      <c r="AR350" s="53"/>
    </row>
    <row r="351" spans="1:44">
      <c r="A351" s="222" t="s">
        <v>359</v>
      </c>
      <c r="B351" s="220" t="s">
        <v>678</v>
      </c>
      <c r="C351" s="481"/>
      <c r="D351" s="480">
        <v>418296</v>
      </c>
      <c r="E351" s="433">
        <v>13</v>
      </c>
      <c r="F351" s="401">
        <v>1800</v>
      </c>
      <c r="G351" s="402">
        <v>2025</v>
      </c>
      <c r="H351" s="401">
        <v>3600</v>
      </c>
      <c r="I351" s="402">
        <v>4050</v>
      </c>
      <c r="J351" s="401"/>
      <c r="K351" s="402"/>
      <c r="L351" s="401"/>
      <c r="M351" s="402"/>
      <c r="N351" s="401"/>
      <c r="O351" s="402"/>
      <c r="P351" s="401"/>
      <c r="Q351" s="402"/>
      <c r="R351" s="401"/>
      <c r="S351" s="402"/>
      <c r="T351" s="401"/>
      <c r="U351" s="402"/>
      <c r="V351" s="401"/>
      <c r="W351" s="402"/>
      <c r="X351" s="401"/>
      <c r="Y351" s="402"/>
      <c r="Z351" s="401"/>
      <c r="AA351" s="402"/>
      <c r="AB351" s="401"/>
      <c r="AC351" s="402"/>
      <c r="AD351" s="401"/>
      <c r="AE351" s="402"/>
      <c r="AF351" s="401"/>
      <c r="AG351" s="402"/>
      <c r="AH351" s="401"/>
      <c r="AI351" s="402"/>
      <c r="AJ351" s="401"/>
      <c r="AK351" s="402"/>
      <c r="AL351" s="401"/>
      <c r="AM351" s="402"/>
      <c r="AN351" s="401"/>
      <c r="AO351" s="402"/>
      <c r="AP351" s="53"/>
      <c r="AQ351" s="53"/>
      <c r="AR351" s="53"/>
    </row>
    <row r="352" spans="1:44">
      <c r="A352" s="222" t="s">
        <v>359</v>
      </c>
      <c r="B352" s="220" t="s">
        <v>679</v>
      </c>
      <c r="C352" s="481"/>
      <c r="D352" s="480">
        <v>421540</v>
      </c>
      <c r="E352" s="433">
        <v>13</v>
      </c>
      <c r="F352" s="401">
        <v>1800</v>
      </c>
      <c r="G352" s="402">
        <v>2025</v>
      </c>
      <c r="H352" s="401">
        <v>3600</v>
      </c>
      <c r="I352" s="402">
        <v>4050</v>
      </c>
      <c r="J352" s="401"/>
      <c r="K352" s="402"/>
      <c r="L352" s="401"/>
      <c r="M352" s="402"/>
      <c r="N352" s="401"/>
      <c r="O352" s="402"/>
      <c r="P352" s="401"/>
      <c r="Q352" s="402"/>
      <c r="R352" s="401"/>
      <c r="S352" s="402"/>
      <c r="T352" s="401"/>
      <c r="U352" s="402"/>
      <c r="V352" s="401"/>
      <c r="W352" s="402"/>
      <c r="X352" s="401"/>
      <c r="Y352" s="402"/>
      <c r="Z352" s="401"/>
      <c r="AA352" s="402"/>
      <c r="AB352" s="401"/>
      <c r="AC352" s="402"/>
      <c r="AD352" s="401"/>
      <c r="AE352" s="402"/>
      <c r="AF352" s="401"/>
      <c r="AG352" s="402"/>
      <c r="AH352" s="401"/>
      <c r="AI352" s="402"/>
      <c r="AJ352" s="401"/>
      <c r="AK352" s="402"/>
      <c r="AL352" s="401"/>
      <c r="AM352" s="402"/>
      <c r="AN352" s="401"/>
      <c r="AO352" s="402"/>
      <c r="AP352" s="53"/>
      <c r="AQ352" s="53"/>
      <c r="AR352" s="53"/>
    </row>
    <row r="353" spans="1:44">
      <c r="A353" s="222" t="s">
        <v>359</v>
      </c>
      <c r="B353" s="220" t="s">
        <v>680</v>
      </c>
      <c r="C353" s="481"/>
      <c r="D353" s="480">
        <v>421559</v>
      </c>
      <c r="E353" s="433">
        <v>13</v>
      </c>
      <c r="F353" s="401">
        <v>1800</v>
      </c>
      <c r="G353" s="402">
        <v>2025</v>
      </c>
      <c r="H353" s="401">
        <v>3600</v>
      </c>
      <c r="I353" s="402">
        <v>4050</v>
      </c>
      <c r="J353" s="401"/>
      <c r="K353" s="402"/>
      <c r="L353" s="401"/>
      <c r="M353" s="402"/>
      <c r="N353" s="401"/>
      <c r="O353" s="402"/>
      <c r="P353" s="401"/>
      <c r="Q353" s="402"/>
      <c r="R353" s="401"/>
      <c r="S353" s="402"/>
      <c r="T353" s="401"/>
      <c r="U353" s="402"/>
      <c r="V353" s="401"/>
      <c r="W353" s="402"/>
      <c r="X353" s="401"/>
      <c r="Y353" s="402"/>
      <c r="Z353" s="401"/>
      <c r="AA353" s="402"/>
      <c r="AB353" s="401"/>
      <c r="AC353" s="402"/>
      <c r="AD353" s="401"/>
      <c r="AE353" s="402"/>
      <c r="AF353" s="401"/>
      <c r="AG353" s="402"/>
      <c r="AH353" s="401"/>
      <c r="AI353" s="402"/>
      <c r="AJ353" s="401"/>
      <c r="AK353" s="402"/>
      <c r="AL353" s="401"/>
      <c r="AM353" s="402"/>
      <c r="AN353" s="401"/>
      <c r="AO353" s="402"/>
      <c r="AP353" s="53"/>
      <c r="AQ353" s="53"/>
      <c r="AR353" s="53"/>
    </row>
    <row r="354" spans="1:44">
      <c r="A354" s="222" t="s">
        <v>359</v>
      </c>
      <c r="B354" s="220" t="s">
        <v>681</v>
      </c>
      <c r="C354" s="481"/>
      <c r="D354" s="480">
        <v>208026</v>
      </c>
      <c r="E354" s="433">
        <v>13</v>
      </c>
      <c r="F354" s="401">
        <v>1800</v>
      </c>
      <c r="G354" s="402">
        <v>2025</v>
      </c>
      <c r="H354" s="401">
        <v>3600</v>
      </c>
      <c r="I354" s="402">
        <v>4050</v>
      </c>
      <c r="J354" s="401"/>
      <c r="K354" s="402"/>
      <c r="L354" s="401"/>
      <c r="M354" s="402"/>
      <c r="N354" s="401"/>
      <c r="O354" s="402"/>
      <c r="P354" s="401"/>
      <c r="Q354" s="402"/>
      <c r="R354" s="401"/>
      <c r="S354" s="402"/>
      <c r="T354" s="401"/>
      <c r="U354" s="402"/>
      <c r="V354" s="401"/>
      <c r="W354" s="402"/>
      <c r="X354" s="401"/>
      <c r="Y354" s="402"/>
      <c r="Z354" s="401"/>
      <c r="AA354" s="402"/>
      <c r="AB354" s="401"/>
      <c r="AC354" s="402"/>
      <c r="AD354" s="401"/>
      <c r="AE354" s="402"/>
      <c r="AF354" s="401"/>
      <c r="AG354" s="402"/>
      <c r="AH354" s="401"/>
      <c r="AI354" s="402"/>
      <c r="AJ354" s="401"/>
      <c r="AK354" s="402"/>
      <c r="AL354" s="401"/>
      <c r="AM354" s="402"/>
      <c r="AN354" s="401"/>
      <c r="AO354" s="402"/>
      <c r="AP354" s="53"/>
      <c r="AQ354" s="53"/>
      <c r="AR354" s="53"/>
    </row>
    <row r="355" spans="1:44">
      <c r="A355" s="222" t="s">
        <v>359</v>
      </c>
      <c r="B355" s="220" t="s">
        <v>682</v>
      </c>
      <c r="C355" s="481"/>
      <c r="D355" s="480">
        <v>375692</v>
      </c>
      <c r="E355" s="433">
        <v>13</v>
      </c>
      <c r="F355" s="401">
        <v>1800</v>
      </c>
      <c r="G355" s="402">
        <v>1800</v>
      </c>
      <c r="H355" s="401">
        <v>3600</v>
      </c>
      <c r="I355" s="402">
        <v>3600</v>
      </c>
      <c r="J355" s="401"/>
      <c r="K355" s="402"/>
      <c r="L355" s="401"/>
      <c r="M355" s="402"/>
      <c r="N355" s="401"/>
      <c r="O355" s="402"/>
      <c r="P355" s="401"/>
      <c r="Q355" s="402"/>
      <c r="R355" s="401"/>
      <c r="S355" s="402"/>
      <c r="T355" s="401"/>
      <c r="U355" s="402"/>
      <c r="V355" s="401"/>
      <c r="W355" s="402"/>
      <c r="X355" s="401"/>
      <c r="Y355" s="402"/>
      <c r="Z355" s="401"/>
      <c r="AA355" s="402"/>
      <c r="AB355" s="401"/>
      <c r="AC355" s="402"/>
      <c r="AD355" s="401"/>
      <c r="AE355" s="402"/>
      <c r="AF355" s="401"/>
      <c r="AG355" s="402"/>
      <c r="AH355" s="401"/>
      <c r="AI355" s="402"/>
      <c r="AJ355" s="401"/>
      <c r="AK355" s="402"/>
      <c r="AL355" s="401"/>
      <c r="AM355" s="402"/>
      <c r="AN355" s="401"/>
      <c r="AO355" s="402"/>
      <c r="AP355" s="53"/>
      <c r="AQ355" s="53"/>
      <c r="AR355" s="53"/>
    </row>
    <row r="356" spans="1:44">
      <c r="A356" s="222" t="s">
        <v>359</v>
      </c>
      <c r="B356" s="220" t="s">
        <v>683</v>
      </c>
      <c r="C356" s="481"/>
      <c r="D356" s="480">
        <v>375708</v>
      </c>
      <c r="E356" s="433">
        <v>13</v>
      </c>
      <c r="F356" s="401">
        <v>1800</v>
      </c>
      <c r="G356" s="402">
        <v>1800</v>
      </c>
      <c r="H356" s="401">
        <v>3600</v>
      </c>
      <c r="I356" s="402">
        <v>3600</v>
      </c>
      <c r="J356" s="401"/>
      <c r="K356" s="402"/>
      <c r="L356" s="401"/>
      <c r="M356" s="402"/>
      <c r="N356" s="401"/>
      <c r="O356" s="402"/>
      <c r="P356" s="401"/>
      <c r="Q356" s="402"/>
      <c r="R356" s="401"/>
      <c r="S356" s="402"/>
      <c r="T356" s="401"/>
      <c r="U356" s="402"/>
      <c r="V356" s="401"/>
      <c r="W356" s="402"/>
      <c r="X356" s="401"/>
      <c r="Y356" s="402"/>
      <c r="Z356" s="401"/>
      <c r="AA356" s="402"/>
      <c r="AB356" s="401"/>
      <c r="AC356" s="402"/>
      <c r="AD356" s="401"/>
      <c r="AE356" s="402"/>
      <c r="AF356" s="401"/>
      <c r="AG356" s="402"/>
      <c r="AH356" s="401"/>
      <c r="AI356" s="402"/>
      <c r="AJ356" s="401"/>
      <c r="AK356" s="402"/>
      <c r="AL356" s="401"/>
      <c r="AM356" s="402"/>
      <c r="AN356" s="401"/>
      <c r="AO356" s="402"/>
      <c r="AP356" s="53"/>
      <c r="AQ356" s="53"/>
      <c r="AR356" s="53"/>
    </row>
    <row r="357" spans="1:44">
      <c r="A357" s="222" t="s">
        <v>359</v>
      </c>
      <c r="B357" s="220" t="s">
        <v>684</v>
      </c>
      <c r="C357" s="481"/>
      <c r="D357" s="480">
        <v>375717</v>
      </c>
      <c r="E357" s="433">
        <v>13</v>
      </c>
      <c r="F357" s="401">
        <v>1800</v>
      </c>
      <c r="G357" s="402">
        <v>1800</v>
      </c>
      <c r="H357" s="401">
        <v>3600</v>
      </c>
      <c r="I357" s="402">
        <v>3600</v>
      </c>
      <c r="J357" s="401"/>
      <c r="K357" s="402"/>
      <c r="L357" s="401"/>
      <c r="M357" s="402"/>
      <c r="N357" s="401"/>
      <c r="O357" s="402"/>
      <c r="P357" s="401"/>
      <c r="Q357" s="402"/>
      <c r="R357" s="401"/>
      <c r="S357" s="402"/>
      <c r="T357" s="401"/>
      <c r="U357" s="402"/>
      <c r="V357" s="401"/>
      <c r="W357" s="402"/>
      <c r="X357" s="401"/>
      <c r="Y357" s="402"/>
      <c r="Z357" s="401"/>
      <c r="AA357" s="402"/>
      <c r="AB357" s="401"/>
      <c r="AC357" s="402"/>
      <c r="AD357" s="401"/>
      <c r="AE357" s="402"/>
      <c r="AF357" s="401"/>
      <c r="AG357" s="402"/>
      <c r="AH357" s="401"/>
      <c r="AI357" s="402"/>
      <c r="AJ357" s="401"/>
      <c r="AK357" s="402"/>
      <c r="AL357" s="401"/>
      <c r="AM357" s="402"/>
      <c r="AN357" s="401"/>
      <c r="AO357" s="402"/>
      <c r="AP357" s="53"/>
      <c r="AQ357" s="53"/>
      <c r="AR357" s="53"/>
    </row>
    <row r="358" spans="1:44">
      <c r="A358" s="222" t="s">
        <v>359</v>
      </c>
      <c r="B358" s="220" t="s">
        <v>685</v>
      </c>
      <c r="C358" s="481"/>
      <c r="D358" s="480">
        <v>375735</v>
      </c>
      <c r="E358" s="433">
        <v>13</v>
      </c>
      <c r="F358" s="401">
        <v>1800</v>
      </c>
      <c r="G358" s="402">
        <v>1800</v>
      </c>
      <c r="H358" s="401">
        <v>3600</v>
      </c>
      <c r="I358" s="402">
        <v>3600</v>
      </c>
      <c r="J358" s="401"/>
      <c r="K358" s="402"/>
      <c r="L358" s="401"/>
      <c r="M358" s="402"/>
      <c r="N358" s="401"/>
      <c r="O358" s="402"/>
      <c r="P358" s="401"/>
      <c r="Q358" s="402"/>
      <c r="R358" s="401"/>
      <c r="S358" s="402"/>
      <c r="T358" s="401"/>
      <c r="U358" s="402"/>
      <c r="V358" s="401"/>
      <c r="W358" s="402"/>
      <c r="X358" s="401"/>
      <c r="Y358" s="402"/>
      <c r="Z358" s="401"/>
      <c r="AA358" s="402"/>
      <c r="AB358" s="401"/>
      <c r="AC358" s="402"/>
      <c r="AD358" s="401"/>
      <c r="AE358" s="402"/>
      <c r="AF358" s="401"/>
      <c r="AG358" s="402"/>
      <c r="AH358" s="401"/>
      <c r="AI358" s="402"/>
      <c r="AJ358" s="401"/>
      <c r="AK358" s="402"/>
      <c r="AL358" s="401"/>
      <c r="AM358" s="402"/>
      <c r="AN358" s="401"/>
      <c r="AO358" s="402"/>
      <c r="AP358" s="53"/>
      <c r="AQ358" s="53"/>
      <c r="AR358" s="53"/>
    </row>
    <row r="359" spans="1:44">
      <c r="A359" s="222" t="s">
        <v>359</v>
      </c>
      <c r="B359" s="220" t="s">
        <v>686</v>
      </c>
      <c r="C359" s="481"/>
      <c r="D359" s="480">
        <v>375726</v>
      </c>
      <c r="E359" s="433">
        <v>13</v>
      </c>
      <c r="F359" s="401">
        <v>1800</v>
      </c>
      <c r="G359" s="402">
        <v>1800</v>
      </c>
      <c r="H359" s="401">
        <v>3600</v>
      </c>
      <c r="I359" s="402">
        <v>3600</v>
      </c>
      <c r="J359" s="401"/>
      <c r="K359" s="402"/>
      <c r="L359" s="401"/>
      <c r="M359" s="402"/>
      <c r="N359" s="401"/>
      <c r="O359" s="402"/>
      <c r="P359" s="401"/>
      <c r="Q359" s="402"/>
      <c r="R359" s="401"/>
      <c r="S359" s="402"/>
      <c r="T359" s="401"/>
      <c r="U359" s="402"/>
      <c r="V359" s="401"/>
      <c r="W359" s="402"/>
      <c r="X359" s="401"/>
      <c r="Y359" s="402"/>
      <c r="Z359" s="401"/>
      <c r="AA359" s="402"/>
      <c r="AB359" s="401"/>
      <c r="AC359" s="402"/>
      <c r="AD359" s="401"/>
      <c r="AE359" s="402"/>
      <c r="AF359" s="401"/>
      <c r="AG359" s="402"/>
      <c r="AH359" s="401"/>
      <c r="AI359" s="402"/>
      <c r="AJ359" s="401"/>
      <c r="AK359" s="402"/>
      <c r="AL359" s="401"/>
      <c r="AM359" s="402"/>
      <c r="AN359" s="401"/>
      <c r="AO359" s="402"/>
      <c r="AP359" s="53"/>
      <c r="AQ359" s="53"/>
      <c r="AR359" s="53"/>
    </row>
    <row r="360" spans="1:44">
      <c r="A360" s="222" t="s">
        <v>359</v>
      </c>
      <c r="B360" s="220" t="s">
        <v>687</v>
      </c>
      <c r="C360" s="481"/>
      <c r="D360" s="480">
        <v>375744</v>
      </c>
      <c r="E360" s="433">
        <v>13</v>
      </c>
      <c r="F360" s="401">
        <v>1800</v>
      </c>
      <c r="G360" s="402">
        <v>1800</v>
      </c>
      <c r="H360" s="401">
        <v>3600</v>
      </c>
      <c r="I360" s="402">
        <v>3600</v>
      </c>
      <c r="J360" s="401"/>
      <c r="K360" s="402"/>
      <c r="L360" s="401"/>
      <c r="M360" s="402"/>
      <c r="N360" s="401"/>
      <c r="O360" s="402"/>
      <c r="P360" s="401"/>
      <c r="Q360" s="402"/>
      <c r="R360" s="401"/>
      <c r="S360" s="402"/>
      <c r="T360" s="401"/>
      <c r="U360" s="402"/>
      <c r="V360" s="401"/>
      <c r="W360" s="402"/>
      <c r="X360" s="401"/>
      <c r="Y360" s="402"/>
      <c r="Z360" s="401"/>
      <c r="AA360" s="402"/>
      <c r="AB360" s="401"/>
      <c r="AC360" s="402"/>
      <c r="AD360" s="401"/>
      <c r="AE360" s="402"/>
      <c r="AF360" s="401"/>
      <c r="AG360" s="402"/>
      <c r="AH360" s="401"/>
      <c r="AI360" s="402"/>
      <c r="AJ360" s="401"/>
      <c r="AK360" s="402"/>
      <c r="AL360" s="401"/>
      <c r="AM360" s="402"/>
      <c r="AN360" s="401"/>
      <c r="AO360" s="402"/>
      <c r="AP360" s="53"/>
      <c r="AQ360" s="53"/>
      <c r="AR360" s="53"/>
    </row>
    <row r="361" spans="1:44">
      <c r="A361" s="222" t="s">
        <v>359</v>
      </c>
      <c r="B361" s="220" t="s">
        <v>688</v>
      </c>
      <c r="C361" s="481"/>
      <c r="D361" s="480">
        <v>375753</v>
      </c>
      <c r="E361" s="433">
        <v>13</v>
      </c>
      <c r="F361" s="401">
        <v>1800</v>
      </c>
      <c r="G361" s="402">
        <v>1800</v>
      </c>
      <c r="H361" s="401">
        <v>3600</v>
      </c>
      <c r="I361" s="402">
        <v>3600</v>
      </c>
      <c r="J361" s="401"/>
      <c r="K361" s="402"/>
      <c r="L361" s="401"/>
      <c r="M361" s="402"/>
      <c r="N361" s="401"/>
      <c r="O361" s="402"/>
      <c r="P361" s="401"/>
      <c r="Q361" s="402"/>
      <c r="R361" s="401"/>
      <c r="S361" s="402"/>
      <c r="T361" s="401"/>
      <c r="U361" s="402"/>
      <c r="V361" s="401"/>
      <c r="W361" s="402"/>
      <c r="X361" s="401"/>
      <c r="Y361" s="402"/>
      <c r="Z361" s="401"/>
      <c r="AA361" s="402"/>
      <c r="AB361" s="401"/>
      <c r="AC361" s="402"/>
      <c r="AD361" s="401"/>
      <c r="AE361" s="402"/>
      <c r="AF361" s="401"/>
      <c r="AG361" s="402"/>
      <c r="AH361" s="401"/>
      <c r="AI361" s="402"/>
      <c r="AJ361" s="401"/>
      <c r="AK361" s="402"/>
      <c r="AL361" s="401"/>
      <c r="AM361" s="402"/>
      <c r="AN361" s="401"/>
      <c r="AO361" s="402"/>
      <c r="AP361" s="53"/>
      <c r="AQ361" s="53"/>
      <c r="AR361" s="53"/>
    </row>
    <row r="362" spans="1:44">
      <c r="A362" s="222" t="s">
        <v>359</v>
      </c>
      <c r="B362" s="220" t="s">
        <v>689</v>
      </c>
      <c r="C362" s="481"/>
      <c r="D362" s="480">
        <v>405748</v>
      </c>
      <c r="E362" s="433">
        <v>13</v>
      </c>
      <c r="F362" s="401">
        <v>1800</v>
      </c>
      <c r="G362" s="402">
        <v>1800</v>
      </c>
      <c r="H362" s="401">
        <v>3600</v>
      </c>
      <c r="I362" s="402">
        <v>3600</v>
      </c>
      <c r="J362" s="401"/>
      <c r="K362" s="402"/>
      <c r="L362" s="401"/>
      <c r="M362" s="402"/>
      <c r="N362" s="401"/>
      <c r="O362" s="402"/>
      <c r="P362" s="401"/>
      <c r="Q362" s="402"/>
      <c r="R362" s="401"/>
      <c r="S362" s="402"/>
      <c r="T362" s="401"/>
      <c r="U362" s="402"/>
      <c r="V362" s="401"/>
      <c r="W362" s="402"/>
      <c r="X362" s="401"/>
      <c r="Y362" s="402"/>
      <c r="Z362" s="401"/>
      <c r="AA362" s="402"/>
      <c r="AB362" s="401"/>
      <c r="AC362" s="402"/>
      <c r="AD362" s="401"/>
      <c r="AE362" s="402"/>
      <c r="AF362" s="401"/>
      <c r="AG362" s="402"/>
      <c r="AH362" s="401"/>
      <c r="AI362" s="402"/>
      <c r="AJ362" s="401"/>
      <c r="AK362" s="402"/>
      <c r="AL362" s="401"/>
      <c r="AM362" s="402"/>
      <c r="AN362" s="401"/>
      <c r="AO362" s="402"/>
      <c r="AP362" s="53"/>
      <c r="AQ362" s="53"/>
      <c r="AR362" s="53"/>
    </row>
    <row r="363" spans="1:44">
      <c r="A363" s="222" t="s">
        <v>359</v>
      </c>
      <c r="B363" s="220" t="s">
        <v>690</v>
      </c>
      <c r="C363" s="481"/>
      <c r="D363" s="480">
        <v>375762</v>
      </c>
      <c r="E363" s="433">
        <v>13</v>
      </c>
      <c r="F363" s="401">
        <v>1800</v>
      </c>
      <c r="G363" s="402">
        <v>1800</v>
      </c>
      <c r="H363" s="401">
        <v>3600</v>
      </c>
      <c r="I363" s="402">
        <v>3600</v>
      </c>
      <c r="J363" s="401"/>
      <c r="K363" s="402"/>
      <c r="L363" s="401"/>
      <c r="M363" s="402"/>
      <c r="N363" s="401"/>
      <c r="O363" s="402"/>
      <c r="P363" s="401"/>
      <c r="Q363" s="402"/>
      <c r="R363" s="401"/>
      <c r="S363" s="402"/>
      <c r="T363" s="401"/>
      <c r="U363" s="402"/>
      <c r="V363" s="401"/>
      <c r="W363" s="402"/>
      <c r="X363" s="401"/>
      <c r="Y363" s="402"/>
      <c r="Z363" s="401"/>
      <c r="AA363" s="402"/>
      <c r="AB363" s="401"/>
      <c r="AC363" s="402"/>
      <c r="AD363" s="401"/>
      <c r="AE363" s="402"/>
      <c r="AF363" s="401"/>
      <c r="AG363" s="402"/>
      <c r="AH363" s="401"/>
      <c r="AI363" s="402"/>
      <c r="AJ363" s="401"/>
      <c r="AK363" s="402"/>
      <c r="AL363" s="401"/>
      <c r="AM363" s="402"/>
      <c r="AN363" s="401"/>
      <c r="AO363" s="402"/>
      <c r="AP363" s="53"/>
      <c r="AQ363" s="53"/>
      <c r="AR363" s="53"/>
    </row>
    <row r="364" spans="1:44">
      <c r="A364" s="222" t="s">
        <v>359</v>
      </c>
      <c r="B364" s="220" t="s">
        <v>691</v>
      </c>
      <c r="C364" s="481"/>
      <c r="D364" s="480">
        <v>365480</v>
      </c>
      <c r="E364" s="433">
        <v>13</v>
      </c>
      <c r="F364" s="401">
        <v>2700</v>
      </c>
      <c r="G364" s="402">
        <v>2700</v>
      </c>
      <c r="H364" s="401">
        <v>5400</v>
      </c>
      <c r="I364" s="402">
        <v>5400</v>
      </c>
      <c r="J364" s="401"/>
      <c r="K364" s="402"/>
      <c r="L364" s="401"/>
      <c r="M364" s="402"/>
      <c r="N364" s="401"/>
      <c r="O364" s="402"/>
      <c r="P364" s="401"/>
      <c r="Q364" s="402"/>
      <c r="R364" s="401"/>
      <c r="S364" s="402"/>
      <c r="T364" s="401"/>
      <c r="U364" s="402"/>
      <c r="V364" s="401"/>
      <c r="W364" s="402"/>
      <c r="X364" s="401"/>
      <c r="Y364" s="402"/>
      <c r="Z364" s="401"/>
      <c r="AA364" s="402"/>
      <c r="AB364" s="401"/>
      <c r="AC364" s="402"/>
      <c r="AD364" s="401"/>
      <c r="AE364" s="402"/>
      <c r="AF364" s="401"/>
      <c r="AG364" s="402"/>
      <c r="AH364" s="401"/>
      <c r="AI364" s="402"/>
      <c r="AJ364" s="401"/>
      <c r="AK364" s="402"/>
      <c r="AL364" s="401"/>
      <c r="AM364" s="402"/>
      <c r="AN364" s="401"/>
      <c r="AO364" s="402"/>
      <c r="AP364" s="53"/>
      <c r="AQ364" s="53"/>
      <c r="AR364" s="53"/>
    </row>
    <row r="365" spans="1:44">
      <c r="A365" s="222" t="s">
        <v>359</v>
      </c>
      <c r="B365" s="220" t="s">
        <v>692</v>
      </c>
      <c r="C365" s="481"/>
      <c r="D365" s="480">
        <v>363165</v>
      </c>
      <c r="E365" s="433">
        <v>13</v>
      </c>
      <c r="F365" s="401">
        <v>2250</v>
      </c>
      <c r="G365" s="402">
        <v>2250</v>
      </c>
      <c r="H365" s="401">
        <v>4500</v>
      </c>
      <c r="I365" s="402">
        <v>4500</v>
      </c>
      <c r="J365" s="401"/>
      <c r="K365" s="402"/>
      <c r="L365" s="401"/>
      <c r="M365" s="402"/>
      <c r="N365" s="401"/>
      <c r="O365" s="402"/>
      <c r="P365" s="401"/>
      <c r="Q365" s="402"/>
      <c r="R365" s="401"/>
      <c r="S365" s="402"/>
      <c r="T365" s="401"/>
      <c r="U365" s="402"/>
      <c r="V365" s="401"/>
      <c r="W365" s="402"/>
      <c r="X365" s="401"/>
      <c r="Y365" s="402"/>
      <c r="Z365" s="401"/>
      <c r="AA365" s="402"/>
      <c r="AB365" s="401"/>
      <c r="AC365" s="402"/>
      <c r="AD365" s="401"/>
      <c r="AE365" s="402"/>
      <c r="AF365" s="401"/>
      <c r="AG365" s="402"/>
      <c r="AH365" s="401"/>
      <c r="AI365" s="402"/>
      <c r="AJ365" s="401"/>
      <c r="AK365" s="402"/>
      <c r="AL365" s="401"/>
      <c r="AM365" s="402"/>
      <c r="AN365" s="401"/>
      <c r="AO365" s="402"/>
      <c r="AP365" s="53"/>
      <c r="AQ365" s="53"/>
      <c r="AR365" s="53"/>
    </row>
    <row r="366" spans="1:44">
      <c r="A366" s="222" t="s">
        <v>359</v>
      </c>
      <c r="B366" s="220" t="s">
        <v>693</v>
      </c>
      <c r="C366" s="435"/>
      <c r="D366" s="480">
        <v>418320</v>
      </c>
      <c r="E366" s="433">
        <v>13</v>
      </c>
      <c r="F366" s="401">
        <v>900</v>
      </c>
      <c r="G366" s="402">
        <v>900</v>
      </c>
      <c r="H366" s="401">
        <v>1800</v>
      </c>
      <c r="I366" s="402">
        <v>1800</v>
      </c>
      <c r="J366" s="401"/>
      <c r="K366" s="402"/>
      <c r="L366" s="401"/>
      <c r="M366" s="402"/>
      <c r="N366" s="401"/>
      <c r="O366" s="402"/>
      <c r="P366" s="401"/>
      <c r="Q366" s="402"/>
      <c r="R366" s="401"/>
      <c r="S366" s="402"/>
      <c r="T366" s="401"/>
      <c r="U366" s="402"/>
      <c r="V366" s="401"/>
      <c r="W366" s="402"/>
      <c r="X366" s="401"/>
      <c r="Y366" s="402"/>
      <c r="Z366" s="401"/>
      <c r="AA366" s="402"/>
      <c r="AB366" s="401"/>
      <c r="AC366" s="402"/>
      <c r="AD366" s="401"/>
      <c r="AE366" s="402"/>
      <c r="AF366" s="401"/>
      <c r="AG366" s="402"/>
      <c r="AH366" s="401"/>
      <c r="AI366" s="402"/>
      <c r="AJ366" s="401"/>
      <c r="AK366" s="402"/>
      <c r="AL366" s="401"/>
      <c r="AM366" s="402"/>
      <c r="AN366" s="401"/>
      <c r="AO366" s="402"/>
      <c r="AP366" s="53"/>
      <c r="AQ366" s="53"/>
      <c r="AR366" s="53"/>
    </row>
    <row r="367" spans="1:44">
      <c r="A367" s="222" t="s">
        <v>359</v>
      </c>
      <c r="B367" s="220" t="s">
        <v>694</v>
      </c>
      <c r="C367" s="481"/>
      <c r="D367" s="480">
        <v>431017</v>
      </c>
      <c r="E367" s="433">
        <v>13</v>
      </c>
      <c r="F367" s="401">
        <v>1800</v>
      </c>
      <c r="G367" s="402">
        <v>2700</v>
      </c>
      <c r="H367" s="401">
        <v>3600</v>
      </c>
      <c r="I367" s="402">
        <v>5400</v>
      </c>
      <c r="J367" s="401"/>
      <c r="K367" s="402"/>
      <c r="L367" s="401"/>
      <c r="M367" s="402"/>
      <c r="N367" s="401"/>
      <c r="O367" s="402"/>
      <c r="P367" s="401"/>
      <c r="Q367" s="402"/>
      <c r="R367" s="401"/>
      <c r="S367" s="402"/>
      <c r="T367" s="401"/>
      <c r="U367" s="402"/>
      <c r="V367" s="401"/>
      <c r="W367" s="402"/>
      <c r="X367" s="401"/>
      <c r="Y367" s="402"/>
      <c r="Z367" s="401"/>
      <c r="AA367" s="402"/>
      <c r="AB367" s="401"/>
      <c r="AC367" s="402"/>
      <c r="AD367" s="401"/>
      <c r="AE367" s="402"/>
      <c r="AF367" s="401"/>
      <c r="AG367" s="402"/>
      <c r="AH367" s="401"/>
      <c r="AI367" s="402"/>
      <c r="AJ367" s="401"/>
      <c r="AK367" s="402"/>
      <c r="AL367" s="401"/>
      <c r="AM367" s="402"/>
      <c r="AN367" s="401"/>
      <c r="AO367" s="402"/>
      <c r="AP367" s="53"/>
      <c r="AQ367" s="53"/>
      <c r="AR367" s="53"/>
    </row>
    <row r="368" spans="1:44">
      <c r="A368" s="222" t="s">
        <v>359</v>
      </c>
      <c r="B368" s="220" t="s">
        <v>695</v>
      </c>
      <c r="C368" s="435"/>
      <c r="D368" s="480">
        <v>248606</v>
      </c>
      <c r="E368" s="433">
        <v>13</v>
      </c>
      <c r="F368" s="401">
        <v>2250</v>
      </c>
      <c r="G368" s="402">
        <v>2250</v>
      </c>
      <c r="H368" s="401">
        <v>4500</v>
      </c>
      <c r="I368" s="402">
        <v>4500</v>
      </c>
      <c r="J368" s="401"/>
      <c r="K368" s="402"/>
      <c r="L368" s="401"/>
      <c r="M368" s="402"/>
      <c r="N368" s="401"/>
      <c r="O368" s="402"/>
      <c r="P368" s="401"/>
      <c r="Q368" s="402"/>
      <c r="R368" s="401"/>
      <c r="S368" s="402"/>
      <c r="T368" s="401"/>
      <c r="U368" s="402"/>
      <c r="V368" s="401"/>
      <c r="W368" s="402"/>
      <c r="X368" s="401"/>
      <c r="Y368" s="402"/>
      <c r="Z368" s="401"/>
      <c r="AA368" s="402"/>
      <c r="AB368" s="401"/>
      <c r="AC368" s="402"/>
      <c r="AD368" s="401"/>
      <c r="AE368" s="402"/>
      <c r="AF368" s="401"/>
      <c r="AG368" s="402"/>
      <c r="AH368" s="401"/>
      <c r="AI368" s="402"/>
      <c r="AJ368" s="401"/>
      <c r="AK368" s="402"/>
      <c r="AL368" s="401"/>
      <c r="AM368" s="402"/>
      <c r="AN368" s="401"/>
      <c r="AO368" s="402"/>
      <c r="AP368" s="53"/>
      <c r="AQ368" s="53"/>
      <c r="AR368" s="53"/>
    </row>
    <row r="369" spans="1:44">
      <c r="A369" s="222" t="s">
        <v>359</v>
      </c>
      <c r="B369" s="220" t="s">
        <v>696</v>
      </c>
      <c r="C369" s="481"/>
      <c r="D369" s="480">
        <v>420459</v>
      </c>
      <c r="E369" s="433">
        <v>13</v>
      </c>
      <c r="F369" s="401">
        <v>1710</v>
      </c>
      <c r="G369" s="402">
        <v>1710</v>
      </c>
      <c r="H369" s="401">
        <v>3420</v>
      </c>
      <c r="I369" s="402">
        <v>3420</v>
      </c>
      <c r="J369" s="401"/>
      <c r="K369" s="402"/>
      <c r="L369" s="401"/>
      <c r="M369" s="402"/>
      <c r="N369" s="401"/>
      <c r="O369" s="402"/>
      <c r="P369" s="401"/>
      <c r="Q369" s="402"/>
      <c r="R369" s="401"/>
      <c r="S369" s="402"/>
      <c r="T369" s="401"/>
      <c r="U369" s="402"/>
      <c r="V369" s="401"/>
      <c r="W369" s="402"/>
      <c r="X369" s="401"/>
      <c r="Y369" s="402"/>
      <c r="Z369" s="401"/>
      <c r="AA369" s="402"/>
      <c r="AB369" s="401"/>
      <c r="AC369" s="402"/>
      <c r="AD369" s="401"/>
      <c r="AE369" s="402"/>
      <c r="AF369" s="401"/>
      <c r="AG369" s="402"/>
      <c r="AH369" s="401"/>
      <c r="AI369" s="402"/>
      <c r="AJ369" s="401"/>
      <c r="AK369" s="402"/>
      <c r="AL369" s="401"/>
      <c r="AM369" s="402"/>
      <c r="AN369" s="401"/>
      <c r="AO369" s="402"/>
      <c r="AP369" s="53"/>
      <c r="AQ369" s="53"/>
      <c r="AR369" s="53"/>
    </row>
    <row r="370" spans="1:44">
      <c r="A370" s="222" t="s">
        <v>359</v>
      </c>
      <c r="B370" s="220" t="s">
        <v>697</v>
      </c>
      <c r="C370" s="481"/>
      <c r="D370" s="480">
        <v>456560</v>
      </c>
      <c r="E370" s="433">
        <v>13</v>
      </c>
      <c r="F370" s="401"/>
      <c r="G370" s="402"/>
      <c r="H370" s="401"/>
      <c r="I370" s="402"/>
      <c r="J370" s="401"/>
      <c r="K370" s="402"/>
      <c r="L370" s="401"/>
      <c r="M370" s="402"/>
      <c r="N370" s="401"/>
      <c r="O370" s="402"/>
      <c r="P370" s="401"/>
      <c r="Q370" s="402"/>
      <c r="R370" s="401"/>
      <c r="S370" s="402"/>
      <c r="T370" s="401"/>
      <c r="U370" s="402"/>
      <c r="V370" s="401"/>
      <c r="W370" s="402"/>
      <c r="X370" s="401"/>
      <c r="Y370" s="402"/>
      <c r="Z370" s="401"/>
      <c r="AA370" s="402"/>
      <c r="AB370" s="401"/>
      <c r="AC370" s="402"/>
      <c r="AD370" s="401"/>
      <c r="AE370" s="402"/>
      <c r="AF370" s="401"/>
      <c r="AG370" s="402"/>
      <c r="AH370" s="401"/>
      <c r="AI370" s="402"/>
      <c r="AJ370" s="401"/>
      <c r="AK370" s="402"/>
      <c r="AL370" s="401"/>
      <c r="AM370" s="402"/>
      <c r="AN370" s="401"/>
      <c r="AO370" s="402"/>
      <c r="AP370" s="53"/>
      <c r="AQ370" s="53"/>
      <c r="AR370" s="53"/>
    </row>
    <row r="371" spans="1:44">
      <c r="A371" s="222" t="s">
        <v>359</v>
      </c>
      <c r="B371" s="220" t="s">
        <v>698</v>
      </c>
      <c r="C371" s="481"/>
      <c r="D371" s="480">
        <v>432074</v>
      </c>
      <c r="E371" s="433">
        <v>13</v>
      </c>
      <c r="F371" s="401">
        <v>1710</v>
      </c>
      <c r="G371" s="402">
        <v>1710</v>
      </c>
      <c r="H371" s="401">
        <v>3420</v>
      </c>
      <c r="I371" s="402">
        <v>3420</v>
      </c>
      <c r="J371" s="401"/>
      <c r="K371" s="402"/>
      <c r="L371" s="401"/>
      <c r="M371" s="402"/>
      <c r="N371" s="401"/>
      <c r="O371" s="402"/>
      <c r="P371" s="401"/>
      <c r="Q371" s="402"/>
      <c r="R371" s="401"/>
      <c r="S371" s="402"/>
      <c r="T371" s="401"/>
      <c r="U371" s="402"/>
      <c r="V371" s="401"/>
      <c r="W371" s="402"/>
      <c r="X371" s="401"/>
      <c r="Y371" s="402"/>
      <c r="Z371" s="401"/>
      <c r="AA371" s="402"/>
      <c r="AB371" s="401"/>
      <c r="AC371" s="402"/>
      <c r="AD371" s="401"/>
      <c r="AE371" s="402"/>
      <c r="AF371" s="401"/>
      <c r="AG371" s="402"/>
      <c r="AH371" s="401"/>
      <c r="AI371" s="402"/>
      <c r="AJ371" s="401"/>
      <c r="AK371" s="402"/>
      <c r="AL371" s="401"/>
      <c r="AM371" s="402"/>
      <c r="AN371" s="401"/>
      <c r="AO371" s="402"/>
      <c r="AP371" s="53"/>
      <c r="AQ371" s="53"/>
      <c r="AR371" s="53"/>
    </row>
    <row r="372" spans="1:44">
      <c r="A372" s="222" t="s">
        <v>359</v>
      </c>
      <c r="B372" s="220" t="s">
        <v>699</v>
      </c>
      <c r="C372" s="481"/>
      <c r="D372" s="480">
        <v>418339</v>
      </c>
      <c r="E372" s="433">
        <v>13</v>
      </c>
      <c r="F372" s="401">
        <v>1710</v>
      </c>
      <c r="G372" s="402">
        <v>1710</v>
      </c>
      <c r="H372" s="401">
        <v>3420</v>
      </c>
      <c r="I372" s="402">
        <v>3420</v>
      </c>
      <c r="J372" s="401"/>
      <c r="K372" s="402"/>
      <c r="L372" s="401"/>
      <c r="M372" s="402"/>
      <c r="N372" s="401"/>
      <c r="O372" s="402"/>
      <c r="P372" s="401"/>
      <c r="Q372" s="402"/>
      <c r="R372" s="401"/>
      <c r="S372" s="402"/>
      <c r="T372" s="401"/>
      <c r="U372" s="402"/>
      <c r="V372" s="401"/>
      <c r="W372" s="402"/>
      <c r="X372" s="401"/>
      <c r="Y372" s="402"/>
      <c r="Z372" s="401"/>
      <c r="AA372" s="402"/>
      <c r="AB372" s="401"/>
      <c r="AC372" s="402"/>
      <c r="AD372" s="401"/>
      <c r="AE372" s="402"/>
      <c r="AF372" s="401"/>
      <c r="AG372" s="402"/>
      <c r="AH372" s="401"/>
      <c r="AI372" s="402"/>
      <c r="AJ372" s="401"/>
      <c r="AK372" s="402"/>
      <c r="AL372" s="401"/>
      <c r="AM372" s="402"/>
      <c r="AN372" s="401"/>
      <c r="AO372" s="402"/>
      <c r="AP372" s="53"/>
      <c r="AQ372" s="53"/>
      <c r="AR372" s="53"/>
    </row>
    <row r="373" spans="1:44">
      <c r="A373" s="222" t="s">
        <v>359</v>
      </c>
      <c r="B373" s="220" t="s">
        <v>700</v>
      </c>
      <c r="C373" s="481"/>
      <c r="D373" s="480">
        <v>366623</v>
      </c>
      <c r="E373" s="433">
        <v>13</v>
      </c>
      <c r="F373" s="401">
        <v>1800</v>
      </c>
      <c r="G373" s="402">
        <v>1890</v>
      </c>
      <c r="H373" s="401">
        <v>3600</v>
      </c>
      <c r="I373" s="402">
        <v>3780</v>
      </c>
      <c r="J373" s="401"/>
      <c r="K373" s="402"/>
      <c r="L373" s="401"/>
      <c r="M373" s="402"/>
      <c r="N373" s="401"/>
      <c r="O373" s="402"/>
      <c r="P373" s="401"/>
      <c r="Q373" s="402"/>
      <c r="R373" s="401"/>
      <c r="S373" s="402"/>
      <c r="T373" s="401"/>
      <c r="U373" s="402"/>
      <c r="V373" s="401"/>
      <c r="W373" s="402"/>
      <c r="X373" s="401"/>
      <c r="Y373" s="402"/>
      <c r="Z373" s="401"/>
      <c r="AA373" s="402"/>
      <c r="AB373" s="401"/>
      <c r="AC373" s="402"/>
      <c r="AD373" s="401"/>
      <c r="AE373" s="402"/>
      <c r="AF373" s="401"/>
      <c r="AG373" s="402"/>
      <c r="AH373" s="401"/>
      <c r="AI373" s="402"/>
      <c r="AJ373" s="401"/>
      <c r="AK373" s="402"/>
      <c r="AL373" s="401"/>
      <c r="AM373" s="402"/>
      <c r="AN373" s="401"/>
      <c r="AO373" s="402"/>
      <c r="AP373" s="53"/>
      <c r="AQ373" s="53"/>
      <c r="AR373" s="53"/>
    </row>
    <row r="374" spans="1:44">
      <c r="A374" s="222" t="s">
        <v>359</v>
      </c>
      <c r="B374" s="220" t="s">
        <v>701</v>
      </c>
      <c r="C374" s="481"/>
      <c r="D374" s="480">
        <v>407601</v>
      </c>
      <c r="E374" s="433">
        <v>13</v>
      </c>
      <c r="F374" s="401">
        <v>1800</v>
      </c>
      <c r="G374" s="402">
        <v>1890</v>
      </c>
      <c r="H374" s="401">
        <v>3600</v>
      </c>
      <c r="I374" s="402">
        <v>3780</v>
      </c>
      <c r="J374" s="401"/>
      <c r="K374" s="402"/>
      <c r="L374" s="401"/>
      <c r="M374" s="402"/>
      <c r="N374" s="401"/>
      <c r="O374" s="402"/>
      <c r="P374" s="401"/>
      <c r="Q374" s="402"/>
      <c r="R374" s="401"/>
      <c r="S374" s="402"/>
      <c r="T374" s="401"/>
      <c r="U374" s="402"/>
      <c r="V374" s="401"/>
      <c r="W374" s="402"/>
      <c r="X374" s="401"/>
      <c r="Y374" s="402"/>
      <c r="Z374" s="401"/>
      <c r="AA374" s="402"/>
      <c r="AB374" s="401"/>
      <c r="AC374" s="402"/>
      <c r="AD374" s="401"/>
      <c r="AE374" s="402"/>
      <c r="AF374" s="401"/>
      <c r="AG374" s="402"/>
      <c r="AH374" s="401"/>
      <c r="AI374" s="402"/>
      <c r="AJ374" s="401"/>
      <c r="AK374" s="402"/>
      <c r="AL374" s="401"/>
      <c r="AM374" s="402"/>
      <c r="AN374" s="401"/>
      <c r="AO374" s="402"/>
      <c r="AP374" s="53"/>
      <c r="AQ374" s="53"/>
      <c r="AR374" s="53"/>
    </row>
    <row r="375" spans="1:44">
      <c r="A375" s="222" t="s">
        <v>359</v>
      </c>
      <c r="B375" s="220" t="s">
        <v>702</v>
      </c>
      <c r="C375" s="481"/>
      <c r="D375" s="480">
        <v>364627</v>
      </c>
      <c r="E375" s="433">
        <v>13</v>
      </c>
      <c r="F375" s="401">
        <v>1800</v>
      </c>
      <c r="G375" s="402">
        <v>1800</v>
      </c>
      <c r="H375" s="401">
        <v>3600</v>
      </c>
      <c r="I375" s="402">
        <v>3600</v>
      </c>
      <c r="J375" s="401"/>
      <c r="K375" s="402"/>
      <c r="L375" s="401"/>
      <c r="M375" s="402"/>
      <c r="N375" s="401"/>
      <c r="O375" s="402"/>
      <c r="P375" s="401"/>
      <c r="Q375" s="402"/>
      <c r="R375" s="401"/>
      <c r="S375" s="402"/>
      <c r="T375" s="401"/>
      <c r="U375" s="402"/>
      <c r="V375" s="401"/>
      <c r="W375" s="402"/>
      <c r="X375" s="401"/>
      <c r="Y375" s="402"/>
      <c r="Z375" s="401"/>
      <c r="AA375" s="402"/>
      <c r="AB375" s="401"/>
      <c r="AC375" s="402"/>
      <c r="AD375" s="401"/>
      <c r="AE375" s="402"/>
      <c r="AF375" s="401"/>
      <c r="AG375" s="402"/>
      <c r="AH375" s="401"/>
      <c r="AI375" s="402"/>
      <c r="AJ375" s="401"/>
      <c r="AK375" s="402"/>
      <c r="AL375" s="401"/>
      <c r="AM375" s="402"/>
      <c r="AN375" s="401"/>
      <c r="AO375" s="402"/>
      <c r="AP375" s="53"/>
      <c r="AQ375" s="53"/>
      <c r="AR375" s="53"/>
    </row>
    <row r="376" spans="1:44">
      <c r="A376" s="222" t="s">
        <v>359</v>
      </c>
      <c r="B376" s="220" t="s">
        <v>703</v>
      </c>
      <c r="C376" s="481"/>
      <c r="D376" s="480">
        <v>206905</v>
      </c>
      <c r="E376" s="433">
        <v>13</v>
      </c>
      <c r="F376" s="401">
        <v>2475</v>
      </c>
      <c r="G376" s="402">
        <v>2475</v>
      </c>
      <c r="H376" s="401">
        <v>4950</v>
      </c>
      <c r="I376" s="402">
        <v>4950</v>
      </c>
      <c r="J376" s="401"/>
      <c r="K376" s="402"/>
      <c r="L376" s="401"/>
      <c r="M376" s="402"/>
      <c r="N376" s="401"/>
      <c r="O376" s="402"/>
      <c r="P376" s="401"/>
      <c r="Q376" s="402"/>
      <c r="R376" s="401"/>
      <c r="S376" s="402"/>
      <c r="T376" s="401"/>
      <c r="U376" s="402"/>
      <c r="V376" s="401"/>
      <c r="W376" s="402"/>
      <c r="X376" s="401"/>
      <c r="Y376" s="402"/>
      <c r="Z376" s="401"/>
      <c r="AA376" s="402"/>
      <c r="AB376" s="401"/>
      <c r="AC376" s="402"/>
      <c r="AD376" s="401"/>
      <c r="AE376" s="402"/>
      <c r="AF376" s="401"/>
      <c r="AG376" s="402"/>
      <c r="AH376" s="401"/>
      <c r="AI376" s="402"/>
      <c r="AJ376" s="401"/>
      <c r="AK376" s="402"/>
      <c r="AL376" s="401"/>
      <c r="AM376" s="402"/>
      <c r="AN376" s="401"/>
      <c r="AO376" s="402"/>
      <c r="AP376" s="53"/>
      <c r="AQ376" s="53"/>
      <c r="AR376" s="53"/>
    </row>
    <row r="377" spans="1:44">
      <c r="A377" s="222" t="s">
        <v>359</v>
      </c>
      <c r="B377" s="220" t="s">
        <v>704</v>
      </c>
      <c r="C377" s="481"/>
      <c r="D377" s="480">
        <v>250993</v>
      </c>
      <c r="E377" s="433">
        <v>13</v>
      </c>
      <c r="F377" s="401">
        <v>2250</v>
      </c>
      <c r="G377" s="402">
        <v>2250</v>
      </c>
      <c r="H377" s="401">
        <v>4500</v>
      </c>
      <c r="I377" s="402">
        <v>4500</v>
      </c>
      <c r="J377" s="401"/>
      <c r="K377" s="402"/>
      <c r="L377" s="401"/>
      <c r="M377" s="402"/>
      <c r="N377" s="401"/>
      <c r="O377" s="402"/>
      <c r="P377" s="401"/>
      <c r="Q377" s="402"/>
      <c r="R377" s="401"/>
      <c r="S377" s="402"/>
      <c r="T377" s="401"/>
      <c r="U377" s="402"/>
      <c r="V377" s="401"/>
      <c r="W377" s="402"/>
      <c r="X377" s="401"/>
      <c r="Y377" s="402"/>
      <c r="Z377" s="401"/>
      <c r="AA377" s="402"/>
      <c r="AB377" s="401"/>
      <c r="AC377" s="402"/>
      <c r="AD377" s="401"/>
      <c r="AE377" s="402"/>
      <c r="AF377" s="401"/>
      <c r="AG377" s="402"/>
      <c r="AH377" s="401"/>
      <c r="AI377" s="402"/>
      <c r="AJ377" s="401"/>
      <c r="AK377" s="402"/>
      <c r="AL377" s="401"/>
      <c r="AM377" s="402"/>
      <c r="AN377" s="401"/>
      <c r="AO377" s="402"/>
      <c r="AP377" s="53"/>
      <c r="AQ377" s="53"/>
      <c r="AR377" s="53"/>
    </row>
    <row r="378" spans="1:44">
      <c r="A378" s="222" t="s">
        <v>359</v>
      </c>
      <c r="B378" s="220" t="s">
        <v>705</v>
      </c>
      <c r="C378" s="481"/>
      <c r="D378" s="480">
        <v>365198</v>
      </c>
      <c r="E378" s="433">
        <v>13</v>
      </c>
      <c r="F378" s="401">
        <v>2250</v>
      </c>
      <c r="G378" s="402">
        <v>2250</v>
      </c>
      <c r="H378" s="401">
        <v>4500</v>
      </c>
      <c r="I378" s="402">
        <v>4500</v>
      </c>
      <c r="J378" s="401"/>
      <c r="K378" s="402"/>
      <c r="L378" s="401"/>
      <c r="M378" s="402"/>
      <c r="N378" s="401"/>
      <c r="O378" s="402"/>
      <c r="P378" s="401"/>
      <c r="Q378" s="402"/>
      <c r="R378" s="401"/>
      <c r="S378" s="402"/>
      <c r="T378" s="401"/>
      <c r="U378" s="402"/>
      <c r="V378" s="401"/>
      <c r="W378" s="402"/>
      <c r="X378" s="401"/>
      <c r="Y378" s="402"/>
      <c r="Z378" s="401"/>
      <c r="AA378" s="402"/>
      <c r="AB378" s="401"/>
      <c r="AC378" s="402"/>
      <c r="AD378" s="401"/>
      <c r="AE378" s="402"/>
      <c r="AF378" s="401"/>
      <c r="AG378" s="402"/>
      <c r="AH378" s="401"/>
      <c r="AI378" s="402"/>
      <c r="AJ378" s="401"/>
      <c r="AK378" s="402"/>
      <c r="AL378" s="401"/>
      <c r="AM378" s="402"/>
      <c r="AN378" s="401"/>
      <c r="AO378" s="402"/>
      <c r="AP378" s="53"/>
      <c r="AQ378" s="53"/>
      <c r="AR378" s="53"/>
    </row>
    <row r="379" spans="1:44">
      <c r="A379" s="222" t="s">
        <v>359</v>
      </c>
      <c r="B379" s="220" t="s">
        <v>706</v>
      </c>
      <c r="C379" s="481"/>
      <c r="D379" s="480">
        <v>368364</v>
      </c>
      <c r="E379" s="433">
        <v>13</v>
      </c>
      <c r="F379" s="401">
        <v>2250</v>
      </c>
      <c r="G379" s="402">
        <v>2250</v>
      </c>
      <c r="H379" s="401">
        <v>4500</v>
      </c>
      <c r="I379" s="402">
        <v>4500</v>
      </c>
      <c r="J379" s="401"/>
      <c r="K379" s="402"/>
      <c r="L379" s="401"/>
      <c r="M379" s="402"/>
      <c r="N379" s="401"/>
      <c r="O379" s="402"/>
      <c r="P379" s="401"/>
      <c r="Q379" s="402"/>
      <c r="R379" s="401"/>
      <c r="S379" s="402"/>
      <c r="T379" s="401"/>
      <c r="U379" s="402"/>
      <c r="V379" s="401"/>
      <c r="W379" s="402"/>
      <c r="X379" s="401"/>
      <c r="Y379" s="402"/>
      <c r="Z379" s="401"/>
      <c r="AA379" s="402"/>
      <c r="AB379" s="401"/>
      <c r="AC379" s="402"/>
      <c r="AD379" s="401"/>
      <c r="AE379" s="402"/>
      <c r="AF379" s="401"/>
      <c r="AG379" s="402"/>
      <c r="AH379" s="401"/>
      <c r="AI379" s="402"/>
      <c r="AJ379" s="401"/>
      <c r="AK379" s="402"/>
      <c r="AL379" s="401"/>
      <c r="AM379" s="402"/>
      <c r="AN379" s="401"/>
      <c r="AO379" s="402"/>
      <c r="AP379" s="53"/>
      <c r="AQ379" s="53"/>
      <c r="AR379" s="53"/>
    </row>
    <row r="380" spans="1:44">
      <c r="A380" s="222" t="s">
        <v>359</v>
      </c>
      <c r="B380" s="220" t="s">
        <v>707</v>
      </c>
      <c r="C380" s="481"/>
      <c r="D380" s="480">
        <v>418287</v>
      </c>
      <c r="E380" s="433">
        <v>13</v>
      </c>
      <c r="F380" s="401">
        <v>1125</v>
      </c>
      <c r="G380" s="402">
        <v>1125</v>
      </c>
      <c r="H380" s="401">
        <v>2250</v>
      </c>
      <c r="I380" s="402">
        <v>2250</v>
      </c>
      <c r="J380" s="401"/>
      <c r="K380" s="402"/>
      <c r="L380" s="401"/>
      <c r="M380" s="402"/>
      <c r="N380" s="401"/>
      <c r="O380" s="402"/>
      <c r="P380" s="401"/>
      <c r="Q380" s="402"/>
      <c r="R380" s="401"/>
      <c r="S380" s="402"/>
      <c r="T380" s="401"/>
      <c r="U380" s="402"/>
      <c r="V380" s="401"/>
      <c r="W380" s="402"/>
      <c r="X380" s="401"/>
      <c r="Y380" s="402"/>
      <c r="Z380" s="401"/>
      <c r="AA380" s="402"/>
      <c r="AB380" s="401"/>
      <c r="AC380" s="402"/>
      <c r="AD380" s="401"/>
      <c r="AE380" s="402"/>
      <c r="AF380" s="401"/>
      <c r="AG380" s="402"/>
      <c r="AH380" s="401"/>
      <c r="AI380" s="402"/>
      <c r="AJ380" s="401"/>
      <c r="AK380" s="402"/>
      <c r="AL380" s="401"/>
      <c r="AM380" s="402"/>
      <c r="AN380" s="401"/>
      <c r="AO380" s="402"/>
      <c r="AP380" s="53"/>
      <c r="AQ380" s="53"/>
      <c r="AR380" s="53"/>
    </row>
    <row r="381" spans="1:44">
      <c r="A381" s="222" t="s">
        <v>359</v>
      </c>
      <c r="B381" s="220" t="s">
        <v>708</v>
      </c>
      <c r="C381" s="481"/>
      <c r="D381" s="480">
        <v>207607</v>
      </c>
      <c r="E381" s="433">
        <v>13</v>
      </c>
      <c r="F381" s="401">
        <v>3600</v>
      </c>
      <c r="G381" s="402">
        <v>3600</v>
      </c>
      <c r="H381" s="401">
        <v>7200</v>
      </c>
      <c r="I381" s="402">
        <v>7200</v>
      </c>
      <c r="J381" s="401"/>
      <c r="K381" s="402"/>
      <c r="L381" s="401"/>
      <c r="M381" s="402"/>
      <c r="N381" s="401"/>
      <c r="O381" s="402"/>
      <c r="P381" s="401"/>
      <c r="Q381" s="402"/>
      <c r="R381" s="401"/>
      <c r="S381" s="402"/>
      <c r="T381" s="401"/>
      <c r="U381" s="402"/>
      <c r="V381" s="401"/>
      <c r="W381" s="402"/>
      <c r="X381" s="401"/>
      <c r="Y381" s="402"/>
      <c r="Z381" s="401"/>
      <c r="AA381" s="402"/>
      <c r="AB381" s="401"/>
      <c r="AC381" s="402"/>
      <c r="AD381" s="401"/>
      <c r="AE381" s="402"/>
      <c r="AF381" s="401"/>
      <c r="AG381" s="402"/>
      <c r="AH381" s="401"/>
      <c r="AI381" s="402"/>
      <c r="AJ381" s="401"/>
      <c r="AK381" s="402"/>
      <c r="AL381" s="401"/>
      <c r="AM381" s="402"/>
      <c r="AN381" s="401"/>
      <c r="AO381" s="402"/>
      <c r="AP381" s="53"/>
      <c r="AQ381" s="53"/>
      <c r="AR381" s="53"/>
    </row>
    <row r="382" spans="1:44" s="179" customFormat="1" ht="12.6" customHeight="1">
      <c r="A382" s="222" t="s">
        <v>359</v>
      </c>
      <c r="B382" s="220" t="s">
        <v>709</v>
      </c>
      <c r="C382" s="483"/>
      <c r="D382" s="480">
        <v>261393</v>
      </c>
      <c r="E382" s="433">
        <v>13</v>
      </c>
      <c r="F382" s="401">
        <v>3600</v>
      </c>
      <c r="G382" s="402">
        <v>3600</v>
      </c>
      <c r="H382" s="401">
        <v>7200</v>
      </c>
      <c r="I382" s="402">
        <v>7200</v>
      </c>
      <c r="J382" s="401"/>
      <c r="K382" s="402"/>
      <c r="L382" s="401"/>
      <c r="M382" s="402"/>
      <c r="N382" s="401"/>
      <c r="O382" s="402"/>
      <c r="P382" s="401"/>
      <c r="Q382" s="402"/>
      <c r="R382" s="401"/>
      <c r="S382" s="402"/>
      <c r="T382" s="401"/>
      <c r="U382" s="402"/>
      <c r="V382" s="401"/>
      <c r="W382" s="402"/>
      <c r="X382" s="401"/>
      <c r="Y382" s="402"/>
      <c r="Z382" s="401"/>
      <c r="AA382" s="402"/>
      <c r="AB382" s="401"/>
      <c r="AC382" s="402"/>
      <c r="AD382" s="401"/>
      <c r="AE382" s="402"/>
      <c r="AF382" s="401"/>
      <c r="AG382" s="402"/>
      <c r="AH382" s="401"/>
      <c r="AI382" s="402"/>
      <c r="AJ382" s="401"/>
      <c r="AK382" s="402"/>
      <c r="AL382" s="401"/>
      <c r="AM382" s="402"/>
      <c r="AN382" s="401"/>
      <c r="AO382" s="402"/>
      <c r="AP382" s="53"/>
      <c r="AQ382" s="53"/>
      <c r="AR382" s="53"/>
    </row>
    <row r="383" spans="1:44" s="179" customFormat="1" ht="12.6" customHeight="1">
      <c r="A383" s="219" t="s">
        <v>359</v>
      </c>
      <c r="B383" s="224" t="s">
        <v>710</v>
      </c>
      <c r="C383" s="483"/>
      <c r="D383" s="480">
        <v>482264</v>
      </c>
      <c r="E383" s="433">
        <v>13</v>
      </c>
      <c r="F383" s="401"/>
      <c r="G383" s="402"/>
      <c r="H383" s="401"/>
      <c r="I383" s="402"/>
      <c r="J383" s="401"/>
      <c r="K383" s="402"/>
      <c r="L383" s="401"/>
      <c r="M383" s="402"/>
      <c r="N383" s="401"/>
      <c r="O383" s="402"/>
      <c r="P383" s="401"/>
      <c r="Q383" s="402"/>
      <c r="R383" s="401"/>
      <c r="S383" s="402"/>
      <c r="T383" s="401"/>
      <c r="U383" s="402"/>
      <c r="V383" s="401"/>
      <c r="W383" s="402"/>
      <c r="X383" s="401"/>
      <c r="Y383" s="402"/>
      <c r="Z383" s="401"/>
      <c r="AA383" s="402"/>
      <c r="AB383" s="401"/>
      <c r="AC383" s="402"/>
      <c r="AD383" s="401"/>
      <c r="AE383" s="402"/>
      <c r="AF383" s="401"/>
      <c r="AG383" s="402"/>
      <c r="AH383" s="401"/>
      <c r="AI383" s="402"/>
      <c r="AJ383" s="401"/>
      <c r="AK383" s="402"/>
      <c r="AL383" s="401"/>
      <c r="AM383" s="402"/>
      <c r="AN383" s="401"/>
      <c r="AO383" s="402"/>
      <c r="AP383" s="53"/>
      <c r="AQ383" s="53"/>
      <c r="AR383" s="53"/>
    </row>
    <row r="384" spans="1:44">
      <c r="A384" s="222" t="s">
        <v>359</v>
      </c>
      <c r="B384" s="220" t="s">
        <v>711</v>
      </c>
      <c r="C384" s="481"/>
      <c r="D384" s="480">
        <v>261384</v>
      </c>
      <c r="E384" s="433">
        <v>13</v>
      </c>
      <c r="F384" s="401">
        <v>3600</v>
      </c>
      <c r="G384" s="402">
        <v>3600</v>
      </c>
      <c r="H384" s="401">
        <v>7200</v>
      </c>
      <c r="I384" s="402">
        <v>7200</v>
      </c>
      <c r="J384" s="401"/>
      <c r="K384" s="402"/>
      <c r="L384" s="401"/>
      <c r="M384" s="402"/>
      <c r="N384" s="401"/>
      <c r="O384" s="402"/>
      <c r="P384" s="401"/>
      <c r="Q384" s="402"/>
      <c r="R384" s="401"/>
      <c r="S384" s="402"/>
      <c r="T384" s="401"/>
      <c r="U384" s="402"/>
      <c r="V384" s="401"/>
      <c r="W384" s="402"/>
      <c r="X384" s="401"/>
      <c r="Y384" s="402"/>
      <c r="Z384" s="401"/>
      <c r="AA384" s="402"/>
      <c r="AB384" s="401"/>
      <c r="AC384" s="402"/>
      <c r="AD384" s="401"/>
      <c r="AE384" s="402"/>
      <c r="AF384" s="401"/>
      <c r="AG384" s="402"/>
      <c r="AH384" s="401"/>
      <c r="AI384" s="402"/>
      <c r="AJ384" s="401"/>
      <c r="AK384" s="402"/>
      <c r="AL384" s="401"/>
      <c r="AM384" s="402"/>
      <c r="AN384" s="401"/>
      <c r="AO384" s="402"/>
      <c r="AP384" s="53"/>
      <c r="AQ384" s="53"/>
      <c r="AR384" s="53"/>
    </row>
    <row r="385" spans="1:44">
      <c r="A385" s="219" t="s">
        <v>359</v>
      </c>
      <c r="B385" s="224" t="s">
        <v>712</v>
      </c>
      <c r="C385" s="481"/>
      <c r="D385" s="480">
        <v>482273</v>
      </c>
      <c r="E385" s="433">
        <v>13</v>
      </c>
      <c r="F385" s="401"/>
      <c r="G385" s="402"/>
      <c r="H385" s="401"/>
      <c r="I385" s="402"/>
      <c r="J385" s="401"/>
      <c r="K385" s="402"/>
      <c r="L385" s="401"/>
      <c r="M385" s="402"/>
      <c r="N385" s="401"/>
      <c r="O385" s="402"/>
      <c r="P385" s="401"/>
      <c r="Q385" s="402"/>
      <c r="R385" s="401"/>
      <c r="S385" s="402"/>
      <c r="T385" s="401"/>
      <c r="U385" s="402"/>
      <c r="V385" s="401"/>
      <c r="W385" s="402"/>
      <c r="X385" s="401"/>
      <c r="Y385" s="402"/>
      <c r="Z385" s="401"/>
      <c r="AA385" s="402"/>
      <c r="AB385" s="401"/>
      <c r="AC385" s="402"/>
      <c r="AD385" s="401"/>
      <c r="AE385" s="402"/>
      <c r="AF385" s="401"/>
      <c r="AG385" s="402"/>
      <c r="AH385" s="401"/>
      <c r="AI385" s="402"/>
      <c r="AJ385" s="401"/>
      <c r="AK385" s="402"/>
      <c r="AL385" s="401"/>
      <c r="AM385" s="402"/>
      <c r="AN385" s="401"/>
      <c r="AO385" s="402"/>
      <c r="AP385" s="53"/>
      <c r="AQ385" s="53"/>
      <c r="AR385" s="53"/>
    </row>
    <row r="386" spans="1:44">
      <c r="A386" s="219" t="s">
        <v>359</v>
      </c>
      <c r="B386" s="220" t="s">
        <v>713</v>
      </c>
      <c r="C386" s="481"/>
      <c r="D386" s="480">
        <v>418357</v>
      </c>
      <c r="E386" s="433">
        <v>13</v>
      </c>
      <c r="F386" s="401">
        <v>2430</v>
      </c>
      <c r="G386" s="402">
        <v>2430</v>
      </c>
      <c r="H386" s="401">
        <v>4860</v>
      </c>
      <c r="I386" s="402">
        <v>4860</v>
      </c>
      <c r="J386" s="401"/>
      <c r="K386" s="402"/>
      <c r="L386" s="401"/>
      <c r="M386" s="402"/>
      <c r="N386" s="401"/>
      <c r="O386" s="402"/>
      <c r="P386" s="401"/>
      <c r="Q386" s="402"/>
      <c r="R386" s="401"/>
      <c r="S386" s="402"/>
      <c r="T386" s="401"/>
      <c r="U386" s="402"/>
      <c r="V386" s="401"/>
      <c r="W386" s="402"/>
      <c r="X386" s="401"/>
      <c r="Y386" s="402"/>
      <c r="Z386" s="401"/>
      <c r="AA386" s="402"/>
      <c r="AB386" s="401"/>
      <c r="AC386" s="402"/>
      <c r="AD386" s="401"/>
      <c r="AE386" s="402"/>
      <c r="AF386" s="401"/>
      <c r="AG386" s="402"/>
      <c r="AH386" s="401"/>
      <c r="AI386" s="402"/>
      <c r="AJ386" s="401"/>
      <c r="AK386" s="402"/>
      <c r="AL386" s="401"/>
      <c r="AM386" s="402"/>
      <c r="AN386" s="401"/>
      <c r="AO386" s="402"/>
      <c r="AP386" s="53"/>
      <c r="AQ386" s="53"/>
      <c r="AR386" s="53"/>
    </row>
    <row r="387" spans="1:44">
      <c r="A387" s="222" t="s">
        <v>359</v>
      </c>
      <c r="B387" s="220" t="s">
        <v>714</v>
      </c>
      <c r="C387" s="481"/>
      <c r="D387" s="480">
        <v>418302</v>
      </c>
      <c r="E387" s="433">
        <v>13</v>
      </c>
      <c r="F387" s="401">
        <v>1800</v>
      </c>
      <c r="G387" s="402">
        <v>2250</v>
      </c>
      <c r="H387" s="401">
        <v>3600</v>
      </c>
      <c r="I387" s="402">
        <v>4500</v>
      </c>
      <c r="J387" s="401"/>
      <c r="K387" s="402"/>
      <c r="L387" s="401"/>
      <c r="M387" s="402"/>
      <c r="N387" s="401"/>
      <c r="O387" s="402"/>
      <c r="P387" s="401"/>
      <c r="Q387" s="402"/>
      <c r="R387" s="401"/>
      <c r="S387" s="402"/>
      <c r="T387" s="401"/>
      <c r="U387" s="402"/>
      <c r="V387" s="401"/>
      <c r="W387" s="402"/>
      <c r="X387" s="401"/>
      <c r="Y387" s="402"/>
      <c r="Z387" s="401"/>
      <c r="AA387" s="402"/>
      <c r="AB387" s="401"/>
      <c r="AC387" s="402"/>
      <c r="AD387" s="401"/>
      <c r="AE387" s="402"/>
      <c r="AF387" s="401"/>
      <c r="AG387" s="402"/>
      <c r="AH387" s="401"/>
      <c r="AI387" s="402"/>
      <c r="AJ387" s="401"/>
      <c r="AK387" s="402"/>
      <c r="AL387" s="401"/>
      <c r="AM387" s="402"/>
      <c r="AN387" s="401"/>
      <c r="AO387" s="402"/>
      <c r="AP387" s="53"/>
      <c r="AQ387" s="53"/>
      <c r="AR387" s="53"/>
    </row>
    <row r="388" spans="1:44">
      <c r="A388" s="216" t="s">
        <v>359</v>
      </c>
      <c r="B388" s="217" t="s">
        <v>898</v>
      </c>
      <c r="C388" s="362"/>
      <c r="D388" s="216">
        <v>207388</v>
      </c>
      <c r="E388" s="216"/>
      <c r="F388" s="383"/>
      <c r="G388" s="384"/>
      <c r="H388" s="383"/>
      <c r="I388" s="384"/>
      <c r="J388" s="383"/>
      <c r="K388" s="384"/>
      <c r="L388" s="383"/>
      <c r="M388" s="384"/>
      <c r="N388" s="383"/>
      <c r="O388" s="384"/>
      <c r="P388" s="383"/>
      <c r="Q388" s="384"/>
      <c r="R388" s="383"/>
      <c r="S388" s="384"/>
      <c r="T388" s="383"/>
      <c r="U388" s="384"/>
      <c r="V388" s="383"/>
      <c r="W388" s="384"/>
      <c r="X388" s="383"/>
      <c r="Y388" s="384"/>
      <c r="Z388" s="383"/>
      <c r="AA388" s="384"/>
      <c r="AB388" s="383"/>
      <c r="AC388" s="384"/>
      <c r="AD388" s="383"/>
      <c r="AE388" s="384"/>
      <c r="AF388" s="383"/>
      <c r="AG388" s="384"/>
      <c r="AH388" s="383"/>
      <c r="AI388" s="384"/>
      <c r="AJ388" s="383"/>
      <c r="AK388" s="384"/>
      <c r="AL388" s="383"/>
      <c r="AM388" s="384"/>
      <c r="AN388" s="383"/>
      <c r="AO388" s="384"/>
      <c r="AP388" s="53"/>
      <c r="AQ388" s="53"/>
      <c r="AR388" s="53"/>
    </row>
    <row r="389" spans="1:44" s="53" customFormat="1">
      <c r="A389" s="249" t="s">
        <v>360</v>
      </c>
      <c r="B389" s="250" t="s">
        <v>361</v>
      </c>
      <c r="C389" s="457"/>
      <c r="D389" s="458">
        <v>217882</v>
      </c>
      <c r="E389" s="459">
        <v>1</v>
      </c>
      <c r="F389" s="390">
        <v>15120</v>
      </c>
      <c r="G389" s="391">
        <v>15120</v>
      </c>
      <c r="H389" s="390">
        <v>38112</v>
      </c>
      <c r="I389" s="391">
        <v>38112</v>
      </c>
      <c r="J389" s="390">
        <v>11946</v>
      </c>
      <c r="K389" s="391">
        <v>12208</v>
      </c>
      <c r="L389" s="390">
        <v>23846</v>
      </c>
      <c r="M389" s="391">
        <v>24380</v>
      </c>
      <c r="N389" s="390"/>
      <c r="O389" s="391"/>
      <c r="P389" s="390"/>
      <c r="Q389" s="391"/>
      <c r="R389" s="390"/>
      <c r="S389" s="391"/>
      <c r="T389" s="390"/>
      <c r="U389" s="391"/>
      <c r="V389" s="390"/>
      <c r="W389" s="391"/>
      <c r="X389" s="390"/>
      <c r="Y389" s="391"/>
      <c r="Z389" s="390"/>
      <c r="AA389" s="391"/>
      <c r="AB389" s="390"/>
      <c r="AC389" s="391"/>
      <c r="AD389" s="390"/>
      <c r="AE389" s="391"/>
      <c r="AF389" s="390"/>
      <c r="AG389" s="391"/>
      <c r="AH389" s="390"/>
      <c r="AI389" s="391"/>
      <c r="AJ389" s="390"/>
      <c r="AK389" s="391"/>
      <c r="AL389" s="390"/>
      <c r="AM389" s="391"/>
      <c r="AN389" s="390"/>
      <c r="AO389" s="391"/>
    </row>
    <row r="390" spans="1:44" s="53" customFormat="1">
      <c r="A390" s="249" t="s">
        <v>360</v>
      </c>
      <c r="B390" s="250" t="s">
        <v>362</v>
      </c>
      <c r="C390" s="457"/>
      <c r="D390" s="458">
        <v>218663</v>
      </c>
      <c r="E390" s="459">
        <v>1</v>
      </c>
      <c r="F390" s="390">
        <v>12688</v>
      </c>
      <c r="G390" s="391">
        <v>12688</v>
      </c>
      <c r="H390" s="390">
        <v>33928</v>
      </c>
      <c r="I390" s="391">
        <v>33928</v>
      </c>
      <c r="J390" s="390">
        <v>14132</v>
      </c>
      <c r="K390" s="391">
        <v>14134</v>
      </c>
      <c r="L390" s="390">
        <v>30160</v>
      </c>
      <c r="M390" s="391">
        <v>30160</v>
      </c>
      <c r="N390" s="390">
        <v>21472</v>
      </c>
      <c r="O390" s="391">
        <v>21472</v>
      </c>
      <c r="P390" s="390">
        <v>52480</v>
      </c>
      <c r="Q390" s="391">
        <v>52480</v>
      </c>
      <c r="R390" s="390">
        <v>43488</v>
      </c>
      <c r="S390" s="391">
        <v>43488</v>
      </c>
      <c r="T390" s="390">
        <v>87750</v>
      </c>
      <c r="U390" s="391">
        <v>87750</v>
      </c>
      <c r="V390" s="390"/>
      <c r="W390" s="391"/>
      <c r="X390" s="390"/>
      <c r="Y390" s="391"/>
      <c r="Z390" s="390">
        <v>24130</v>
      </c>
      <c r="AA390" s="391">
        <v>24130</v>
      </c>
      <c r="AB390" s="390">
        <v>36424</v>
      </c>
      <c r="AC390" s="391">
        <v>36424</v>
      </c>
      <c r="AD390" s="390"/>
      <c r="AE390" s="391"/>
      <c r="AF390" s="390"/>
      <c r="AG390" s="391"/>
      <c r="AH390" s="390"/>
      <c r="AI390" s="391"/>
      <c r="AJ390" s="390"/>
      <c r="AK390" s="391"/>
      <c r="AL390" s="390"/>
      <c r="AM390" s="391"/>
      <c r="AN390" s="390"/>
      <c r="AO390" s="391"/>
    </row>
    <row r="391" spans="1:44" s="53" customFormat="1">
      <c r="A391" s="249" t="s">
        <v>360</v>
      </c>
      <c r="B391" s="250" t="s">
        <v>363</v>
      </c>
      <c r="C391" s="457"/>
      <c r="D391" s="458">
        <v>217819</v>
      </c>
      <c r="E391" s="459">
        <v>3</v>
      </c>
      <c r="F391" s="390">
        <v>12518</v>
      </c>
      <c r="G391" s="391">
        <v>12518</v>
      </c>
      <c r="H391" s="390">
        <v>32848</v>
      </c>
      <c r="I391" s="391">
        <v>33978</v>
      </c>
      <c r="J391" s="390">
        <v>13770</v>
      </c>
      <c r="K391" s="391">
        <v>13770</v>
      </c>
      <c r="L391" s="390">
        <v>36132</v>
      </c>
      <c r="M391" s="391">
        <v>37376</v>
      </c>
      <c r="N391" s="390"/>
      <c r="O391" s="391"/>
      <c r="P391" s="390"/>
      <c r="Q391" s="391"/>
      <c r="R391" s="390"/>
      <c r="S391" s="391"/>
      <c r="T391" s="390"/>
      <c r="U391" s="391"/>
      <c r="V391" s="390"/>
      <c r="W391" s="391"/>
      <c r="X391" s="390"/>
      <c r="Y391" s="391"/>
      <c r="Z391" s="390"/>
      <c r="AA391" s="391"/>
      <c r="AB391" s="390"/>
      <c r="AC391" s="391"/>
      <c r="AD391" s="390"/>
      <c r="AE391" s="391"/>
      <c r="AF391" s="390"/>
      <c r="AG391" s="391"/>
      <c r="AH391" s="390"/>
      <c r="AI391" s="391"/>
      <c r="AJ391" s="390"/>
      <c r="AK391" s="391"/>
      <c r="AL391" s="390"/>
      <c r="AM391" s="391"/>
      <c r="AN391" s="390"/>
      <c r="AO391" s="391"/>
    </row>
    <row r="392" spans="1:44" s="53" customFormat="1">
      <c r="A392" s="249" t="s">
        <v>360</v>
      </c>
      <c r="B392" s="250" t="s">
        <v>364</v>
      </c>
      <c r="C392" s="460"/>
      <c r="D392" s="458">
        <v>217864</v>
      </c>
      <c r="E392" s="459">
        <v>3</v>
      </c>
      <c r="F392" s="390">
        <v>13140</v>
      </c>
      <c r="G392" s="391">
        <v>13140</v>
      </c>
      <c r="H392" s="390">
        <v>36396</v>
      </c>
      <c r="I392" s="391">
        <v>33978</v>
      </c>
      <c r="J392" s="390">
        <v>10890</v>
      </c>
      <c r="K392" s="391">
        <v>10890</v>
      </c>
      <c r="L392" s="390">
        <v>18540</v>
      </c>
      <c r="M392" s="391">
        <v>18540</v>
      </c>
      <c r="N392" s="390"/>
      <c r="O392" s="391"/>
      <c r="P392" s="390"/>
      <c r="Q392" s="391"/>
      <c r="R392" s="390"/>
      <c r="S392" s="391"/>
      <c r="T392" s="390"/>
      <c r="U392" s="391"/>
      <c r="V392" s="390"/>
      <c r="W392" s="391"/>
      <c r="X392" s="390"/>
      <c r="Y392" s="391"/>
      <c r="Z392" s="390"/>
      <c r="AA392" s="391"/>
      <c r="AB392" s="390"/>
      <c r="AC392" s="391"/>
      <c r="AD392" s="390"/>
      <c r="AE392" s="391"/>
      <c r="AF392" s="390"/>
      <c r="AG392" s="391"/>
      <c r="AH392" s="390"/>
      <c r="AI392" s="391"/>
      <c r="AJ392" s="390"/>
      <c r="AK392" s="391"/>
      <c r="AL392" s="390"/>
      <c r="AM392" s="391"/>
      <c r="AN392" s="390"/>
      <c r="AO392" s="391"/>
    </row>
    <row r="393" spans="1:44" s="53" customFormat="1">
      <c r="A393" s="249" t="s">
        <v>360</v>
      </c>
      <c r="B393" s="250" t="s">
        <v>365</v>
      </c>
      <c r="C393" s="457"/>
      <c r="D393" s="458">
        <v>218964</v>
      </c>
      <c r="E393" s="459">
        <v>3</v>
      </c>
      <c r="F393" s="390">
        <v>15306</v>
      </c>
      <c r="G393" s="391">
        <v>15306</v>
      </c>
      <c r="H393" s="390">
        <v>29636</v>
      </c>
      <c r="I393" s="391">
        <v>29636</v>
      </c>
      <c r="J393" s="390">
        <v>11538</v>
      </c>
      <c r="K393" s="391">
        <v>11604</v>
      </c>
      <c r="L393" s="390">
        <v>22212</v>
      </c>
      <c r="M393" s="391">
        <v>22352</v>
      </c>
      <c r="N393" s="390"/>
      <c r="O393" s="391"/>
      <c r="P393" s="390"/>
      <c r="Q393" s="391"/>
      <c r="R393" s="390"/>
      <c r="S393" s="391"/>
      <c r="T393" s="390"/>
      <c r="U393" s="391"/>
      <c r="V393" s="390"/>
      <c r="W393" s="391"/>
      <c r="X393" s="390"/>
      <c r="Y393" s="391"/>
      <c r="Z393" s="390"/>
      <c r="AA393" s="391"/>
      <c r="AB393" s="390"/>
      <c r="AC393" s="391"/>
      <c r="AD393" s="390"/>
      <c r="AE393" s="391"/>
      <c r="AF393" s="390"/>
      <c r="AG393" s="391"/>
      <c r="AH393" s="390"/>
      <c r="AI393" s="391"/>
      <c r="AJ393" s="390"/>
      <c r="AK393" s="391"/>
      <c r="AL393" s="390"/>
      <c r="AM393" s="391"/>
      <c r="AN393" s="390"/>
      <c r="AO393" s="391"/>
    </row>
    <row r="394" spans="1:44" s="179" customFormat="1" ht="15" customHeight="1">
      <c r="A394" s="249" t="s">
        <v>360</v>
      </c>
      <c r="B394" s="250" t="s">
        <v>366</v>
      </c>
      <c r="C394" s="484"/>
      <c r="D394" s="458">
        <v>218724</v>
      </c>
      <c r="E394" s="459">
        <v>4</v>
      </c>
      <c r="F394" s="390">
        <v>11640</v>
      </c>
      <c r="G394" s="391">
        <v>11640</v>
      </c>
      <c r="H394" s="390">
        <v>27394</v>
      </c>
      <c r="I394" s="391">
        <v>27394</v>
      </c>
      <c r="J394" s="390">
        <v>10764</v>
      </c>
      <c r="K394" s="391">
        <v>10764</v>
      </c>
      <c r="L394" s="390">
        <v>19836</v>
      </c>
      <c r="M394" s="391">
        <v>19836</v>
      </c>
      <c r="N394" s="390"/>
      <c r="O394" s="391"/>
      <c r="P394" s="390"/>
      <c r="Q394" s="391"/>
      <c r="R394" s="390"/>
      <c r="S394" s="391"/>
      <c r="T394" s="390"/>
      <c r="U394" s="391"/>
      <c r="V394" s="390"/>
      <c r="W394" s="391"/>
      <c r="X394" s="390"/>
      <c r="Y394" s="391"/>
      <c r="Z394" s="390"/>
      <c r="AA394" s="391"/>
      <c r="AB394" s="390"/>
      <c r="AC394" s="391"/>
      <c r="AD394" s="390"/>
      <c r="AE394" s="391"/>
      <c r="AF394" s="390"/>
      <c r="AG394" s="391"/>
      <c r="AH394" s="390"/>
      <c r="AI394" s="391"/>
      <c r="AJ394" s="390"/>
      <c r="AK394" s="391"/>
      <c r="AL394" s="390"/>
      <c r="AM394" s="391"/>
      <c r="AN394" s="390"/>
      <c r="AO394" s="391"/>
    </row>
    <row r="395" spans="1:44" s="179" customFormat="1" ht="15" customHeight="1">
      <c r="A395" s="249" t="s">
        <v>360</v>
      </c>
      <c r="B395" s="250" t="s">
        <v>367</v>
      </c>
      <c r="C395" s="485"/>
      <c r="D395" s="458">
        <v>218061</v>
      </c>
      <c r="E395" s="459">
        <v>5</v>
      </c>
      <c r="F395" s="390">
        <v>11160</v>
      </c>
      <c r="G395" s="391">
        <v>11160</v>
      </c>
      <c r="H395" s="390">
        <v>21544</v>
      </c>
      <c r="I395" s="391">
        <v>21544</v>
      </c>
      <c r="J395" s="390">
        <v>11388</v>
      </c>
      <c r="K395" s="391">
        <v>11388</v>
      </c>
      <c r="L395" s="390">
        <v>22000</v>
      </c>
      <c r="M395" s="391">
        <v>22000</v>
      </c>
      <c r="N395" s="390"/>
      <c r="O395" s="391"/>
      <c r="P395" s="390"/>
      <c r="Q395" s="391"/>
      <c r="R395" s="390"/>
      <c r="S395" s="391"/>
      <c r="T395" s="390"/>
      <c r="U395" s="391"/>
      <c r="V395" s="390"/>
      <c r="W395" s="391"/>
      <c r="X395" s="390"/>
      <c r="Y395" s="391"/>
      <c r="Z395" s="390"/>
      <c r="AA395" s="391"/>
      <c r="AB395" s="390"/>
      <c r="AC395" s="391"/>
      <c r="AD395" s="390"/>
      <c r="AE395" s="391"/>
      <c r="AF395" s="390"/>
      <c r="AG395" s="391"/>
      <c r="AH395" s="390"/>
      <c r="AI395" s="391"/>
      <c r="AJ395" s="390"/>
      <c r="AK395" s="391"/>
      <c r="AL395" s="390"/>
      <c r="AM395" s="391"/>
      <c r="AN395" s="390"/>
      <c r="AO395" s="391"/>
    </row>
    <row r="396" spans="1:44" s="179" customFormat="1" ht="15" customHeight="1">
      <c r="A396" s="249" t="s">
        <v>360</v>
      </c>
      <c r="B396" s="250" t="s">
        <v>368</v>
      </c>
      <c r="C396" s="485"/>
      <c r="D396" s="458">
        <v>218733</v>
      </c>
      <c r="E396" s="459">
        <v>5</v>
      </c>
      <c r="F396" s="390">
        <v>11060</v>
      </c>
      <c r="G396" s="391">
        <v>11060</v>
      </c>
      <c r="H396" s="390">
        <v>21750</v>
      </c>
      <c r="I396" s="391">
        <v>21750</v>
      </c>
      <c r="J396" s="390">
        <v>11460</v>
      </c>
      <c r="K396" s="391">
        <v>11460</v>
      </c>
      <c r="L396" s="390">
        <v>22570</v>
      </c>
      <c r="M396" s="391">
        <v>22570</v>
      </c>
      <c r="N396" s="390"/>
      <c r="O396" s="391"/>
      <c r="P396" s="390"/>
      <c r="Q396" s="391"/>
      <c r="R396" s="390"/>
      <c r="S396" s="391"/>
      <c r="T396" s="390"/>
      <c r="U396" s="391"/>
      <c r="V396" s="390"/>
      <c r="W396" s="391"/>
      <c r="X396" s="390"/>
      <c r="Y396" s="391"/>
      <c r="Z396" s="390"/>
      <c r="AA396" s="391"/>
      <c r="AB396" s="390"/>
      <c r="AC396" s="391"/>
      <c r="AD396" s="390"/>
      <c r="AE396" s="391"/>
      <c r="AF396" s="390"/>
      <c r="AG396" s="391"/>
      <c r="AH396" s="390"/>
      <c r="AI396" s="391"/>
      <c r="AJ396" s="390"/>
      <c r="AK396" s="391"/>
      <c r="AL396" s="390"/>
      <c r="AM396" s="391"/>
      <c r="AN396" s="390"/>
      <c r="AO396" s="391"/>
    </row>
    <row r="397" spans="1:44" s="179" customFormat="1" ht="15" customHeight="1">
      <c r="A397" s="249" t="s">
        <v>360</v>
      </c>
      <c r="B397" s="250" t="s">
        <v>369</v>
      </c>
      <c r="C397" s="486" t="s">
        <v>1012</v>
      </c>
      <c r="D397" s="458">
        <v>218229</v>
      </c>
      <c r="E397" s="459">
        <v>6</v>
      </c>
      <c r="F397" s="390">
        <v>11700</v>
      </c>
      <c r="G397" s="391">
        <v>11700</v>
      </c>
      <c r="H397" s="390">
        <v>21300</v>
      </c>
      <c r="I397" s="391">
        <v>21300</v>
      </c>
      <c r="J397" s="390">
        <v>9856</v>
      </c>
      <c r="K397" s="391">
        <v>9810</v>
      </c>
      <c r="L397" s="390">
        <v>17884</v>
      </c>
      <c r="M397" s="391">
        <v>9810</v>
      </c>
      <c r="N397" s="390"/>
      <c r="O397" s="391"/>
      <c r="P397" s="390"/>
      <c r="Q397" s="391"/>
      <c r="R397" s="390"/>
      <c r="S397" s="391"/>
      <c r="T397" s="390"/>
      <c r="U397" s="391"/>
      <c r="V397" s="390"/>
      <c r="W397" s="391"/>
      <c r="X397" s="390"/>
      <c r="Y397" s="391"/>
      <c r="Z397" s="390"/>
      <c r="AA397" s="391"/>
      <c r="AB397" s="390"/>
      <c r="AC397" s="391"/>
      <c r="AD397" s="390"/>
      <c r="AE397" s="391"/>
      <c r="AF397" s="390"/>
      <c r="AG397" s="391"/>
      <c r="AH397" s="390"/>
      <c r="AI397" s="391"/>
      <c r="AJ397" s="390"/>
      <c r="AK397" s="391"/>
      <c r="AL397" s="390"/>
      <c r="AM397" s="391"/>
      <c r="AN397" s="390"/>
      <c r="AO397" s="391"/>
    </row>
    <row r="398" spans="1:44" s="179" customFormat="1" ht="15" customHeight="1">
      <c r="A398" s="249" t="s">
        <v>360</v>
      </c>
      <c r="B398" s="250" t="s">
        <v>370</v>
      </c>
      <c r="C398" s="487" t="s">
        <v>1013</v>
      </c>
      <c r="D398" s="488">
        <v>218645</v>
      </c>
      <c r="E398" s="489">
        <v>5</v>
      </c>
      <c r="F398" s="390">
        <v>10710</v>
      </c>
      <c r="G398" s="391">
        <v>10710</v>
      </c>
      <c r="H398" s="390">
        <v>21168</v>
      </c>
      <c r="I398" s="391">
        <v>21168</v>
      </c>
      <c r="J398" s="390">
        <v>14132</v>
      </c>
      <c r="K398" s="391">
        <v>14134</v>
      </c>
      <c r="L398" s="390">
        <v>30160</v>
      </c>
      <c r="M398" s="391">
        <v>30160</v>
      </c>
      <c r="N398" s="390"/>
      <c r="O398" s="391"/>
      <c r="P398" s="390"/>
      <c r="Q398" s="391"/>
      <c r="R398" s="390"/>
      <c r="S398" s="391"/>
      <c r="T398" s="390"/>
      <c r="U398" s="391"/>
      <c r="V398" s="390"/>
      <c r="W398" s="391"/>
      <c r="X398" s="390"/>
      <c r="Y398" s="391"/>
      <c r="Z398" s="390"/>
      <c r="AA398" s="391"/>
      <c r="AB398" s="390"/>
      <c r="AC398" s="391"/>
      <c r="AD398" s="390"/>
      <c r="AE398" s="391"/>
      <c r="AF398" s="390"/>
      <c r="AG398" s="391"/>
      <c r="AH398" s="390"/>
      <c r="AI398" s="391"/>
      <c r="AJ398" s="390"/>
      <c r="AK398" s="391"/>
      <c r="AL398" s="390"/>
      <c r="AM398" s="391"/>
      <c r="AN398" s="390"/>
      <c r="AO398" s="391"/>
    </row>
    <row r="399" spans="1:44" s="179" customFormat="1" ht="15" customHeight="1">
      <c r="A399" s="249" t="s">
        <v>360</v>
      </c>
      <c r="B399" s="250" t="s">
        <v>371</v>
      </c>
      <c r="C399" s="379"/>
      <c r="D399" s="458">
        <v>218654</v>
      </c>
      <c r="E399" s="459">
        <v>6</v>
      </c>
      <c r="F399" s="390">
        <v>10680</v>
      </c>
      <c r="G399" s="391">
        <v>10680</v>
      </c>
      <c r="H399" s="390">
        <v>21726</v>
      </c>
      <c r="I399" s="391">
        <v>21726</v>
      </c>
      <c r="J399" s="390"/>
      <c r="K399" s="391"/>
      <c r="L399" s="390"/>
      <c r="M399" s="391"/>
      <c r="N399" s="390"/>
      <c r="O399" s="391"/>
      <c r="P399" s="390"/>
      <c r="Q399" s="391"/>
      <c r="R399" s="390"/>
      <c r="S399" s="391"/>
      <c r="T399" s="390"/>
      <c r="U399" s="391"/>
      <c r="V399" s="390"/>
      <c r="W399" s="391"/>
      <c r="X399" s="390"/>
      <c r="Y399" s="391"/>
      <c r="Z399" s="390"/>
      <c r="AA399" s="391"/>
      <c r="AB399" s="390"/>
      <c r="AC399" s="391"/>
      <c r="AD399" s="390"/>
      <c r="AE399" s="391"/>
      <c r="AF399" s="390"/>
      <c r="AG399" s="391"/>
      <c r="AH399" s="390"/>
      <c r="AI399" s="391"/>
      <c r="AJ399" s="390"/>
      <c r="AK399" s="391"/>
      <c r="AL399" s="390"/>
      <c r="AM399" s="391"/>
      <c r="AN399" s="390"/>
      <c r="AO399" s="391"/>
    </row>
    <row r="400" spans="1:44" s="179" customFormat="1" ht="15" customHeight="1">
      <c r="A400" s="249" t="s">
        <v>360</v>
      </c>
      <c r="B400" s="250" t="s">
        <v>372</v>
      </c>
      <c r="C400" s="486" t="s">
        <v>1012</v>
      </c>
      <c r="D400" s="458">
        <v>218742</v>
      </c>
      <c r="E400" s="459">
        <v>6</v>
      </c>
      <c r="F400" s="390">
        <v>11488</v>
      </c>
      <c r="G400" s="391">
        <v>11488</v>
      </c>
      <c r="H400" s="390">
        <v>22990</v>
      </c>
      <c r="I400" s="391">
        <v>22990</v>
      </c>
      <c r="J400" s="390">
        <v>14132</v>
      </c>
      <c r="K400" s="391">
        <v>14134</v>
      </c>
      <c r="L400" s="390">
        <v>30160</v>
      </c>
      <c r="M400" s="391">
        <v>30160</v>
      </c>
      <c r="N400" s="390"/>
      <c r="O400" s="391"/>
      <c r="P400" s="390"/>
      <c r="Q400" s="391"/>
      <c r="R400" s="390"/>
      <c r="S400" s="391"/>
      <c r="T400" s="390"/>
      <c r="U400" s="391"/>
      <c r="V400" s="390"/>
      <c r="W400" s="391"/>
      <c r="X400" s="390"/>
      <c r="Y400" s="391"/>
      <c r="Z400" s="390"/>
      <c r="AA400" s="391"/>
      <c r="AB400" s="390"/>
      <c r="AC400" s="391"/>
      <c r="AD400" s="390"/>
      <c r="AE400" s="391"/>
      <c r="AF400" s="390"/>
      <c r="AG400" s="391"/>
      <c r="AH400" s="390"/>
      <c r="AI400" s="391"/>
      <c r="AJ400" s="390"/>
      <c r="AK400" s="391"/>
      <c r="AL400" s="390"/>
      <c r="AM400" s="391"/>
      <c r="AN400" s="390"/>
      <c r="AO400" s="391"/>
    </row>
    <row r="401" spans="1:41" s="179" customFormat="1" ht="15" customHeight="1">
      <c r="A401" s="249" t="s">
        <v>360</v>
      </c>
      <c r="B401" s="250" t="s">
        <v>374</v>
      </c>
      <c r="C401" s="485"/>
      <c r="D401" s="458">
        <v>218113</v>
      </c>
      <c r="E401" s="459">
        <v>8</v>
      </c>
      <c r="F401" s="390">
        <v>5930</v>
      </c>
      <c r="G401" s="391">
        <v>5930</v>
      </c>
      <c r="H401" s="390">
        <v>11720</v>
      </c>
      <c r="I401" s="391">
        <v>11720</v>
      </c>
      <c r="J401" s="390"/>
      <c r="K401" s="391"/>
      <c r="L401" s="390"/>
      <c r="M401" s="391"/>
      <c r="N401" s="390"/>
      <c r="O401" s="391"/>
      <c r="P401" s="390"/>
      <c r="Q401" s="391"/>
      <c r="R401" s="390"/>
      <c r="S401" s="391"/>
      <c r="T401" s="390"/>
      <c r="U401" s="391"/>
      <c r="V401" s="390"/>
      <c r="W401" s="391"/>
      <c r="X401" s="390"/>
      <c r="Y401" s="391"/>
      <c r="Z401" s="390"/>
      <c r="AA401" s="391"/>
      <c r="AB401" s="390"/>
      <c r="AC401" s="391"/>
      <c r="AD401" s="390"/>
      <c r="AE401" s="391"/>
      <c r="AF401" s="390"/>
      <c r="AG401" s="391"/>
      <c r="AH401" s="390"/>
      <c r="AI401" s="391"/>
      <c r="AJ401" s="390"/>
      <c r="AK401" s="391"/>
      <c r="AL401" s="390"/>
      <c r="AM401" s="391"/>
      <c r="AN401" s="390"/>
      <c r="AO401" s="391"/>
    </row>
    <row r="402" spans="1:41" s="179" customFormat="1" ht="15" customHeight="1">
      <c r="A402" s="249" t="s">
        <v>360</v>
      </c>
      <c r="B402" s="250" t="s">
        <v>375</v>
      </c>
      <c r="C402" s="486" t="s">
        <v>1014</v>
      </c>
      <c r="D402" s="458">
        <v>218140</v>
      </c>
      <c r="E402" s="459">
        <v>8</v>
      </c>
      <c r="F402" s="390">
        <v>5398</v>
      </c>
      <c r="G402" s="391">
        <v>5398</v>
      </c>
      <c r="H402" s="390">
        <v>10708</v>
      </c>
      <c r="I402" s="391">
        <v>10708</v>
      </c>
      <c r="J402" s="390"/>
      <c r="K402" s="391"/>
      <c r="L402" s="390"/>
      <c r="M402" s="391"/>
      <c r="N402" s="390"/>
      <c r="O402" s="391"/>
      <c r="P402" s="390"/>
      <c r="Q402" s="391"/>
      <c r="R402" s="390"/>
      <c r="S402" s="391"/>
      <c r="T402" s="390"/>
      <c r="U402" s="391"/>
      <c r="V402" s="390"/>
      <c r="W402" s="391"/>
      <c r="X402" s="390"/>
      <c r="Y402" s="391"/>
      <c r="Z402" s="390"/>
      <c r="AA402" s="391"/>
      <c r="AB402" s="390"/>
      <c r="AC402" s="391"/>
      <c r="AD402" s="390"/>
      <c r="AE402" s="391"/>
      <c r="AF402" s="390"/>
      <c r="AG402" s="391"/>
      <c r="AH402" s="390"/>
      <c r="AI402" s="391"/>
      <c r="AJ402" s="390"/>
      <c r="AK402" s="391"/>
      <c r="AL402" s="390"/>
      <c r="AM402" s="391"/>
      <c r="AN402" s="390"/>
      <c r="AO402" s="391"/>
    </row>
    <row r="403" spans="1:41" s="179" customFormat="1" ht="15" customHeight="1">
      <c r="A403" s="249" t="s">
        <v>360</v>
      </c>
      <c r="B403" s="250" t="s">
        <v>376</v>
      </c>
      <c r="C403" s="486"/>
      <c r="D403" s="458">
        <v>218353</v>
      </c>
      <c r="E403" s="459">
        <v>8</v>
      </c>
      <c r="F403" s="390">
        <v>5916</v>
      </c>
      <c r="G403" s="391">
        <v>5916</v>
      </c>
      <c r="H403" s="390">
        <v>17196</v>
      </c>
      <c r="I403" s="391">
        <v>17196</v>
      </c>
      <c r="J403" s="390"/>
      <c r="K403" s="391"/>
      <c r="L403" s="390"/>
      <c r="M403" s="391"/>
      <c r="N403" s="390"/>
      <c r="O403" s="391"/>
      <c r="P403" s="390"/>
      <c r="Q403" s="391"/>
      <c r="R403" s="390"/>
      <c r="S403" s="391"/>
      <c r="T403" s="390"/>
      <c r="U403" s="391"/>
      <c r="V403" s="390"/>
      <c r="W403" s="391"/>
      <c r="X403" s="390"/>
      <c r="Y403" s="391"/>
      <c r="Z403" s="390"/>
      <c r="AA403" s="391"/>
      <c r="AB403" s="390"/>
      <c r="AC403" s="391"/>
      <c r="AD403" s="390"/>
      <c r="AE403" s="391"/>
      <c r="AF403" s="390"/>
      <c r="AG403" s="391"/>
      <c r="AH403" s="390"/>
      <c r="AI403" s="391"/>
      <c r="AJ403" s="390"/>
      <c r="AK403" s="391"/>
      <c r="AL403" s="390"/>
      <c r="AM403" s="391"/>
      <c r="AN403" s="390"/>
      <c r="AO403" s="391"/>
    </row>
    <row r="404" spans="1:41" s="179" customFormat="1" ht="15" customHeight="1">
      <c r="A404" s="249" t="s">
        <v>360</v>
      </c>
      <c r="B404" s="250" t="s">
        <v>379</v>
      </c>
      <c r="C404" s="486"/>
      <c r="D404" s="458">
        <v>218894</v>
      </c>
      <c r="E404" s="459">
        <v>8</v>
      </c>
      <c r="F404" s="390">
        <v>5696</v>
      </c>
      <c r="G404" s="391">
        <v>5696</v>
      </c>
      <c r="H404" s="390">
        <v>10749</v>
      </c>
      <c r="I404" s="391">
        <v>10749</v>
      </c>
      <c r="J404" s="390"/>
      <c r="K404" s="391"/>
      <c r="L404" s="390"/>
      <c r="M404" s="391"/>
      <c r="N404" s="390"/>
      <c r="O404" s="391"/>
      <c r="P404" s="390"/>
      <c r="Q404" s="391"/>
      <c r="R404" s="390"/>
      <c r="S404" s="391"/>
      <c r="T404" s="390"/>
      <c r="U404" s="391"/>
      <c r="V404" s="390"/>
      <c r="W404" s="391"/>
      <c r="X404" s="390"/>
      <c r="Y404" s="391"/>
      <c r="Z404" s="390"/>
      <c r="AA404" s="391"/>
      <c r="AB404" s="390"/>
      <c r="AC404" s="391"/>
      <c r="AD404" s="390"/>
      <c r="AE404" s="391"/>
      <c r="AF404" s="390"/>
      <c r="AG404" s="391"/>
      <c r="AH404" s="390"/>
      <c r="AI404" s="391"/>
      <c r="AJ404" s="390"/>
      <c r="AK404" s="391"/>
      <c r="AL404" s="390"/>
      <c r="AM404" s="391"/>
      <c r="AN404" s="390"/>
      <c r="AO404" s="391"/>
    </row>
    <row r="405" spans="1:41" s="179" customFormat="1" ht="15" customHeight="1">
      <c r="A405" s="249" t="s">
        <v>360</v>
      </c>
      <c r="B405" s="250" t="s">
        <v>381</v>
      </c>
      <c r="C405" s="486" t="s">
        <v>1015</v>
      </c>
      <c r="D405" s="458">
        <v>218858</v>
      </c>
      <c r="E405" s="459">
        <v>9</v>
      </c>
      <c r="F405" s="390">
        <v>6120</v>
      </c>
      <c r="G405" s="391">
        <v>6120</v>
      </c>
      <c r="H405" s="390">
        <v>10230</v>
      </c>
      <c r="I405" s="391">
        <v>10230</v>
      </c>
      <c r="J405" s="390"/>
      <c r="K405" s="391"/>
      <c r="L405" s="390"/>
      <c r="M405" s="391"/>
      <c r="N405" s="390"/>
      <c r="O405" s="391"/>
      <c r="P405" s="390"/>
      <c r="Q405" s="391"/>
      <c r="R405" s="390"/>
      <c r="S405" s="391"/>
      <c r="T405" s="390"/>
      <c r="U405" s="391"/>
      <c r="V405" s="390"/>
      <c r="W405" s="391"/>
      <c r="X405" s="390"/>
      <c r="Y405" s="391"/>
      <c r="Z405" s="390"/>
      <c r="AA405" s="391"/>
      <c r="AB405" s="390"/>
      <c r="AC405" s="391"/>
      <c r="AD405" s="390"/>
      <c r="AE405" s="391"/>
      <c r="AF405" s="390"/>
      <c r="AG405" s="391"/>
      <c r="AH405" s="390"/>
      <c r="AI405" s="391"/>
      <c r="AJ405" s="390"/>
      <c r="AK405" s="391"/>
      <c r="AL405" s="390"/>
      <c r="AM405" s="391"/>
      <c r="AN405" s="390"/>
      <c r="AO405" s="391"/>
    </row>
    <row r="406" spans="1:41" s="179" customFormat="1" ht="15" customHeight="1">
      <c r="A406" s="249" t="s">
        <v>360</v>
      </c>
      <c r="B406" s="250" t="s">
        <v>373</v>
      </c>
      <c r="C406" s="484"/>
      <c r="D406" s="458">
        <v>218025</v>
      </c>
      <c r="E406" s="459">
        <v>9</v>
      </c>
      <c r="F406" s="390">
        <v>5720</v>
      </c>
      <c r="G406" s="391">
        <v>5720</v>
      </c>
      <c r="H406" s="390">
        <v>8390</v>
      </c>
      <c r="I406" s="391">
        <v>8390</v>
      </c>
      <c r="J406" s="390"/>
      <c r="K406" s="391"/>
      <c r="L406" s="390"/>
      <c r="M406" s="391"/>
      <c r="N406" s="390"/>
      <c r="O406" s="391"/>
      <c r="P406" s="390"/>
      <c r="Q406" s="391"/>
      <c r="R406" s="390"/>
      <c r="S406" s="391"/>
      <c r="T406" s="390"/>
      <c r="U406" s="391"/>
      <c r="V406" s="390"/>
      <c r="W406" s="391"/>
      <c r="X406" s="390"/>
      <c r="Y406" s="391"/>
      <c r="Z406" s="390"/>
      <c r="AA406" s="391"/>
      <c r="AB406" s="390"/>
      <c r="AC406" s="391"/>
      <c r="AD406" s="390"/>
      <c r="AE406" s="391"/>
      <c r="AF406" s="390"/>
      <c r="AG406" s="391"/>
      <c r="AH406" s="390"/>
      <c r="AI406" s="391"/>
      <c r="AJ406" s="390"/>
      <c r="AK406" s="391"/>
      <c r="AL406" s="390"/>
      <c r="AM406" s="391"/>
      <c r="AN406" s="390"/>
      <c r="AO406" s="391"/>
    </row>
    <row r="407" spans="1:41" s="179" customFormat="1" ht="15" customHeight="1">
      <c r="A407" s="249" t="s">
        <v>360</v>
      </c>
      <c r="B407" s="250" t="s">
        <v>377</v>
      </c>
      <c r="C407" s="484"/>
      <c r="D407" s="458">
        <v>218520</v>
      </c>
      <c r="E407" s="459">
        <v>9</v>
      </c>
      <c r="F407" s="390">
        <v>5687.5</v>
      </c>
      <c r="G407" s="391">
        <v>5688</v>
      </c>
      <c r="H407" s="390">
        <v>8245</v>
      </c>
      <c r="I407" s="391">
        <v>8245</v>
      </c>
      <c r="J407" s="390"/>
      <c r="K407" s="391"/>
      <c r="L407" s="390"/>
      <c r="M407" s="391"/>
      <c r="N407" s="390"/>
      <c r="O407" s="391"/>
      <c r="P407" s="390"/>
      <c r="Q407" s="391"/>
      <c r="R407" s="390"/>
      <c r="S407" s="391"/>
      <c r="T407" s="390"/>
      <c r="U407" s="391"/>
      <c r="V407" s="390"/>
      <c r="W407" s="391"/>
      <c r="X407" s="390"/>
      <c r="Y407" s="391"/>
      <c r="Z407" s="390"/>
      <c r="AA407" s="391"/>
      <c r="AB407" s="390"/>
      <c r="AC407" s="391"/>
      <c r="AD407" s="390"/>
      <c r="AE407" s="391"/>
      <c r="AF407" s="390"/>
      <c r="AG407" s="391"/>
      <c r="AH407" s="390"/>
      <c r="AI407" s="391"/>
      <c r="AJ407" s="390"/>
      <c r="AK407" s="391"/>
      <c r="AL407" s="390"/>
      <c r="AM407" s="391"/>
      <c r="AN407" s="390"/>
      <c r="AO407" s="391"/>
    </row>
    <row r="408" spans="1:41" s="179" customFormat="1" ht="15" customHeight="1">
      <c r="A408" s="249" t="s">
        <v>360</v>
      </c>
      <c r="B408" s="250" t="s">
        <v>383</v>
      </c>
      <c r="C408" s="485"/>
      <c r="D408" s="458">
        <v>218830</v>
      </c>
      <c r="E408" s="459">
        <v>9</v>
      </c>
      <c r="F408" s="390">
        <v>6090</v>
      </c>
      <c r="G408" s="391">
        <v>6090</v>
      </c>
      <c r="H408" s="390">
        <v>12240</v>
      </c>
      <c r="I408" s="391">
        <v>12240</v>
      </c>
      <c r="J408" s="390"/>
      <c r="K408" s="391"/>
      <c r="L408" s="390"/>
      <c r="M408" s="391"/>
      <c r="N408" s="390"/>
      <c r="O408" s="391"/>
      <c r="P408" s="390"/>
      <c r="Q408" s="391"/>
      <c r="R408" s="390"/>
      <c r="S408" s="391"/>
      <c r="T408" s="390"/>
      <c r="U408" s="391"/>
      <c r="V408" s="390"/>
      <c r="W408" s="391"/>
      <c r="X408" s="390"/>
      <c r="Y408" s="391"/>
      <c r="Z408" s="390"/>
      <c r="AA408" s="391"/>
      <c r="AB408" s="390"/>
      <c r="AC408" s="391"/>
      <c r="AD408" s="390"/>
      <c r="AE408" s="391"/>
      <c r="AF408" s="390"/>
      <c r="AG408" s="391"/>
      <c r="AH408" s="390"/>
      <c r="AI408" s="391"/>
      <c r="AJ408" s="390"/>
      <c r="AK408" s="391"/>
      <c r="AL408" s="390"/>
      <c r="AM408" s="391"/>
      <c r="AN408" s="390"/>
      <c r="AO408" s="391"/>
    </row>
    <row r="409" spans="1:41" s="179" customFormat="1" ht="15" customHeight="1">
      <c r="A409" s="249" t="s">
        <v>360</v>
      </c>
      <c r="B409" s="250" t="s">
        <v>378</v>
      </c>
      <c r="C409" s="484"/>
      <c r="D409" s="458">
        <v>218885</v>
      </c>
      <c r="E409" s="459">
        <v>9</v>
      </c>
      <c r="F409" s="390">
        <v>5560</v>
      </c>
      <c r="G409" s="391">
        <v>5560</v>
      </c>
      <c r="H409" s="390">
        <v>12760</v>
      </c>
      <c r="I409" s="391">
        <v>12880</v>
      </c>
      <c r="J409" s="390"/>
      <c r="K409" s="391"/>
      <c r="L409" s="390"/>
      <c r="M409" s="391"/>
      <c r="N409" s="390"/>
      <c r="O409" s="391"/>
      <c r="P409" s="390"/>
      <c r="Q409" s="391"/>
      <c r="R409" s="390"/>
      <c r="S409" s="391"/>
      <c r="T409" s="390"/>
      <c r="U409" s="391"/>
      <c r="V409" s="390"/>
      <c r="W409" s="391"/>
      <c r="X409" s="390"/>
      <c r="Y409" s="391"/>
      <c r="Z409" s="390"/>
      <c r="AA409" s="391"/>
      <c r="AB409" s="390"/>
      <c r="AC409" s="391"/>
      <c r="AD409" s="390"/>
      <c r="AE409" s="391"/>
      <c r="AF409" s="390"/>
      <c r="AG409" s="391"/>
      <c r="AH409" s="390"/>
      <c r="AI409" s="391"/>
      <c r="AJ409" s="390"/>
      <c r="AK409" s="391"/>
      <c r="AL409" s="390"/>
      <c r="AM409" s="391"/>
      <c r="AN409" s="390"/>
      <c r="AO409" s="391"/>
    </row>
    <row r="410" spans="1:41" s="179" customFormat="1" ht="15" customHeight="1">
      <c r="A410" s="249" t="s">
        <v>360</v>
      </c>
      <c r="B410" s="250" t="s">
        <v>384</v>
      </c>
      <c r="C410" s="485"/>
      <c r="D410" s="458">
        <v>218991</v>
      </c>
      <c r="E410" s="459">
        <v>9</v>
      </c>
      <c r="F410" s="390">
        <v>5690</v>
      </c>
      <c r="G410" s="391">
        <v>5690</v>
      </c>
      <c r="H410" s="390">
        <v>12320</v>
      </c>
      <c r="I410" s="391">
        <v>12320</v>
      </c>
      <c r="J410" s="390"/>
      <c r="K410" s="391"/>
      <c r="L410" s="390"/>
      <c r="M410" s="391"/>
      <c r="N410" s="390"/>
      <c r="O410" s="391"/>
      <c r="P410" s="390"/>
      <c r="Q410" s="391"/>
      <c r="R410" s="390"/>
      <c r="S410" s="391"/>
      <c r="T410" s="390"/>
      <c r="U410" s="391"/>
      <c r="V410" s="390"/>
      <c r="W410" s="391"/>
      <c r="X410" s="390"/>
      <c r="Y410" s="391"/>
      <c r="Z410" s="390"/>
      <c r="AA410" s="391"/>
      <c r="AB410" s="390"/>
      <c r="AC410" s="391"/>
      <c r="AD410" s="390"/>
      <c r="AE410" s="391"/>
      <c r="AF410" s="390"/>
      <c r="AG410" s="391"/>
      <c r="AH410" s="390"/>
      <c r="AI410" s="391"/>
      <c r="AJ410" s="390"/>
      <c r="AK410" s="391"/>
      <c r="AL410" s="390"/>
      <c r="AM410" s="391"/>
      <c r="AN410" s="390"/>
      <c r="AO410" s="391"/>
    </row>
    <row r="411" spans="1:41" s="179" customFormat="1" ht="15" customHeight="1">
      <c r="A411" s="249" t="s">
        <v>360</v>
      </c>
      <c r="B411" s="250" t="s">
        <v>380</v>
      </c>
      <c r="C411" s="484"/>
      <c r="D411" s="458">
        <v>217615</v>
      </c>
      <c r="E411" s="459">
        <v>10</v>
      </c>
      <c r="F411" s="390">
        <v>6060</v>
      </c>
      <c r="G411" s="391">
        <v>6060</v>
      </c>
      <c r="H411" s="390">
        <v>8482</v>
      </c>
      <c r="I411" s="391">
        <v>8482</v>
      </c>
      <c r="J411" s="390"/>
      <c r="K411" s="391"/>
      <c r="L411" s="390"/>
      <c r="M411" s="391"/>
      <c r="N411" s="390"/>
      <c r="O411" s="391"/>
      <c r="P411" s="390"/>
      <c r="Q411" s="391"/>
      <c r="R411" s="390"/>
      <c r="S411" s="391"/>
      <c r="T411" s="390"/>
      <c r="U411" s="391"/>
      <c r="V411" s="390"/>
      <c r="W411" s="391"/>
      <c r="X411" s="390"/>
      <c r="Y411" s="391"/>
      <c r="Z411" s="390"/>
      <c r="AA411" s="391"/>
      <c r="AB411" s="390"/>
      <c r="AC411" s="391"/>
      <c r="AD411" s="390"/>
      <c r="AE411" s="391"/>
      <c r="AF411" s="390"/>
      <c r="AG411" s="391"/>
      <c r="AH411" s="390"/>
      <c r="AI411" s="391"/>
      <c r="AJ411" s="390"/>
      <c r="AK411" s="391"/>
      <c r="AL411" s="390"/>
      <c r="AM411" s="391"/>
      <c r="AN411" s="390"/>
      <c r="AO411" s="391"/>
    </row>
    <row r="412" spans="1:41" s="53" customFormat="1">
      <c r="A412" s="249" t="s">
        <v>360</v>
      </c>
      <c r="B412" s="250" t="s">
        <v>385</v>
      </c>
      <c r="C412" s="457"/>
      <c r="D412" s="458">
        <v>217989</v>
      </c>
      <c r="E412" s="459">
        <v>10</v>
      </c>
      <c r="F412" s="390">
        <v>5947.5</v>
      </c>
      <c r="G412" s="391">
        <v>6166</v>
      </c>
      <c r="H412" s="390">
        <v>11355</v>
      </c>
      <c r="I412" s="391">
        <v>11792</v>
      </c>
      <c r="J412" s="390"/>
      <c r="K412" s="391"/>
      <c r="L412" s="390"/>
      <c r="M412" s="391"/>
      <c r="N412" s="390"/>
      <c r="O412" s="391"/>
      <c r="P412" s="390"/>
      <c r="Q412" s="391"/>
      <c r="R412" s="390"/>
      <c r="S412" s="391"/>
      <c r="T412" s="390"/>
      <c r="U412" s="391"/>
      <c r="V412" s="390"/>
      <c r="W412" s="391"/>
      <c r="X412" s="390"/>
      <c r="Y412" s="391"/>
      <c r="Z412" s="390"/>
      <c r="AA412" s="391"/>
      <c r="AB412" s="390"/>
      <c r="AC412" s="391"/>
      <c r="AD412" s="390"/>
      <c r="AE412" s="391"/>
      <c r="AF412" s="390"/>
      <c r="AG412" s="391"/>
      <c r="AH412" s="390"/>
      <c r="AI412" s="391"/>
      <c r="AJ412" s="390"/>
      <c r="AK412" s="391"/>
      <c r="AL412" s="390"/>
      <c r="AM412" s="391"/>
      <c r="AN412" s="390"/>
      <c r="AO412" s="391"/>
    </row>
    <row r="413" spans="1:41" s="53" customFormat="1">
      <c r="A413" s="249" t="s">
        <v>360</v>
      </c>
      <c r="B413" s="250" t="s">
        <v>386</v>
      </c>
      <c r="C413" s="457"/>
      <c r="D413" s="458">
        <v>217837</v>
      </c>
      <c r="E413" s="459">
        <v>10</v>
      </c>
      <c r="F413" s="390">
        <v>6120</v>
      </c>
      <c r="G413" s="391">
        <v>6120</v>
      </c>
      <c r="H413" s="390">
        <v>9840</v>
      </c>
      <c r="I413" s="391">
        <v>9840</v>
      </c>
      <c r="J413" s="390"/>
      <c r="K413" s="391"/>
      <c r="L413" s="390"/>
      <c r="M413" s="391"/>
      <c r="N413" s="390"/>
      <c r="O413" s="391"/>
      <c r="P413" s="390"/>
      <c r="Q413" s="391"/>
      <c r="R413" s="390"/>
      <c r="S413" s="391"/>
      <c r="T413" s="390"/>
      <c r="U413" s="391"/>
      <c r="V413" s="390"/>
      <c r="W413" s="391"/>
      <c r="X413" s="390"/>
      <c r="Y413" s="391"/>
      <c r="Z413" s="390"/>
      <c r="AA413" s="391"/>
      <c r="AB413" s="390"/>
      <c r="AC413" s="391"/>
      <c r="AD413" s="390"/>
      <c r="AE413" s="391"/>
      <c r="AF413" s="390"/>
      <c r="AG413" s="391"/>
      <c r="AH413" s="390"/>
      <c r="AI413" s="391"/>
      <c r="AJ413" s="390"/>
      <c r="AK413" s="391"/>
      <c r="AL413" s="390"/>
      <c r="AM413" s="391"/>
      <c r="AN413" s="390"/>
      <c r="AO413" s="391"/>
    </row>
    <row r="414" spans="1:41" s="179" customFormat="1" ht="15" customHeight="1">
      <c r="A414" s="249" t="s">
        <v>360</v>
      </c>
      <c r="B414" s="250" t="s">
        <v>382</v>
      </c>
      <c r="C414" s="484"/>
      <c r="D414" s="458">
        <v>218487</v>
      </c>
      <c r="E414" s="459">
        <v>10</v>
      </c>
      <c r="F414" s="390">
        <v>5900</v>
      </c>
      <c r="G414" s="391">
        <v>5900</v>
      </c>
      <c r="H414" s="390">
        <v>9350</v>
      </c>
      <c r="I414" s="391">
        <v>9350</v>
      </c>
      <c r="J414" s="390"/>
      <c r="K414" s="391"/>
      <c r="L414" s="390"/>
      <c r="M414" s="391"/>
      <c r="N414" s="390"/>
      <c r="O414" s="391"/>
      <c r="P414" s="390"/>
      <c r="Q414" s="391"/>
      <c r="R414" s="390"/>
      <c r="S414" s="391"/>
      <c r="T414" s="390"/>
      <c r="U414" s="391"/>
      <c r="V414" s="390"/>
      <c r="W414" s="391"/>
      <c r="X414" s="390"/>
      <c r="Y414" s="391"/>
      <c r="Z414" s="390"/>
      <c r="AA414" s="391"/>
      <c r="AB414" s="390"/>
      <c r="AC414" s="391"/>
      <c r="AD414" s="390"/>
      <c r="AE414" s="391"/>
      <c r="AF414" s="390"/>
      <c r="AG414" s="391"/>
      <c r="AH414" s="390"/>
      <c r="AI414" s="391"/>
      <c r="AJ414" s="390"/>
      <c r="AK414" s="391"/>
      <c r="AL414" s="390"/>
      <c r="AM414" s="391"/>
      <c r="AN414" s="390"/>
      <c r="AO414" s="391"/>
    </row>
    <row r="415" spans="1:41" s="53" customFormat="1">
      <c r="A415" s="249" t="s">
        <v>360</v>
      </c>
      <c r="B415" s="250" t="s">
        <v>387</v>
      </c>
      <c r="C415" s="457"/>
      <c r="D415" s="458">
        <v>217712</v>
      </c>
      <c r="E415" s="459">
        <v>10</v>
      </c>
      <c r="F415" s="390">
        <v>6400</v>
      </c>
      <c r="G415" s="391">
        <v>6400</v>
      </c>
      <c r="H415" s="390">
        <v>13750</v>
      </c>
      <c r="I415" s="391">
        <v>13750</v>
      </c>
      <c r="J415" s="390"/>
      <c r="K415" s="391"/>
      <c r="L415" s="390"/>
      <c r="M415" s="391"/>
      <c r="N415" s="390"/>
      <c r="O415" s="391"/>
      <c r="P415" s="390"/>
      <c r="Q415" s="391"/>
      <c r="R415" s="390"/>
      <c r="S415" s="391"/>
      <c r="T415" s="390"/>
      <c r="U415" s="391"/>
      <c r="V415" s="390"/>
      <c r="W415" s="391"/>
      <c r="X415" s="390"/>
      <c r="Y415" s="391"/>
      <c r="Z415" s="390"/>
      <c r="AA415" s="391"/>
      <c r="AB415" s="390"/>
      <c r="AC415" s="391"/>
      <c r="AD415" s="390"/>
      <c r="AE415" s="391"/>
      <c r="AF415" s="390"/>
      <c r="AG415" s="391"/>
      <c r="AH415" s="390"/>
      <c r="AI415" s="391"/>
      <c r="AJ415" s="390"/>
      <c r="AK415" s="391"/>
      <c r="AL415" s="390"/>
      <c r="AM415" s="391"/>
      <c r="AN415" s="390"/>
      <c r="AO415" s="391"/>
    </row>
    <row r="416" spans="1:41" s="53" customFormat="1">
      <c r="A416" s="249" t="s">
        <v>360</v>
      </c>
      <c r="B416" s="250" t="s">
        <v>388</v>
      </c>
      <c r="C416" s="457"/>
      <c r="D416" s="458">
        <v>218672</v>
      </c>
      <c r="E416" s="459">
        <v>10</v>
      </c>
      <c r="F416" s="390">
        <v>7558</v>
      </c>
      <c r="G416" s="391">
        <v>7558</v>
      </c>
      <c r="H416" s="390">
        <v>18238</v>
      </c>
      <c r="I416" s="391">
        <v>18238</v>
      </c>
      <c r="J416" s="390"/>
      <c r="K416" s="391"/>
      <c r="L416" s="390"/>
      <c r="M416" s="391"/>
      <c r="N416" s="390"/>
      <c r="O416" s="391"/>
      <c r="P416" s="390"/>
      <c r="Q416" s="391"/>
      <c r="R416" s="390"/>
      <c r="S416" s="391"/>
      <c r="T416" s="390"/>
      <c r="U416" s="391"/>
      <c r="V416" s="390"/>
      <c r="W416" s="391"/>
      <c r="X416" s="390"/>
      <c r="Y416" s="391"/>
      <c r="Z416" s="390"/>
      <c r="AA416" s="391"/>
      <c r="AB416" s="390"/>
      <c r="AC416" s="391"/>
      <c r="AD416" s="390"/>
      <c r="AE416" s="391"/>
      <c r="AF416" s="390"/>
      <c r="AG416" s="391"/>
      <c r="AH416" s="390"/>
      <c r="AI416" s="391"/>
      <c r="AJ416" s="390"/>
      <c r="AK416" s="391"/>
      <c r="AL416" s="390"/>
      <c r="AM416" s="391"/>
      <c r="AN416" s="390"/>
      <c r="AO416" s="391"/>
    </row>
    <row r="417" spans="1:44" s="53" customFormat="1">
      <c r="A417" s="249" t="s">
        <v>360</v>
      </c>
      <c r="B417" s="250" t="s">
        <v>389</v>
      </c>
      <c r="C417" s="457"/>
      <c r="D417" s="458">
        <v>218681</v>
      </c>
      <c r="E417" s="459">
        <v>10</v>
      </c>
      <c r="F417" s="390">
        <v>7558</v>
      </c>
      <c r="G417" s="391">
        <v>7558</v>
      </c>
      <c r="H417" s="390">
        <v>18238</v>
      </c>
      <c r="I417" s="391">
        <v>18238</v>
      </c>
      <c r="J417" s="390"/>
      <c r="K417" s="391"/>
      <c r="L417" s="390"/>
      <c r="M417" s="391"/>
      <c r="N417" s="390"/>
      <c r="O417" s="391"/>
      <c r="P417" s="390"/>
      <c r="Q417" s="391"/>
      <c r="R417" s="390"/>
      <c r="S417" s="391"/>
      <c r="T417" s="390"/>
      <c r="U417" s="391"/>
      <c r="V417" s="390"/>
      <c r="W417" s="391"/>
      <c r="X417" s="390"/>
      <c r="Y417" s="391"/>
      <c r="Z417" s="390"/>
      <c r="AA417" s="391"/>
      <c r="AB417" s="390"/>
      <c r="AC417" s="391"/>
      <c r="AD417" s="390"/>
      <c r="AE417" s="391"/>
      <c r="AF417" s="390"/>
      <c r="AG417" s="391"/>
      <c r="AH417" s="390"/>
      <c r="AI417" s="391"/>
      <c r="AJ417" s="390"/>
      <c r="AK417" s="391"/>
      <c r="AL417" s="390"/>
      <c r="AM417" s="391"/>
      <c r="AN417" s="390"/>
      <c r="AO417" s="391"/>
    </row>
    <row r="418" spans="1:44" s="179" customFormat="1" ht="15" customHeight="1">
      <c r="A418" s="249" t="s">
        <v>360</v>
      </c>
      <c r="B418" s="250" t="s">
        <v>390</v>
      </c>
      <c r="C418" s="485"/>
      <c r="D418" s="458">
        <v>218690</v>
      </c>
      <c r="E418" s="459">
        <v>10</v>
      </c>
      <c r="F418" s="390">
        <v>7558</v>
      </c>
      <c r="G418" s="391">
        <v>7558</v>
      </c>
      <c r="H418" s="390">
        <v>18238</v>
      </c>
      <c r="I418" s="391">
        <v>18238</v>
      </c>
      <c r="J418" s="390"/>
      <c r="K418" s="391"/>
      <c r="L418" s="390"/>
      <c r="M418" s="391"/>
      <c r="N418" s="390"/>
      <c r="O418" s="391"/>
      <c r="P418" s="390"/>
      <c r="Q418" s="391"/>
      <c r="R418" s="390"/>
      <c r="S418" s="391"/>
      <c r="T418" s="390"/>
      <c r="U418" s="391"/>
      <c r="V418" s="390"/>
      <c r="W418" s="391"/>
      <c r="X418" s="390"/>
      <c r="Y418" s="391"/>
      <c r="Z418" s="390"/>
      <c r="AA418" s="391"/>
      <c r="AB418" s="390"/>
      <c r="AC418" s="391"/>
      <c r="AD418" s="390"/>
      <c r="AE418" s="391"/>
      <c r="AF418" s="390"/>
      <c r="AG418" s="391"/>
      <c r="AH418" s="390"/>
      <c r="AI418" s="391"/>
      <c r="AJ418" s="390"/>
      <c r="AK418" s="391"/>
      <c r="AL418" s="390"/>
      <c r="AM418" s="391"/>
      <c r="AN418" s="390"/>
      <c r="AO418" s="391"/>
    </row>
    <row r="419" spans="1:44" s="179" customFormat="1" ht="15" customHeight="1">
      <c r="A419" s="249" t="s">
        <v>360</v>
      </c>
      <c r="B419" s="250" t="s">
        <v>391</v>
      </c>
      <c r="C419" s="485"/>
      <c r="D419" s="458">
        <v>218706</v>
      </c>
      <c r="E419" s="459">
        <v>10</v>
      </c>
      <c r="F419" s="390">
        <v>7558</v>
      </c>
      <c r="G419" s="391">
        <v>7558</v>
      </c>
      <c r="H419" s="390">
        <v>18238</v>
      </c>
      <c r="I419" s="391">
        <v>18238</v>
      </c>
      <c r="J419" s="390"/>
      <c r="K419" s="391"/>
      <c r="L419" s="390"/>
      <c r="M419" s="391"/>
      <c r="N419" s="390"/>
      <c r="O419" s="391"/>
      <c r="P419" s="390"/>
      <c r="Q419" s="391"/>
      <c r="R419" s="390"/>
      <c r="S419" s="391"/>
      <c r="T419" s="390"/>
      <c r="U419" s="391"/>
      <c r="V419" s="390"/>
      <c r="W419" s="391"/>
      <c r="X419" s="390"/>
      <c r="Y419" s="391"/>
      <c r="Z419" s="390"/>
      <c r="AA419" s="391"/>
      <c r="AB419" s="390"/>
      <c r="AC419" s="391"/>
      <c r="AD419" s="390"/>
      <c r="AE419" s="391"/>
      <c r="AF419" s="390"/>
      <c r="AG419" s="391"/>
      <c r="AH419" s="390"/>
      <c r="AI419" s="391"/>
      <c r="AJ419" s="390"/>
      <c r="AK419" s="391"/>
      <c r="AL419" s="390"/>
      <c r="AM419" s="391"/>
      <c r="AN419" s="390"/>
      <c r="AO419" s="391"/>
    </row>
    <row r="420" spans="1:44" s="179" customFormat="1" ht="15" customHeight="1">
      <c r="A420" s="249" t="s">
        <v>360</v>
      </c>
      <c r="B420" s="254" t="s">
        <v>642</v>
      </c>
      <c r="C420" s="485"/>
      <c r="D420" s="458">
        <v>218955</v>
      </c>
      <c r="E420" s="459">
        <v>10</v>
      </c>
      <c r="F420" s="390">
        <v>5610</v>
      </c>
      <c r="G420" s="391">
        <v>5610</v>
      </c>
      <c r="H420" s="390">
        <v>10500</v>
      </c>
      <c r="I420" s="391">
        <v>10500</v>
      </c>
      <c r="J420" s="390"/>
      <c r="K420" s="391"/>
      <c r="L420" s="390"/>
      <c r="M420" s="391"/>
      <c r="N420" s="390"/>
      <c r="O420" s="391"/>
      <c r="P420" s="390"/>
      <c r="Q420" s="391"/>
      <c r="R420" s="390"/>
      <c r="S420" s="391"/>
      <c r="T420" s="390"/>
      <c r="U420" s="391"/>
      <c r="V420" s="390"/>
      <c r="W420" s="391"/>
      <c r="X420" s="390"/>
      <c r="Y420" s="391"/>
      <c r="Z420" s="390"/>
      <c r="AA420" s="391"/>
      <c r="AB420" s="390"/>
      <c r="AC420" s="391"/>
      <c r="AD420" s="390"/>
      <c r="AE420" s="391"/>
      <c r="AF420" s="390"/>
      <c r="AG420" s="391"/>
      <c r="AH420" s="390"/>
      <c r="AI420" s="391"/>
      <c r="AJ420" s="390"/>
      <c r="AK420" s="391"/>
      <c r="AL420" s="390"/>
      <c r="AM420" s="391"/>
      <c r="AN420" s="390"/>
      <c r="AO420" s="391"/>
    </row>
    <row r="421" spans="1:44" s="53" customFormat="1">
      <c r="A421" s="252" t="s">
        <v>360</v>
      </c>
      <c r="B421" s="250" t="s">
        <v>392</v>
      </c>
      <c r="C421" s="457"/>
      <c r="D421" s="458">
        <v>218335</v>
      </c>
      <c r="E421" s="459">
        <v>15</v>
      </c>
      <c r="F421" s="390">
        <v>14318</v>
      </c>
      <c r="G421" s="391">
        <v>14318</v>
      </c>
      <c r="H421" s="390">
        <v>20302</v>
      </c>
      <c r="I421" s="391">
        <v>18803</v>
      </c>
      <c r="J421" s="390">
        <v>16761</v>
      </c>
      <c r="K421" s="391">
        <v>16761</v>
      </c>
      <c r="L421" s="390">
        <v>22694</v>
      </c>
      <c r="M421" s="391">
        <v>22571</v>
      </c>
      <c r="N421" s="390"/>
      <c r="O421" s="391"/>
      <c r="P421" s="390"/>
      <c r="Q421" s="391"/>
      <c r="R421" s="390">
        <v>37029</v>
      </c>
      <c r="S421" s="391">
        <v>37029</v>
      </c>
      <c r="T421" s="390">
        <v>64704</v>
      </c>
      <c r="U421" s="391">
        <v>64704</v>
      </c>
      <c r="V421" s="390">
        <v>34300</v>
      </c>
      <c r="W421" s="391">
        <v>34300</v>
      </c>
      <c r="X421" s="390">
        <v>60000</v>
      </c>
      <c r="Y421" s="391">
        <v>60000</v>
      </c>
      <c r="Z421" s="390">
        <v>29321</v>
      </c>
      <c r="AA421" s="391">
        <v>29321</v>
      </c>
      <c r="AB421" s="390">
        <v>42325</v>
      </c>
      <c r="AC421" s="391">
        <v>42325</v>
      </c>
      <c r="AD421" s="390"/>
      <c r="AE421" s="391"/>
      <c r="AF421" s="390"/>
      <c r="AG421" s="391"/>
      <c r="AH421" s="390"/>
      <c r="AI421" s="391"/>
      <c r="AJ421" s="390"/>
      <c r="AK421" s="391"/>
      <c r="AL421" s="390"/>
      <c r="AM421" s="391"/>
      <c r="AN421" s="390"/>
      <c r="AO421" s="391"/>
    </row>
    <row r="422" spans="1:44">
      <c r="A422" s="225" t="s">
        <v>393</v>
      </c>
      <c r="B422" s="226" t="s">
        <v>394</v>
      </c>
      <c r="C422" s="438"/>
      <c r="D422" s="436">
        <v>220862</v>
      </c>
      <c r="E422" s="439">
        <v>1</v>
      </c>
      <c r="F422" s="401">
        <v>9936</v>
      </c>
      <c r="G422" s="402">
        <v>10056</v>
      </c>
      <c r="H422" s="401">
        <v>16794</v>
      </c>
      <c r="I422" s="402">
        <v>17184</v>
      </c>
      <c r="J422" s="401">
        <v>11940</v>
      </c>
      <c r="K422" s="402">
        <v>12120</v>
      </c>
      <c r="L422" s="401">
        <v>18596</v>
      </c>
      <c r="M422" s="402">
        <v>19052</v>
      </c>
      <c r="N422" s="401">
        <v>17496</v>
      </c>
      <c r="O422" s="402">
        <v>19338</v>
      </c>
      <c r="P422" s="401">
        <v>23848</v>
      </c>
      <c r="Q422" s="402">
        <v>24134</v>
      </c>
      <c r="R422" s="401"/>
      <c r="S422" s="402"/>
      <c r="T422" s="401"/>
      <c r="U422" s="402"/>
      <c r="V422" s="401"/>
      <c r="W422" s="402"/>
      <c r="X422" s="401"/>
      <c r="Y422" s="402"/>
      <c r="Z422" s="401"/>
      <c r="AA422" s="402"/>
      <c r="AB422" s="401"/>
      <c r="AC422" s="402"/>
      <c r="AD422" s="401"/>
      <c r="AE422" s="402"/>
      <c r="AF422" s="401"/>
      <c r="AG422" s="402"/>
      <c r="AH422" s="401"/>
      <c r="AI422" s="402"/>
      <c r="AJ422" s="401"/>
      <c r="AK422" s="402"/>
      <c r="AL422" s="401"/>
      <c r="AM422" s="402"/>
      <c r="AN422" s="401"/>
      <c r="AO422" s="402"/>
      <c r="AP422" s="53"/>
      <c r="AQ422" s="53"/>
      <c r="AR422" s="53"/>
    </row>
    <row r="423" spans="1:44">
      <c r="A423" s="225" t="s">
        <v>393</v>
      </c>
      <c r="B423" s="226" t="s">
        <v>395</v>
      </c>
      <c r="C423" s="440"/>
      <c r="D423" s="436">
        <v>221759</v>
      </c>
      <c r="E423" s="439">
        <v>1</v>
      </c>
      <c r="F423" s="401">
        <v>13264</v>
      </c>
      <c r="G423" s="402">
        <v>13244</v>
      </c>
      <c r="H423" s="401">
        <v>31684</v>
      </c>
      <c r="I423" s="402">
        <v>31434</v>
      </c>
      <c r="J423" s="401">
        <v>13380</v>
      </c>
      <c r="K423" s="402">
        <v>13380</v>
      </c>
      <c r="L423" s="401">
        <v>31798</v>
      </c>
      <c r="M423" s="402">
        <v>31568</v>
      </c>
      <c r="N423" s="401">
        <v>20168</v>
      </c>
      <c r="O423" s="402">
        <v>20168</v>
      </c>
      <c r="P423" s="401">
        <v>38842</v>
      </c>
      <c r="Q423" s="402">
        <v>38612</v>
      </c>
      <c r="R423" s="401"/>
      <c r="S423" s="402"/>
      <c r="T423" s="401"/>
      <c r="U423" s="402"/>
      <c r="V423" s="401"/>
      <c r="W423" s="402"/>
      <c r="X423" s="401"/>
      <c r="Y423" s="402"/>
      <c r="Z423" s="401"/>
      <c r="AA423" s="402"/>
      <c r="AB423" s="401"/>
      <c r="AC423" s="402"/>
      <c r="AD423" s="401"/>
      <c r="AE423" s="402"/>
      <c r="AF423" s="401"/>
      <c r="AG423" s="402"/>
      <c r="AH423" s="401"/>
      <c r="AI423" s="402"/>
      <c r="AJ423" s="401"/>
      <c r="AK423" s="402"/>
      <c r="AL423" s="401">
        <v>29336</v>
      </c>
      <c r="AM423" s="402">
        <v>29886</v>
      </c>
      <c r="AN423" s="401">
        <v>56602</v>
      </c>
      <c r="AO423" s="402">
        <v>56922</v>
      </c>
      <c r="AP423" s="53"/>
      <c r="AQ423" s="53"/>
      <c r="AR423" s="53"/>
    </row>
    <row r="424" spans="1:44">
      <c r="A424" s="225" t="s">
        <v>393</v>
      </c>
      <c r="B424" s="226" t="s">
        <v>396</v>
      </c>
      <c r="C424" s="438"/>
      <c r="D424" s="436">
        <v>220075</v>
      </c>
      <c r="E424" s="439">
        <v>2</v>
      </c>
      <c r="F424" s="401">
        <v>9491</v>
      </c>
      <c r="G424" s="402">
        <v>9674</v>
      </c>
      <c r="H424" s="401">
        <v>28673</v>
      </c>
      <c r="I424" s="402">
        <v>28856</v>
      </c>
      <c r="J424" s="401">
        <v>11903</v>
      </c>
      <c r="K424" s="402">
        <v>12104</v>
      </c>
      <c r="L424" s="401">
        <v>27023</v>
      </c>
      <c r="M424" s="402">
        <v>27242</v>
      </c>
      <c r="N424" s="401"/>
      <c r="O424" s="402"/>
      <c r="P424" s="401"/>
      <c r="Q424" s="402"/>
      <c r="R424" s="401">
        <v>34979</v>
      </c>
      <c r="S424" s="402">
        <v>35012</v>
      </c>
      <c r="T424" s="401">
        <v>44829</v>
      </c>
      <c r="U424" s="402">
        <v>44862</v>
      </c>
      <c r="V424" s="401"/>
      <c r="W424" s="402"/>
      <c r="X424" s="401"/>
      <c r="Y424" s="402"/>
      <c r="Z424" s="401">
        <v>39586</v>
      </c>
      <c r="AA424" s="402">
        <v>39619</v>
      </c>
      <c r="AB424" s="406">
        <v>39586</v>
      </c>
      <c r="AC424" s="402">
        <v>39619</v>
      </c>
      <c r="AD424" s="401"/>
      <c r="AE424" s="402"/>
      <c r="AF424" s="401"/>
      <c r="AG424" s="402"/>
      <c r="AH424" s="401"/>
      <c r="AI424" s="402"/>
      <c r="AJ424" s="401"/>
      <c r="AK424" s="402"/>
      <c r="AL424" s="401"/>
      <c r="AM424" s="402"/>
      <c r="AN424" s="401"/>
      <c r="AO424" s="402"/>
      <c r="AP424" s="53"/>
      <c r="AQ424" s="53"/>
      <c r="AR424" s="53"/>
    </row>
    <row r="425" spans="1:44" s="179" customFormat="1" ht="15.75" customHeight="1">
      <c r="A425" s="225" t="s">
        <v>393</v>
      </c>
      <c r="B425" s="226" t="s">
        <v>399</v>
      </c>
      <c r="C425" s="490"/>
      <c r="D425" s="436">
        <v>220978</v>
      </c>
      <c r="E425" s="439">
        <v>2</v>
      </c>
      <c r="F425" s="401">
        <v>9424</v>
      </c>
      <c r="G425" s="402">
        <v>9592</v>
      </c>
      <c r="H425" s="401">
        <v>29038</v>
      </c>
      <c r="I425" s="402">
        <v>29584</v>
      </c>
      <c r="J425" s="401">
        <v>12206</v>
      </c>
      <c r="K425" s="402">
        <v>12744</v>
      </c>
      <c r="L425" s="401">
        <v>30486</v>
      </c>
      <c r="M425" s="402">
        <v>31940</v>
      </c>
      <c r="N425" s="401"/>
      <c r="O425" s="402"/>
      <c r="P425" s="401"/>
      <c r="Q425" s="402"/>
      <c r="R425" s="401"/>
      <c r="S425" s="402"/>
      <c r="T425" s="401"/>
      <c r="U425" s="402"/>
      <c r="V425" s="401"/>
      <c r="W425" s="402"/>
      <c r="X425" s="401"/>
      <c r="Y425" s="402"/>
      <c r="Z425" s="401"/>
      <c r="AA425" s="402"/>
      <c r="AB425" s="401"/>
      <c r="AC425" s="402"/>
      <c r="AD425" s="401"/>
      <c r="AE425" s="402"/>
      <c r="AF425" s="401"/>
      <c r="AG425" s="402"/>
      <c r="AH425" s="401"/>
      <c r="AI425" s="402"/>
      <c r="AJ425" s="401"/>
      <c r="AK425" s="402"/>
      <c r="AL425" s="401"/>
      <c r="AM425" s="402"/>
      <c r="AN425" s="401"/>
      <c r="AO425" s="402"/>
    </row>
    <row r="426" spans="1:44">
      <c r="A426" s="225" t="s">
        <v>393</v>
      </c>
      <c r="B426" s="226" t="s">
        <v>397</v>
      </c>
      <c r="C426" s="438"/>
      <c r="D426" s="436">
        <v>221838</v>
      </c>
      <c r="E426" s="439">
        <v>2</v>
      </c>
      <c r="F426" s="401">
        <v>8183</v>
      </c>
      <c r="G426" s="402">
        <v>8335</v>
      </c>
      <c r="H426" s="401">
        <v>21539</v>
      </c>
      <c r="I426" s="402">
        <v>21691</v>
      </c>
      <c r="J426" s="401">
        <v>10537</v>
      </c>
      <c r="K426" s="402">
        <v>10731</v>
      </c>
      <c r="L426" s="401">
        <v>22641</v>
      </c>
      <c r="M426" s="402">
        <v>22835</v>
      </c>
      <c r="N426" s="401"/>
      <c r="O426" s="402"/>
      <c r="P426" s="401"/>
      <c r="Q426" s="402"/>
      <c r="R426" s="401"/>
      <c r="S426" s="402"/>
      <c r="T426" s="401"/>
      <c r="U426" s="402"/>
      <c r="V426" s="401"/>
      <c r="W426" s="402"/>
      <c r="X426" s="401"/>
      <c r="Y426" s="402"/>
      <c r="Z426" s="401"/>
      <c r="AA426" s="402"/>
      <c r="AB426" s="401"/>
      <c r="AC426" s="402"/>
      <c r="AD426" s="401"/>
      <c r="AE426" s="402"/>
      <c r="AF426" s="401"/>
      <c r="AG426" s="402"/>
      <c r="AH426" s="401"/>
      <c r="AI426" s="402"/>
      <c r="AJ426" s="401"/>
      <c r="AK426" s="402"/>
      <c r="AL426" s="401"/>
      <c r="AM426" s="402"/>
      <c r="AN426" s="401"/>
      <c r="AO426" s="402"/>
      <c r="AP426" s="53"/>
      <c r="AQ426" s="53"/>
      <c r="AR426" s="53"/>
    </row>
    <row r="427" spans="1:44">
      <c r="A427" s="225" t="s">
        <v>393</v>
      </c>
      <c r="B427" s="226" t="s">
        <v>398</v>
      </c>
      <c r="C427" s="440"/>
      <c r="D427" s="436">
        <v>219602</v>
      </c>
      <c r="E427" s="439">
        <v>3</v>
      </c>
      <c r="F427" s="401">
        <v>8627</v>
      </c>
      <c r="G427" s="402">
        <v>8761</v>
      </c>
      <c r="H427" s="401">
        <v>14171</v>
      </c>
      <c r="I427" s="402">
        <v>14305</v>
      </c>
      <c r="J427" s="401">
        <v>10931</v>
      </c>
      <c r="K427" s="402">
        <v>11107</v>
      </c>
      <c r="L427" s="401">
        <v>16471</v>
      </c>
      <c r="M427" s="402">
        <v>16647</v>
      </c>
      <c r="N427" s="401"/>
      <c r="O427" s="402"/>
      <c r="P427" s="401"/>
      <c r="Q427" s="402"/>
      <c r="R427" s="401"/>
      <c r="S427" s="402"/>
      <c r="T427" s="401"/>
      <c r="U427" s="402"/>
      <c r="V427" s="401"/>
      <c r="W427" s="402"/>
      <c r="X427" s="401"/>
      <c r="Y427" s="402"/>
      <c r="Z427" s="401"/>
      <c r="AA427" s="402"/>
      <c r="AB427" s="401"/>
      <c r="AC427" s="402"/>
      <c r="AD427" s="401"/>
      <c r="AE427" s="402"/>
      <c r="AF427" s="401"/>
      <c r="AG427" s="402"/>
      <c r="AH427" s="401"/>
      <c r="AI427" s="402"/>
      <c r="AJ427" s="401"/>
      <c r="AK427" s="402"/>
      <c r="AL427" s="401"/>
      <c r="AM427" s="402"/>
      <c r="AN427" s="401"/>
      <c r="AO427" s="402"/>
      <c r="AP427" s="53"/>
      <c r="AQ427" s="53"/>
      <c r="AR427" s="53"/>
    </row>
    <row r="428" spans="1:44" s="179" customFormat="1" ht="15.75" customHeight="1">
      <c r="A428" s="225" t="s">
        <v>393</v>
      </c>
      <c r="B428" s="226" t="s">
        <v>400</v>
      </c>
      <c r="C428" s="491"/>
      <c r="D428" s="436">
        <v>221847</v>
      </c>
      <c r="E428" s="439">
        <v>3</v>
      </c>
      <c r="F428" s="401">
        <v>10338</v>
      </c>
      <c r="G428" s="402">
        <v>10522</v>
      </c>
      <c r="H428" s="401">
        <v>14538</v>
      </c>
      <c r="I428" s="402">
        <v>14722</v>
      </c>
      <c r="J428" s="401">
        <v>11966</v>
      </c>
      <c r="K428" s="402">
        <v>12178</v>
      </c>
      <c r="L428" s="401">
        <v>15326</v>
      </c>
      <c r="M428" s="402">
        <v>15538</v>
      </c>
      <c r="N428" s="401"/>
      <c r="O428" s="402"/>
      <c r="P428" s="401"/>
      <c r="Q428" s="402"/>
      <c r="R428" s="401"/>
      <c r="S428" s="402"/>
      <c r="T428" s="401"/>
      <c r="U428" s="402"/>
      <c r="V428" s="401"/>
      <c r="W428" s="402"/>
      <c r="X428" s="401"/>
      <c r="Y428" s="402"/>
      <c r="Z428" s="401"/>
      <c r="AA428" s="402"/>
      <c r="AB428" s="401"/>
      <c r="AC428" s="402"/>
      <c r="AD428" s="401"/>
      <c r="AE428" s="402"/>
      <c r="AF428" s="401"/>
      <c r="AG428" s="402"/>
      <c r="AH428" s="401"/>
      <c r="AI428" s="402"/>
      <c r="AJ428" s="401"/>
      <c r="AK428" s="402"/>
      <c r="AL428" s="401"/>
      <c r="AM428" s="402"/>
      <c r="AN428" s="401"/>
      <c r="AO428" s="402"/>
    </row>
    <row r="429" spans="1:44" s="179" customFormat="1" ht="15.75" customHeight="1">
      <c r="A429" s="225" t="s">
        <v>393</v>
      </c>
      <c r="B429" s="226" t="s">
        <v>401</v>
      </c>
      <c r="C429" s="491"/>
      <c r="D429" s="436">
        <v>221740</v>
      </c>
      <c r="E429" s="439">
        <v>3</v>
      </c>
      <c r="F429" s="401">
        <v>9656</v>
      </c>
      <c r="G429" s="402">
        <v>9848</v>
      </c>
      <c r="H429" s="401">
        <v>25774</v>
      </c>
      <c r="I429" s="402">
        <v>25966</v>
      </c>
      <c r="J429" s="401">
        <v>10270</v>
      </c>
      <c r="K429" s="402">
        <v>10474</v>
      </c>
      <c r="L429" s="401">
        <v>18334</v>
      </c>
      <c r="M429" s="402">
        <v>18538</v>
      </c>
      <c r="N429" s="401"/>
      <c r="O429" s="402"/>
      <c r="P429" s="401"/>
      <c r="Q429" s="402"/>
      <c r="R429" s="401"/>
      <c r="S429" s="402"/>
      <c r="T429" s="401"/>
      <c r="U429" s="402"/>
      <c r="V429" s="401"/>
      <c r="W429" s="402"/>
      <c r="X429" s="401"/>
      <c r="Y429" s="402"/>
      <c r="Z429" s="401"/>
      <c r="AA429" s="402"/>
      <c r="AB429" s="401"/>
      <c r="AC429" s="402"/>
      <c r="AD429" s="401"/>
      <c r="AE429" s="402"/>
      <c r="AF429" s="401"/>
      <c r="AG429" s="402"/>
      <c r="AH429" s="401"/>
      <c r="AI429" s="402"/>
      <c r="AJ429" s="401"/>
      <c r="AK429" s="402"/>
      <c r="AL429" s="401"/>
      <c r="AM429" s="402"/>
      <c r="AN429" s="401"/>
      <c r="AO429" s="402"/>
    </row>
    <row r="430" spans="1:44" s="179" customFormat="1" ht="15.75" customHeight="1">
      <c r="A430" s="225" t="s">
        <v>393</v>
      </c>
      <c r="B430" s="226" t="s">
        <v>402</v>
      </c>
      <c r="C430" s="492"/>
      <c r="D430" s="436">
        <v>221768</v>
      </c>
      <c r="E430" s="493">
        <v>4</v>
      </c>
      <c r="F430" s="401">
        <v>9748</v>
      </c>
      <c r="G430" s="402">
        <v>9912</v>
      </c>
      <c r="H430" s="401">
        <v>15788</v>
      </c>
      <c r="I430" s="402">
        <v>15952</v>
      </c>
      <c r="J430" s="401">
        <v>10616</v>
      </c>
      <c r="K430" s="402">
        <v>10798</v>
      </c>
      <c r="L430" s="401">
        <v>16656</v>
      </c>
      <c r="M430" s="402">
        <v>16838</v>
      </c>
      <c r="N430" s="401"/>
      <c r="O430" s="402"/>
      <c r="P430" s="401"/>
      <c r="Q430" s="402"/>
      <c r="R430" s="401"/>
      <c r="S430" s="402"/>
      <c r="T430" s="401"/>
      <c r="U430" s="402"/>
      <c r="V430" s="401"/>
      <c r="W430" s="402"/>
      <c r="X430" s="401"/>
      <c r="Y430" s="402"/>
      <c r="Z430" s="401"/>
      <c r="AA430" s="402"/>
      <c r="AB430" s="401"/>
      <c r="AC430" s="402"/>
      <c r="AD430" s="401"/>
      <c r="AE430" s="402"/>
      <c r="AF430" s="401"/>
      <c r="AG430" s="402"/>
      <c r="AH430" s="401"/>
      <c r="AI430" s="402"/>
      <c r="AJ430" s="401"/>
      <c r="AK430" s="402"/>
      <c r="AL430" s="401"/>
      <c r="AM430" s="402"/>
      <c r="AN430" s="401"/>
      <c r="AO430" s="402"/>
    </row>
    <row r="431" spans="1:44" s="179" customFormat="1" ht="15.75" customHeight="1">
      <c r="A431" s="225" t="s">
        <v>393</v>
      </c>
      <c r="B431" s="226" t="s">
        <v>403</v>
      </c>
      <c r="C431" s="494" t="s">
        <v>1016</v>
      </c>
      <c r="D431" s="436">
        <v>219824</v>
      </c>
      <c r="E431" s="439">
        <v>8</v>
      </c>
      <c r="F431" s="401">
        <v>4568</v>
      </c>
      <c r="G431" s="402">
        <v>4652</v>
      </c>
      <c r="H431" s="401">
        <v>17774</v>
      </c>
      <c r="I431" s="402">
        <v>18110</v>
      </c>
      <c r="J431" s="401"/>
      <c r="K431" s="402"/>
      <c r="L431" s="401"/>
      <c r="M431" s="402"/>
      <c r="N431" s="401"/>
      <c r="O431" s="402"/>
      <c r="P431" s="401"/>
      <c r="Q431" s="402"/>
      <c r="R431" s="401"/>
      <c r="S431" s="402"/>
      <c r="T431" s="401"/>
      <c r="U431" s="402"/>
      <c r="V431" s="401"/>
      <c r="W431" s="402"/>
      <c r="X431" s="401"/>
      <c r="Y431" s="402"/>
      <c r="Z431" s="401"/>
      <c r="AA431" s="402"/>
      <c r="AB431" s="401"/>
      <c r="AC431" s="402"/>
      <c r="AD431" s="401"/>
      <c r="AE431" s="402"/>
      <c r="AF431" s="401"/>
      <c r="AG431" s="402"/>
      <c r="AH431" s="401"/>
      <c r="AI431" s="402"/>
      <c r="AJ431" s="401"/>
      <c r="AK431" s="402"/>
      <c r="AL431" s="401"/>
      <c r="AM431" s="402"/>
      <c r="AN431" s="401"/>
      <c r="AO431" s="402"/>
    </row>
    <row r="432" spans="1:44" s="179" customFormat="1" ht="15.75" customHeight="1">
      <c r="A432" s="225" t="s">
        <v>393</v>
      </c>
      <c r="B432" s="226" t="s">
        <v>404</v>
      </c>
      <c r="C432" s="494" t="s">
        <v>1016</v>
      </c>
      <c r="D432" s="436">
        <v>221184</v>
      </c>
      <c r="E432" s="439">
        <v>8</v>
      </c>
      <c r="F432" s="401">
        <v>4504</v>
      </c>
      <c r="G432" s="402">
        <v>4594</v>
      </c>
      <c r="H432" s="401">
        <v>17710</v>
      </c>
      <c r="I432" s="402">
        <v>18052</v>
      </c>
      <c r="J432" s="401"/>
      <c r="K432" s="402"/>
      <c r="L432" s="401"/>
      <c r="M432" s="402"/>
      <c r="N432" s="401"/>
      <c r="O432" s="402"/>
      <c r="P432" s="401"/>
      <c r="Q432" s="402"/>
      <c r="R432" s="401"/>
      <c r="S432" s="402"/>
      <c r="T432" s="401"/>
      <c r="U432" s="402"/>
      <c r="V432" s="401"/>
      <c r="W432" s="402"/>
      <c r="X432" s="401"/>
      <c r="Y432" s="402"/>
      <c r="Z432" s="401"/>
      <c r="AA432" s="402"/>
      <c r="AB432" s="401"/>
      <c r="AC432" s="402"/>
      <c r="AD432" s="401"/>
      <c r="AE432" s="402"/>
      <c r="AF432" s="401"/>
      <c r="AG432" s="402"/>
      <c r="AH432" s="401"/>
      <c r="AI432" s="402"/>
      <c r="AJ432" s="401"/>
      <c r="AK432" s="402"/>
      <c r="AL432" s="401"/>
      <c r="AM432" s="402"/>
      <c r="AN432" s="401"/>
      <c r="AO432" s="402"/>
    </row>
    <row r="433" spans="1:44" s="179" customFormat="1" ht="15.75" customHeight="1">
      <c r="A433" s="225" t="s">
        <v>393</v>
      </c>
      <c r="B433" s="226" t="s">
        <v>405</v>
      </c>
      <c r="C433" s="494"/>
      <c r="D433" s="436">
        <v>221643</v>
      </c>
      <c r="E433" s="439">
        <v>8</v>
      </c>
      <c r="F433" s="401">
        <v>4588</v>
      </c>
      <c r="G433" s="402">
        <v>4678</v>
      </c>
      <c r="H433" s="401">
        <v>17794</v>
      </c>
      <c r="I433" s="402">
        <v>18136</v>
      </c>
      <c r="J433" s="401"/>
      <c r="K433" s="402"/>
      <c r="L433" s="401"/>
      <c r="M433" s="402"/>
      <c r="N433" s="401"/>
      <c r="O433" s="402"/>
      <c r="P433" s="401"/>
      <c r="Q433" s="402"/>
      <c r="R433" s="401"/>
      <c r="S433" s="402"/>
      <c r="T433" s="401"/>
      <c r="U433" s="402"/>
      <c r="V433" s="401"/>
      <c r="W433" s="402"/>
      <c r="X433" s="401"/>
      <c r="Y433" s="402"/>
      <c r="Z433" s="401"/>
      <c r="AA433" s="402"/>
      <c r="AB433" s="401"/>
      <c r="AC433" s="402"/>
      <c r="AD433" s="401"/>
      <c r="AE433" s="402"/>
      <c r="AF433" s="401"/>
      <c r="AG433" s="402"/>
      <c r="AH433" s="401"/>
      <c r="AI433" s="402"/>
      <c r="AJ433" s="401"/>
      <c r="AK433" s="402"/>
      <c r="AL433" s="401"/>
      <c r="AM433" s="402"/>
      <c r="AN433" s="401"/>
      <c r="AO433" s="402"/>
    </row>
    <row r="434" spans="1:44" s="179" customFormat="1" ht="15.75" customHeight="1">
      <c r="A434" s="225" t="s">
        <v>393</v>
      </c>
      <c r="B434" s="226" t="s">
        <v>406</v>
      </c>
      <c r="C434" s="494" t="s">
        <v>1016</v>
      </c>
      <c r="D434" s="436">
        <v>221485</v>
      </c>
      <c r="E434" s="439">
        <v>8</v>
      </c>
      <c r="F434" s="401">
        <v>4568</v>
      </c>
      <c r="G434" s="402">
        <v>4652</v>
      </c>
      <c r="H434" s="401">
        <v>17774</v>
      </c>
      <c r="I434" s="402">
        <v>18110</v>
      </c>
      <c r="J434" s="401"/>
      <c r="K434" s="402"/>
      <c r="L434" s="401"/>
      <c r="M434" s="402"/>
      <c r="N434" s="401"/>
      <c r="O434" s="402"/>
      <c r="P434" s="401"/>
      <c r="Q434" s="402"/>
      <c r="R434" s="401"/>
      <c r="S434" s="402"/>
      <c r="T434" s="401"/>
      <c r="U434" s="402"/>
      <c r="V434" s="401"/>
      <c r="W434" s="402"/>
      <c r="X434" s="401"/>
      <c r="Y434" s="402"/>
      <c r="Z434" s="401"/>
      <c r="AA434" s="402"/>
      <c r="AB434" s="401"/>
      <c r="AC434" s="402"/>
      <c r="AD434" s="401"/>
      <c r="AE434" s="402"/>
      <c r="AF434" s="401"/>
      <c r="AG434" s="402"/>
      <c r="AH434" s="401"/>
      <c r="AI434" s="402"/>
      <c r="AJ434" s="401"/>
      <c r="AK434" s="402"/>
      <c r="AL434" s="401"/>
      <c r="AM434" s="402"/>
      <c r="AN434" s="401"/>
      <c r="AO434" s="402"/>
    </row>
    <row r="435" spans="1:44" s="179" customFormat="1" ht="15.75" customHeight="1">
      <c r="A435" s="225" t="s">
        <v>393</v>
      </c>
      <c r="B435" s="226" t="s">
        <v>407</v>
      </c>
      <c r="C435" s="491"/>
      <c r="D435" s="436">
        <v>222053</v>
      </c>
      <c r="E435" s="439">
        <v>8</v>
      </c>
      <c r="F435" s="401">
        <v>4542</v>
      </c>
      <c r="G435" s="402">
        <v>4626</v>
      </c>
      <c r="H435" s="401">
        <v>17748</v>
      </c>
      <c r="I435" s="402">
        <v>18084</v>
      </c>
      <c r="J435" s="401"/>
      <c r="K435" s="402"/>
      <c r="L435" s="401"/>
      <c r="M435" s="402"/>
      <c r="N435" s="401"/>
      <c r="O435" s="402"/>
      <c r="P435" s="401"/>
      <c r="Q435" s="402"/>
      <c r="R435" s="401"/>
      <c r="S435" s="402"/>
      <c r="T435" s="401"/>
      <c r="U435" s="402"/>
      <c r="V435" s="401"/>
      <c r="W435" s="402"/>
      <c r="X435" s="401"/>
      <c r="Y435" s="402"/>
      <c r="Z435" s="401"/>
      <c r="AA435" s="402"/>
      <c r="AB435" s="401"/>
      <c r="AC435" s="402"/>
      <c r="AD435" s="401"/>
      <c r="AE435" s="402"/>
      <c r="AF435" s="401"/>
      <c r="AG435" s="402"/>
      <c r="AH435" s="401"/>
      <c r="AI435" s="402"/>
      <c r="AJ435" s="401"/>
      <c r="AK435" s="402"/>
      <c r="AL435" s="401"/>
      <c r="AM435" s="402"/>
      <c r="AN435" s="401"/>
      <c r="AO435" s="402"/>
    </row>
    <row r="436" spans="1:44" s="179" customFormat="1" ht="15.75" customHeight="1">
      <c r="A436" s="225" t="s">
        <v>393</v>
      </c>
      <c r="B436" s="226" t="s">
        <v>408</v>
      </c>
      <c r="C436" s="491"/>
      <c r="D436" s="436">
        <v>219879</v>
      </c>
      <c r="E436" s="439">
        <v>9</v>
      </c>
      <c r="F436" s="401">
        <v>4548</v>
      </c>
      <c r="G436" s="402">
        <v>4632</v>
      </c>
      <c r="H436" s="401">
        <v>17754</v>
      </c>
      <c r="I436" s="402">
        <v>18090</v>
      </c>
      <c r="J436" s="401"/>
      <c r="K436" s="402"/>
      <c r="L436" s="401"/>
      <c r="M436" s="402"/>
      <c r="N436" s="401"/>
      <c r="O436" s="402"/>
      <c r="P436" s="401"/>
      <c r="Q436" s="402"/>
      <c r="R436" s="401"/>
      <c r="S436" s="402"/>
      <c r="T436" s="401"/>
      <c r="U436" s="402"/>
      <c r="V436" s="401"/>
      <c r="W436" s="402"/>
      <c r="X436" s="401"/>
      <c r="Y436" s="402"/>
      <c r="Z436" s="401"/>
      <c r="AA436" s="402"/>
      <c r="AB436" s="401"/>
      <c r="AC436" s="402"/>
      <c r="AD436" s="401"/>
      <c r="AE436" s="402"/>
      <c r="AF436" s="401"/>
      <c r="AG436" s="402"/>
      <c r="AH436" s="401"/>
      <c r="AI436" s="402"/>
      <c r="AJ436" s="401"/>
      <c r="AK436" s="402"/>
      <c r="AL436" s="401"/>
      <c r="AM436" s="402"/>
      <c r="AN436" s="401"/>
      <c r="AO436" s="402"/>
    </row>
    <row r="437" spans="1:44" s="179" customFormat="1" ht="15.75" customHeight="1">
      <c r="A437" s="225" t="s">
        <v>393</v>
      </c>
      <c r="B437" s="226" t="s">
        <v>409</v>
      </c>
      <c r="C437" s="491"/>
      <c r="D437" s="436">
        <v>219888</v>
      </c>
      <c r="E437" s="439">
        <v>9</v>
      </c>
      <c r="F437" s="401">
        <v>4582</v>
      </c>
      <c r="G437" s="402">
        <v>4666</v>
      </c>
      <c r="H437" s="401">
        <v>17788</v>
      </c>
      <c r="I437" s="402">
        <v>18124</v>
      </c>
      <c r="J437" s="401"/>
      <c r="K437" s="402"/>
      <c r="L437" s="401"/>
      <c r="M437" s="402"/>
      <c r="N437" s="401"/>
      <c r="O437" s="402"/>
      <c r="P437" s="401"/>
      <c r="Q437" s="402"/>
      <c r="R437" s="401"/>
      <c r="S437" s="402"/>
      <c r="T437" s="401"/>
      <c r="U437" s="402"/>
      <c r="V437" s="401"/>
      <c r="W437" s="402"/>
      <c r="X437" s="401"/>
      <c r="Y437" s="402"/>
      <c r="Z437" s="401"/>
      <c r="AA437" s="402"/>
      <c r="AB437" s="401"/>
      <c r="AC437" s="402"/>
      <c r="AD437" s="401"/>
      <c r="AE437" s="402"/>
      <c r="AF437" s="401"/>
      <c r="AG437" s="402"/>
      <c r="AH437" s="401"/>
      <c r="AI437" s="402"/>
      <c r="AJ437" s="401"/>
      <c r="AK437" s="402"/>
      <c r="AL437" s="401"/>
      <c r="AM437" s="402"/>
      <c r="AN437" s="401"/>
      <c r="AO437" s="402"/>
    </row>
    <row r="438" spans="1:44" s="179" customFormat="1" ht="15.75" customHeight="1">
      <c r="A438" s="225" t="s">
        <v>393</v>
      </c>
      <c r="B438" s="226" t="s">
        <v>411</v>
      </c>
      <c r="C438" s="491"/>
      <c r="D438" s="436">
        <v>220400</v>
      </c>
      <c r="E438" s="439">
        <v>9</v>
      </c>
      <c r="F438" s="401">
        <v>4534</v>
      </c>
      <c r="G438" s="402">
        <v>4618</v>
      </c>
      <c r="H438" s="401">
        <v>17740</v>
      </c>
      <c r="I438" s="402">
        <v>18076</v>
      </c>
      <c r="J438" s="401"/>
      <c r="K438" s="402"/>
      <c r="L438" s="401"/>
      <c r="M438" s="402"/>
      <c r="N438" s="401"/>
      <c r="O438" s="402"/>
      <c r="P438" s="401"/>
      <c r="Q438" s="402"/>
      <c r="R438" s="401"/>
      <c r="S438" s="402"/>
      <c r="T438" s="401"/>
      <c r="U438" s="402"/>
      <c r="V438" s="401"/>
      <c r="W438" s="402"/>
      <c r="X438" s="401"/>
      <c r="Y438" s="402"/>
      <c r="Z438" s="401"/>
      <c r="AA438" s="402"/>
      <c r="AB438" s="401"/>
      <c r="AC438" s="402"/>
      <c r="AD438" s="401"/>
      <c r="AE438" s="402"/>
      <c r="AF438" s="401"/>
      <c r="AG438" s="402"/>
      <c r="AH438" s="401"/>
      <c r="AI438" s="402"/>
      <c r="AJ438" s="401"/>
      <c r="AK438" s="402"/>
      <c r="AL438" s="401"/>
      <c r="AM438" s="402"/>
      <c r="AN438" s="401"/>
      <c r="AO438" s="402"/>
    </row>
    <row r="439" spans="1:44" s="179" customFormat="1" ht="15.75" customHeight="1">
      <c r="A439" s="225" t="s">
        <v>393</v>
      </c>
      <c r="B439" s="226" t="s">
        <v>412</v>
      </c>
      <c r="C439" s="491"/>
      <c r="D439" s="436">
        <v>221096</v>
      </c>
      <c r="E439" s="439">
        <v>9</v>
      </c>
      <c r="F439" s="401">
        <v>4554</v>
      </c>
      <c r="G439" s="402">
        <v>4638</v>
      </c>
      <c r="H439" s="401">
        <v>17760</v>
      </c>
      <c r="I439" s="402">
        <v>18096</v>
      </c>
      <c r="J439" s="401"/>
      <c r="K439" s="402"/>
      <c r="L439" s="401"/>
      <c r="M439" s="402"/>
      <c r="N439" s="401"/>
      <c r="O439" s="402"/>
      <c r="P439" s="401"/>
      <c r="Q439" s="402"/>
      <c r="R439" s="401"/>
      <c r="S439" s="402"/>
      <c r="T439" s="401"/>
      <c r="U439" s="402"/>
      <c r="V439" s="401"/>
      <c r="W439" s="402"/>
      <c r="X439" s="401"/>
      <c r="Y439" s="402"/>
      <c r="Z439" s="401"/>
      <c r="AA439" s="402"/>
      <c r="AB439" s="401"/>
      <c r="AC439" s="402"/>
      <c r="AD439" s="401"/>
      <c r="AE439" s="402"/>
      <c r="AF439" s="401"/>
      <c r="AG439" s="402"/>
      <c r="AH439" s="401"/>
      <c r="AI439" s="402"/>
      <c r="AJ439" s="401"/>
      <c r="AK439" s="402"/>
      <c r="AL439" s="401"/>
      <c r="AM439" s="402"/>
      <c r="AN439" s="401"/>
      <c r="AO439" s="402"/>
    </row>
    <row r="440" spans="1:44" s="179" customFormat="1" ht="15.75" customHeight="1">
      <c r="A440" s="225" t="s">
        <v>393</v>
      </c>
      <c r="B440" s="226" t="s">
        <v>413</v>
      </c>
      <c r="C440" s="491"/>
      <c r="D440" s="436">
        <v>221908</v>
      </c>
      <c r="E440" s="439">
        <v>9</v>
      </c>
      <c r="F440" s="401">
        <v>4560</v>
      </c>
      <c r="G440" s="402">
        <v>4644</v>
      </c>
      <c r="H440" s="401">
        <v>17766</v>
      </c>
      <c r="I440" s="402">
        <v>18102</v>
      </c>
      <c r="J440" s="401"/>
      <c r="K440" s="402"/>
      <c r="L440" s="401"/>
      <c r="M440" s="402"/>
      <c r="N440" s="401"/>
      <c r="O440" s="402"/>
      <c r="P440" s="401"/>
      <c r="Q440" s="402"/>
      <c r="R440" s="401"/>
      <c r="S440" s="402"/>
      <c r="T440" s="401"/>
      <c r="U440" s="402"/>
      <c r="V440" s="401"/>
      <c r="W440" s="402"/>
      <c r="X440" s="401"/>
      <c r="Y440" s="402"/>
      <c r="Z440" s="401"/>
      <c r="AA440" s="402"/>
      <c r="AB440" s="401"/>
      <c r="AC440" s="402"/>
      <c r="AD440" s="401"/>
      <c r="AE440" s="402"/>
      <c r="AF440" s="401"/>
      <c r="AG440" s="402"/>
      <c r="AH440" s="401"/>
      <c r="AI440" s="402"/>
      <c r="AJ440" s="401"/>
      <c r="AK440" s="402"/>
      <c r="AL440" s="401"/>
      <c r="AM440" s="402"/>
      <c r="AN440" s="401"/>
      <c r="AO440" s="402"/>
    </row>
    <row r="441" spans="1:44" s="179" customFormat="1" ht="15.75" customHeight="1">
      <c r="A441" s="225" t="s">
        <v>393</v>
      </c>
      <c r="B441" s="226" t="s">
        <v>414</v>
      </c>
      <c r="C441" s="491"/>
      <c r="D441" s="436">
        <v>221397</v>
      </c>
      <c r="E441" s="439">
        <v>9</v>
      </c>
      <c r="F441" s="401">
        <v>4552</v>
      </c>
      <c r="G441" s="402">
        <v>4636</v>
      </c>
      <c r="H441" s="401">
        <v>17758</v>
      </c>
      <c r="I441" s="402">
        <v>18094</v>
      </c>
      <c r="J441" s="401"/>
      <c r="K441" s="402"/>
      <c r="L441" s="401"/>
      <c r="M441" s="402"/>
      <c r="N441" s="401"/>
      <c r="O441" s="402"/>
      <c r="P441" s="401"/>
      <c r="Q441" s="402"/>
      <c r="R441" s="401"/>
      <c r="S441" s="402"/>
      <c r="T441" s="401"/>
      <c r="U441" s="402"/>
      <c r="V441" s="401"/>
      <c r="W441" s="402"/>
      <c r="X441" s="401"/>
      <c r="Y441" s="402"/>
      <c r="Z441" s="401"/>
      <c r="AA441" s="402"/>
      <c r="AB441" s="401"/>
      <c r="AC441" s="402"/>
      <c r="AD441" s="401"/>
      <c r="AE441" s="402"/>
      <c r="AF441" s="401"/>
      <c r="AG441" s="402"/>
      <c r="AH441" s="401"/>
      <c r="AI441" s="402"/>
      <c r="AJ441" s="401"/>
      <c r="AK441" s="402"/>
      <c r="AL441" s="401"/>
      <c r="AM441" s="402"/>
      <c r="AN441" s="401"/>
      <c r="AO441" s="402"/>
    </row>
    <row r="442" spans="1:44" s="179" customFormat="1" ht="15.75" customHeight="1">
      <c r="A442" s="225" t="s">
        <v>393</v>
      </c>
      <c r="B442" s="226" t="s">
        <v>415</v>
      </c>
      <c r="C442" s="491"/>
      <c r="D442" s="436">
        <v>222062</v>
      </c>
      <c r="E442" s="439">
        <v>9</v>
      </c>
      <c r="F442" s="401">
        <v>4537</v>
      </c>
      <c r="G442" s="402">
        <v>4621</v>
      </c>
      <c r="H442" s="401">
        <v>17743</v>
      </c>
      <c r="I442" s="402">
        <v>18079</v>
      </c>
      <c r="J442" s="401"/>
      <c r="K442" s="402"/>
      <c r="L442" s="401"/>
      <c r="M442" s="402"/>
      <c r="N442" s="401"/>
      <c r="O442" s="402"/>
      <c r="P442" s="401"/>
      <c r="Q442" s="402"/>
      <c r="R442" s="401"/>
      <c r="S442" s="402"/>
      <c r="T442" s="401"/>
      <c r="U442" s="402"/>
      <c r="V442" s="401"/>
      <c r="W442" s="402"/>
      <c r="X442" s="401"/>
      <c r="Y442" s="402"/>
      <c r="Z442" s="401"/>
      <c r="AA442" s="402"/>
      <c r="AB442" s="401"/>
      <c r="AC442" s="402"/>
      <c r="AD442" s="401"/>
      <c r="AE442" s="402"/>
      <c r="AF442" s="401"/>
      <c r="AG442" s="402"/>
      <c r="AH442" s="401"/>
      <c r="AI442" s="402"/>
      <c r="AJ442" s="401"/>
      <c r="AK442" s="402"/>
      <c r="AL442" s="401"/>
      <c r="AM442" s="402"/>
      <c r="AN442" s="401"/>
      <c r="AO442" s="402"/>
    </row>
    <row r="443" spans="1:44" s="179" customFormat="1" ht="15.75" customHeight="1">
      <c r="A443" s="225" t="s">
        <v>393</v>
      </c>
      <c r="B443" s="226" t="s">
        <v>410</v>
      </c>
      <c r="C443" s="490"/>
      <c r="D443" s="436">
        <v>220057</v>
      </c>
      <c r="E443" s="439">
        <v>10</v>
      </c>
      <c r="F443" s="401">
        <v>4548</v>
      </c>
      <c r="G443" s="402">
        <v>4632</v>
      </c>
      <c r="H443" s="401">
        <v>17754</v>
      </c>
      <c r="I443" s="402">
        <v>18090</v>
      </c>
      <c r="J443" s="401"/>
      <c r="K443" s="402"/>
      <c r="L443" s="401"/>
      <c r="M443" s="402"/>
      <c r="N443" s="401"/>
      <c r="O443" s="402"/>
      <c r="P443" s="401"/>
      <c r="Q443" s="402"/>
      <c r="R443" s="401"/>
      <c r="S443" s="402"/>
      <c r="T443" s="401"/>
      <c r="U443" s="402"/>
      <c r="V443" s="401"/>
      <c r="W443" s="402"/>
      <c r="X443" s="401"/>
      <c r="Y443" s="402"/>
      <c r="Z443" s="401"/>
      <c r="AA443" s="402"/>
      <c r="AB443" s="401"/>
      <c r="AC443" s="402"/>
      <c r="AD443" s="401"/>
      <c r="AE443" s="402"/>
      <c r="AF443" s="401"/>
      <c r="AG443" s="402"/>
      <c r="AH443" s="401"/>
      <c r="AI443" s="402"/>
      <c r="AJ443" s="401"/>
      <c r="AK443" s="402"/>
      <c r="AL443" s="401"/>
      <c r="AM443" s="402"/>
      <c r="AN443" s="401"/>
      <c r="AO443" s="402"/>
    </row>
    <row r="444" spans="1:44">
      <c r="A444" s="225" t="s">
        <v>393</v>
      </c>
      <c r="B444" s="226" t="s">
        <v>418</v>
      </c>
      <c r="C444" s="495"/>
      <c r="D444" s="436">
        <v>219596</v>
      </c>
      <c r="E444" s="439">
        <v>13</v>
      </c>
      <c r="F444" s="401">
        <v>3936</v>
      </c>
      <c r="G444" s="402">
        <v>4008</v>
      </c>
      <c r="H444" s="401"/>
      <c r="I444" s="402"/>
      <c r="J444" s="401"/>
      <c r="K444" s="402"/>
      <c r="L444" s="401"/>
      <c r="M444" s="402"/>
      <c r="N444" s="401"/>
      <c r="O444" s="402"/>
      <c r="P444" s="401"/>
      <c r="Q444" s="402"/>
      <c r="R444" s="401"/>
      <c r="S444" s="402"/>
      <c r="T444" s="401"/>
      <c r="U444" s="402"/>
      <c r="V444" s="401"/>
      <c r="W444" s="402"/>
      <c r="X444" s="401"/>
      <c r="Y444" s="402"/>
      <c r="Z444" s="401"/>
      <c r="AA444" s="402"/>
      <c r="AB444" s="401"/>
      <c r="AC444" s="402"/>
      <c r="AD444" s="401"/>
      <c r="AE444" s="402"/>
      <c r="AF444" s="401"/>
      <c r="AG444" s="402"/>
      <c r="AH444" s="401"/>
      <c r="AI444" s="402"/>
      <c r="AJ444" s="401"/>
      <c r="AK444" s="402"/>
      <c r="AL444" s="401"/>
      <c r="AM444" s="402"/>
      <c r="AN444" s="401"/>
      <c r="AO444" s="402"/>
      <c r="AP444" s="53"/>
      <c r="AQ444" s="53"/>
      <c r="AR444" s="53"/>
    </row>
    <row r="445" spans="1:44" s="179" customFormat="1" ht="15.75" customHeight="1">
      <c r="A445" s="225" t="s">
        <v>393</v>
      </c>
      <c r="B445" s="226" t="s">
        <v>416</v>
      </c>
      <c r="C445" s="490"/>
      <c r="D445" s="436" t="s">
        <v>417</v>
      </c>
      <c r="E445" s="439">
        <v>13</v>
      </c>
      <c r="F445" s="401">
        <v>3936</v>
      </c>
      <c r="G445" s="402">
        <v>4008</v>
      </c>
      <c r="H445" s="401"/>
      <c r="I445" s="402"/>
      <c r="J445" s="401"/>
      <c r="K445" s="402"/>
      <c r="L445" s="401"/>
      <c r="M445" s="402"/>
      <c r="N445" s="401"/>
      <c r="O445" s="402"/>
      <c r="P445" s="401"/>
      <c r="Q445" s="402"/>
      <c r="R445" s="401"/>
      <c r="S445" s="402"/>
      <c r="T445" s="401"/>
      <c r="U445" s="402"/>
      <c r="V445" s="401"/>
      <c r="W445" s="402"/>
      <c r="X445" s="401"/>
      <c r="Y445" s="402"/>
      <c r="Z445" s="401"/>
      <c r="AA445" s="402"/>
      <c r="AB445" s="401"/>
      <c r="AC445" s="402"/>
      <c r="AD445" s="401"/>
      <c r="AE445" s="402"/>
      <c r="AF445" s="401"/>
      <c r="AG445" s="402"/>
      <c r="AH445" s="401"/>
      <c r="AI445" s="402"/>
      <c r="AJ445" s="401"/>
      <c r="AK445" s="402"/>
      <c r="AL445" s="401"/>
      <c r="AM445" s="402"/>
      <c r="AN445" s="401"/>
      <c r="AO445" s="402"/>
    </row>
    <row r="446" spans="1:44">
      <c r="A446" s="225" t="s">
        <v>393</v>
      </c>
      <c r="B446" s="226" t="s">
        <v>419</v>
      </c>
      <c r="C446" s="495"/>
      <c r="D446" s="436">
        <v>219921</v>
      </c>
      <c r="E446" s="439">
        <v>13</v>
      </c>
      <c r="F446" s="401">
        <v>3936</v>
      </c>
      <c r="G446" s="402">
        <v>4008</v>
      </c>
      <c r="H446" s="401"/>
      <c r="I446" s="402"/>
      <c r="J446" s="401"/>
      <c r="K446" s="402"/>
      <c r="L446" s="401"/>
      <c r="M446" s="402"/>
      <c r="N446" s="401"/>
      <c r="O446" s="402"/>
      <c r="P446" s="401"/>
      <c r="Q446" s="402"/>
      <c r="R446" s="401"/>
      <c r="S446" s="402"/>
      <c r="T446" s="401"/>
      <c r="U446" s="402"/>
      <c r="V446" s="401"/>
      <c r="W446" s="402"/>
      <c r="X446" s="401"/>
      <c r="Y446" s="402"/>
      <c r="Z446" s="401"/>
      <c r="AA446" s="402"/>
      <c r="AB446" s="401"/>
      <c r="AC446" s="402"/>
      <c r="AD446" s="401"/>
      <c r="AE446" s="402"/>
      <c r="AF446" s="401"/>
      <c r="AG446" s="402"/>
      <c r="AH446" s="401"/>
      <c r="AI446" s="402"/>
      <c r="AJ446" s="401"/>
      <c r="AK446" s="402"/>
      <c r="AL446" s="401"/>
      <c r="AM446" s="402"/>
      <c r="AN446" s="401"/>
      <c r="AO446" s="402"/>
      <c r="AP446" s="53"/>
      <c r="AQ446" s="53"/>
      <c r="AR446" s="53"/>
    </row>
    <row r="447" spans="1:44">
      <c r="A447" s="225" t="s">
        <v>393</v>
      </c>
      <c r="B447" s="226" t="s">
        <v>420</v>
      </c>
      <c r="C447" s="495"/>
      <c r="D447" s="436">
        <v>221591</v>
      </c>
      <c r="E447" s="439">
        <v>13</v>
      </c>
      <c r="F447" s="401">
        <v>3936</v>
      </c>
      <c r="G447" s="402">
        <v>4008</v>
      </c>
      <c r="H447" s="401"/>
      <c r="I447" s="402"/>
      <c r="J447" s="401"/>
      <c r="K447" s="402"/>
      <c r="L447" s="401"/>
      <c r="M447" s="402"/>
      <c r="N447" s="401"/>
      <c r="O447" s="402"/>
      <c r="P447" s="401"/>
      <c r="Q447" s="402"/>
      <c r="R447" s="401"/>
      <c r="S447" s="402"/>
      <c r="T447" s="401"/>
      <c r="U447" s="402"/>
      <c r="V447" s="401"/>
      <c r="W447" s="402"/>
      <c r="X447" s="401"/>
      <c r="Y447" s="402"/>
      <c r="Z447" s="401"/>
      <c r="AA447" s="402"/>
      <c r="AB447" s="401"/>
      <c r="AC447" s="402"/>
      <c r="AD447" s="401"/>
      <c r="AE447" s="402"/>
      <c r="AF447" s="401"/>
      <c r="AG447" s="402"/>
      <c r="AH447" s="401"/>
      <c r="AI447" s="402"/>
      <c r="AJ447" s="401"/>
      <c r="AK447" s="402"/>
      <c r="AL447" s="401"/>
      <c r="AM447" s="402"/>
      <c r="AN447" s="401"/>
      <c r="AO447" s="402"/>
      <c r="AP447" s="53"/>
      <c r="AQ447" s="53"/>
      <c r="AR447" s="53"/>
    </row>
    <row r="448" spans="1:44">
      <c r="A448" s="225" t="s">
        <v>393</v>
      </c>
      <c r="B448" s="226" t="s">
        <v>421</v>
      </c>
      <c r="C448" s="495"/>
      <c r="D448" s="436">
        <v>221430</v>
      </c>
      <c r="E448" s="439">
        <v>13</v>
      </c>
      <c r="F448" s="401">
        <v>3936</v>
      </c>
      <c r="G448" s="402">
        <v>4008</v>
      </c>
      <c r="H448" s="401"/>
      <c r="I448" s="402"/>
      <c r="J448" s="401"/>
      <c r="K448" s="402"/>
      <c r="L448" s="401"/>
      <c r="M448" s="402"/>
      <c r="N448" s="401"/>
      <c r="O448" s="402"/>
      <c r="P448" s="401"/>
      <c r="Q448" s="402"/>
      <c r="R448" s="401"/>
      <c r="S448" s="402"/>
      <c r="T448" s="401"/>
      <c r="U448" s="402"/>
      <c r="V448" s="401"/>
      <c r="W448" s="402"/>
      <c r="X448" s="401"/>
      <c r="Y448" s="402"/>
      <c r="Z448" s="401"/>
      <c r="AA448" s="402"/>
      <c r="AB448" s="401"/>
      <c r="AC448" s="402"/>
      <c r="AD448" s="401"/>
      <c r="AE448" s="402"/>
      <c r="AF448" s="401"/>
      <c r="AG448" s="402"/>
      <c r="AH448" s="401"/>
      <c r="AI448" s="402"/>
      <c r="AJ448" s="401"/>
      <c r="AK448" s="402"/>
      <c r="AL448" s="401"/>
      <c r="AM448" s="402"/>
      <c r="AN448" s="401"/>
      <c r="AO448" s="402"/>
      <c r="AP448" s="53"/>
      <c r="AQ448" s="53"/>
      <c r="AR448" s="53"/>
    </row>
    <row r="449" spans="1:44">
      <c r="A449" s="225" t="s">
        <v>393</v>
      </c>
      <c r="B449" s="226" t="s">
        <v>422</v>
      </c>
      <c r="C449" s="495"/>
      <c r="D449" s="436">
        <v>219994</v>
      </c>
      <c r="E449" s="439">
        <v>13</v>
      </c>
      <c r="F449" s="401">
        <v>3936</v>
      </c>
      <c r="G449" s="402">
        <v>4008</v>
      </c>
      <c r="H449" s="401"/>
      <c r="I449" s="402"/>
      <c r="J449" s="401"/>
      <c r="K449" s="402"/>
      <c r="L449" s="401"/>
      <c r="M449" s="402"/>
      <c r="N449" s="401"/>
      <c r="O449" s="402"/>
      <c r="P449" s="401"/>
      <c r="Q449" s="402"/>
      <c r="R449" s="401"/>
      <c r="S449" s="402"/>
      <c r="T449" s="401"/>
      <c r="U449" s="402"/>
      <c r="V449" s="401"/>
      <c r="W449" s="402"/>
      <c r="X449" s="401"/>
      <c r="Y449" s="402"/>
      <c r="Z449" s="401"/>
      <c r="AA449" s="402"/>
      <c r="AB449" s="401"/>
      <c r="AC449" s="402"/>
      <c r="AD449" s="401"/>
      <c r="AE449" s="402"/>
      <c r="AF449" s="401"/>
      <c r="AG449" s="402"/>
      <c r="AH449" s="401"/>
      <c r="AI449" s="402"/>
      <c r="AJ449" s="401"/>
      <c r="AK449" s="402"/>
      <c r="AL449" s="401"/>
      <c r="AM449" s="402"/>
      <c r="AN449" s="401"/>
      <c r="AO449" s="402"/>
      <c r="AP449" s="53"/>
      <c r="AQ449" s="53"/>
      <c r="AR449" s="53"/>
    </row>
    <row r="450" spans="1:44">
      <c r="A450" s="225" t="s">
        <v>393</v>
      </c>
      <c r="B450" s="226" t="s">
        <v>423</v>
      </c>
      <c r="C450" s="495"/>
      <c r="D450" s="436">
        <v>220127</v>
      </c>
      <c r="E450" s="439">
        <v>13</v>
      </c>
      <c r="F450" s="401">
        <v>3936</v>
      </c>
      <c r="G450" s="402">
        <v>4008</v>
      </c>
      <c r="H450" s="401"/>
      <c r="I450" s="402"/>
      <c r="J450" s="401"/>
      <c r="K450" s="402"/>
      <c r="L450" s="401"/>
      <c r="M450" s="402"/>
      <c r="N450" s="401"/>
      <c r="O450" s="402"/>
      <c r="P450" s="401"/>
      <c r="Q450" s="402"/>
      <c r="R450" s="401"/>
      <c r="S450" s="402"/>
      <c r="T450" s="401"/>
      <c r="U450" s="402"/>
      <c r="V450" s="401"/>
      <c r="W450" s="402"/>
      <c r="X450" s="401"/>
      <c r="Y450" s="402"/>
      <c r="Z450" s="401"/>
      <c r="AA450" s="402"/>
      <c r="AB450" s="401"/>
      <c r="AC450" s="402"/>
      <c r="AD450" s="401"/>
      <c r="AE450" s="402"/>
      <c r="AF450" s="401"/>
      <c r="AG450" s="402"/>
      <c r="AH450" s="401"/>
      <c r="AI450" s="402"/>
      <c r="AJ450" s="401"/>
      <c r="AK450" s="402"/>
      <c r="AL450" s="401"/>
      <c r="AM450" s="402"/>
      <c r="AN450" s="401"/>
      <c r="AO450" s="402"/>
      <c r="AP450" s="53"/>
      <c r="AQ450" s="53"/>
      <c r="AR450" s="53"/>
    </row>
    <row r="451" spans="1:44">
      <c r="A451" s="225" t="s">
        <v>393</v>
      </c>
      <c r="B451" s="226" t="s">
        <v>424</v>
      </c>
      <c r="C451" s="495"/>
      <c r="D451" s="436">
        <v>220251</v>
      </c>
      <c r="E451" s="439">
        <v>13</v>
      </c>
      <c r="F451" s="401">
        <v>3936</v>
      </c>
      <c r="G451" s="402">
        <v>4008</v>
      </c>
      <c r="H451" s="401"/>
      <c r="I451" s="402"/>
      <c r="J451" s="401"/>
      <c r="K451" s="402"/>
      <c r="L451" s="401"/>
      <c r="M451" s="402"/>
      <c r="N451" s="401"/>
      <c r="O451" s="402"/>
      <c r="P451" s="401"/>
      <c r="Q451" s="402"/>
      <c r="R451" s="401"/>
      <c r="S451" s="402"/>
      <c r="T451" s="401"/>
      <c r="U451" s="402"/>
      <c r="V451" s="401"/>
      <c r="W451" s="402"/>
      <c r="X451" s="401"/>
      <c r="Y451" s="402"/>
      <c r="Z451" s="401"/>
      <c r="AA451" s="402"/>
      <c r="AB451" s="401"/>
      <c r="AC451" s="402"/>
      <c r="AD451" s="401"/>
      <c r="AE451" s="402"/>
      <c r="AF451" s="401"/>
      <c r="AG451" s="402"/>
      <c r="AH451" s="401"/>
      <c r="AI451" s="402"/>
      <c r="AJ451" s="401"/>
      <c r="AK451" s="402"/>
      <c r="AL451" s="401"/>
      <c r="AM451" s="402"/>
      <c r="AN451" s="401"/>
      <c r="AO451" s="402"/>
      <c r="AP451" s="53"/>
      <c r="AQ451" s="53"/>
      <c r="AR451" s="53"/>
    </row>
    <row r="452" spans="1:44">
      <c r="A452" s="225" t="s">
        <v>393</v>
      </c>
      <c r="B452" s="226" t="s">
        <v>425</v>
      </c>
      <c r="C452" s="495"/>
      <c r="D452" s="436">
        <v>220279</v>
      </c>
      <c r="E452" s="439">
        <v>13</v>
      </c>
      <c r="F452" s="401">
        <v>3936</v>
      </c>
      <c r="G452" s="402">
        <v>4008</v>
      </c>
      <c r="H452" s="401"/>
      <c r="I452" s="402"/>
      <c r="J452" s="401"/>
      <c r="K452" s="402"/>
      <c r="L452" s="401"/>
      <c r="M452" s="402"/>
      <c r="N452" s="401"/>
      <c r="O452" s="402"/>
      <c r="P452" s="401"/>
      <c r="Q452" s="402"/>
      <c r="R452" s="401"/>
      <c r="S452" s="402"/>
      <c r="T452" s="401"/>
      <c r="U452" s="402"/>
      <c r="V452" s="401"/>
      <c r="W452" s="402"/>
      <c r="X452" s="401"/>
      <c r="Y452" s="402"/>
      <c r="Z452" s="401"/>
      <c r="AA452" s="402"/>
      <c r="AB452" s="401"/>
      <c r="AC452" s="402"/>
      <c r="AD452" s="401"/>
      <c r="AE452" s="402"/>
      <c r="AF452" s="401"/>
      <c r="AG452" s="402"/>
      <c r="AH452" s="401"/>
      <c r="AI452" s="402"/>
      <c r="AJ452" s="401"/>
      <c r="AK452" s="402"/>
      <c r="AL452" s="401"/>
      <c r="AM452" s="402"/>
      <c r="AN452" s="401"/>
      <c r="AO452" s="402"/>
      <c r="AP452" s="53"/>
      <c r="AQ452" s="53"/>
      <c r="AR452" s="53"/>
    </row>
    <row r="453" spans="1:44">
      <c r="A453" s="225" t="s">
        <v>393</v>
      </c>
      <c r="B453" s="226" t="s">
        <v>426</v>
      </c>
      <c r="C453" s="495"/>
      <c r="D453" s="436">
        <v>220321</v>
      </c>
      <c r="E453" s="439">
        <v>13</v>
      </c>
      <c r="F453" s="401">
        <v>3936</v>
      </c>
      <c r="G453" s="402">
        <v>4008</v>
      </c>
      <c r="H453" s="401"/>
      <c r="I453" s="402"/>
      <c r="J453" s="401"/>
      <c r="K453" s="402"/>
      <c r="L453" s="401"/>
      <c r="M453" s="402"/>
      <c r="N453" s="401"/>
      <c r="O453" s="402"/>
      <c r="P453" s="401"/>
      <c r="Q453" s="402"/>
      <c r="R453" s="401"/>
      <c r="S453" s="402"/>
      <c r="T453" s="401"/>
      <c r="U453" s="402"/>
      <c r="V453" s="401"/>
      <c r="W453" s="402"/>
      <c r="X453" s="401"/>
      <c r="Y453" s="402"/>
      <c r="Z453" s="401"/>
      <c r="AA453" s="402"/>
      <c r="AB453" s="401"/>
      <c r="AC453" s="402"/>
      <c r="AD453" s="401"/>
      <c r="AE453" s="402"/>
      <c r="AF453" s="401"/>
      <c r="AG453" s="402"/>
      <c r="AH453" s="401"/>
      <c r="AI453" s="402"/>
      <c r="AJ453" s="401"/>
      <c r="AK453" s="402"/>
      <c r="AL453" s="401"/>
      <c r="AM453" s="402"/>
      <c r="AN453" s="401"/>
      <c r="AO453" s="402"/>
      <c r="AP453" s="53"/>
      <c r="AQ453" s="53"/>
      <c r="AR453" s="53"/>
    </row>
    <row r="454" spans="1:44">
      <c r="A454" s="225" t="s">
        <v>393</v>
      </c>
      <c r="B454" s="226" t="s">
        <v>427</v>
      </c>
      <c r="C454" s="495"/>
      <c r="D454" s="436">
        <v>220394</v>
      </c>
      <c r="E454" s="439">
        <v>13</v>
      </c>
      <c r="F454" s="401">
        <v>3936</v>
      </c>
      <c r="G454" s="402">
        <v>4008</v>
      </c>
      <c r="H454" s="401"/>
      <c r="I454" s="402"/>
      <c r="J454" s="401"/>
      <c r="K454" s="402"/>
      <c r="L454" s="401"/>
      <c r="M454" s="402"/>
      <c r="N454" s="401"/>
      <c r="O454" s="402"/>
      <c r="P454" s="401"/>
      <c r="Q454" s="402"/>
      <c r="R454" s="401"/>
      <c r="S454" s="402"/>
      <c r="T454" s="401"/>
      <c r="U454" s="402"/>
      <c r="V454" s="401"/>
      <c r="W454" s="402"/>
      <c r="X454" s="401"/>
      <c r="Y454" s="402"/>
      <c r="Z454" s="401"/>
      <c r="AA454" s="402"/>
      <c r="AB454" s="401"/>
      <c r="AC454" s="402"/>
      <c r="AD454" s="401"/>
      <c r="AE454" s="402"/>
      <c r="AF454" s="401"/>
      <c r="AG454" s="402"/>
      <c r="AH454" s="401"/>
      <c r="AI454" s="402"/>
      <c r="AJ454" s="401"/>
      <c r="AK454" s="402"/>
      <c r="AL454" s="401"/>
      <c r="AM454" s="402"/>
      <c r="AN454" s="401"/>
      <c r="AO454" s="402"/>
      <c r="AP454" s="53"/>
      <c r="AQ454" s="53"/>
      <c r="AR454" s="53"/>
    </row>
    <row r="455" spans="1:44">
      <c r="A455" s="225" t="s">
        <v>393</v>
      </c>
      <c r="B455" s="226" t="s">
        <v>428</v>
      </c>
      <c r="C455" s="495"/>
      <c r="D455" s="436">
        <v>221616</v>
      </c>
      <c r="E455" s="439">
        <v>13</v>
      </c>
      <c r="F455" s="401">
        <v>3936</v>
      </c>
      <c r="G455" s="402">
        <v>4008</v>
      </c>
      <c r="H455" s="401"/>
      <c r="I455" s="402"/>
      <c r="J455" s="401"/>
      <c r="K455" s="402"/>
      <c r="L455" s="401"/>
      <c r="M455" s="402"/>
      <c r="N455" s="401"/>
      <c r="O455" s="402"/>
      <c r="P455" s="401"/>
      <c r="Q455" s="402"/>
      <c r="R455" s="401"/>
      <c r="S455" s="402"/>
      <c r="T455" s="401"/>
      <c r="U455" s="402"/>
      <c r="V455" s="401"/>
      <c r="W455" s="402"/>
      <c r="X455" s="401"/>
      <c r="Y455" s="402"/>
      <c r="Z455" s="401"/>
      <c r="AA455" s="402"/>
      <c r="AB455" s="401"/>
      <c r="AC455" s="402"/>
      <c r="AD455" s="401"/>
      <c r="AE455" s="402"/>
      <c r="AF455" s="401"/>
      <c r="AG455" s="402"/>
      <c r="AH455" s="401"/>
      <c r="AI455" s="402"/>
      <c r="AJ455" s="401"/>
      <c r="AK455" s="402"/>
      <c r="AL455" s="401"/>
      <c r="AM455" s="402"/>
      <c r="AN455" s="401"/>
      <c r="AO455" s="402"/>
      <c r="AP455" s="53"/>
      <c r="AQ455" s="53"/>
      <c r="AR455" s="53"/>
    </row>
    <row r="456" spans="1:44">
      <c r="A456" s="225" t="s">
        <v>393</v>
      </c>
      <c r="B456" s="226" t="s">
        <v>429</v>
      </c>
      <c r="C456" s="495"/>
      <c r="D456" s="436">
        <v>221625</v>
      </c>
      <c r="E456" s="439">
        <v>13</v>
      </c>
      <c r="F456" s="401">
        <v>3936</v>
      </c>
      <c r="G456" s="402">
        <v>4008</v>
      </c>
      <c r="H456" s="401"/>
      <c r="I456" s="402"/>
      <c r="J456" s="401"/>
      <c r="K456" s="402"/>
      <c r="L456" s="401"/>
      <c r="M456" s="402"/>
      <c r="N456" s="401"/>
      <c r="O456" s="402"/>
      <c r="P456" s="401"/>
      <c r="Q456" s="402"/>
      <c r="R456" s="401"/>
      <c r="S456" s="402"/>
      <c r="T456" s="401"/>
      <c r="U456" s="402"/>
      <c r="V456" s="401"/>
      <c r="W456" s="402"/>
      <c r="X456" s="401"/>
      <c r="Y456" s="402"/>
      <c r="Z456" s="401"/>
      <c r="AA456" s="402"/>
      <c r="AB456" s="401"/>
      <c r="AC456" s="402"/>
      <c r="AD456" s="401"/>
      <c r="AE456" s="402"/>
      <c r="AF456" s="401"/>
      <c r="AG456" s="402"/>
      <c r="AH456" s="401"/>
      <c r="AI456" s="402"/>
      <c r="AJ456" s="401"/>
      <c r="AK456" s="402"/>
      <c r="AL456" s="401"/>
      <c r="AM456" s="402"/>
      <c r="AN456" s="401"/>
      <c r="AO456" s="402"/>
      <c r="AP456" s="53"/>
      <c r="AQ456" s="53"/>
      <c r="AR456" s="53"/>
    </row>
    <row r="457" spans="1:44">
      <c r="A457" s="225" t="s">
        <v>393</v>
      </c>
      <c r="B457" s="226" t="s">
        <v>430</v>
      </c>
      <c r="C457" s="495"/>
      <c r="D457" s="436">
        <v>220640</v>
      </c>
      <c r="E457" s="439">
        <v>13</v>
      </c>
      <c r="F457" s="401">
        <v>3936</v>
      </c>
      <c r="G457" s="402">
        <v>4008</v>
      </c>
      <c r="H457" s="401"/>
      <c r="I457" s="402"/>
      <c r="J457" s="401"/>
      <c r="K457" s="402"/>
      <c r="L457" s="401"/>
      <c r="M457" s="402"/>
      <c r="N457" s="401"/>
      <c r="O457" s="402"/>
      <c r="P457" s="401"/>
      <c r="Q457" s="402"/>
      <c r="R457" s="401"/>
      <c r="S457" s="402"/>
      <c r="T457" s="401"/>
      <c r="U457" s="402"/>
      <c r="V457" s="401"/>
      <c r="W457" s="402"/>
      <c r="X457" s="401"/>
      <c r="Y457" s="402"/>
      <c r="Z457" s="401"/>
      <c r="AA457" s="402"/>
      <c r="AB457" s="401"/>
      <c r="AC457" s="402"/>
      <c r="AD457" s="401"/>
      <c r="AE457" s="402"/>
      <c r="AF457" s="401"/>
      <c r="AG457" s="402"/>
      <c r="AH457" s="401"/>
      <c r="AI457" s="402"/>
      <c r="AJ457" s="401"/>
      <c r="AK457" s="402"/>
      <c r="AL457" s="401"/>
      <c r="AM457" s="402"/>
      <c r="AN457" s="401"/>
      <c r="AO457" s="402"/>
      <c r="AP457" s="53"/>
      <c r="AQ457" s="53"/>
      <c r="AR457" s="53"/>
    </row>
    <row r="458" spans="1:44">
      <c r="A458" s="225" t="s">
        <v>393</v>
      </c>
      <c r="B458" s="226" t="s">
        <v>431</v>
      </c>
      <c r="C458" s="495"/>
      <c r="D458" s="436">
        <v>220756</v>
      </c>
      <c r="E458" s="439">
        <v>13</v>
      </c>
      <c r="F458" s="401">
        <v>3936</v>
      </c>
      <c r="G458" s="402">
        <v>4008</v>
      </c>
      <c r="H458" s="401"/>
      <c r="I458" s="402"/>
      <c r="J458" s="401"/>
      <c r="K458" s="402"/>
      <c r="L458" s="401"/>
      <c r="M458" s="402"/>
      <c r="N458" s="401"/>
      <c r="O458" s="402"/>
      <c r="P458" s="401"/>
      <c r="Q458" s="402"/>
      <c r="R458" s="401"/>
      <c r="S458" s="402"/>
      <c r="T458" s="401"/>
      <c r="U458" s="402"/>
      <c r="V458" s="401"/>
      <c r="W458" s="402"/>
      <c r="X458" s="401"/>
      <c r="Y458" s="402"/>
      <c r="Z458" s="401"/>
      <c r="AA458" s="402"/>
      <c r="AB458" s="401"/>
      <c r="AC458" s="402"/>
      <c r="AD458" s="401"/>
      <c r="AE458" s="402"/>
      <c r="AF458" s="401"/>
      <c r="AG458" s="402"/>
      <c r="AH458" s="401"/>
      <c r="AI458" s="402"/>
      <c r="AJ458" s="401"/>
      <c r="AK458" s="402"/>
      <c r="AL458" s="401"/>
      <c r="AM458" s="402"/>
      <c r="AN458" s="401"/>
      <c r="AO458" s="402"/>
      <c r="AP458" s="53"/>
      <c r="AQ458" s="53"/>
      <c r="AR458" s="53"/>
    </row>
    <row r="459" spans="1:44">
      <c r="A459" s="225" t="s">
        <v>393</v>
      </c>
      <c r="B459" s="226" t="s">
        <v>432</v>
      </c>
      <c r="C459" s="495"/>
      <c r="D459" s="436">
        <v>221607</v>
      </c>
      <c r="E459" s="439">
        <v>13</v>
      </c>
      <c r="F459" s="401">
        <v>3936</v>
      </c>
      <c r="G459" s="402">
        <v>4008</v>
      </c>
      <c r="H459" s="401"/>
      <c r="I459" s="402"/>
      <c r="J459" s="401"/>
      <c r="K459" s="402"/>
      <c r="L459" s="401"/>
      <c r="M459" s="402"/>
      <c r="N459" s="401"/>
      <c r="O459" s="402"/>
      <c r="P459" s="401"/>
      <c r="Q459" s="402"/>
      <c r="R459" s="401"/>
      <c r="S459" s="402"/>
      <c r="T459" s="401"/>
      <c r="U459" s="402"/>
      <c r="V459" s="401"/>
      <c r="W459" s="402"/>
      <c r="X459" s="401"/>
      <c r="Y459" s="402"/>
      <c r="Z459" s="401"/>
      <c r="AA459" s="402"/>
      <c r="AB459" s="401"/>
      <c r="AC459" s="402"/>
      <c r="AD459" s="401"/>
      <c r="AE459" s="402"/>
      <c r="AF459" s="401"/>
      <c r="AG459" s="402"/>
      <c r="AH459" s="401"/>
      <c r="AI459" s="402"/>
      <c r="AJ459" s="401"/>
      <c r="AK459" s="402"/>
      <c r="AL459" s="401"/>
      <c r="AM459" s="402"/>
      <c r="AN459" s="401"/>
      <c r="AO459" s="402"/>
      <c r="AP459" s="53"/>
      <c r="AQ459" s="53"/>
      <c r="AR459" s="53"/>
    </row>
    <row r="460" spans="1:44">
      <c r="A460" s="225" t="s">
        <v>393</v>
      </c>
      <c r="B460" s="226" t="s">
        <v>433</v>
      </c>
      <c r="C460" s="376" t="s">
        <v>912</v>
      </c>
      <c r="D460" s="436">
        <v>220853</v>
      </c>
      <c r="E460" s="439">
        <v>13</v>
      </c>
      <c r="F460" s="401">
        <v>3936</v>
      </c>
      <c r="G460" s="402">
        <v>4008</v>
      </c>
      <c r="H460" s="401"/>
      <c r="I460" s="402"/>
      <c r="J460" s="401"/>
      <c r="K460" s="402"/>
      <c r="L460" s="401"/>
      <c r="M460" s="402"/>
      <c r="N460" s="401"/>
      <c r="O460" s="402"/>
      <c r="P460" s="401"/>
      <c r="Q460" s="402"/>
      <c r="R460" s="401"/>
      <c r="S460" s="402"/>
      <c r="T460" s="401"/>
      <c r="U460" s="402"/>
      <c r="V460" s="401"/>
      <c r="W460" s="402"/>
      <c r="X460" s="401"/>
      <c r="Y460" s="402"/>
      <c r="Z460" s="401"/>
      <c r="AA460" s="402"/>
      <c r="AB460" s="401"/>
      <c r="AC460" s="402"/>
      <c r="AD460" s="401"/>
      <c r="AE460" s="402"/>
      <c r="AF460" s="401"/>
      <c r="AG460" s="402"/>
      <c r="AH460" s="401"/>
      <c r="AI460" s="402"/>
      <c r="AJ460" s="401"/>
      <c r="AK460" s="402"/>
      <c r="AL460" s="401"/>
      <c r="AM460" s="402"/>
      <c r="AN460" s="401"/>
      <c r="AO460" s="402"/>
      <c r="AP460" s="53"/>
      <c r="AQ460" s="53"/>
      <c r="AR460" s="53"/>
    </row>
    <row r="461" spans="1:44">
      <c r="A461" s="225" t="s">
        <v>393</v>
      </c>
      <c r="B461" s="226" t="s">
        <v>434</v>
      </c>
      <c r="C461" s="495"/>
      <c r="D461" s="436">
        <v>221050</v>
      </c>
      <c r="E461" s="439">
        <v>13</v>
      </c>
      <c r="F461" s="401">
        <v>3936</v>
      </c>
      <c r="G461" s="402">
        <v>4008</v>
      </c>
      <c r="H461" s="401"/>
      <c r="I461" s="402"/>
      <c r="J461" s="401"/>
      <c r="K461" s="402"/>
      <c r="L461" s="401"/>
      <c r="M461" s="402"/>
      <c r="N461" s="401"/>
      <c r="O461" s="402"/>
      <c r="P461" s="401"/>
      <c r="Q461" s="402"/>
      <c r="R461" s="401"/>
      <c r="S461" s="402"/>
      <c r="T461" s="401"/>
      <c r="U461" s="402"/>
      <c r="V461" s="401"/>
      <c r="W461" s="402"/>
      <c r="X461" s="401"/>
      <c r="Y461" s="402"/>
      <c r="Z461" s="401"/>
      <c r="AA461" s="402"/>
      <c r="AB461" s="401"/>
      <c r="AC461" s="402"/>
      <c r="AD461" s="401"/>
      <c r="AE461" s="402"/>
      <c r="AF461" s="401"/>
      <c r="AG461" s="402"/>
      <c r="AH461" s="401"/>
      <c r="AI461" s="402"/>
      <c r="AJ461" s="401"/>
      <c r="AK461" s="402"/>
      <c r="AL461" s="401"/>
      <c r="AM461" s="402"/>
      <c r="AN461" s="401"/>
      <c r="AO461" s="402"/>
      <c r="AP461" s="53"/>
      <c r="AQ461" s="53"/>
      <c r="AR461" s="53"/>
    </row>
    <row r="462" spans="1:44">
      <c r="A462" s="225" t="s">
        <v>393</v>
      </c>
      <c r="B462" s="279" t="s">
        <v>435</v>
      </c>
      <c r="C462" s="495"/>
      <c r="D462" s="436">
        <v>221102</v>
      </c>
      <c r="E462" s="439">
        <v>13</v>
      </c>
      <c r="F462" s="401">
        <v>3936</v>
      </c>
      <c r="G462" s="402">
        <v>4008</v>
      </c>
      <c r="H462" s="401"/>
      <c r="I462" s="402"/>
      <c r="J462" s="401"/>
      <c r="K462" s="402"/>
      <c r="L462" s="401"/>
      <c r="M462" s="402"/>
      <c r="N462" s="401"/>
      <c r="O462" s="402"/>
      <c r="P462" s="401"/>
      <c r="Q462" s="402"/>
      <c r="R462" s="401"/>
      <c r="S462" s="402"/>
      <c r="T462" s="401"/>
      <c r="U462" s="402"/>
      <c r="V462" s="401"/>
      <c r="W462" s="402"/>
      <c r="X462" s="401"/>
      <c r="Y462" s="402"/>
      <c r="Z462" s="401"/>
      <c r="AA462" s="402"/>
      <c r="AB462" s="401"/>
      <c r="AC462" s="402"/>
      <c r="AD462" s="401"/>
      <c r="AE462" s="402"/>
      <c r="AF462" s="401"/>
      <c r="AG462" s="402"/>
      <c r="AH462" s="401"/>
      <c r="AI462" s="402"/>
      <c r="AJ462" s="401"/>
      <c r="AK462" s="402"/>
      <c r="AL462" s="401"/>
      <c r="AM462" s="402"/>
      <c r="AN462" s="401"/>
      <c r="AO462" s="402"/>
      <c r="AP462" s="53"/>
      <c r="AQ462" s="53"/>
      <c r="AR462" s="53"/>
    </row>
    <row r="463" spans="1:44">
      <c r="A463" s="225" t="s">
        <v>393</v>
      </c>
      <c r="B463" s="226" t="s">
        <v>436</v>
      </c>
      <c r="C463" s="495"/>
      <c r="D463" s="436">
        <v>248925</v>
      </c>
      <c r="E463" s="439">
        <v>13</v>
      </c>
      <c r="F463" s="401">
        <v>3936</v>
      </c>
      <c r="G463" s="402">
        <v>4008</v>
      </c>
      <c r="H463" s="401"/>
      <c r="I463" s="402"/>
      <c r="J463" s="401"/>
      <c r="K463" s="402"/>
      <c r="L463" s="401"/>
      <c r="M463" s="402"/>
      <c r="N463" s="401"/>
      <c r="O463" s="402"/>
      <c r="P463" s="401"/>
      <c r="Q463" s="402"/>
      <c r="R463" s="401"/>
      <c r="S463" s="402"/>
      <c r="T463" s="401"/>
      <c r="U463" s="402"/>
      <c r="V463" s="401"/>
      <c r="W463" s="402"/>
      <c r="X463" s="401"/>
      <c r="Y463" s="402"/>
      <c r="Z463" s="401"/>
      <c r="AA463" s="402"/>
      <c r="AB463" s="401"/>
      <c r="AC463" s="402"/>
      <c r="AD463" s="401"/>
      <c r="AE463" s="402"/>
      <c r="AF463" s="401"/>
      <c r="AG463" s="402"/>
      <c r="AH463" s="401"/>
      <c r="AI463" s="402"/>
      <c r="AJ463" s="401"/>
      <c r="AK463" s="402"/>
      <c r="AL463" s="401"/>
      <c r="AM463" s="402"/>
      <c r="AN463" s="401"/>
      <c r="AO463" s="402"/>
      <c r="AP463" s="53"/>
      <c r="AQ463" s="53"/>
      <c r="AR463" s="53"/>
    </row>
    <row r="464" spans="1:44">
      <c r="A464" s="225" t="s">
        <v>393</v>
      </c>
      <c r="B464" s="226" t="s">
        <v>437</v>
      </c>
      <c r="C464" s="495"/>
      <c r="D464" s="436">
        <v>221236</v>
      </c>
      <c r="E464" s="439">
        <v>13</v>
      </c>
      <c r="F464" s="401">
        <v>3936</v>
      </c>
      <c r="G464" s="402">
        <v>4008</v>
      </c>
      <c r="H464" s="401"/>
      <c r="I464" s="402"/>
      <c r="J464" s="401"/>
      <c r="K464" s="402"/>
      <c r="L464" s="401"/>
      <c r="M464" s="402"/>
      <c r="N464" s="401"/>
      <c r="O464" s="402"/>
      <c r="P464" s="401"/>
      <c r="Q464" s="402"/>
      <c r="R464" s="401"/>
      <c r="S464" s="402"/>
      <c r="T464" s="401"/>
      <c r="U464" s="402"/>
      <c r="V464" s="401"/>
      <c r="W464" s="402"/>
      <c r="X464" s="401"/>
      <c r="Y464" s="402"/>
      <c r="Z464" s="401"/>
      <c r="AA464" s="402"/>
      <c r="AB464" s="401"/>
      <c r="AC464" s="402"/>
      <c r="AD464" s="401"/>
      <c r="AE464" s="402"/>
      <c r="AF464" s="401"/>
      <c r="AG464" s="402"/>
      <c r="AH464" s="401"/>
      <c r="AI464" s="402"/>
      <c r="AJ464" s="401"/>
      <c r="AK464" s="402"/>
      <c r="AL464" s="401"/>
      <c r="AM464" s="402"/>
      <c r="AN464" s="401"/>
      <c r="AO464" s="402"/>
      <c r="AP464" s="53"/>
      <c r="AQ464" s="53"/>
      <c r="AR464" s="53"/>
    </row>
    <row r="465" spans="1:44">
      <c r="A465" s="225" t="s">
        <v>393</v>
      </c>
      <c r="B465" s="226" t="s">
        <v>438</v>
      </c>
      <c r="C465" s="495"/>
      <c r="D465" s="436">
        <v>221582</v>
      </c>
      <c r="E465" s="439">
        <v>13</v>
      </c>
      <c r="F465" s="401">
        <v>3936</v>
      </c>
      <c r="G465" s="402">
        <v>4008</v>
      </c>
      <c r="H465" s="401"/>
      <c r="I465" s="402"/>
      <c r="J465" s="401"/>
      <c r="K465" s="402"/>
      <c r="L465" s="401"/>
      <c r="M465" s="402"/>
      <c r="N465" s="401"/>
      <c r="O465" s="402"/>
      <c r="P465" s="401"/>
      <c r="Q465" s="402"/>
      <c r="R465" s="401"/>
      <c r="S465" s="402"/>
      <c r="T465" s="401"/>
      <c r="U465" s="402"/>
      <c r="V465" s="401"/>
      <c r="W465" s="402"/>
      <c r="X465" s="401"/>
      <c r="Y465" s="402"/>
      <c r="Z465" s="401"/>
      <c r="AA465" s="402"/>
      <c r="AB465" s="401"/>
      <c r="AC465" s="402"/>
      <c r="AD465" s="401"/>
      <c r="AE465" s="402"/>
      <c r="AF465" s="401"/>
      <c r="AG465" s="402"/>
      <c r="AH465" s="401"/>
      <c r="AI465" s="402"/>
      <c r="AJ465" s="401"/>
      <c r="AK465" s="402"/>
      <c r="AL465" s="401"/>
      <c r="AM465" s="402"/>
      <c r="AN465" s="401"/>
      <c r="AO465" s="402"/>
      <c r="AP465" s="53"/>
      <c r="AQ465" s="53"/>
      <c r="AR465" s="53"/>
    </row>
    <row r="466" spans="1:44">
      <c r="A466" s="225" t="s">
        <v>393</v>
      </c>
      <c r="B466" s="226" t="s">
        <v>439</v>
      </c>
      <c r="C466" s="495"/>
      <c r="D466" s="436">
        <v>221281</v>
      </c>
      <c r="E466" s="439">
        <v>13</v>
      </c>
      <c r="F466" s="401">
        <v>3936</v>
      </c>
      <c r="G466" s="402">
        <v>4008</v>
      </c>
      <c r="H466" s="401"/>
      <c r="I466" s="402"/>
      <c r="J466" s="401"/>
      <c r="K466" s="402"/>
      <c r="L466" s="401"/>
      <c r="M466" s="402"/>
      <c r="N466" s="401"/>
      <c r="O466" s="402"/>
      <c r="P466" s="401"/>
      <c r="Q466" s="402"/>
      <c r="R466" s="401"/>
      <c r="S466" s="402"/>
      <c r="T466" s="401"/>
      <c r="U466" s="402"/>
      <c r="V466" s="401"/>
      <c r="W466" s="402"/>
      <c r="X466" s="401"/>
      <c r="Y466" s="402"/>
      <c r="Z466" s="401"/>
      <c r="AA466" s="402"/>
      <c r="AB466" s="401"/>
      <c r="AC466" s="402"/>
      <c r="AD466" s="401"/>
      <c r="AE466" s="402"/>
      <c r="AF466" s="401"/>
      <c r="AG466" s="402"/>
      <c r="AH466" s="401"/>
      <c r="AI466" s="402"/>
      <c r="AJ466" s="401"/>
      <c r="AK466" s="402"/>
      <c r="AL466" s="401"/>
      <c r="AM466" s="402"/>
      <c r="AN466" s="401"/>
      <c r="AO466" s="402"/>
      <c r="AP466" s="53"/>
      <c r="AQ466" s="53"/>
      <c r="AR466" s="53"/>
    </row>
    <row r="467" spans="1:44">
      <c r="A467" s="225" t="s">
        <v>393</v>
      </c>
      <c r="B467" s="226" t="s">
        <v>440</v>
      </c>
      <c r="C467" s="495"/>
      <c r="D467" s="436">
        <v>221333</v>
      </c>
      <c r="E467" s="439">
        <v>13</v>
      </c>
      <c r="F467" s="401">
        <v>3936</v>
      </c>
      <c r="G467" s="402">
        <v>4008</v>
      </c>
      <c r="H467" s="401"/>
      <c r="I467" s="402"/>
      <c r="J467" s="401"/>
      <c r="K467" s="402"/>
      <c r="L467" s="401"/>
      <c r="M467" s="402"/>
      <c r="N467" s="401"/>
      <c r="O467" s="402"/>
      <c r="P467" s="401"/>
      <c r="Q467" s="402"/>
      <c r="R467" s="401"/>
      <c r="S467" s="402"/>
      <c r="T467" s="401"/>
      <c r="U467" s="402"/>
      <c r="V467" s="401"/>
      <c r="W467" s="402"/>
      <c r="X467" s="401"/>
      <c r="Y467" s="402"/>
      <c r="Z467" s="401"/>
      <c r="AA467" s="402"/>
      <c r="AB467" s="401"/>
      <c r="AC467" s="402"/>
      <c r="AD467" s="401"/>
      <c r="AE467" s="402"/>
      <c r="AF467" s="401"/>
      <c r="AG467" s="402"/>
      <c r="AH467" s="401"/>
      <c r="AI467" s="402"/>
      <c r="AJ467" s="401"/>
      <c r="AK467" s="402"/>
      <c r="AL467" s="401"/>
      <c r="AM467" s="402"/>
      <c r="AN467" s="401"/>
      <c r="AO467" s="402"/>
      <c r="AP467" s="53"/>
      <c r="AQ467" s="53"/>
      <c r="AR467" s="53"/>
    </row>
    <row r="468" spans="1:44">
      <c r="A468" s="225" t="s">
        <v>393</v>
      </c>
      <c r="B468" s="226" t="s">
        <v>441</v>
      </c>
      <c r="C468" s="495"/>
      <c r="D468" s="436">
        <v>221388</v>
      </c>
      <c r="E468" s="439">
        <v>13</v>
      </c>
      <c r="F468" s="401">
        <v>3936</v>
      </c>
      <c r="G468" s="402">
        <v>4008</v>
      </c>
      <c r="H468" s="401"/>
      <c r="I468" s="402"/>
      <c r="J468" s="401"/>
      <c r="K468" s="402"/>
      <c r="L468" s="401"/>
      <c r="M468" s="402"/>
      <c r="N468" s="401"/>
      <c r="O468" s="402"/>
      <c r="P468" s="401"/>
      <c r="Q468" s="402"/>
      <c r="R468" s="401"/>
      <c r="S468" s="402"/>
      <c r="T468" s="401"/>
      <c r="U468" s="402"/>
      <c r="V468" s="401"/>
      <c r="W468" s="402"/>
      <c r="X468" s="401"/>
      <c r="Y468" s="402"/>
      <c r="Z468" s="401"/>
      <c r="AA468" s="402"/>
      <c r="AB468" s="401"/>
      <c r="AC468" s="402"/>
      <c r="AD468" s="401"/>
      <c r="AE468" s="402"/>
      <c r="AF468" s="401"/>
      <c r="AG468" s="402"/>
      <c r="AH468" s="401"/>
      <c r="AI468" s="402"/>
      <c r="AJ468" s="401"/>
      <c r="AK468" s="402"/>
      <c r="AL468" s="401"/>
      <c r="AM468" s="402"/>
      <c r="AN468" s="401"/>
      <c r="AO468" s="402"/>
      <c r="AP468" s="53"/>
      <c r="AQ468" s="53"/>
      <c r="AR468" s="53"/>
    </row>
    <row r="469" spans="1:44">
      <c r="A469" s="225" t="s">
        <v>393</v>
      </c>
      <c r="B469" s="226" t="s">
        <v>442</v>
      </c>
      <c r="C469" s="495"/>
      <c r="D469" s="436">
        <v>221494</v>
      </c>
      <c r="E469" s="439">
        <v>13</v>
      </c>
      <c r="F469" s="401">
        <v>3936</v>
      </c>
      <c r="G469" s="402">
        <v>4008</v>
      </c>
      <c r="H469" s="401"/>
      <c r="I469" s="402"/>
      <c r="J469" s="401"/>
      <c r="K469" s="402"/>
      <c r="L469" s="401"/>
      <c r="M469" s="402"/>
      <c r="N469" s="401"/>
      <c r="O469" s="402"/>
      <c r="P469" s="401"/>
      <c r="Q469" s="402"/>
      <c r="R469" s="401"/>
      <c r="S469" s="402"/>
      <c r="T469" s="401"/>
      <c r="U469" s="402"/>
      <c r="V469" s="401"/>
      <c r="W469" s="402"/>
      <c r="X469" s="401"/>
      <c r="Y469" s="402"/>
      <c r="Z469" s="401"/>
      <c r="AA469" s="402"/>
      <c r="AB469" s="401"/>
      <c r="AC469" s="402"/>
      <c r="AD469" s="401"/>
      <c r="AE469" s="402"/>
      <c r="AF469" s="401"/>
      <c r="AG469" s="402"/>
      <c r="AH469" s="401"/>
      <c r="AI469" s="402"/>
      <c r="AJ469" s="401"/>
      <c r="AK469" s="402"/>
      <c r="AL469" s="401"/>
      <c r="AM469" s="402"/>
      <c r="AN469" s="401"/>
      <c r="AO469" s="402"/>
      <c r="AP469" s="53"/>
      <c r="AQ469" s="53"/>
      <c r="AR469" s="53"/>
    </row>
    <row r="470" spans="1:44">
      <c r="A470" s="225" t="s">
        <v>393</v>
      </c>
      <c r="B470" s="226" t="s">
        <v>443</v>
      </c>
      <c r="C470" s="495"/>
      <c r="D470" s="436">
        <v>221634</v>
      </c>
      <c r="E470" s="439">
        <v>13</v>
      </c>
      <c r="F470" s="401">
        <v>3936</v>
      </c>
      <c r="G470" s="402">
        <v>4008</v>
      </c>
      <c r="H470" s="401"/>
      <c r="I470" s="402"/>
      <c r="J470" s="401"/>
      <c r="K470" s="402"/>
      <c r="L470" s="401"/>
      <c r="M470" s="402"/>
      <c r="N470" s="401"/>
      <c r="O470" s="402"/>
      <c r="P470" s="401"/>
      <c r="Q470" s="402"/>
      <c r="R470" s="401"/>
      <c r="S470" s="402"/>
      <c r="T470" s="401"/>
      <c r="U470" s="402"/>
      <c r="V470" s="401"/>
      <c r="W470" s="402"/>
      <c r="X470" s="401"/>
      <c r="Y470" s="402"/>
      <c r="Z470" s="401"/>
      <c r="AA470" s="402"/>
      <c r="AB470" s="401"/>
      <c r="AC470" s="402"/>
      <c r="AD470" s="401"/>
      <c r="AE470" s="402"/>
      <c r="AF470" s="401"/>
      <c r="AG470" s="402"/>
      <c r="AH470" s="401"/>
      <c r="AI470" s="402"/>
      <c r="AJ470" s="401"/>
      <c r="AK470" s="402"/>
      <c r="AL470" s="401"/>
      <c r="AM470" s="402"/>
      <c r="AN470" s="401"/>
      <c r="AO470" s="402"/>
      <c r="AP470" s="53"/>
      <c r="AQ470" s="53"/>
      <c r="AR470" s="53"/>
    </row>
    <row r="471" spans="1:44" s="53" customFormat="1">
      <c r="A471" s="225" t="s">
        <v>393</v>
      </c>
      <c r="B471" s="226" t="s">
        <v>444</v>
      </c>
      <c r="C471" s="438"/>
      <c r="D471" s="436">
        <v>221704</v>
      </c>
      <c r="E471" s="439">
        <v>15</v>
      </c>
      <c r="F471" s="390"/>
      <c r="G471" s="391"/>
      <c r="H471" s="390"/>
      <c r="I471" s="391"/>
      <c r="J471" s="390"/>
      <c r="K471" s="391"/>
      <c r="L471" s="390"/>
      <c r="M471" s="391"/>
      <c r="N471" s="390"/>
      <c r="O471" s="391"/>
      <c r="P471" s="390"/>
      <c r="Q471" s="391"/>
      <c r="R471" s="390">
        <v>39466</v>
      </c>
      <c r="S471" s="391">
        <v>39776</v>
      </c>
      <c r="T471" s="390">
        <v>65389</v>
      </c>
      <c r="U471" s="391">
        <v>57060</v>
      </c>
      <c r="V471" s="390">
        <v>38387</v>
      </c>
      <c r="W471" s="391">
        <v>40289</v>
      </c>
      <c r="X471" s="390">
        <v>77147</v>
      </c>
      <c r="Y471" s="391">
        <v>79049</v>
      </c>
      <c r="Z471" s="390">
        <v>27685.5</v>
      </c>
      <c r="AA471" s="391">
        <v>30234</v>
      </c>
      <c r="AB471" s="390">
        <v>32689.5</v>
      </c>
      <c r="AC471" s="391">
        <v>35238</v>
      </c>
      <c r="AD471" s="390"/>
      <c r="AE471" s="391"/>
      <c r="AF471" s="390"/>
      <c r="AG471" s="391"/>
      <c r="AH471" s="390"/>
      <c r="AI471" s="391"/>
      <c r="AJ471" s="390"/>
      <c r="AK471" s="391"/>
      <c r="AL471" s="390"/>
      <c r="AM471" s="391"/>
      <c r="AN471" s="390"/>
      <c r="AO471" s="391"/>
    </row>
    <row r="472" spans="1:44">
      <c r="A472" s="259" t="s">
        <v>507</v>
      </c>
      <c r="B472" s="260" t="s">
        <v>715</v>
      </c>
      <c r="C472" s="463"/>
      <c r="D472" s="464">
        <v>228723</v>
      </c>
      <c r="E472" s="496">
        <v>1</v>
      </c>
      <c r="F472" s="401">
        <v>12098</v>
      </c>
      <c r="G472" s="402">
        <v>12716</v>
      </c>
      <c r="H472" s="401">
        <v>39136</v>
      </c>
      <c r="I472" s="402">
        <v>39528</v>
      </c>
      <c r="J472" s="401">
        <v>10708</v>
      </c>
      <c r="K472" s="402">
        <v>10920</v>
      </c>
      <c r="L472" s="401">
        <v>22982.666666666701</v>
      </c>
      <c r="M472" s="402">
        <v>23629.333333333299</v>
      </c>
      <c r="N472" s="401"/>
      <c r="O472" s="402"/>
      <c r="P472" s="401"/>
      <c r="Q472" s="402"/>
      <c r="R472" s="401"/>
      <c r="S472" s="402"/>
      <c r="T472" s="401"/>
      <c r="U472" s="402"/>
      <c r="V472" s="401"/>
      <c r="W472" s="402"/>
      <c r="X472" s="401"/>
      <c r="Y472" s="402"/>
      <c r="Z472" s="401"/>
      <c r="AA472" s="402"/>
      <c r="AB472" s="401"/>
      <c r="AC472" s="402"/>
      <c r="AD472" s="401"/>
      <c r="AE472" s="402"/>
      <c r="AF472" s="401"/>
      <c r="AG472" s="402"/>
      <c r="AH472" s="401"/>
      <c r="AI472" s="402"/>
      <c r="AJ472" s="401"/>
      <c r="AK472" s="402"/>
      <c r="AL472" s="401">
        <v>31430.400000000001</v>
      </c>
      <c r="AM472" s="402">
        <v>35541.333333333299</v>
      </c>
      <c r="AN472" s="401">
        <v>49426.8</v>
      </c>
      <c r="AO472" s="402">
        <v>56477.333333333299</v>
      </c>
      <c r="AP472" s="53"/>
      <c r="AQ472" s="53"/>
      <c r="AR472" s="53"/>
    </row>
    <row r="473" spans="1:44">
      <c r="A473" s="259" t="s">
        <v>507</v>
      </c>
      <c r="B473" s="260" t="s">
        <v>716</v>
      </c>
      <c r="C473" s="463"/>
      <c r="D473" s="464">
        <v>229115</v>
      </c>
      <c r="E473" s="496">
        <v>1</v>
      </c>
      <c r="F473" s="401">
        <v>11234</v>
      </c>
      <c r="G473" s="402">
        <v>11468</v>
      </c>
      <c r="H473" s="401">
        <v>23870</v>
      </c>
      <c r="I473" s="402">
        <v>24122</v>
      </c>
      <c r="J473" s="401">
        <v>11386.666666666701</v>
      </c>
      <c r="K473" s="402">
        <v>11588</v>
      </c>
      <c r="L473" s="401">
        <v>21202.666666666701</v>
      </c>
      <c r="M473" s="402">
        <v>21404</v>
      </c>
      <c r="N473" s="401">
        <v>21617.142857142899</v>
      </c>
      <c r="O473" s="402">
        <v>21617.142857142899</v>
      </c>
      <c r="P473" s="413">
        <v>30713.142857142899</v>
      </c>
      <c r="Q473" s="402">
        <v>30689.142857142899</v>
      </c>
      <c r="R473" s="401"/>
      <c r="S473" s="402"/>
      <c r="T473" s="401"/>
      <c r="U473" s="402"/>
      <c r="V473" s="401"/>
      <c r="W473" s="402"/>
      <c r="X473" s="401"/>
      <c r="Y473" s="402"/>
      <c r="Z473" s="401"/>
      <c r="AA473" s="402"/>
      <c r="AB473" s="401"/>
      <c r="AC473" s="402"/>
      <c r="AD473" s="401"/>
      <c r="AE473" s="402"/>
      <c r="AF473" s="401"/>
      <c r="AG473" s="402"/>
      <c r="AH473" s="401"/>
      <c r="AI473" s="402"/>
      <c r="AJ473" s="401"/>
      <c r="AK473" s="402"/>
      <c r="AL473" s="401"/>
      <c r="AM473" s="402"/>
      <c r="AN473" s="401"/>
      <c r="AO473" s="402"/>
      <c r="AP473" s="53"/>
      <c r="AQ473" s="53"/>
      <c r="AR473" s="53"/>
    </row>
    <row r="474" spans="1:44">
      <c r="A474" s="259" t="s">
        <v>507</v>
      </c>
      <c r="B474" s="260" t="s">
        <v>717</v>
      </c>
      <c r="C474" s="463"/>
      <c r="D474" s="464">
        <v>225511</v>
      </c>
      <c r="E474" s="496">
        <v>1</v>
      </c>
      <c r="F474" s="401">
        <v>12386</v>
      </c>
      <c r="G474" s="402">
        <v>12772</v>
      </c>
      <c r="H474" s="401">
        <v>26839</v>
      </c>
      <c r="I474" s="402">
        <v>27110</v>
      </c>
      <c r="J474" s="401">
        <v>11944</v>
      </c>
      <c r="K474" s="402">
        <v>10616</v>
      </c>
      <c r="L474" s="401">
        <v>24304</v>
      </c>
      <c r="M474" s="402">
        <v>22808</v>
      </c>
      <c r="N474" s="401">
        <v>24912.48</v>
      </c>
      <c r="O474" s="402">
        <v>24912.48</v>
      </c>
      <c r="P474" s="413">
        <v>36720.480000000003</v>
      </c>
      <c r="Q474" s="402">
        <v>36720.480000000003</v>
      </c>
      <c r="R474" s="401"/>
      <c r="S474" s="402"/>
      <c r="T474" s="401"/>
      <c r="U474" s="402"/>
      <c r="V474" s="401"/>
      <c r="W474" s="402"/>
      <c r="X474" s="401"/>
      <c r="Y474" s="402"/>
      <c r="Z474" s="401">
        <v>10152</v>
      </c>
      <c r="AA474" s="402">
        <v>27640</v>
      </c>
      <c r="AB474" s="401">
        <v>22344</v>
      </c>
      <c r="AC474" s="402">
        <v>47960</v>
      </c>
      <c r="AD474" s="401">
        <v>6807</v>
      </c>
      <c r="AE474" s="402">
        <v>16181.4</v>
      </c>
      <c r="AF474" s="401">
        <v>19023</v>
      </c>
      <c r="AG474" s="402">
        <v>28373.4</v>
      </c>
      <c r="AH474" s="401"/>
      <c r="AI474" s="402"/>
      <c r="AJ474" s="401"/>
      <c r="AK474" s="402"/>
      <c r="AL474" s="401"/>
      <c r="AM474" s="402"/>
      <c r="AN474" s="401"/>
      <c r="AO474" s="402"/>
      <c r="AP474" s="53"/>
      <c r="AQ474" s="53"/>
      <c r="AR474" s="53"/>
    </row>
    <row r="475" spans="1:44">
      <c r="A475" s="259" t="s">
        <v>507</v>
      </c>
      <c r="B475" s="260" t="s">
        <v>718</v>
      </c>
      <c r="C475" s="463"/>
      <c r="D475" s="464">
        <v>227216</v>
      </c>
      <c r="E475" s="496">
        <v>1</v>
      </c>
      <c r="F475" s="401">
        <v>11952</v>
      </c>
      <c r="G475" s="402">
        <v>11938</v>
      </c>
      <c r="H475" s="401">
        <v>24654</v>
      </c>
      <c r="I475" s="402">
        <v>24234</v>
      </c>
      <c r="J475" s="401">
        <v>10968</v>
      </c>
      <c r="K475" s="402">
        <v>11568</v>
      </c>
      <c r="L475" s="401">
        <v>21096</v>
      </c>
      <c r="M475" s="402">
        <v>21360</v>
      </c>
      <c r="N475" s="401"/>
      <c r="O475" s="402"/>
      <c r="P475" s="413"/>
      <c r="Q475" s="402"/>
      <c r="R475" s="401"/>
      <c r="S475" s="402"/>
      <c r="T475" s="401"/>
      <c r="U475" s="402"/>
      <c r="V475" s="401"/>
      <c r="W475" s="402"/>
      <c r="X475" s="401"/>
      <c r="Y475" s="402"/>
      <c r="Z475" s="401"/>
      <c r="AA475" s="402"/>
      <c r="AB475" s="401"/>
      <c r="AC475" s="402"/>
      <c r="AD475" s="401"/>
      <c r="AE475" s="402"/>
      <c r="AF475" s="401"/>
      <c r="AG475" s="402"/>
      <c r="AH475" s="401"/>
      <c r="AI475" s="402"/>
      <c r="AJ475" s="401"/>
      <c r="AK475" s="402"/>
      <c r="AL475" s="401"/>
      <c r="AM475" s="402"/>
      <c r="AN475" s="401"/>
      <c r="AO475" s="402"/>
      <c r="AP475" s="53"/>
      <c r="AQ475" s="53"/>
      <c r="AR475" s="53"/>
    </row>
    <row r="476" spans="1:44">
      <c r="A476" s="259" t="s">
        <v>507</v>
      </c>
      <c r="B476" s="260" t="s">
        <v>719</v>
      </c>
      <c r="C476" s="463"/>
      <c r="D476" s="464">
        <v>228769</v>
      </c>
      <c r="E476" s="496">
        <v>1</v>
      </c>
      <c r="F476" s="401">
        <v>11376</v>
      </c>
      <c r="G476" s="402">
        <v>11728</v>
      </c>
      <c r="H476" s="401">
        <v>28500</v>
      </c>
      <c r="I476" s="402">
        <v>28278</v>
      </c>
      <c r="J476" s="401">
        <v>15205.333333333299</v>
      </c>
      <c r="K476" s="402">
        <v>15661.333333333299</v>
      </c>
      <c r="L476" s="401">
        <v>33882.666666666701</v>
      </c>
      <c r="M476" s="402">
        <v>34797.333333333299</v>
      </c>
      <c r="N476" s="401"/>
      <c r="O476" s="402"/>
      <c r="P476" s="413"/>
      <c r="Q476" s="402"/>
      <c r="R476" s="401"/>
      <c r="S476" s="402"/>
      <c r="T476" s="401"/>
      <c r="U476" s="402"/>
      <c r="V476" s="401"/>
      <c r="W476" s="402"/>
      <c r="X476" s="401"/>
      <c r="Y476" s="402"/>
      <c r="Z476" s="401"/>
      <c r="AA476" s="402"/>
      <c r="AB476" s="401"/>
      <c r="AC476" s="402"/>
      <c r="AD476" s="401"/>
      <c r="AE476" s="402"/>
      <c r="AF476" s="401"/>
      <c r="AG476" s="402"/>
      <c r="AH476" s="401"/>
      <c r="AI476" s="402"/>
      <c r="AJ476" s="401"/>
      <c r="AK476" s="402"/>
      <c r="AL476" s="401"/>
      <c r="AM476" s="402"/>
      <c r="AN476" s="401"/>
      <c r="AO476" s="402"/>
      <c r="AP476" s="53"/>
      <c r="AQ476" s="53"/>
      <c r="AR476" s="53"/>
    </row>
    <row r="477" spans="1:44">
      <c r="A477" s="259" t="s">
        <v>507</v>
      </c>
      <c r="B477" s="260" t="s">
        <v>720</v>
      </c>
      <c r="C477" s="463"/>
      <c r="D477" s="464">
        <v>228778</v>
      </c>
      <c r="E477" s="496">
        <v>1</v>
      </c>
      <c r="F477" s="401">
        <v>11448</v>
      </c>
      <c r="G477" s="402">
        <v>11752</v>
      </c>
      <c r="H477" s="401">
        <v>37670</v>
      </c>
      <c r="I477" s="402">
        <v>38650</v>
      </c>
      <c r="J477" s="401">
        <v>14072</v>
      </c>
      <c r="K477" s="402">
        <v>14072</v>
      </c>
      <c r="L477" s="401">
        <v>25760</v>
      </c>
      <c r="M477" s="402">
        <v>25760</v>
      </c>
      <c r="N477" s="401">
        <v>29143.200000000001</v>
      </c>
      <c r="O477" s="402">
        <v>29143.200000000001</v>
      </c>
      <c r="P477" s="413">
        <v>43276.800000000003</v>
      </c>
      <c r="Q477" s="402">
        <v>43276.800000000003</v>
      </c>
      <c r="R477" s="401"/>
      <c r="S477" s="402"/>
      <c r="T477" s="401"/>
      <c r="U477" s="402"/>
      <c r="V477" s="401"/>
      <c r="W477" s="402"/>
      <c r="X477" s="401"/>
      <c r="Y477" s="402"/>
      <c r="Z477" s="401">
        <v>21548</v>
      </c>
      <c r="AA477" s="402">
        <v>21548</v>
      </c>
      <c r="AB477" s="401">
        <v>49240</v>
      </c>
      <c r="AC477" s="402">
        <v>49240</v>
      </c>
      <c r="AD477" s="401"/>
      <c r="AE477" s="402"/>
      <c r="AF477" s="401"/>
      <c r="AG477" s="402"/>
      <c r="AH477" s="401"/>
      <c r="AI477" s="402"/>
      <c r="AJ477" s="401"/>
      <c r="AK477" s="402"/>
      <c r="AL477" s="401"/>
      <c r="AM477" s="402"/>
      <c r="AN477" s="401"/>
      <c r="AO477" s="402"/>
      <c r="AP477" s="53"/>
      <c r="AQ477" s="53"/>
      <c r="AR477" s="53"/>
    </row>
    <row r="478" spans="1:44">
      <c r="A478" s="259" t="s">
        <v>507</v>
      </c>
      <c r="B478" s="260" t="s">
        <v>721</v>
      </c>
      <c r="C478" s="463"/>
      <c r="D478" s="464">
        <v>228787</v>
      </c>
      <c r="E478" s="496">
        <v>1</v>
      </c>
      <c r="F478" s="401">
        <v>15114</v>
      </c>
      <c r="G478" s="402">
        <v>16412</v>
      </c>
      <c r="H478" s="401">
        <v>39050</v>
      </c>
      <c r="I478" s="402">
        <v>39880</v>
      </c>
      <c r="J478" s="401">
        <v>19712</v>
      </c>
      <c r="K478" s="402">
        <v>21856</v>
      </c>
      <c r="L478" s="401">
        <v>38445.333333333299</v>
      </c>
      <c r="M478" s="402">
        <v>40765.333333333299</v>
      </c>
      <c r="N478" s="401"/>
      <c r="O478" s="402"/>
      <c r="P478" s="413"/>
      <c r="Q478" s="402"/>
      <c r="R478" s="401"/>
      <c r="S478" s="402"/>
      <c r="T478" s="401"/>
      <c r="U478" s="402"/>
      <c r="V478" s="401"/>
      <c r="W478" s="402"/>
      <c r="X478" s="401"/>
      <c r="Y478" s="402"/>
      <c r="Z478" s="401"/>
      <c r="AA478" s="402"/>
      <c r="AB478" s="401"/>
      <c r="AC478" s="402"/>
      <c r="AD478" s="401"/>
      <c r="AE478" s="402"/>
      <c r="AF478" s="401"/>
      <c r="AG478" s="402"/>
      <c r="AH478" s="401"/>
      <c r="AI478" s="402"/>
      <c r="AJ478" s="401"/>
      <c r="AK478" s="402"/>
      <c r="AL478" s="401"/>
      <c r="AM478" s="402"/>
      <c r="AN478" s="401"/>
      <c r="AO478" s="402"/>
      <c r="AP478" s="53"/>
      <c r="AQ478" s="53"/>
      <c r="AR478" s="53"/>
    </row>
    <row r="479" spans="1:44" s="179" customFormat="1" ht="15.75" customHeight="1">
      <c r="A479" s="259" t="s">
        <v>507</v>
      </c>
      <c r="B479" s="260" t="s">
        <v>722</v>
      </c>
      <c r="C479" s="466"/>
      <c r="D479" s="464">
        <v>229027</v>
      </c>
      <c r="E479" s="496">
        <v>1</v>
      </c>
      <c r="F479" s="401">
        <v>10760</v>
      </c>
      <c r="G479" s="402">
        <v>11644</v>
      </c>
      <c r="H479" s="401">
        <v>25606</v>
      </c>
      <c r="I479" s="402">
        <v>26352</v>
      </c>
      <c r="J479" s="401">
        <v>12064</v>
      </c>
      <c r="K479" s="402">
        <v>12482.666666666701</v>
      </c>
      <c r="L479" s="401">
        <v>35418.666666666701</v>
      </c>
      <c r="M479" s="402">
        <v>36413.333333333299</v>
      </c>
      <c r="N479" s="401"/>
      <c r="O479" s="402"/>
      <c r="P479" s="413"/>
      <c r="Q479" s="402"/>
      <c r="R479" s="401"/>
      <c r="S479" s="402"/>
      <c r="T479" s="401"/>
      <c r="U479" s="402"/>
      <c r="V479" s="401"/>
      <c r="W479" s="402"/>
      <c r="X479" s="401"/>
      <c r="Y479" s="402"/>
      <c r="Z479" s="401"/>
      <c r="AA479" s="402"/>
      <c r="AB479" s="401"/>
      <c r="AC479" s="402"/>
      <c r="AD479" s="401"/>
      <c r="AE479" s="402"/>
      <c r="AF479" s="401"/>
      <c r="AG479" s="402"/>
      <c r="AH479" s="401"/>
      <c r="AI479" s="402"/>
      <c r="AJ479" s="401"/>
      <c r="AK479" s="402"/>
      <c r="AL479" s="401"/>
      <c r="AM479" s="402"/>
      <c r="AN479" s="401"/>
      <c r="AO479" s="402"/>
    </row>
    <row r="480" spans="1:44" s="179" customFormat="1" ht="15.75" customHeight="1">
      <c r="A480" s="259" t="s">
        <v>507</v>
      </c>
      <c r="B480" s="280" t="s">
        <v>723</v>
      </c>
      <c r="C480" s="466"/>
      <c r="D480" s="464">
        <v>228459</v>
      </c>
      <c r="E480" s="496">
        <v>2</v>
      </c>
      <c r="F480" s="401">
        <v>11550</v>
      </c>
      <c r="G480" s="402">
        <v>11850</v>
      </c>
      <c r="H480" s="401">
        <v>23820</v>
      </c>
      <c r="I480" s="402">
        <v>24100</v>
      </c>
      <c r="J480" s="401">
        <v>10746.666666666701</v>
      </c>
      <c r="K480" s="402">
        <v>11013.333333333299</v>
      </c>
      <c r="L480" s="401">
        <v>20560</v>
      </c>
      <c r="M480" s="402">
        <v>20800</v>
      </c>
      <c r="N480" s="401"/>
      <c r="O480" s="402"/>
      <c r="P480" s="413"/>
      <c r="Q480" s="402"/>
      <c r="R480" s="401"/>
      <c r="S480" s="402"/>
      <c r="T480" s="401"/>
      <c r="U480" s="402"/>
      <c r="V480" s="401"/>
      <c r="W480" s="402"/>
      <c r="X480" s="401"/>
      <c r="Y480" s="402"/>
      <c r="Z480" s="401"/>
      <c r="AA480" s="402"/>
      <c r="AB480" s="401"/>
      <c r="AC480" s="402"/>
      <c r="AD480" s="401"/>
      <c r="AE480" s="402"/>
      <c r="AF480" s="401"/>
      <c r="AG480" s="402"/>
      <c r="AH480" s="401"/>
      <c r="AI480" s="402"/>
      <c r="AJ480" s="401"/>
      <c r="AK480" s="402"/>
      <c r="AL480" s="401"/>
      <c r="AM480" s="402"/>
      <c r="AN480" s="401"/>
      <c r="AO480" s="402"/>
    </row>
    <row r="481" spans="1:41" s="179" customFormat="1" ht="15.75" customHeight="1">
      <c r="A481" s="259" t="s">
        <v>507</v>
      </c>
      <c r="B481" s="260" t="s">
        <v>724</v>
      </c>
      <c r="C481" s="381" t="s">
        <v>1017</v>
      </c>
      <c r="D481" s="464">
        <v>229179</v>
      </c>
      <c r="E481" s="496">
        <v>2</v>
      </c>
      <c r="F481" s="401">
        <v>10158</v>
      </c>
      <c r="G481" s="402">
        <v>10332</v>
      </c>
      <c r="H481" s="401">
        <v>22290</v>
      </c>
      <c r="I481" s="402">
        <v>22230</v>
      </c>
      <c r="J481" s="401">
        <v>10224</v>
      </c>
      <c r="K481" s="402">
        <v>10368</v>
      </c>
      <c r="L481" s="401">
        <v>20352</v>
      </c>
      <c r="M481" s="402">
        <v>20184</v>
      </c>
      <c r="N481" s="401"/>
      <c r="O481" s="402"/>
      <c r="P481" s="413"/>
      <c r="Q481" s="402"/>
      <c r="R481" s="401"/>
      <c r="S481" s="402"/>
      <c r="T481" s="401"/>
      <c r="U481" s="402"/>
      <c r="V481" s="401"/>
      <c r="W481" s="402"/>
      <c r="X481" s="401"/>
      <c r="Y481" s="402"/>
      <c r="Z481" s="401"/>
      <c r="AA481" s="402"/>
      <c r="AB481" s="401"/>
      <c r="AC481" s="402"/>
      <c r="AD481" s="401"/>
      <c r="AE481" s="402"/>
      <c r="AF481" s="401"/>
      <c r="AG481" s="402"/>
      <c r="AH481" s="401"/>
      <c r="AI481" s="402"/>
      <c r="AJ481" s="401"/>
      <c r="AK481" s="402"/>
      <c r="AL481" s="401"/>
      <c r="AM481" s="402"/>
      <c r="AN481" s="401"/>
      <c r="AO481" s="402"/>
    </row>
    <row r="482" spans="1:41" s="179" customFormat="1" ht="15.75" customHeight="1">
      <c r="A482" s="259" t="s">
        <v>507</v>
      </c>
      <c r="B482" s="260" t="s">
        <v>725</v>
      </c>
      <c r="C482" s="381" t="s">
        <v>1017</v>
      </c>
      <c r="D482" s="464">
        <v>228796</v>
      </c>
      <c r="E482" s="496">
        <v>2</v>
      </c>
      <c r="F482" s="401">
        <v>9538</v>
      </c>
      <c r="G482" s="402">
        <v>10222</v>
      </c>
      <c r="H482" s="401">
        <v>23718</v>
      </c>
      <c r="I482" s="402">
        <v>24775</v>
      </c>
      <c r="J482" s="401">
        <v>8920</v>
      </c>
      <c r="K482" s="402">
        <v>9201.3333333333303</v>
      </c>
      <c r="L482" s="401">
        <v>21218.666666666701</v>
      </c>
      <c r="M482" s="402">
        <v>22144</v>
      </c>
      <c r="N482" s="401"/>
      <c r="O482" s="402"/>
      <c r="P482" s="413"/>
      <c r="Q482" s="402"/>
      <c r="R482" s="401"/>
      <c r="S482" s="402"/>
      <c r="T482" s="401"/>
      <c r="U482" s="402"/>
      <c r="V482" s="401"/>
      <c r="W482" s="402"/>
      <c r="X482" s="401"/>
      <c r="Y482" s="402"/>
      <c r="Z482" s="401"/>
      <c r="AA482" s="402"/>
      <c r="AB482" s="401"/>
      <c r="AC482" s="402"/>
      <c r="AD482" s="401"/>
      <c r="AE482" s="402"/>
      <c r="AF482" s="401"/>
      <c r="AG482" s="402"/>
      <c r="AH482" s="401"/>
      <c r="AI482" s="402"/>
      <c r="AJ482" s="401"/>
      <c r="AK482" s="402"/>
      <c r="AL482" s="401"/>
      <c r="AM482" s="402"/>
      <c r="AN482" s="401"/>
      <c r="AO482" s="402"/>
    </row>
    <row r="483" spans="1:41" s="179" customFormat="1" ht="15.75" customHeight="1">
      <c r="A483" s="259" t="s">
        <v>507</v>
      </c>
      <c r="B483" s="260" t="s">
        <v>726</v>
      </c>
      <c r="C483" s="381"/>
      <c r="D483" s="464">
        <v>222831</v>
      </c>
      <c r="E483" s="496">
        <v>3</v>
      </c>
      <c r="F483" s="401">
        <v>9010</v>
      </c>
      <c r="G483" s="402">
        <v>9310</v>
      </c>
      <c r="H483" s="401">
        <v>21280</v>
      </c>
      <c r="I483" s="402">
        <v>21550</v>
      </c>
      <c r="J483" s="401">
        <v>9378.6666666666697</v>
      </c>
      <c r="K483" s="402">
        <v>9662.6666666666697</v>
      </c>
      <c r="L483" s="401">
        <v>19194.666666666701</v>
      </c>
      <c r="M483" s="402">
        <v>19453.333333333299</v>
      </c>
      <c r="N483" s="401"/>
      <c r="O483" s="402"/>
      <c r="P483" s="413"/>
      <c r="Q483" s="402"/>
      <c r="R483" s="401"/>
      <c r="S483" s="402"/>
      <c r="T483" s="401"/>
      <c r="U483" s="402"/>
      <c r="V483" s="401"/>
      <c r="W483" s="402"/>
      <c r="X483" s="401"/>
      <c r="Y483" s="402"/>
      <c r="Z483" s="401"/>
      <c r="AA483" s="402"/>
      <c r="AB483" s="401"/>
      <c r="AC483" s="402"/>
      <c r="AD483" s="401"/>
      <c r="AE483" s="402"/>
      <c r="AF483" s="401"/>
      <c r="AG483" s="402"/>
      <c r="AH483" s="401"/>
      <c r="AI483" s="402"/>
      <c r="AJ483" s="401"/>
      <c r="AK483" s="402"/>
      <c r="AL483" s="401"/>
      <c r="AM483" s="402"/>
      <c r="AN483" s="401"/>
      <c r="AO483" s="402"/>
    </row>
    <row r="484" spans="1:41" s="179" customFormat="1" ht="15.75" customHeight="1">
      <c r="A484" s="259" t="s">
        <v>507</v>
      </c>
      <c r="B484" s="260" t="s">
        <v>727</v>
      </c>
      <c r="C484" s="381" t="s">
        <v>1018</v>
      </c>
      <c r="D484" s="464">
        <v>226091</v>
      </c>
      <c r="E484" s="496">
        <v>3</v>
      </c>
      <c r="F484" s="401">
        <v>10462</v>
      </c>
      <c r="G484" s="402">
        <v>11032</v>
      </c>
      <c r="H484" s="401">
        <v>22734</v>
      </c>
      <c r="I484" s="402">
        <v>22856</v>
      </c>
      <c r="J484" s="401">
        <v>11114.666666666701</v>
      </c>
      <c r="K484" s="402">
        <v>11213.333333333299</v>
      </c>
      <c r="L484" s="401">
        <v>20930.666666666701</v>
      </c>
      <c r="M484" s="402">
        <v>21029.333333333299</v>
      </c>
      <c r="N484" s="401"/>
      <c r="O484" s="402"/>
      <c r="P484" s="413"/>
      <c r="Q484" s="402"/>
      <c r="R484" s="401"/>
      <c r="S484" s="402"/>
      <c r="T484" s="401"/>
      <c r="U484" s="402"/>
      <c r="V484" s="401"/>
      <c r="W484" s="402"/>
      <c r="X484" s="401"/>
      <c r="Y484" s="402"/>
      <c r="Z484" s="401"/>
      <c r="AA484" s="402"/>
      <c r="AB484" s="401"/>
      <c r="AC484" s="402"/>
      <c r="AD484" s="401"/>
      <c r="AE484" s="402"/>
      <c r="AF484" s="401"/>
      <c r="AG484" s="402"/>
      <c r="AH484" s="401"/>
      <c r="AI484" s="402"/>
      <c r="AJ484" s="401"/>
      <c r="AK484" s="402"/>
      <c r="AL484" s="401"/>
      <c r="AM484" s="402"/>
      <c r="AN484" s="401"/>
      <c r="AO484" s="402"/>
    </row>
    <row r="485" spans="1:41" s="179" customFormat="1" ht="15.75" customHeight="1">
      <c r="A485" s="282" t="s">
        <v>507</v>
      </c>
      <c r="B485" s="260" t="s">
        <v>728</v>
      </c>
      <c r="C485" s="381"/>
      <c r="D485" s="464">
        <v>226833</v>
      </c>
      <c r="E485" s="496">
        <v>3</v>
      </c>
      <c r="F485" s="401">
        <v>9954</v>
      </c>
      <c r="G485" s="402">
        <v>10138</v>
      </c>
      <c r="H485" s="401">
        <v>11746</v>
      </c>
      <c r="I485" s="402">
        <v>11904</v>
      </c>
      <c r="J485" s="401">
        <v>9192</v>
      </c>
      <c r="K485" s="402">
        <v>9322.6666666666697</v>
      </c>
      <c r="L485" s="401">
        <v>10752</v>
      </c>
      <c r="M485" s="402">
        <v>10882.666666666701</v>
      </c>
      <c r="N485" s="401"/>
      <c r="O485" s="402"/>
      <c r="P485" s="413"/>
      <c r="Q485" s="402"/>
      <c r="R485" s="401"/>
      <c r="S485" s="402"/>
      <c r="T485" s="401"/>
      <c r="U485" s="402"/>
      <c r="V485" s="401"/>
      <c r="W485" s="402"/>
      <c r="X485" s="401"/>
      <c r="Y485" s="402"/>
      <c r="Z485" s="401"/>
      <c r="AA485" s="402"/>
      <c r="AB485" s="401"/>
      <c r="AC485" s="402"/>
      <c r="AD485" s="401"/>
      <c r="AE485" s="402"/>
      <c r="AF485" s="401"/>
      <c r="AG485" s="402"/>
      <c r="AH485" s="401"/>
      <c r="AI485" s="402"/>
      <c r="AJ485" s="401"/>
      <c r="AK485" s="402"/>
      <c r="AL485" s="401"/>
      <c r="AM485" s="402"/>
      <c r="AN485" s="401"/>
      <c r="AO485" s="402"/>
    </row>
    <row r="486" spans="1:41" s="179" customFormat="1" ht="15.75" customHeight="1">
      <c r="A486" s="282" t="s">
        <v>507</v>
      </c>
      <c r="B486" s="260" t="s">
        <v>729</v>
      </c>
      <c r="C486" s="381"/>
      <c r="D486" s="464">
        <v>227526</v>
      </c>
      <c r="E486" s="496">
        <v>3</v>
      </c>
      <c r="F486" s="401">
        <v>10676</v>
      </c>
      <c r="G486" s="402">
        <v>10950</v>
      </c>
      <c r="H486" s="401">
        <v>26398</v>
      </c>
      <c r="I486" s="402">
        <v>26874</v>
      </c>
      <c r="J486" s="401">
        <v>10468</v>
      </c>
      <c r="K486" s="402">
        <v>10656</v>
      </c>
      <c r="L486" s="401">
        <v>22761.333333333299</v>
      </c>
      <c r="M486" s="402">
        <v>23170.666666666701</v>
      </c>
      <c r="N486" s="401"/>
      <c r="O486" s="402"/>
      <c r="P486" s="413"/>
      <c r="Q486" s="402"/>
      <c r="R486" s="401"/>
      <c r="S486" s="402"/>
      <c r="T486" s="401"/>
      <c r="U486" s="402"/>
      <c r="V486" s="401"/>
      <c r="W486" s="402"/>
      <c r="X486" s="401"/>
      <c r="Y486" s="402"/>
      <c r="Z486" s="401"/>
      <c r="AA486" s="402"/>
      <c r="AB486" s="401"/>
      <c r="AC486" s="402"/>
      <c r="AD486" s="401"/>
      <c r="AE486" s="402"/>
      <c r="AF486" s="401"/>
      <c r="AG486" s="402"/>
      <c r="AH486" s="401"/>
      <c r="AI486" s="402"/>
      <c r="AJ486" s="401"/>
      <c r="AK486" s="402"/>
      <c r="AL486" s="401"/>
      <c r="AM486" s="402"/>
      <c r="AN486" s="401"/>
      <c r="AO486" s="402"/>
    </row>
    <row r="487" spans="1:41" s="179" customFormat="1" ht="15.75" customHeight="1">
      <c r="A487" s="263" t="s">
        <v>507</v>
      </c>
      <c r="B487" s="260" t="s">
        <v>730</v>
      </c>
      <c r="C487" s="381" t="s">
        <v>1018</v>
      </c>
      <c r="D487" s="464">
        <v>227881</v>
      </c>
      <c r="E487" s="496">
        <v>3</v>
      </c>
      <c r="F487" s="401">
        <v>10806</v>
      </c>
      <c r="G487" s="402">
        <v>11106</v>
      </c>
      <c r="H487" s="401">
        <v>23026</v>
      </c>
      <c r="I487" s="402">
        <v>23274</v>
      </c>
      <c r="J487" s="401">
        <v>12277.333333333299</v>
      </c>
      <c r="K487" s="402">
        <v>12757.333333333299</v>
      </c>
      <c r="L487" s="401">
        <v>23184</v>
      </c>
      <c r="M487" s="402">
        <v>23637.333333333299</v>
      </c>
      <c r="N487" s="401"/>
      <c r="O487" s="402"/>
      <c r="P487" s="413"/>
      <c r="Q487" s="402"/>
      <c r="R487" s="401"/>
      <c r="S487" s="402"/>
      <c r="T487" s="401"/>
      <c r="U487" s="402"/>
      <c r="V487" s="401"/>
      <c r="W487" s="402"/>
      <c r="X487" s="401"/>
      <c r="Y487" s="402"/>
      <c r="Z487" s="401"/>
      <c r="AA487" s="402"/>
      <c r="AB487" s="401"/>
      <c r="AC487" s="402"/>
      <c r="AD487" s="401"/>
      <c r="AE487" s="402"/>
      <c r="AF487" s="401"/>
      <c r="AG487" s="402"/>
      <c r="AH487" s="401"/>
      <c r="AI487" s="402"/>
      <c r="AJ487" s="401"/>
      <c r="AK487" s="402"/>
      <c r="AL487" s="401"/>
      <c r="AM487" s="402"/>
      <c r="AN487" s="401"/>
      <c r="AO487" s="402"/>
    </row>
    <row r="488" spans="1:41" s="179" customFormat="1" ht="15.75" customHeight="1">
      <c r="A488" s="263" t="s">
        <v>507</v>
      </c>
      <c r="B488" s="260" t="s">
        <v>731</v>
      </c>
      <c r="C488" s="381"/>
      <c r="D488" s="464">
        <v>228431</v>
      </c>
      <c r="E488" s="496">
        <v>3</v>
      </c>
      <c r="F488" s="401">
        <v>10704</v>
      </c>
      <c r="G488" s="402">
        <v>10600</v>
      </c>
      <c r="H488" s="401">
        <v>22870</v>
      </c>
      <c r="I488" s="402">
        <v>22870</v>
      </c>
      <c r="J488" s="401">
        <v>9912</v>
      </c>
      <c r="K488" s="402">
        <v>9912</v>
      </c>
      <c r="L488" s="401">
        <v>19728</v>
      </c>
      <c r="M488" s="402">
        <v>19728</v>
      </c>
      <c r="N488" s="401"/>
      <c r="O488" s="402"/>
      <c r="P488" s="413"/>
      <c r="Q488" s="402"/>
      <c r="R488" s="401"/>
      <c r="S488" s="402"/>
      <c r="T488" s="401"/>
      <c r="U488" s="402"/>
      <c r="V488" s="401"/>
      <c r="W488" s="402"/>
      <c r="X488" s="401"/>
      <c r="Y488" s="402"/>
      <c r="Z488" s="401"/>
      <c r="AA488" s="402"/>
      <c r="AB488" s="401"/>
      <c r="AC488" s="402"/>
      <c r="AD488" s="401"/>
      <c r="AE488" s="402"/>
      <c r="AF488" s="401"/>
      <c r="AG488" s="402"/>
      <c r="AH488" s="401"/>
      <c r="AI488" s="402"/>
      <c r="AJ488" s="401"/>
      <c r="AK488" s="402"/>
      <c r="AL488" s="401"/>
      <c r="AM488" s="402"/>
      <c r="AN488" s="401"/>
      <c r="AO488" s="402"/>
    </row>
    <row r="489" spans="1:41" s="179" customFormat="1" ht="15.75" customHeight="1">
      <c r="A489" s="259" t="s">
        <v>507</v>
      </c>
      <c r="B489" s="260" t="s">
        <v>732</v>
      </c>
      <c r="C489" s="381"/>
      <c r="D489" s="464">
        <v>228501</v>
      </c>
      <c r="E489" s="496">
        <v>3</v>
      </c>
      <c r="F489" s="401">
        <v>8808</v>
      </c>
      <c r="G489" s="402">
        <v>9020</v>
      </c>
      <c r="H489" s="401">
        <v>21046</v>
      </c>
      <c r="I489" s="402">
        <v>21274</v>
      </c>
      <c r="J489" s="401">
        <v>7662.6666666666697</v>
      </c>
      <c r="K489" s="402">
        <v>7880</v>
      </c>
      <c r="L489" s="401">
        <v>17477.333333333299</v>
      </c>
      <c r="M489" s="402">
        <v>17696</v>
      </c>
      <c r="N489" s="401"/>
      <c r="O489" s="402"/>
      <c r="P489" s="413"/>
      <c r="Q489" s="402"/>
      <c r="R489" s="401"/>
      <c r="S489" s="402"/>
      <c r="T489" s="401"/>
      <c r="U489" s="402"/>
      <c r="V489" s="401"/>
      <c r="W489" s="402"/>
      <c r="X489" s="401"/>
      <c r="Y489" s="402"/>
      <c r="Z489" s="401"/>
      <c r="AA489" s="402"/>
      <c r="AB489" s="401"/>
      <c r="AC489" s="402"/>
      <c r="AD489" s="401"/>
      <c r="AE489" s="402"/>
      <c r="AF489" s="401"/>
      <c r="AG489" s="402"/>
      <c r="AH489" s="401"/>
      <c r="AI489" s="402"/>
      <c r="AJ489" s="401"/>
      <c r="AK489" s="402"/>
      <c r="AL489" s="401"/>
      <c r="AM489" s="402"/>
      <c r="AN489" s="401"/>
      <c r="AO489" s="402"/>
    </row>
    <row r="490" spans="1:41" s="179" customFormat="1" ht="15.75" customHeight="1">
      <c r="A490" s="259" t="s">
        <v>507</v>
      </c>
      <c r="B490" s="260" t="s">
        <v>733</v>
      </c>
      <c r="C490" s="381"/>
      <c r="D490" s="464">
        <v>228529</v>
      </c>
      <c r="E490" s="496">
        <v>3</v>
      </c>
      <c r="F490" s="401">
        <v>10312</v>
      </c>
      <c r="G490" s="402">
        <v>10528</v>
      </c>
      <c r="H490" s="401">
        <v>21799</v>
      </c>
      <c r="I490" s="402">
        <v>21998</v>
      </c>
      <c r="J490" s="401">
        <v>9880</v>
      </c>
      <c r="K490" s="402">
        <v>11428</v>
      </c>
      <c r="L490" s="401">
        <v>19696</v>
      </c>
      <c r="M490" s="402">
        <v>21244</v>
      </c>
      <c r="N490" s="401"/>
      <c r="O490" s="402"/>
      <c r="P490" s="413"/>
      <c r="Q490" s="402"/>
      <c r="R490" s="401"/>
      <c r="S490" s="402"/>
      <c r="T490" s="401"/>
      <c r="U490" s="402"/>
      <c r="V490" s="401"/>
      <c r="W490" s="402"/>
      <c r="X490" s="401"/>
      <c r="Y490" s="402"/>
      <c r="Z490" s="401"/>
      <c r="AA490" s="402"/>
      <c r="AB490" s="401"/>
      <c r="AC490" s="402"/>
      <c r="AD490" s="401"/>
      <c r="AE490" s="402"/>
      <c r="AF490" s="401"/>
      <c r="AG490" s="402"/>
      <c r="AH490" s="401"/>
      <c r="AI490" s="402"/>
      <c r="AJ490" s="401"/>
      <c r="AK490" s="402"/>
      <c r="AL490" s="401"/>
      <c r="AM490" s="402"/>
      <c r="AN490" s="401"/>
      <c r="AO490" s="402"/>
    </row>
    <row r="491" spans="1:41" s="179" customFormat="1" ht="15.75" customHeight="1">
      <c r="A491" s="259" t="s">
        <v>507</v>
      </c>
      <c r="B491" s="260" t="s">
        <v>734</v>
      </c>
      <c r="C491" s="381"/>
      <c r="D491" s="464">
        <v>226152</v>
      </c>
      <c r="E491" s="496">
        <v>3</v>
      </c>
      <c r="F491" s="401">
        <v>9254</v>
      </c>
      <c r="G491" s="402">
        <v>9450</v>
      </c>
      <c r="H491" s="401">
        <v>23390</v>
      </c>
      <c r="I491" s="402">
        <v>23882</v>
      </c>
      <c r="J491" s="401">
        <v>8612</v>
      </c>
      <c r="K491" s="402">
        <v>8792</v>
      </c>
      <c r="L491" s="401">
        <v>20141.333333333299</v>
      </c>
      <c r="M491" s="402">
        <v>20562.666666666701</v>
      </c>
      <c r="N491" s="401"/>
      <c r="O491" s="402"/>
      <c r="P491" s="413"/>
      <c r="Q491" s="402"/>
      <c r="R491" s="401"/>
      <c r="S491" s="402"/>
      <c r="T491" s="401"/>
      <c r="U491" s="402"/>
      <c r="V491" s="401"/>
      <c r="W491" s="402"/>
      <c r="X491" s="401"/>
      <c r="Y491" s="402"/>
      <c r="Z491" s="401"/>
      <c r="AA491" s="402"/>
      <c r="AB491" s="401"/>
      <c r="AC491" s="402"/>
      <c r="AD491" s="401"/>
      <c r="AE491" s="402"/>
      <c r="AF491" s="401"/>
      <c r="AG491" s="402"/>
      <c r="AH491" s="401"/>
      <c r="AI491" s="402"/>
      <c r="AJ491" s="401"/>
      <c r="AK491" s="402"/>
      <c r="AL491" s="401"/>
      <c r="AM491" s="402"/>
      <c r="AN491" s="401"/>
      <c r="AO491" s="402"/>
    </row>
    <row r="492" spans="1:41" s="179" customFormat="1" ht="15.75" customHeight="1">
      <c r="A492" s="259" t="s">
        <v>507</v>
      </c>
      <c r="B492" s="260" t="s">
        <v>735</v>
      </c>
      <c r="C492" s="381" t="s">
        <v>1018</v>
      </c>
      <c r="D492" s="464">
        <v>224554</v>
      </c>
      <c r="E492" s="496">
        <v>3</v>
      </c>
      <c r="F492" s="401">
        <v>9820</v>
      </c>
      <c r="G492" s="402">
        <v>10026</v>
      </c>
      <c r="H492" s="401">
        <v>22090</v>
      </c>
      <c r="I492" s="402">
        <v>22266</v>
      </c>
      <c r="J492" s="401">
        <v>9584</v>
      </c>
      <c r="K492" s="402">
        <v>9782.6666666666697</v>
      </c>
      <c r="L492" s="401">
        <v>19400</v>
      </c>
      <c r="M492" s="402">
        <v>19574.666666666701</v>
      </c>
      <c r="N492" s="401"/>
      <c r="O492" s="402"/>
      <c r="P492" s="413"/>
      <c r="Q492" s="402"/>
      <c r="R492" s="401"/>
      <c r="S492" s="402"/>
      <c r="T492" s="401"/>
      <c r="U492" s="402"/>
      <c r="V492" s="401"/>
      <c r="W492" s="402"/>
      <c r="X492" s="401"/>
      <c r="Y492" s="402"/>
      <c r="Z492" s="401"/>
      <c r="AA492" s="402"/>
      <c r="AB492" s="401"/>
      <c r="AC492" s="402"/>
      <c r="AD492" s="401"/>
      <c r="AE492" s="402"/>
      <c r="AF492" s="401"/>
      <c r="AG492" s="402"/>
      <c r="AH492" s="401"/>
      <c r="AI492" s="402"/>
      <c r="AJ492" s="401"/>
      <c r="AK492" s="402"/>
      <c r="AL492" s="401"/>
      <c r="AM492" s="402"/>
      <c r="AN492" s="401"/>
      <c r="AO492" s="402"/>
    </row>
    <row r="493" spans="1:41" s="179" customFormat="1" ht="15.75" customHeight="1">
      <c r="A493" s="259" t="s">
        <v>507</v>
      </c>
      <c r="B493" s="260" t="s">
        <v>736</v>
      </c>
      <c r="C493" s="381" t="s">
        <v>1018</v>
      </c>
      <c r="D493" s="464">
        <v>224147</v>
      </c>
      <c r="E493" s="496">
        <v>3</v>
      </c>
      <c r="F493" s="401">
        <v>10142</v>
      </c>
      <c r="G493" s="402">
        <v>10642</v>
      </c>
      <c r="H493" s="401">
        <v>23937</v>
      </c>
      <c r="I493" s="402">
        <v>24409</v>
      </c>
      <c r="J493" s="401">
        <v>10312</v>
      </c>
      <c r="K493" s="402">
        <v>9569.3333333333303</v>
      </c>
      <c r="L493" s="401">
        <v>23130.666666666701</v>
      </c>
      <c r="M493" s="402">
        <v>21325.333333333299</v>
      </c>
      <c r="N493" s="401"/>
      <c r="O493" s="402"/>
      <c r="P493" s="413"/>
      <c r="Q493" s="402"/>
      <c r="R493" s="401"/>
      <c r="S493" s="402"/>
      <c r="T493" s="401"/>
      <c r="U493" s="402"/>
      <c r="V493" s="401"/>
      <c r="W493" s="402"/>
      <c r="X493" s="401"/>
      <c r="Y493" s="402"/>
      <c r="Z493" s="401"/>
      <c r="AA493" s="402"/>
      <c r="AB493" s="401"/>
      <c r="AC493" s="402"/>
      <c r="AD493" s="401"/>
      <c r="AE493" s="402"/>
      <c r="AF493" s="401"/>
      <c r="AG493" s="402"/>
      <c r="AH493" s="401"/>
      <c r="AI493" s="402"/>
      <c r="AJ493" s="401"/>
      <c r="AK493" s="402"/>
      <c r="AL493" s="401"/>
      <c r="AM493" s="402"/>
      <c r="AN493" s="401"/>
      <c r="AO493" s="402"/>
    </row>
    <row r="494" spans="1:41" s="179" customFormat="1" ht="15.75" customHeight="1">
      <c r="A494" s="259" t="s">
        <v>507</v>
      </c>
      <c r="B494" s="260" t="s">
        <v>737</v>
      </c>
      <c r="C494" s="381"/>
      <c r="D494" s="464">
        <v>228705</v>
      </c>
      <c r="E494" s="496">
        <v>3</v>
      </c>
      <c r="F494" s="401">
        <v>8914</v>
      </c>
      <c r="G494" s="402">
        <v>9272</v>
      </c>
      <c r="H494" s="401">
        <v>25266</v>
      </c>
      <c r="I494" s="402">
        <v>25266</v>
      </c>
      <c r="J494" s="401">
        <v>8040</v>
      </c>
      <c r="K494" s="402">
        <v>8038.6666666666697</v>
      </c>
      <c r="L494" s="401">
        <v>18756</v>
      </c>
      <c r="M494" s="402">
        <v>18754.666666666701</v>
      </c>
      <c r="N494" s="401"/>
      <c r="O494" s="402"/>
      <c r="P494" s="413"/>
      <c r="Q494" s="402"/>
      <c r="R494" s="401"/>
      <c r="S494" s="402"/>
      <c r="T494" s="401"/>
      <c r="U494" s="402"/>
      <c r="V494" s="401"/>
      <c r="W494" s="402"/>
      <c r="X494" s="401"/>
      <c r="Y494" s="402"/>
      <c r="Z494" s="401"/>
      <c r="AA494" s="402"/>
      <c r="AB494" s="401"/>
      <c r="AC494" s="402"/>
      <c r="AD494" s="401"/>
      <c r="AE494" s="402"/>
      <c r="AF494" s="401"/>
      <c r="AG494" s="402"/>
      <c r="AH494" s="401"/>
      <c r="AI494" s="402"/>
      <c r="AJ494" s="401"/>
      <c r="AK494" s="402"/>
      <c r="AL494" s="401"/>
      <c r="AM494" s="402"/>
      <c r="AN494" s="401"/>
      <c r="AO494" s="402"/>
    </row>
    <row r="495" spans="1:41" s="179" customFormat="1" ht="15.75" customHeight="1">
      <c r="A495" s="259" t="s">
        <v>507</v>
      </c>
      <c r="B495" s="260" t="s">
        <v>738</v>
      </c>
      <c r="C495" s="381"/>
      <c r="D495" s="464">
        <v>229063</v>
      </c>
      <c r="E495" s="496">
        <v>3</v>
      </c>
      <c r="F495" s="401">
        <v>9174</v>
      </c>
      <c r="G495" s="402">
        <v>9174</v>
      </c>
      <c r="H495" s="401">
        <v>21834</v>
      </c>
      <c r="I495" s="402">
        <v>23149</v>
      </c>
      <c r="J495" s="401">
        <v>10212</v>
      </c>
      <c r="K495" s="402">
        <v>10233.333333333299</v>
      </c>
      <c r="L495" s="401">
        <v>20146.666666666701</v>
      </c>
      <c r="M495" s="402">
        <v>18924</v>
      </c>
      <c r="N495" s="401">
        <v>21037.71</v>
      </c>
      <c r="O495" s="402">
        <v>21037.71</v>
      </c>
      <c r="P495" s="413">
        <v>28694.71</v>
      </c>
      <c r="Q495" s="402">
        <v>28694.71</v>
      </c>
      <c r="R495" s="401"/>
      <c r="S495" s="402"/>
      <c r="T495" s="401"/>
      <c r="U495" s="402"/>
      <c r="V495" s="401"/>
      <c r="W495" s="402"/>
      <c r="X495" s="401"/>
      <c r="Y495" s="402"/>
      <c r="Z495" s="401">
        <v>20512</v>
      </c>
      <c r="AA495" s="402">
        <v>12780</v>
      </c>
      <c r="AB495" s="401">
        <v>33392</v>
      </c>
      <c r="AC495" s="402">
        <v>20484</v>
      </c>
      <c r="AD495" s="401"/>
      <c r="AE495" s="402"/>
      <c r="AF495" s="401"/>
      <c r="AG495" s="402"/>
      <c r="AH495" s="401"/>
      <c r="AI495" s="402"/>
      <c r="AJ495" s="401"/>
      <c r="AK495" s="402"/>
      <c r="AL495" s="401"/>
      <c r="AM495" s="402"/>
      <c r="AN495" s="401"/>
      <c r="AO495" s="402"/>
    </row>
    <row r="496" spans="1:41" s="179" customFormat="1" ht="15.75" customHeight="1">
      <c r="A496" s="259" t="s">
        <v>507</v>
      </c>
      <c r="B496" s="260" t="s">
        <v>739</v>
      </c>
      <c r="C496" s="381"/>
      <c r="D496" s="464">
        <v>225414</v>
      </c>
      <c r="E496" s="496">
        <v>3</v>
      </c>
      <c r="F496" s="401">
        <v>9314</v>
      </c>
      <c r="G496" s="402">
        <v>9288</v>
      </c>
      <c r="H496" s="401">
        <v>25772</v>
      </c>
      <c r="I496" s="402">
        <v>25704</v>
      </c>
      <c r="J496" s="401">
        <v>13122.666666666701</v>
      </c>
      <c r="K496" s="402">
        <v>12080</v>
      </c>
      <c r="L496" s="401">
        <v>25674.666666666701</v>
      </c>
      <c r="M496" s="402">
        <v>24632</v>
      </c>
      <c r="N496" s="401"/>
      <c r="O496" s="402"/>
      <c r="P496" s="413"/>
      <c r="Q496" s="402"/>
      <c r="R496" s="401"/>
      <c r="S496" s="402"/>
      <c r="T496" s="401"/>
      <c r="U496" s="402"/>
      <c r="V496" s="401"/>
      <c r="W496" s="402"/>
      <c r="X496" s="401"/>
      <c r="Y496" s="402"/>
      <c r="Z496" s="401"/>
      <c r="AA496" s="402"/>
      <c r="AB496" s="401"/>
      <c r="AC496" s="402"/>
      <c r="AD496" s="401"/>
      <c r="AE496" s="402"/>
      <c r="AF496" s="401"/>
      <c r="AG496" s="402"/>
      <c r="AH496" s="401"/>
      <c r="AI496" s="402"/>
      <c r="AJ496" s="401"/>
      <c r="AK496" s="402"/>
      <c r="AL496" s="401"/>
      <c r="AM496" s="402"/>
      <c r="AN496" s="401"/>
      <c r="AO496" s="402"/>
    </row>
    <row r="497" spans="1:41" s="179" customFormat="1" ht="15.75" customHeight="1">
      <c r="A497" s="259" t="s">
        <v>507</v>
      </c>
      <c r="B497" s="260" t="s">
        <v>740</v>
      </c>
      <c r="C497" s="381"/>
      <c r="D497" s="464">
        <v>228802</v>
      </c>
      <c r="E497" s="496">
        <v>3</v>
      </c>
      <c r="F497" s="401">
        <v>8982</v>
      </c>
      <c r="G497" s="402">
        <v>9338</v>
      </c>
      <c r="H497" s="401">
        <v>23736</v>
      </c>
      <c r="I497" s="402">
        <v>25016</v>
      </c>
      <c r="J497" s="401">
        <v>10536</v>
      </c>
      <c r="K497" s="402">
        <v>11106.666666666701</v>
      </c>
      <c r="L497" s="401">
        <v>22136</v>
      </c>
      <c r="M497" s="402">
        <v>23418.666666666701</v>
      </c>
      <c r="N497" s="401"/>
      <c r="O497" s="402"/>
      <c r="P497" s="413"/>
      <c r="Q497" s="402"/>
      <c r="R497" s="401"/>
      <c r="S497" s="402"/>
      <c r="T497" s="401"/>
      <c r="U497" s="402"/>
      <c r="V497" s="401"/>
      <c r="W497" s="402"/>
      <c r="X497" s="401"/>
      <c r="Y497" s="402"/>
      <c r="Z497" s="401"/>
      <c r="AA497" s="402"/>
      <c r="AB497" s="401"/>
      <c r="AC497" s="402"/>
      <c r="AD497" s="401"/>
      <c r="AE497" s="402"/>
      <c r="AF497" s="401"/>
      <c r="AG497" s="402"/>
      <c r="AH497" s="401"/>
      <c r="AI497" s="402"/>
      <c r="AJ497" s="401"/>
      <c r="AK497" s="402"/>
      <c r="AL497" s="401"/>
      <c r="AM497" s="402"/>
      <c r="AN497" s="401"/>
      <c r="AO497" s="402"/>
    </row>
    <row r="498" spans="1:41" s="179" customFormat="1" ht="15.75" customHeight="1">
      <c r="A498" s="259" t="s">
        <v>507</v>
      </c>
      <c r="B498" s="283" t="s">
        <v>741</v>
      </c>
      <c r="C498" s="381"/>
      <c r="D498" s="464">
        <v>229018</v>
      </c>
      <c r="E498" s="496">
        <v>3</v>
      </c>
      <c r="F498" s="401">
        <v>8686</v>
      </c>
      <c r="G498" s="402">
        <v>9294</v>
      </c>
      <c r="H498" s="401">
        <v>21076</v>
      </c>
      <c r="I498" s="402">
        <v>21506</v>
      </c>
      <c r="J498" s="401">
        <v>8586.6666666666697</v>
      </c>
      <c r="K498" s="402">
        <v>8968</v>
      </c>
      <c r="L498" s="401">
        <v>18402.666666666701</v>
      </c>
      <c r="M498" s="402">
        <v>18784</v>
      </c>
      <c r="N498" s="401"/>
      <c r="O498" s="402"/>
      <c r="P498" s="413"/>
      <c r="Q498" s="402"/>
      <c r="R498" s="401"/>
      <c r="S498" s="402"/>
      <c r="T498" s="401"/>
      <c r="U498" s="402"/>
      <c r="V498" s="401"/>
      <c r="W498" s="402"/>
      <c r="X498" s="401"/>
      <c r="Y498" s="402"/>
      <c r="Z498" s="401"/>
      <c r="AA498" s="402"/>
      <c r="AB498" s="401"/>
      <c r="AC498" s="402"/>
      <c r="AD498" s="401"/>
      <c r="AE498" s="402"/>
      <c r="AF498" s="401"/>
      <c r="AG498" s="402"/>
      <c r="AH498" s="401"/>
      <c r="AI498" s="402"/>
      <c r="AJ498" s="401"/>
      <c r="AK498" s="402"/>
      <c r="AL498" s="401"/>
      <c r="AM498" s="402"/>
      <c r="AN498" s="401"/>
      <c r="AO498" s="402"/>
    </row>
    <row r="499" spans="1:41" s="179" customFormat="1" ht="15.75" customHeight="1">
      <c r="A499" s="263" t="s">
        <v>507</v>
      </c>
      <c r="B499" s="280" t="s">
        <v>742</v>
      </c>
      <c r="C499" s="381" t="s">
        <v>1018</v>
      </c>
      <c r="D499" s="464">
        <v>227368</v>
      </c>
      <c r="E499" s="496">
        <v>3</v>
      </c>
      <c r="F499" s="401">
        <v>8090</v>
      </c>
      <c r="G499" s="402">
        <v>8568</v>
      </c>
      <c r="H499" s="401">
        <v>21187</v>
      </c>
      <c r="I499" s="402">
        <v>21781</v>
      </c>
      <c r="J499" s="401">
        <v>10385.333333333299</v>
      </c>
      <c r="K499" s="402">
        <v>11110.666666666701</v>
      </c>
      <c r="L499" s="401">
        <v>20201.333333333299</v>
      </c>
      <c r="M499" s="402">
        <v>20902.666666666701</v>
      </c>
      <c r="N499" s="401"/>
      <c r="O499" s="402"/>
      <c r="P499" s="413"/>
      <c r="Q499" s="402"/>
      <c r="R499" s="401"/>
      <c r="S499" s="402"/>
      <c r="T499" s="401"/>
      <c r="U499" s="402"/>
      <c r="V499" s="401"/>
      <c r="W499" s="402"/>
      <c r="X499" s="401"/>
      <c r="Y499" s="402"/>
      <c r="Z499" s="401"/>
      <c r="AA499" s="402"/>
      <c r="AB499" s="401"/>
      <c r="AC499" s="402"/>
      <c r="AD499" s="401"/>
      <c r="AE499" s="402"/>
      <c r="AF499" s="401"/>
      <c r="AG499" s="402"/>
      <c r="AH499" s="401"/>
      <c r="AI499" s="402"/>
      <c r="AJ499" s="401"/>
      <c r="AK499" s="402"/>
      <c r="AL499" s="401"/>
      <c r="AM499" s="402"/>
      <c r="AN499" s="401"/>
      <c r="AO499" s="402"/>
    </row>
    <row r="500" spans="1:41" s="179" customFormat="1" ht="15.75" customHeight="1">
      <c r="A500" s="259" t="s">
        <v>507</v>
      </c>
      <c r="B500" s="260" t="s">
        <v>743</v>
      </c>
      <c r="C500" s="381"/>
      <c r="D500" s="464">
        <v>229814</v>
      </c>
      <c r="E500" s="496">
        <v>3</v>
      </c>
      <c r="F500" s="401">
        <v>9030</v>
      </c>
      <c r="G500" s="402">
        <v>9220</v>
      </c>
      <c r="H500" s="401">
        <v>23342</v>
      </c>
      <c r="I500" s="402">
        <v>23732</v>
      </c>
      <c r="J500" s="401">
        <v>9556</v>
      </c>
      <c r="K500" s="402">
        <v>9716</v>
      </c>
      <c r="L500" s="401">
        <v>20468</v>
      </c>
      <c r="M500" s="402">
        <v>20773.333333333299</v>
      </c>
      <c r="N500" s="401"/>
      <c r="O500" s="402"/>
      <c r="P500" s="413"/>
      <c r="Q500" s="402"/>
      <c r="R500" s="401"/>
      <c r="S500" s="402"/>
      <c r="T500" s="401"/>
      <c r="U500" s="402"/>
      <c r="V500" s="401"/>
      <c r="W500" s="402"/>
      <c r="X500" s="401"/>
      <c r="Y500" s="402"/>
      <c r="Z500" s="401"/>
      <c r="AA500" s="402"/>
      <c r="AB500" s="401"/>
      <c r="AC500" s="402"/>
      <c r="AD500" s="401"/>
      <c r="AE500" s="402"/>
      <c r="AF500" s="401"/>
      <c r="AG500" s="402"/>
      <c r="AH500" s="401"/>
      <c r="AI500" s="402"/>
      <c r="AJ500" s="401"/>
      <c r="AK500" s="402"/>
      <c r="AL500" s="401"/>
      <c r="AM500" s="402"/>
      <c r="AN500" s="401"/>
      <c r="AO500" s="402"/>
    </row>
    <row r="501" spans="1:41" s="179" customFormat="1" ht="15.75" customHeight="1">
      <c r="A501" s="259" t="s">
        <v>507</v>
      </c>
      <c r="B501" s="260" t="s">
        <v>744</v>
      </c>
      <c r="C501" s="381" t="s">
        <v>1019</v>
      </c>
      <c r="D501" s="464">
        <v>224545</v>
      </c>
      <c r="E501" s="496">
        <v>4</v>
      </c>
      <c r="F501" s="401">
        <v>8722</v>
      </c>
      <c r="G501" s="402">
        <v>8896</v>
      </c>
      <c r="H501" s="401">
        <v>24523</v>
      </c>
      <c r="I501" s="402">
        <v>23254</v>
      </c>
      <c r="J501" s="401">
        <v>7617.3333333333303</v>
      </c>
      <c r="K501" s="402">
        <v>7658.6666666666697</v>
      </c>
      <c r="L501" s="401">
        <v>19992</v>
      </c>
      <c r="M501" s="402">
        <v>20033.333333333299</v>
      </c>
      <c r="N501" s="401"/>
      <c r="O501" s="402"/>
      <c r="P501" s="413"/>
      <c r="Q501" s="402"/>
      <c r="R501" s="401"/>
      <c r="S501" s="402"/>
      <c r="T501" s="401"/>
      <c r="U501" s="402"/>
      <c r="V501" s="401"/>
      <c r="W501" s="402"/>
      <c r="X501" s="401"/>
      <c r="Y501" s="402"/>
      <c r="Z501" s="401"/>
      <c r="AA501" s="402"/>
      <c r="AB501" s="401"/>
      <c r="AC501" s="402"/>
      <c r="AD501" s="401"/>
      <c r="AE501" s="402"/>
      <c r="AF501" s="401"/>
      <c r="AG501" s="402"/>
      <c r="AH501" s="401"/>
      <c r="AI501" s="402"/>
      <c r="AJ501" s="401"/>
      <c r="AK501" s="402"/>
      <c r="AL501" s="401"/>
      <c r="AM501" s="402"/>
      <c r="AN501" s="401"/>
      <c r="AO501" s="402"/>
    </row>
    <row r="502" spans="1:41" s="179" customFormat="1" ht="15.75" customHeight="1">
      <c r="A502" s="259" t="s">
        <v>507</v>
      </c>
      <c r="B502" s="260" t="s">
        <v>745</v>
      </c>
      <c r="C502" s="381"/>
      <c r="D502" s="464">
        <v>483036</v>
      </c>
      <c r="E502" s="2">
        <v>3</v>
      </c>
      <c r="F502" s="401">
        <v>6986</v>
      </c>
      <c r="G502" s="402"/>
      <c r="H502" s="401">
        <v>16299</v>
      </c>
      <c r="I502" s="402">
        <v>0</v>
      </c>
      <c r="J502" s="401">
        <v>8262.6666666666697</v>
      </c>
      <c r="K502" s="402">
        <v>0</v>
      </c>
      <c r="L502" s="401">
        <v>19169.333333333299</v>
      </c>
      <c r="M502" s="402">
        <v>0</v>
      </c>
      <c r="N502" s="401"/>
      <c r="O502" s="402"/>
      <c r="P502" s="413"/>
      <c r="Q502" s="402"/>
      <c r="R502" s="401"/>
      <c r="S502" s="402"/>
      <c r="T502" s="401"/>
      <c r="U502" s="402"/>
      <c r="V502" s="401"/>
      <c r="W502" s="402"/>
      <c r="X502" s="401"/>
      <c r="Y502" s="402"/>
      <c r="Z502" s="401"/>
      <c r="AA502" s="402"/>
      <c r="AB502" s="401"/>
      <c r="AC502" s="402"/>
      <c r="AD502" s="401"/>
      <c r="AE502" s="402"/>
      <c r="AF502" s="401"/>
      <c r="AG502" s="402"/>
      <c r="AH502" s="401"/>
      <c r="AI502" s="402"/>
      <c r="AJ502" s="401"/>
      <c r="AK502" s="402"/>
      <c r="AL502" s="401"/>
      <c r="AM502" s="402"/>
      <c r="AN502" s="401"/>
      <c r="AO502" s="402"/>
    </row>
    <row r="503" spans="1:41" s="179" customFormat="1" ht="15.75" customHeight="1">
      <c r="A503" s="259" t="s">
        <v>507</v>
      </c>
      <c r="B503" s="260" t="s">
        <v>746</v>
      </c>
      <c r="C503" s="381" t="s">
        <v>1019</v>
      </c>
      <c r="D503" s="464">
        <v>225432</v>
      </c>
      <c r="E503" s="496">
        <v>4</v>
      </c>
      <c r="F503" s="401">
        <v>8686</v>
      </c>
      <c r="G503" s="402">
        <v>8828</v>
      </c>
      <c r="H503" s="401">
        <v>20874</v>
      </c>
      <c r="I503" s="402">
        <v>21098</v>
      </c>
      <c r="J503" s="401">
        <v>13209.333333333299</v>
      </c>
      <c r="K503" s="402">
        <v>13545.333333333299</v>
      </c>
      <c r="L503" s="401">
        <v>21825.333333333299</v>
      </c>
      <c r="M503" s="402">
        <v>22161.333333333299</v>
      </c>
      <c r="N503" s="401"/>
      <c r="O503" s="402"/>
      <c r="P503" s="413"/>
      <c r="Q503" s="402"/>
      <c r="R503" s="401"/>
      <c r="S503" s="402"/>
      <c r="T503" s="401"/>
      <c r="U503" s="402"/>
      <c r="V503" s="401"/>
      <c r="W503" s="402"/>
      <c r="X503" s="401"/>
      <c r="Y503" s="402"/>
      <c r="Z503" s="401"/>
      <c r="AA503" s="402"/>
      <c r="AB503" s="401"/>
      <c r="AC503" s="402"/>
      <c r="AD503" s="401"/>
      <c r="AE503" s="402"/>
      <c r="AF503" s="401"/>
      <c r="AG503" s="402"/>
      <c r="AH503" s="401"/>
      <c r="AI503" s="402"/>
      <c r="AJ503" s="401"/>
      <c r="AK503" s="402"/>
      <c r="AL503" s="401"/>
      <c r="AM503" s="402"/>
      <c r="AN503" s="401"/>
      <c r="AO503" s="402"/>
    </row>
    <row r="504" spans="1:41" s="179" customFormat="1" ht="15.75" customHeight="1">
      <c r="A504" s="259" t="s">
        <v>507</v>
      </c>
      <c r="B504" s="260" t="s">
        <v>747</v>
      </c>
      <c r="C504" s="381" t="s">
        <v>1019</v>
      </c>
      <c r="D504" s="464">
        <v>225502</v>
      </c>
      <c r="E504" s="496">
        <v>4</v>
      </c>
      <c r="F504" s="401">
        <v>8544</v>
      </c>
      <c r="G504" s="402">
        <v>8766</v>
      </c>
      <c r="H504" s="401">
        <v>20814</v>
      </c>
      <c r="I504" s="402">
        <v>21038</v>
      </c>
      <c r="J504" s="401">
        <v>10805.333333333299</v>
      </c>
      <c r="K504" s="402">
        <v>11088</v>
      </c>
      <c r="L504" s="401">
        <v>20621.333333333299</v>
      </c>
      <c r="M504" s="402">
        <v>19704</v>
      </c>
      <c r="N504" s="401"/>
      <c r="O504" s="402"/>
      <c r="P504" s="413"/>
      <c r="Q504" s="402"/>
      <c r="R504" s="401"/>
      <c r="S504" s="402"/>
      <c r="T504" s="401"/>
      <c r="U504" s="402"/>
      <c r="V504" s="401"/>
      <c r="W504" s="402"/>
      <c r="X504" s="401"/>
      <c r="Y504" s="402"/>
      <c r="Z504" s="401"/>
      <c r="AA504" s="402"/>
      <c r="AB504" s="401"/>
      <c r="AC504" s="402"/>
      <c r="AD504" s="401"/>
      <c r="AE504" s="402"/>
      <c r="AF504" s="401"/>
      <c r="AG504" s="402"/>
      <c r="AH504" s="401"/>
      <c r="AI504" s="402"/>
      <c r="AJ504" s="401"/>
      <c r="AK504" s="402"/>
      <c r="AL504" s="401"/>
      <c r="AM504" s="402"/>
      <c r="AN504" s="401"/>
      <c r="AO504" s="402"/>
    </row>
    <row r="505" spans="1:41" s="179" customFormat="1" ht="15.75" customHeight="1">
      <c r="A505" s="259" t="s">
        <v>507</v>
      </c>
      <c r="B505" s="260" t="s">
        <v>748</v>
      </c>
      <c r="C505" s="381" t="s">
        <v>1020</v>
      </c>
      <c r="D505" s="464" t="s">
        <v>749</v>
      </c>
      <c r="E505" s="496">
        <v>5</v>
      </c>
      <c r="F505" s="401">
        <v>8808</v>
      </c>
      <c r="G505" s="402">
        <v>9020</v>
      </c>
      <c r="H505" s="401">
        <v>21046</v>
      </c>
      <c r="I505" s="402">
        <v>21274</v>
      </c>
      <c r="J505" s="401">
        <v>7662.6666666666697</v>
      </c>
      <c r="K505" s="402">
        <v>7880</v>
      </c>
      <c r="L505" s="401">
        <v>17477.333333333299</v>
      </c>
      <c r="M505" s="402">
        <v>17696</v>
      </c>
      <c r="N505" s="401"/>
      <c r="O505" s="402"/>
      <c r="P505" s="413"/>
      <c r="Q505" s="402"/>
      <c r="R505" s="401"/>
      <c r="S505" s="402"/>
      <c r="T505" s="401"/>
      <c r="U505" s="402"/>
      <c r="V505" s="401"/>
      <c r="W505" s="402"/>
      <c r="X505" s="401"/>
      <c r="Y505" s="402"/>
      <c r="Z505" s="401"/>
      <c r="AA505" s="402"/>
      <c r="AB505" s="401"/>
      <c r="AC505" s="402"/>
      <c r="AD505" s="401"/>
      <c r="AE505" s="402"/>
      <c r="AF505" s="401"/>
      <c r="AG505" s="402"/>
      <c r="AH505" s="401"/>
      <c r="AI505" s="402"/>
      <c r="AJ505" s="401"/>
      <c r="AK505" s="402"/>
      <c r="AL505" s="401"/>
      <c r="AM505" s="402"/>
      <c r="AN505" s="401"/>
      <c r="AO505" s="402"/>
    </row>
    <row r="506" spans="1:41" s="179" customFormat="1" ht="15.75" customHeight="1">
      <c r="A506" s="259" t="s">
        <v>507</v>
      </c>
      <c r="B506" s="260" t="s">
        <v>750</v>
      </c>
      <c r="C506" s="381" t="s">
        <v>1020</v>
      </c>
      <c r="D506" s="464">
        <v>228714</v>
      </c>
      <c r="E506" s="496">
        <v>5</v>
      </c>
      <c r="F506" s="401">
        <v>10118</v>
      </c>
      <c r="G506" s="402">
        <v>12730</v>
      </c>
      <c r="H506" s="401">
        <v>39533</v>
      </c>
      <c r="I506" s="402">
        <v>40332</v>
      </c>
      <c r="J506" s="401">
        <v>11710.666666666701</v>
      </c>
      <c r="K506" s="402">
        <v>11949.333333333299</v>
      </c>
      <c r="L506" s="401">
        <v>23984</v>
      </c>
      <c r="M506" s="402">
        <v>24658.666666666701</v>
      </c>
      <c r="N506" s="401"/>
      <c r="O506" s="402"/>
      <c r="P506" s="413"/>
      <c r="Q506" s="402"/>
      <c r="R506" s="401"/>
      <c r="S506" s="402"/>
      <c r="T506" s="401"/>
      <c r="U506" s="402"/>
      <c r="V506" s="401"/>
      <c r="W506" s="402"/>
      <c r="X506" s="401"/>
      <c r="Y506" s="402"/>
      <c r="Z506" s="401"/>
      <c r="AA506" s="402"/>
      <c r="AB506" s="401"/>
      <c r="AC506" s="402"/>
      <c r="AD506" s="401"/>
      <c r="AE506" s="402"/>
      <c r="AF506" s="401"/>
      <c r="AG506" s="402"/>
      <c r="AH506" s="401"/>
      <c r="AI506" s="402"/>
      <c r="AJ506" s="401"/>
      <c r="AK506" s="402"/>
      <c r="AL506" s="401"/>
      <c r="AM506" s="402"/>
      <c r="AN506" s="401"/>
      <c r="AO506" s="402"/>
    </row>
    <row r="507" spans="1:41" s="179" customFormat="1" ht="15.75" customHeight="1">
      <c r="A507" s="259" t="s">
        <v>507</v>
      </c>
      <c r="B507" s="260" t="s">
        <v>751</v>
      </c>
      <c r="C507" s="381" t="s">
        <v>1020</v>
      </c>
      <c r="D507" s="464">
        <v>870501</v>
      </c>
      <c r="E507" s="2">
        <v>4</v>
      </c>
      <c r="F507" s="401">
        <v>8900</v>
      </c>
      <c r="G507" s="402"/>
      <c r="H507" s="401">
        <v>22168</v>
      </c>
      <c r="I507" s="402">
        <v>0</v>
      </c>
      <c r="J507" s="401">
        <v>8802.6666666666697</v>
      </c>
      <c r="K507" s="402">
        <v>0</v>
      </c>
      <c r="L507" s="401">
        <v>19125.333333333299</v>
      </c>
      <c r="M507" s="402">
        <v>0</v>
      </c>
      <c r="N507" s="401"/>
      <c r="O507" s="402"/>
      <c r="P507" s="413"/>
      <c r="Q507" s="402"/>
      <c r="R507" s="401"/>
      <c r="S507" s="402"/>
      <c r="T507" s="401"/>
      <c r="U507" s="402"/>
      <c r="V507" s="401"/>
      <c r="W507" s="402"/>
      <c r="X507" s="401"/>
      <c r="Y507" s="402"/>
      <c r="Z507" s="401"/>
      <c r="AA507" s="402"/>
      <c r="AB507" s="401"/>
      <c r="AC507" s="402"/>
      <c r="AD507" s="401"/>
      <c r="AE507" s="402"/>
      <c r="AF507" s="401"/>
      <c r="AG507" s="402"/>
      <c r="AH507" s="401"/>
      <c r="AI507" s="402"/>
      <c r="AJ507" s="401"/>
      <c r="AK507" s="402"/>
      <c r="AL507" s="401"/>
      <c r="AM507" s="402"/>
      <c r="AN507" s="401"/>
      <c r="AO507" s="402"/>
    </row>
    <row r="508" spans="1:41" s="179" customFormat="1" ht="15.75" customHeight="1">
      <c r="A508" s="259" t="s">
        <v>507</v>
      </c>
      <c r="B508" s="260" t="s">
        <v>752</v>
      </c>
      <c r="C508" s="497" t="s">
        <v>1021</v>
      </c>
      <c r="D508" s="464">
        <v>223506</v>
      </c>
      <c r="E508" s="496">
        <v>7</v>
      </c>
      <c r="F508" s="401">
        <v>2714</v>
      </c>
      <c r="G508" s="402"/>
      <c r="H508" s="401">
        <v>5355</v>
      </c>
      <c r="I508" s="402">
        <v>0</v>
      </c>
      <c r="J508" s="401">
        <v>0</v>
      </c>
      <c r="K508" s="402">
        <v>0</v>
      </c>
      <c r="L508" s="401">
        <v>0</v>
      </c>
      <c r="M508" s="402">
        <v>0</v>
      </c>
      <c r="N508" s="401"/>
      <c r="O508" s="402"/>
      <c r="P508" s="413"/>
      <c r="Q508" s="402"/>
      <c r="R508" s="401"/>
      <c r="S508" s="402"/>
      <c r="T508" s="401"/>
      <c r="U508" s="402"/>
      <c r="V508" s="401"/>
      <c r="W508" s="402"/>
      <c r="X508" s="401"/>
      <c r="Y508" s="402"/>
      <c r="Z508" s="401"/>
      <c r="AA508" s="402"/>
      <c r="AB508" s="401"/>
      <c r="AC508" s="402"/>
      <c r="AD508" s="401"/>
      <c r="AE508" s="402"/>
      <c r="AF508" s="401"/>
      <c r="AG508" s="402"/>
      <c r="AH508" s="401"/>
      <c r="AI508" s="402"/>
      <c r="AJ508" s="401"/>
      <c r="AK508" s="402"/>
      <c r="AL508" s="401"/>
      <c r="AM508" s="402"/>
      <c r="AN508" s="401"/>
      <c r="AO508" s="402"/>
    </row>
    <row r="509" spans="1:41" s="179" customFormat="1" ht="15.75" customHeight="1">
      <c r="A509" s="259" t="s">
        <v>507</v>
      </c>
      <c r="B509" s="260" t="s">
        <v>753</v>
      </c>
      <c r="C509" s="497" t="s">
        <v>1021</v>
      </c>
      <c r="D509" s="464">
        <v>226806</v>
      </c>
      <c r="E509" s="496">
        <v>7</v>
      </c>
      <c r="F509" s="401">
        <v>2878</v>
      </c>
      <c r="G509" s="402">
        <v>3176</v>
      </c>
      <c r="H509" s="401">
        <v>5610</v>
      </c>
      <c r="I509" s="402">
        <v>5880</v>
      </c>
      <c r="J509" s="401">
        <v>0</v>
      </c>
      <c r="K509" s="402">
        <v>0</v>
      </c>
      <c r="L509" s="401">
        <v>0</v>
      </c>
      <c r="M509" s="402">
        <v>0</v>
      </c>
      <c r="N509" s="401"/>
      <c r="O509" s="402"/>
      <c r="P509" s="413"/>
      <c r="Q509" s="402"/>
      <c r="R509" s="401"/>
      <c r="S509" s="402"/>
      <c r="T509" s="401"/>
      <c r="U509" s="402"/>
      <c r="V509" s="401"/>
      <c r="W509" s="402"/>
      <c r="X509" s="401"/>
      <c r="Y509" s="402"/>
      <c r="Z509" s="401"/>
      <c r="AA509" s="402"/>
      <c r="AB509" s="401"/>
      <c r="AC509" s="402"/>
      <c r="AD509" s="401"/>
      <c r="AE509" s="402"/>
      <c r="AF509" s="401"/>
      <c r="AG509" s="402"/>
      <c r="AH509" s="401"/>
      <c r="AI509" s="402"/>
      <c r="AJ509" s="401"/>
      <c r="AK509" s="402"/>
      <c r="AL509" s="401"/>
      <c r="AM509" s="402"/>
      <c r="AN509" s="401"/>
      <c r="AO509" s="402"/>
    </row>
    <row r="510" spans="1:41" s="179" customFormat="1" ht="15.75" customHeight="1">
      <c r="A510" s="259" t="s">
        <v>507</v>
      </c>
      <c r="B510" s="260" t="s">
        <v>754</v>
      </c>
      <c r="C510" s="497" t="s">
        <v>1022</v>
      </c>
      <c r="D510" s="464">
        <v>409315</v>
      </c>
      <c r="E510" s="496">
        <v>7</v>
      </c>
      <c r="F510" s="401">
        <v>4550</v>
      </c>
      <c r="G510" s="402">
        <v>5066</v>
      </c>
      <c r="H510" s="401">
        <v>7770</v>
      </c>
      <c r="I510" s="402">
        <v>7770</v>
      </c>
      <c r="J510" s="401">
        <v>0</v>
      </c>
      <c r="K510" s="402">
        <v>0</v>
      </c>
      <c r="L510" s="401">
        <v>0</v>
      </c>
      <c r="M510" s="402">
        <v>0</v>
      </c>
      <c r="N510" s="401"/>
      <c r="O510" s="402"/>
      <c r="P510" s="413"/>
      <c r="Q510" s="402"/>
      <c r="R510" s="401"/>
      <c r="S510" s="402"/>
      <c r="T510" s="401"/>
      <c r="U510" s="402"/>
      <c r="V510" s="401"/>
      <c r="W510" s="402"/>
      <c r="X510" s="401"/>
      <c r="Y510" s="402"/>
      <c r="Z510" s="401"/>
      <c r="AA510" s="402"/>
      <c r="AB510" s="401"/>
      <c r="AC510" s="402"/>
      <c r="AD510" s="401"/>
      <c r="AE510" s="402"/>
      <c r="AF510" s="401"/>
      <c r="AG510" s="402"/>
      <c r="AH510" s="401"/>
      <c r="AI510" s="402"/>
      <c r="AJ510" s="401"/>
      <c r="AK510" s="402"/>
      <c r="AL510" s="401"/>
      <c r="AM510" s="402"/>
      <c r="AN510" s="401"/>
      <c r="AO510" s="402"/>
    </row>
    <row r="511" spans="1:41" s="179" customFormat="1" ht="15.75" customHeight="1">
      <c r="A511" s="282" t="s">
        <v>507</v>
      </c>
      <c r="B511" s="260" t="s">
        <v>755</v>
      </c>
      <c r="C511" s="497"/>
      <c r="D511" s="464">
        <v>222576</v>
      </c>
      <c r="E511" s="496">
        <v>8</v>
      </c>
      <c r="F511" s="401">
        <v>2710</v>
      </c>
      <c r="G511" s="402">
        <v>2710</v>
      </c>
      <c r="H511" s="401">
        <v>5880</v>
      </c>
      <c r="I511" s="402">
        <v>5880</v>
      </c>
      <c r="J511" s="401">
        <v>0</v>
      </c>
      <c r="K511" s="402">
        <v>0</v>
      </c>
      <c r="L511" s="401">
        <v>0</v>
      </c>
      <c r="M511" s="402">
        <v>0</v>
      </c>
      <c r="N511" s="401"/>
      <c r="O511" s="402"/>
      <c r="P511" s="413"/>
      <c r="Q511" s="402"/>
      <c r="R511" s="401"/>
      <c r="S511" s="402"/>
      <c r="T511" s="401"/>
      <c r="U511" s="402"/>
      <c r="V511" s="401"/>
      <c r="W511" s="402"/>
      <c r="X511" s="401"/>
      <c r="Y511" s="402"/>
      <c r="Z511" s="401"/>
      <c r="AA511" s="402"/>
      <c r="AB511" s="401"/>
      <c r="AC511" s="402"/>
      <c r="AD511" s="401"/>
      <c r="AE511" s="402"/>
      <c r="AF511" s="401"/>
      <c r="AG511" s="402"/>
      <c r="AH511" s="401"/>
      <c r="AI511" s="402"/>
      <c r="AJ511" s="401"/>
      <c r="AK511" s="402"/>
      <c r="AL511" s="401"/>
      <c r="AM511" s="402"/>
      <c r="AN511" s="401"/>
      <c r="AO511" s="402"/>
    </row>
    <row r="512" spans="1:41" s="179" customFormat="1" ht="15.75" customHeight="1">
      <c r="A512" s="282" t="s">
        <v>507</v>
      </c>
      <c r="B512" s="260" t="s">
        <v>756</v>
      </c>
      <c r="C512" s="497"/>
      <c r="D512" s="464">
        <v>222992</v>
      </c>
      <c r="E512" s="496">
        <v>8</v>
      </c>
      <c r="F512" s="401">
        <v>3866</v>
      </c>
      <c r="G512" s="402">
        <v>3852</v>
      </c>
      <c r="H512" s="401">
        <v>13020</v>
      </c>
      <c r="I512" s="402">
        <v>13020</v>
      </c>
      <c r="J512" s="401">
        <v>0</v>
      </c>
      <c r="K512" s="402">
        <v>0</v>
      </c>
      <c r="L512" s="401">
        <v>0</v>
      </c>
      <c r="M512" s="402">
        <v>0</v>
      </c>
      <c r="N512" s="401"/>
      <c r="O512" s="402"/>
      <c r="P512" s="413"/>
      <c r="Q512" s="402"/>
      <c r="R512" s="401"/>
      <c r="S512" s="402"/>
      <c r="T512" s="401"/>
      <c r="U512" s="402"/>
      <c r="V512" s="401"/>
      <c r="W512" s="402"/>
      <c r="X512" s="401"/>
      <c r="Y512" s="402"/>
      <c r="Z512" s="401"/>
      <c r="AA512" s="402"/>
      <c r="AB512" s="401"/>
      <c r="AC512" s="402"/>
      <c r="AD512" s="401"/>
      <c r="AE512" s="402"/>
      <c r="AF512" s="401"/>
      <c r="AG512" s="402"/>
      <c r="AH512" s="401"/>
      <c r="AI512" s="402"/>
      <c r="AJ512" s="401"/>
      <c r="AK512" s="402"/>
      <c r="AL512" s="401"/>
      <c r="AM512" s="402"/>
      <c r="AN512" s="401"/>
      <c r="AO512" s="402"/>
    </row>
    <row r="513" spans="1:41" s="179" customFormat="1" ht="15.75" customHeight="1">
      <c r="A513" s="282" t="s">
        <v>507</v>
      </c>
      <c r="B513" s="260" t="s">
        <v>758</v>
      </c>
      <c r="C513" s="497" t="s">
        <v>1023</v>
      </c>
      <c r="D513" s="464">
        <v>223427</v>
      </c>
      <c r="E513" s="496">
        <v>8</v>
      </c>
      <c r="F513" s="401">
        <v>6150</v>
      </c>
      <c r="G513" s="402">
        <v>6270</v>
      </c>
      <c r="H513" s="401">
        <v>10470</v>
      </c>
      <c r="I513" s="402">
        <v>10530</v>
      </c>
      <c r="J513" s="401">
        <v>0</v>
      </c>
      <c r="K513" s="402">
        <v>0</v>
      </c>
      <c r="L513" s="401">
        <v>0</v>
      </c>
      <c r="M513" s="402">
        <v>0</v>
      </c>
      <c r="N513" s="401"/>
      <c r="O513" s="402"/>
      <c r="P513" s="413"/>
      <c r="Q513" s="402"/>
      <c r="R513" s="401"/>
      <c r="S513" s="402"/>
      <c r="T513" s="401"/>
      <c r="U513" s="402"/>
      <c r="V513" s="401"/>
      <c r="W513" s="402"/>
      <c r="X513" s="401"/>
      <c r="Y513" s="402"/>
      <c r="Z513" s="401"/>
      <c r="AA513" s="402"/>
      <c r="AB513" s="401"/>
      <c r="AC513" s="402"/>
      <c r="AD513" s="401"/>
      <c r="AE513" s="402"/>
      <c r="AF513" s="401"/>
      <c r="AG513" s="402"/>
      <c r="AH513" s="401"/>
      <c r="AI513" s="402"/>
      <c r="AJ513" s="401"/>
      <c r="AK513" s="402"/>
      <c r="AL513" s="401"/>
      <c r="AM513" s="402"/>
      <c r="AN513" s="401"/>
      <c r="AO513" s="402"/>
    </row>
    <row r="514" spans="1:41" s="179" customFormat="1" ht="15.75" customHeight="1">
      <c r="A514" s="282" t="s">
        <v>507</v>
      </c>
      <c r="B514" s="260" t="s">
        <v>759</v>
      </c>
      <c r="C514" s="497"/>
      <c r="D514" s="464">
        <v>223524</v>
      </c>
      <c r="E514" s="496">
        <v>8</v>
      </c>
      <c r="F514" s="401">
        <v>2370</v>
      </c>
      <c r="G514" s="402">
        <v>2370</v>
      </c>
      <c r="H514" s="401">
        <v>6000</v>
      </c>
      <c r="I514" s="402">
        <v>6000</v>
      </c>
      <c r="J514" s="401">
        <v>0</v>
      </c>
      <c r="K514" s="402">
        <v>0</v>
      </c>
      <c r="L514" s="401">
        <v>0</v>
      </c>
      <c r="M514" s="402">
        <v>0</v>
      </c>
      <c r="N514" s="401"/>
      <c r="O514" s="402"/>
      <c r="P514" s="413"/>
      <c r="Q514" s="402"/>
      <c r="R514" s="401"/>
      <c r="S514" s="402"/>
      <c r="T514" s="401"/>
      <c r="U514" s="402"/>
      <c r="V514" s="401"/>
      <c r="W514" s="402"/>
      <c r="X514" s="401"/>
      <c r="Y514" s="402"/>
      <c r="Z514" s="401"/>
      <c r="AA514" s="402"/>
      <c r="AB514" s="401"/>
      <c r="AC514" s="402"/>
      <c r="AD514" s="401"/>
      <c r="AE514" s="402"/>
      <c r="AF514" s="401"/>
      <c r="AG514" s="402"/>
      <c r="AH514" s="401"/>
      <c r="AI514" s="402"/>
      <c r="AJ514" s="401"/>
      <c r="AK514" s="402"/>
      <c r="AL514" s="401"/>
      <c r="AM514" s="402"/>
      <c r="AN514" s="401"/>
      <c r="AO514" s="402"/>
    </row>
    <row r="515" spans="1:41" s="179" customFormat="1" ht="15.75" customHeight="1">
      <c r="A515" s="282" t="s">
        <v>507</v>
      </c>
      <c r="B515" s="260" t="s">
        <v>760</v>
      </c>
      <c r="C515" s="497"/>
      <c r="D515" s="464">
        <v>223816</v>
      </c>
      <c r="E515" s="496">
        <v>8</v>
      </c>
      <c r="F515" s="401">
        <v>2710</v>
      </c>
      <c r="G515" s="402">
        <v>2896</v>
      </c>
      <c r="H515" s="401">
        <v>7200</v>
      </c>
      <c r="I515" s="402">
        <v>7500</v>
      </c>
      <c r="J515" s="401">
        <v>0</v>
      </c>
      <c r="K515" s="402">
        <v>0</v>
      </c>
      <c r="L515" s="401">
        <v>0</v>
      </c>
      <c r="M515" s="402">
        <v>0</v>
      </c>
      <c r="N515" s="401"/>
      <c r="O515" s="402"/>
      <c r="P515" s="413"/>
      <c r="Q515" s="402"/>
      <c r="R515" s="401"/>
      <c r="S515" s="402"/>
      <c r="T515" s="401"/>
      <c r="U515" s="402"/>
      <c r="V515" s="401"/>
      <c r="W515" s="402"/>
      <c r="X515" s="401"/>
      <c r="Y515" s="402"/>
      <c r="Z515" s="401"/>
      <c r="AA515" s="402"/>
      <c r="AB515" s="401"/>
      <c r="AC515" s="402"/>
      <c r="AD515" s="401"/>
      <c r="AE515" s="402"/>
      <c r="AF515" s="401"/>
      <c r="AG515" s="402"/>
      <c r="AH515" s="401"/>
      <c r="AI515" s="402"/>
      <c r="AJ515" s="401"/>
      <c r="AK515" s="402"/>
      <c r="AL515" s="401"/>
      <c r="AM515" s="402"/>
      <c r="AN515" s="401"/>
      <c r="AO515" s="402"/>
    </row>
    <row r="516" spans="1:41" s="179" customFormat="1" ht="15.75" customHeight="1">
      <c r="A516" s="282" t="s">
        <v>507</v>
      </c>
      <c r="B516" s="260" t="s">
        <v>761</v>
      </c>
      <c r="C516" s="497"/>
      <c r="D516" s="464">
        <v>247834</v>
      </c>
      <c r="E516" s="496">
        <v>8</v>
      </c>
      <c r="F516" s="401">
        <v>1684</v>
      </c>
      <c r="G516" s="402">
        <v>1714</v>
      </c>
      <c r="H516" s="401">
        <v>5060</v>
      </c>
      <c r="I516" s="402">
        <v>5150</v>
      </c>
      <c r="J516" s="401">
        <v>0</v>
      </c>
      <c r="K516" s="402">
        <v>0</v>
      </c>
      <c r="L516" s="401">
        <v>0</v>
      </c>
      <c r="M516" s="402">
        <v>0</v>
      </c>
      <c r="N516" s="401"/>
      <c r="O516" s="402"/>
      <c r="P516" s="413"/>
      <c r="Q516" s="402"/>
      <c r="R516" s="401"/>
      <c r="S516" s="402"/>
      <c r="T516" s="401"/>
      <c r="U516" s="402"/>
      <c r="V516" s="401"/>
      <c r="W516" s="402"/>
      <c r="X516" s="401"/>
      <c r="Y516" s="402"/>
      <c r="Z516" s="401"/>
      <c r="AA516" s="402"/>
      <c r="AB516" s="401"/>
      <c r="AC516" s="402"/>
      <c r="AD516" s="401"/>
      <c r="AE516" s="402"/>
      <c r="AF516" s="401"/>
      <c r="AG516" s="402"/>
      <c r="AH516" s="401"/>
      <c r="AI516" s="402"/>
      <c r="AJ516" s="401"/>
      <c r="AK516" s="402"/>
      <c r="AL516" s="401"/>
      <c r="AM516" s="402"/>
      <c r="AN516" s="401"/>
      <c r="AO516" s="402"/>
    </row>
    <row r="517" spans="1:41" s="179" customFormat="1" ht="15.75" customHeight="1">
      <c r="A517" s="282" t="s">
        <v>507</v>
      </c>
      <c r="B517" s="260" t="s">
        <v>762</v>
      </c>
      <c r="C517" s="497"/>
      <c r="D517" s="464">
        <v>224350</v>
      </c>
      <c r="E517" s="496">
        <v>8</v>
      </c>
      <c r="F517" s="401">
        <v>3320</v>
      </c>
      <c r="G517" s="402">
        <v>3320</v>
      </c>
      <c r="H517" s="401">
        <v>5930</v>
      </c>
      <c r="I517" s="402">
        <v>5930</v>
      </c>
      <c r="J517" s="401">
        <v>0</v>
      </c>
      <c r="K517" s="402">
        <v>0</v>
      </c>
      <c r="L517" s="401">
        <v>0</v>
      </c>
      <c r="M517" s="402">
        <v>0</v>
      </c>
      <c r="N517" s="401"/>
      <c r="O517" s="402"/>
      <c r="P517" s="413"/>
      <c r="Q517" s="402"/>
      <c r="R517" s="401"/>
      <c r="S517" s="402"/>
      <c r="T517" s="401"/>
      <c r="U517" s="402"/>
      <c r="V517" s="401"/>
      <c r="W517" s="402"/>
      <c r="X517" s="401"/>
      <c r="Y517" s="402"/>
      <c r="Z517" s="401"/>
      <c r="AA517" s="402"/>
      <c r="AB517" s="401"/>
      <c r="AC517" s="402"/>
      <c r="AD517" s="401"/>
      <c r="AE517" s="402"/>
      <c r="AF517" s="401"/>
      <c r="AG517" s="402"/>
      <c r="AH517" s="401"/>
      <c r="AI517" s="402"/>
      <c r="AJ517" s="401"/>
      <c r="AK517" s="402"/>
      <c r="AL517" s="401"/>
      <c r="AM517" s="402"/>
      <c r="AN517" s="401"/>
      <c r="AO517" s="402"/>
    </row>
    <row r="518" spans="1:41" s="179" customFormat="1" ht="15.75" customHeight="1">
      <c r="A518" s="282" t="s">
        <v>507</v>
      </c>
      <c r="B518" s="260" t="s">
        <v>763</v>
      </c>
      <c r="C518" s="497" t="s">
        <v>1024</v>
      </c>
      <c r="D518" s="464">
        <v>224572</v>
      </c>
      <c r="E518" s="496">
        <v>8</v>
      </c>
      <c r="F518" s="401">
        <v>2370</v>
      </c>
      <c r="G518" s="402">
        <v>2370</v>
      </c>
      <c r="H518" s="401">
        <v>6000</v>
      </c>
      <c r="I518" s="402">
        <v>6000</v>
      </c>
      <c r="J518" s="401">
        <v>0</v>
      </c>
      <c r="K518" s="402">
        <v>0</v>
      </c>
      <c r="L518" s="401">
        <v>0</v>
      </c>
      <c r="M518" s="402">
        <v>0</v>
      </c>
      <c r="N518" s="401"/>
      <c r="O518" s="402"/>
      <c r="P518" s="413"/>
      <c r="Q518" s="402"/>
      <c r="R518" s="401"/>
      <c r="S518" s="402"/>
      <c r="T518" s="401"/>
      <c r="U518" s="402"/>
      <c r="V518" s="401"/>
      <c r="W518" s="402"/>
      <c r="X518" s="401"/>
      <c r="Y518" s="402"/>
      <c r="Z518" s="401"/>
      <c r="AA518" s="402"/>
      <c r="AB518" s="401"/>
      <c r="AC518" s="402"/>
      <c r="AD518" s="401"/>
      <c r="AE518" s="402"/>
      <c r="AF518" s="401"/>
      <c r="AG518" s="402"/>
      <c r="AH518" s="401"/>
      <c r="AI518" s="402"/>
      <c r="AJ518" s="401"/>
      <c r="AK518" s="402"/>
      <c r="AL518" s="401"/>
      <c r="AM518" s="402"/>
      <c r="AN518" s="401"/>
      <c r="AO518" s="402"/>
    </row>
    <row r="519" spans="1:41" s="179" customFormat="1" ht="15.75" customHeight="1">
      <c r="A519" s="263" t="s">
        <v>507</v>
      </c>
      <c r="B519" s="260" t="s">
        <v>764</v>
      </c>
      <c r="C519" s="497" t="s">
        <v>1024</v>
      </c>
      <c r="D519" s="464">
        <v>224615</v>
      </c>
      <c r="E519" s="496">
        <v>8</v>
      </c>
      <c r="F519" s="401">
        <v>2370</v>
      </c>
      <c r="G519" s="402">
        <v>2370</v>
      </c>
      <c r="H519" s="401">
        <v>6000</v>
      </c>
      <c r="I519" s="402">
        <v>6000</v>
      </c>
      <c r="J519" s="401">
        <v>0</v>
      </c>
      <c r="K519" s="402">
        <v>0</v>
      </c>
      <c r="L519" s="401">
        <v>0</v>
      </c>
      <c r="M519" s="402">
        <v>0</v>
      </c>
      <c r="N519" s="401"/>
      <c r="O519" s="402"/>
      <c r="P519" s="413"/>
      <c r="Q519" s="402"/>
      <c r="R519" s="401"/>
      <c r="S519" s="402"/>
      <c r="T519" s="401"/>
      <c r="U519" s="402"/>
      <c r="V519" s="401"/>
      <c r="W519" s="402"/>
      <c r="X519" s="401"/>
      <c r="Y519" s="402"/>
      <c r="Z519" s="401"/>
      <c r="AA519" s="402"/>
      <c r="AB519" s="401"/>
      <c r="AC519" s="402"/>
      <c r="AD519" s="401"/>
      <c r="AE519" s="402"/>
      <c r="AF519" s="401"/>
      <c r="AG519" s="402"/>
      <c r="AH519" s="401"/>
      <c r="AI519" s="402"/>
      <c r="AJ519" s="401"/>
      <c r="AK519" s="402"/>
      <c r="AL519" s="401"/>
      <c r="AM519" s="402"/>
      <c r="AN519" s="401"/>
      <c r="AO519" s="402"/>
    </row>
    <row r="520" spans="1:41" s="179" customFormat="1" ht="15.75" customHeight="1">
      <c r="A520" s="263" t="s">
        <v>507</v>
      </c>
      <c r="B520" s="260" t="s">
        <v>765</v>
      </c>
      <c r="C520" s="497"/>
      <c r="D520" s="464">
        <v>224642</v>
      </c>
      <c r="E520" s="496">
        <v>8</v>
      </c>
      <c r="F520" s="401">
        <v>4120</v>
      </c>
      <c r="G520" s="402">
        <v>4120</v>
      </c>
      <c r="H520" s="401">
        <v>6630</v>
      </c>
      <c r="I520" s="402">
        <v>6630</v>
      </c>
      <c r="J520" s="401">
        <v>0</v>
      </c>
      <c r="K520" s="402">
        <v>0</v>
      </c>
      <c r="L520" s="401">
        <v>0</v>
      </c>
      <c r="M520" s="402">
        <v>0</v>
      </c>
      <c r="N520" s="401"/>
      <c r="O520" s="402"/>
      <c r="P520" s="413"/>
      <c r="Q520" s="402"/>
      <c r="R520" s="401"/>
      <c r="S520" s="402"/>
      <c r="T520" s="401"/>
      <c r="U520" s="402"/>
      <c r="V520" s="401"/>
      <c r="W520" s="402"/>
      <c r="X520" s="401"/>
      <c r="Y520" s="402"/>
      <c r="Z520" s="401"/>
      <c r="AA520" s="402"/>
      <c r="AB520" s="401"/>
      <c r="AC520" s="402"/>
      <c r="AD520" s="401"/>
      <c r="AE520" s="402"/>
      <c r="AF520" s="401"/>
      <c r="AG520" s="402"/>
      <c r="AH520" s="401"/>
      <c r="AI520" s="402"/>
      <c r="AJ520" s="401"/>
      <c r="AK520" s="402"/>
      <c r="AL520" s="401"/>
      <c r="AM520" s="402"/>
      <c r="AN520" s="401"/>
      <c r="AO520" s="402"/>
    </row>
    <row r="521" spans="1:41" s="179" customFormat="1" ht="15.75" customHeight="1">
      <c r="A521" s="263" t="s">
        <v>507</v>
      </c>
      <c r="B521" s="260" t="s">
        <v>766</v>
      </c>
      <c r="C521" s="497"/>
      <c r="D521" s="464">
        <v>225423</v>
      </c>
      <c r="E521" s="496">
        <v>8</v>
      </c>
      <c r="F521" s="401">
        <v>2542</v>
      </c>
      <c r="G521" s="402">
        <v>2542</v>
      </c>
      <c r="H521" s="401">
        <v>6570</v>
      </c>
      <c r="I521" s="402">
        <v>6822</v>
      </c>
      <c r="J521" s="401">
        <v>0</v>
      </c>
      <c r="K521" s="402">
        <v>0</v>
      </c>
      <c r="L521" s="401">
        <v>0</v>
      </c>
      <c r="M521" s="402">
        <v>0</v>
      </c>
      <c r="N521" s="401"/>
      <c r="O521" s="402"/>
      <c r="P521" s="413"/>
      <c r="Q521" s="402"/>
      <c r="R521" s="401"/>
      <c r="S521" s="402"/>
      <c r="T521" s="401"/>
      <c r="U521" s="402"/>
      <c r="V521" s="401"/>
      <c r="W521" s="402"/>
      <c r="X521" s="401"/>
      <c r="Y521" s="402"/>
      <c r="Z521" s="401"/>
      <c r="AA521" s="402"/>
      <c r="AB521" s="401"/>
      <c r="AC521" s="402"/>
      <c r="AD521" s="401"/>
      <c r="AE521" s="402"/>
      <c r="AF521" s="401"/>
      <c r="AG521" s="402"/>
      <c r="AH521" s="401"/>
      <c r="AI521" s="402"/>
      <c r="AJ521" s="401"/>
      <c r="AK521" s="402"/>
      <c r="AL521" s="401"/>
      <c r="AM521" s="402"/>
      <c r="AN521" s="401"/>
      <c r="AO521" s="402"/>
    </row>
    <row r="522" spans="1:41" s="179" customFormat="1" ht="15.75" customHeight="1">
      <c r="A522" s="263" t="s">
        <v>507</v>
      </c>
      <c r="B522" s="260" t="s">
        <v>767</v>
      </c>
      <c r="C522" s="497"/>
      <c r="D522" s="464">
        <v>226134</v>
      </c>
      <c r="E522" s="496">
        <v>8</v>
      </c>
      <c r="F522" s="401">
        <v>4110</v>
      </c>
      <c r="G522" s="402">
        <v>4130</v>
      </c>
      <c r="H522" s="401">
        <v>7140</v>
      </c>
      <c r="I522" s="402">
        <v>7120</v>
      </c>
      <c r="J522" s="401">
        <v>0</v>
      </c>
      <c r="K522" s="402">
        <v>0</v>
      </c>
      <c r="L522" s="401">
        <v>0</v>
      </c>
      <c r="M522" s="402">
        <v>0</v>
      </c>
      <c r="N522" s="401"/>
      <c r="O522" s="402"/>
      <c r="P522" s="413"/>
      <c r="Q522" s="402"/>
      <c r="R522" s="401"/>
      <c r="S522" s="402"/>
      <c r="T522" s="401"/>
      <c r="U522" s="402"/>
      <c r="V522" s="401"/>
      <c r="W522" s="402"/>
      <c r="X522" s="401"/>
      <c r="Y522" s="402"/>
      <c r="Z522" s="401"/>
      <c r="AA522" s="402"/>
      <c r="AB522" s="401"/>
      <c r="AC522" s="402"/>
      <c r="AD522" s="401"/>
      <c r="AE522" s="402"/>
      <c r="AF522" s="401"/>
      <c r="AG522" s="402"/>
      <c r="AH522" s="401"/>
      <c r="AI522" s="402"/>
      <c r="AJ522" s="401"/>
      <c r="AK522" s="402"/>
      <c r="AL522" s="401"/>
      <c r="AM522" s="402"/>
      <c r="AN522" s="401"/>
      <c r="AO522" s="402"/>
    </row>
    <row r="523" spans="1:41" s="179" customFormat="1" ht="15.75" customHeight="1">
      <c r="A523" s="259" t="s">
        <v>507</v>
      </c>
      <c r="B523" s="260" t="s">
        <v>768</v>
      </c>
      <c r="C523" s="497"/>
      <c r="D523" s="464">
        <v>227182</v>
      </c>
      <c r="E523" s="496">
        <v>8</v>
      </c>
      <c r="F523" s="401">
        <v>2758</v>
      </c>
      <c r="G523" s="402">
        <v>2760</v>
      </c>
      <c r="H523" s="401">
        <v>7695</v>
      </c>
      <c r="I523" s="402">
        <v>7680</v>
      </c>
      <c r="J523" s="401">
        <v>0</v>
      </c>
      <c r="K523" s="402">
        <v>0</v>
      </c>
      <c r="L523" s="401">
        <v>0</v>
      </c>
      <c r="M523" s="402">
        <v>0</v>
      </c>
      <c r="N523" s="401"/>
      <c r="O523" s="402"/>
      <c r="P523" s="413"/>
      <c r="Q523" s="402"/>
      <c r="R523" s="401"/>
      <c r="S523" s="402"/>
      <c r="T523" s="401"/>
      <c r="U523" s="402"/>
      <c r="V523" s="401"/>
      <c r="W523" s="402"/>
      <c r="X523" s="401"/>
      <c r="Y523" s="402"/>
      <c r="Z523" s="401"/>
      <c r="AA523" s="402"/>
      <c r="AB523" s="401"/>
      <c r="AC523" s="402"/>
      <c r="AD523" s="401"/>
      <c r="AE523" s="402"/>
      <c r="AF523" s="401"/>
      <c r="AG523" s="402"/>
      <c r="AH523" s="401"/>
      <c r="AI523" s="402"/>
      <c r="AJ523" s="401"/>
      <c r="AK523" s="402"/>
      <c r="AL523" s="401"/>
      <c r="AM523" s="402"/>
      <c r="AN523" s="401"/>
      <c r="AO523" s="402"/>
    </row>
    <row r="524" spans="1:41" s="179" customFormat="1" ht="15.75" customHeight="1">
      <c r="A524" s="259" t="s">
        <v>507</v>
      </c>
      <c r="B524" s="260" t="s">
        <v>769</v>
      </c>
      <c r="C524" s="497"/>
      <c r="D524" s="464">
        <v>226578</v>
      </c>
      <c r="E524" s="496">
        <v>8</v>
      </c>
      <c r="F524" s="401">
        <v>3700</v>
      </c>
      <c r="G524" s="402">
        <v>3700</v>
      </c>
      <c r="H524" s="401">
        <v>5910</v>
      </c>
      <c r="I524" s="402">
        <v>5910</v>
      </c>
      <c r="J524" s="401">
        <v>0</v>
      </c>
      <c r="K524" s="402">
        <v>0</v>
      </c>
      <c r="L524" s="401">
        <v>0</v>
      </c>
      <c r="M524" s="402">
        <v>0</v>
      </c>
      <c r="N524" s="401"/>
      <c r="O524" s="402"/>
      <c r="P524" s="413"/>
      <c r="Q524" s="402"/>
      <c r="R524" s="401"/>
      <c r="S524" s="402"/>
      <c r="T524" s="401"/>
      <c r="U524" s="402"/>
      <c r="V524" s="401"/>
      <c r="W524" s="402"/>
      <c r="X524" s="401"/>
      <c r="Y524" s="402"/>
      <c r="Z524" s="401"/>
      <c r="AA524" s="402"/>
      <c r="AB524" s="401"/>
      <c r="AC524" s="402"/>
      <c r="AD524" s="401"/>
      <c r="AE524" s="402"/>
      <c r="AF524" s="401"/>
      <c r="AG524" s="402"/>
      <c r="AH524" s="401"/>
      <c r="AI524" s="402"/>
      <c r="AJ524" s="401"/>
      <c r="AK524" s="402"/>
      <c r="AL524" s="401"/>
      <c r="AM524" s="402"/>
      <c r="AN524" s="401"/>
      <c r="AO524" s="402"/>
    </row>
    <row r="525" spans="1:41" s="179" customFormat="1" ht="15.75" customHeight="1">
      <c r="A525" s="259" t="s">
        <v>507</v>
      </c>
      <c r="B525" s="260" t="s">
        <v>770</v>
      </c>
      <c r="C525" s="497" t="s">
        <v>1024</v>
      </c>
      <c r="D525" s="464">
        <v>226930</v>
      </c>
      <c r="E525" s="496">
        <v>8</v>
      </c>
      <c r="F525" s="401">
        <v>2370</v>
      </c>
      <c r="G525" s="402">
        <v>2370</v>
      </c>
      <c r="H525" s="401">
        <v>6000</v>
      </c>
      <c r="I525" s="402">
        <v>6000</v>
      </c>
      <c r="J525" s="401">
        <v>0</v>
      </c>
      <c r="K525" s="402">
        <v>0</v>
      </c>
      <c r="L525" s="401">
        <v>0</v>
      </c>
      <c r="M525" s="402">
        <v>0</v>
      </c>
      <c r="N525" s="401"/>
      <c r="O525" s="402"/>
      <c r="P525" s="413"/>
      <c r="Q525" s="402"/>
      <c r="R525" s="401"/>
      <c r="S525" s="402"/>
      <c r="T525" s="401"/>
      <c r="U525" s="402"/>
      <c r="V525" s="401"/>
      <c r="W525" s="402"/>
      <c r="X525" s="401"/>
      <c r="Y525" s="402"/>
      <c r="Z525" s="401"/>
      <c r="AA525" s="402"/>
      <c r="AB525" s="401"/>
      <c r="AC525" s="402"/>
      <c r="AD525" s="401"/>
      <c r="AE525" s="402"/>
      <c r="AF525" s="401"/>
      <c r="AG525" s="402"/>
      <c r="AH525" s="401"/>
      <c r="AI525" s="402"/>
      <c r="AJ525" s="401"/>
      <c r="AK525" s="402"/>
      <c r="AL525" s="401"/>
      <c r="AM525" s="402"/>
      <c r="AN525" s="401"/>
      <c r="AO525" s="402"/>
    </row>
    <row r="526" spans="1:41" s="179" customFormat="1" ht="15.75" customHeight="1">
      <c r="A526" s="259" t="s">
        <v>507</v>
      </c>
      <c r="B526" s="260" t="s">
        <v>771</v>
      </c>
      <c r="C526" s="497" t="s">
        <v>1025</v>
      </c>
      <c r="D526" s="464">
        <v>227146</v>
      </c>
      <c r="E526" s="496">
        <v>8</v>
      </c>
      <c r="F526" s="401">
        <v>4642</v>
      </c>
      <c r="G526" s="402">
        <v>4642</v>
      </c>
      <c r="H526" s="401">
        <v>6368</v>
      </c>
      <c r="I526" s="402">
        <v>6368</v>
      </c>
      <c r="J526" s="401">
        <v>0</v>
      </c>
      <c r="K526" s="402">
        <v>0</v>
      </c>
      <c r="L526" s="401">
        <v>0</v>
      </c>
      <c r="M526" s="402">
        <v>0</v>
      </c>
      <c r="N526" s="401"/>
      <c r="O526" s="402"/>
      <c r="P526" s="413"/>
      <c r="Q526" s="402"/>
      <c r="R526" s="401"/>
      <c r="S526" s="402"/>
      <c r="T526" s="401"/>
      <c r="U526" s="402"/>
      <c r="V526" s="401"/>
      <c r="W526" s="402"/>
      <c r="X526" s="401"/>
      <c r="Y526" s="402"/>
      <c r="Z526" s="401"/>
      <c r="AA526" s="402"/>
      <c r="AB526" s="401"/>
      <c r="AC526" s="402"/>
      <c r="AD526" s="401"/>
      <c r="AE526" s="402"/>
      <c r="AF526" s="401"/>
      <c r="AG526" s="402"/>
      <c r="AH526" s="401"/>
      <c r="AI526" s="402"/>
      <c r="AJ526" s="401"/>
      <c r="AK526" s="402"/>
      <c r="AL526" s="401"/>
      <c r="AM526" s="402"/>
      <c r="AN526" s="401"/>
      <c r="AO526" s="402"/>
    </row>
    <row r="527" spans="1:41" s="179" customFormat="1" ht="15.75" customHeight="1">
      <c r="A527" s="259" t="s">
        <v>507</v>
      </c>
      <c r="B527" s="260" t="s">
        <v>772</v>
      </c>
      <c r="C527" s="497"/>
      <c r="D527" s="464">
        <v>224110</v>
      </c>
      <c r="E527" s="496">
        <v>8</v>
      </c>
      <c r="F527" s="401">
        <v>3000</v>
      </c>
      <c r="G527" s="402">
        <v>3000</v>
      </c>
      <c r="H527" s="401">
        <v>8850</v>
      </c>
      <c r="I527" s="402">
        <v>8850</v>
      </c>
      <c r="J527" s="401">
        <v>0</v>
      </c>
      <c r="K527" s="402">
        <v>0</v>
      </c>
      <c r="L527" s="401">
        <v>0</v>
      </c>
      <c r="M527" s="402">
        <v>0</v>
      </c>
      <c r="N527" s="401"/>
      <c r="O527" s="402"/>
      <c r="P527" s="413"/>
      <c r="Q527" s="402"/>
      <c r="R527" s="401"/>
      <c r="S527" s="402"/>
      <c r="T527" s="401"/>
      <c r="U527" s="402"/>
      <c r="V527" s="401"/>
      <c r="W527" s="402"/>
      <c r="X527" s="401"/>
      <c r="Y527" s="402"/>
      <c r="Z527" s="401"/>
      <c r="AA527" s="402"/>
      <c r="AB527" s="401"/>
      <c r="AC527" s="402"/>
      <c r="AD527" s="401"/>
      <c r="AE527" s="402"/>
      <c r="AF527" s="401"/>
      <c r="AG527" s="402"/>
      <c r="AH527" s="401"/>
      <c r="AI527" s="402"/>
      <c r="AJ527" s="401"/>
      <c r="AK527" s="402"/>
      <c r="AL527" s="401"/>
      <c r="AM527" s="402"/>
      <c r="AN527" s="401"/>
      <c r="AO527" s="402"/>
    </row>
    <row r="528" spans="1:41" s="179" customFormat="1" ht="15.75" customHeight="1">
      <c r="A528" s="259" t="s">
        <v>507</v>
      </c>
      <c r="B528" s="260" t="s">
        <v>773</v>
      </c>
      <c r="C528" s="497" t="s">
        <v>1024</v>
      </c>
      <c r="D528" s="464">
        <v>227191</v>
      </c>
      <c r="E528" s="496">
        <v>8</v>
      </c>
      <c r="F528" s="401">
        <v>2370</v>
      </c>
      <c r="G528" s="402">
        <v>2370</v>
      </c>
      <c r="H528" s="401">
        <v>6000</v>
      </c>
      <c r="I528" s="402">
        <v>6000</v>
      </c>
      <c r="J528" s="401">
        <v>0</v>
      </c>
      <c r="K528" s="402">
        <v>0</v>
      </c>
      <c r="L528" s="401">
        <v>0</v>
      </c>
      <c r="M528" s="402">
        <v>0</v>
      </c>
      <c r="N528" s="401"/>
      <c r="O528" s="402"/>
      <c r="P528" s="413"/>
      <c r="Q528" s="402"/>
      <c r="R528" s="401"/>
      <c r="S528" s="402"/>
      <c r="T528" s="401"/>
      <c r="U528" s="402"/>
      <c r="V528" s="401"/>
      <c r="W528" s="402"/>
      <c r="X528" s="401"/>
      <c r="Y528" s="402"/>
      <c r="Z528" s="401"/>
      <c r="AA528" s="402"/>
      <c r="AB528" s="401"/>
      <c r="AC528" s="402"/>
      <c r="AD528" s="401"/>
      <c r="AE528" s="402"/>
      <c r="AF528" s="401"/>
      <c r="AG528" s="402"/>
      <c r="AH528" s="401"/>
      <c r="AI528" s="402"/>
      <c r="AJ528" s="401"/>
      <c r="AK528" s="402"/>
      <c r="AL528" s="401"/>
      <c r="AM528" s="402"/>
      <c r="AN528" s="401"/>
      <c r="AO528" s="402"/>
    </row>
    <row r="529" spans="1:41" s="179" customFormat="1" ht="15.75" customHeight="1">
      <c r="A529" s="259" t="s">
        <v>507</v>
      </c>
      <c r="B529" s="260" t="s">
        <v>774</v>
      </c>
      <c r="C529" s="497"/>
      <c r="D529" s="464">
        <v>420398</v>
      </c>
      <c r="E529" s="496">
        <v>8</v>
      </c>
      <c r="F529" s="401">
        <v>3140</v>
      </c>
      <c r="G529" s="402"/>
      <c r="H529" s="401">
        <v>0</v>
      </c>
      <c r="I529" s="402">
        <v>14122</v>
      </c>
      <c r="J529" s="401">
        <v>0</v>
      </c>
      <c r="K529" s="402">
        <v>0</v>
      </c>
      <c r="L529" s="401">
        <v>0</v>
      </c>
      <c r="M529" s="402">
        <v>0</v>
      </c>
      <c r="N529" s="401"/>
      <c r="O529" s="402"/>
      <c r="P529" s="413"/>
      <c r="Q529" s="402"/>
      <c r="R529" s="401"/>
      <c r="S529" s="402"/>
      <c r="T529" s="401"/>
      <c r="U529" s="402"/>
      <c r="V529" s="401"/>
      <c r="W529" s="402"/>
      <c r="X529" s="401"/>
      <c r="Y529" s="402"/>
      <c r="Z529" s="401"/>
      <c r="AA529" s="402"/>
      <c r="AB529" s="401"/>
      <c r="AC529" s="402"/>
      <c r="AD529" s="401"/>
      <c r="AE529" s="402"/>
      <c r="AF529" s="401"/>
      <c r="AG529" s="402"/>
      <c r="AH529" s="401"/>
      <c r="AI529" s="402"/>
      <c r="AJ529" s="401"/>
      <c r="AK529" s="402"/>
      <c r="AL529" s="401"/>
      <c r="AM529" s="402"/>
      <c r="AN529" s="401"/>
      <c r="AO529" s="402"/>
    </row>
    <row r="530" spans="1:41" s="179" customFormat="1" ht="15.75" customHeight="1">
      <c r="A530" s="259" t="s">
        <v>507</v>
      </c>
      <c r="B530" s="260" t="s">
        <v>775</v>
      </c>
      <c r="C530" s="497" t="s">
        <v>1025</v>
      </c>
      <c r="D530" s="464">
        <v>246354</v>
      </c>
      <c r="E530" s="496">
        <v>8</v>
      </c>
      <c r="F530" s="401">
        <v>3140</v>
      </c>
      <c r="G530" s="402"/>
      <c r="H530" s="401">
        <v>0</v>
      </c>
      <c r="I530" s="402">
        <v>14122</v>
      </c>
      <c r="J530" s="401">
        <v>0</v>
      </c>
      <c r="K530" s="402">
        <v>0</v>
      </c>
      <c r="L530" s="401">
        <v>0</v>
      </c>
      <c r="M530" s="402">
        <v>0</v>
      </c>
      <c r="N530" s="401"/>
      <c r="O530" s="402"/>
      <c r="P530" s="413"/>
      <c r="Q530" s="402"/>
      <c r="R530" s="401"/>
      <c r="S530" s="402"/>
      <c r="T530" s="401"/>
      <c r="U530" s="402"/>
      <c r="V530" s="401"/>
      <c r="W530" s="402"/>
      <c r="X530" s="401"/>
      <c r="Y530" s="402"/>
      <c r="Z530" s="401"/>
      <c r="AA530" s="402"/>
      <c r="AB530" s="401"/>
      <c r="AC530" s="402"/>
      <c r="AD530" s="401"/>
      <c r="AE530" s="402"/>
      <c r="AF530" s="401"/>
      <c r="AG530" s="402"/>
      <c r="AH530" s="401"/>
      <c r="AI530" s="402"/>
      <c r="AJ530" s="401"/>
      <c r="AK530" s="402"/>
      <c r="AL530" s="401"/>
      <c r="AM530" s="402"/>
      <c r="AN530" s="401"/>
      <c r="AO530" s="402"/>
    </row>
    <row r="531" spans="1:41" s="179" customFormat="1" ht="15.75" customHeight="1">
      <c r="A531" s="259" t="s">
        <v>507</v>
      </c>
      <c r="B531" s="260" t="s">
        <v>776</v>
      </c>
      <c r="C531" s="497" t="s">
        <v>1024</v>
      </c>
      <c r="D531" s="464">
        <v>227766</v>
      </c>
      <c r="E531" s="496">
        <v>8</v>
      </c>
      <c r="F531" s="401">
        <v>2370</v>
      </c>
      <c r="G531" s="402">
        <v>2370</v>
      </c>
      <c r="H531" s="401">
        <v>6000</v>
      </c>
      <c r="I531" s="402">
        <v>6000</v>
      </c>
      <c r="J531" s="401">
        <v>0</v>
      </c>
      <c r="K531" s="402">
        <v>0</v>
      </c>
      <c r="L531" s="401">
        <v>0</v>
      </c>
      <c r="M531" s="402">
        <v>0</v>
      </c>
      <c r="N531" s="401"/>
      <c r="O531" s="402"/>
      <c r="P531" s="413"/>
      <c r="Q531" s="402"/>
      <c r="R531" s="401"/>
      <c r="S531" s="402"/>
      <c r="T531" s="401"/>
      <c r="U531" s="402"/>
      <c r="V531" s="401"/>
      <c r="W531" s="402"/>
      <c r="X531" s="401"/>
      <c r="Y531" s="402"/>
      <c r="Z531" s="401"/>
      <c r="AA531" s="402"/>
      <c r="AB531" s="401"/>
      <c r="AC531" s="402"/>
      <c r="AD531" s="401"/>
      <c r="AE531" s="402"/>
      <c r="AF531" s="401"/>
      <c r="AG531" s="402"/>
      <c r="AH531" s="401"/>
      <c r="AI531" s="402"/>
      <c r="AJ531" s="401"/>
      <c r="AK531" s="402"/>
      <c r="AL531" s="401"/>
      <c r="AM531" s="402"/>
      <c r="AN531" s="401"/>
      <c r="AO531" s="402"/>
    </row>
    <row r="532" spans="1:41" s="179" customFormat="1" ht="15.75" customHeight="1">
      <c r="A532" s="259" t="s">
        <v>507</v>
      </c>
      <c r="B532" s="260" t="s">
        <v>777</v>
      </c>
      <c r="C532" s="497"/>
      <c r="D532" s="464">
        <v>227924</v>
      </c>
      <c r="E532" s="496">
        <v>8</v>
      </c>
      <c r="F532" s="401">
        <v>3140</v>
      </c>
      <c r="G532" s="402"/>
      <c r="H532" s="401">
        <v>0</v>
      </c>
      <c r="I532" s="402">
        <v>14122</v>
      </c>
      <c r="J532" s="401">
        <v>0</v>
      </c>
      <c r="K532" s="402">
        <v>0</v>
      </c>
      <c r="L532" s="401">
        <v>0</v>
      </c>
      <c r="M532" s="402">
        <v>0</v>
      </c>
      <c r="N532" s="401"/>
      <c r="O532" s="402"/>
      <c r="P532" s="413"/>
      <c r="Q532" s="402"/>
      <c r="R532" s="401"/>
      <c r="S532" s="402"/>
      <c r="T532" s="401"/>
      <c r="U532" s="402"/>
      <c r="V532" s="401"/>
      <c r="W532" s="402"/>
      <c r="X532" s="401"/>
      <c r="Y532" s="402"/>
      <c r="Z532" s="401"/>
      <c r="AA532" s="402"/>
      <c r="AB532" s="401"/>
      <c r="AC532" s="402"/>
      <c r="AD532" s="401"/>
      <c r="AE532" s="402"/>
      <c r="AF532" s="401"/>
      <c r="AG532" s="402"/>
      <c r="AH532" s="401"/>
      <c r="AI532" s="402"/>
      <c r="AJ532" s="401"/>
      <c r="AK532" s="402"/>
      <c r="AL532" s="401"/>
      <c r="AM532" s="402"/>
      <c r="AN532" s="401"/>
      <c r="AO532" s="402"/>
    </row>
    <row r="533" spans="1:41" s="179" customFormat="1" ht="15.75" customHeight="1">
      <c r="A533" s="259" t="s">
        <v>507</v>
      </c>
      <c r="B533" s="260" t="s">
        <v>778</v>
      </c>
      <c r="C533" s="497"/>
      <c r="D533" s="464">
        <v>227979</v>
      </c>
      <c r="E533" s="496">
        <v>8</v>
      </c>
      <c r="F533" s="401">
        <v>2340</v>
      </c>
      <c r="G533" s="402"/>
      <c r="H533" s="401">
        <v>6300</v>
      </c>
      <c r="I533" s="402">
        <v>0</v>
      </c>
      <c r="J533" s="401">
        <v>0</v>
      </c>
      <c r="K533" s="402">
        <v>0</v>
      </c>
      <c r="L533" s="401">
        <v>0</v>
      </c>
      <c r="M533" s="402">
        <v>0</v>
      </c>
      <c r="N533" s="401"/>
      <c r="O533" s="402"/>
      <c r="P533" s="413"/>
      <c r="Q533" s="402"/>
      <c r="R533" s="401"/>
      <c r="S533" s="402"/>
      <c r="T533" s="401"/>
      <c r="U533" s="402"/>
      <c r="V533" s="401"/>
      <c r="W533" s="402"/>
      <c r="X533" s="401"/>
      <c r="Y533" s="402"/>
      <c r="Z533" s="401"/>
      <c r="AA533" s="402"/>
      <c r="AB533" s="401"/>
      <c r="AC533" s="402"/>
      <c r="AD533" s="401"/>
      <c r="AE533" s="402"/>
      <c r="AF533" s="401"/>
      <c r="AG533" s="402"/>
      <c r="AH533" s="401"/>
      <c r="AI533" s="402"/>
      <c r="AJ533" s="401"/>
      <c r="AK533" s="402"/>
      <c r="AL533" s="401"/>
      <c r="AM533" s="402"/>
      <c r="AN533" s="401"/>
      <c r="AO533" s="402"/>
    </row>
    <row r="534" spans="1:41" s="179" customFormat="1" ht="15.75" customHeight="1">
      <c r="A534" s="259" t="s">
        <v>507</v>
      </c>
      <c r="B534" s="260" t="s">
        <v>779</v>
      </c>
      <c r="C534" s="497"/>
      <c r="D534" s="464">
        <v>228158</v>
      </c>
      <c r="E534" s="496">
        <v>8</v>
      </c>
      <c r="F534" s="401">
        <v>5588</v>
      </c>
      <c r="G534" s="402">
        <v>5588</v>
      </c>
      <c r="H534" s="401">
        <v>5907</v>
      </c>
      <c r="I534" s="402">
        <v>5907</v>
      </c>
      <c r="J534" s="401">
        <v>0</v>
      </c>
      <c r="K534" s="402">
        <v>0</v>
      </c>
      <c r="L534" s="401">
        <v>0</v>
      </c>
      <c r="M534" s="402">
        <v>0</v>
      </c>
      <c r="N534" s="401"/>
      <c r="O534" s="402"/>
      <c r="P534" s="413"/>
      <c r="Q534" s="402"/>
      <c r="R534" s="401"/>
      <c r="S534" s="402"/>
      <c r="T534" s="401"/>
      <c r="U534" s="402"/>
      <c r="V534" s="401"/>
      <c r="W534" s="402"/>
      <c r="X534" s="401"/>
      <c r="Y534" s="402"/>
      <c r="Z534" s="401"/>
      <c r="AA534" s="402"/>
      <c r="AB534" s="401"/>
      <c r="AC534" s="402"/>
      <c r="AD534" s="401"/>
      <c r="AE534" s="402"/>
      <c r="AF534" s="401"/>
      <c r="AG534" s="402"/>
      <c r="AH534" s="401"/>
      <c r="AI534" s="402"/>
      <c r="AJ534" s="401"/>
      <c r="AK534" s="402"/>
      <c r="AL534" s="401"/>
      <c r="AM534" s="402"/>
      <c r="AN534" s="401"/>
      <c r="AO534" s="402"/>
    </row>
    <row r="535" spans="1:41" s="179" customFormat="1" ht="15.75" customHeight="1">
      <c r="A535" s="259" t="s">
        <v>507</v>
      </c>
      <c r="B535" s="260" t="s">
        <v>780</v>
      </c>
      <c r="C535" s="497"/>
      <c r="D535" s="464">
        <v>227854</v>
      </c>
      <c r="E535" s="496">
        <v>8</v>
      </c>
      <c r="F535" s="401">
        <v>3140</v>
      </c>
      <c r="G535" s="402"/>
      <c r="H535" s="401">
        <v>0</v>
      </c>
      <c r="I535" s="402">
        <v>14122</v>
      </c>
      <c r="J535" s="401">
        <v>0</v>
      </c>
      <c r="K535" s="402">
        <v>0</v>
      </c>
      <c r="L535" s="401">
        <v>0</v>
      </c>
      <c r="M535" s="402">
        <v>0</v>
      </c>
      <c r="N535" s="401"/>
      <c r="O535" s="402"/>
      <c r="P535" s="413"/>
      <c r="Q535" s="402"/>
      <c r="R535" s="401"/>
      <c r="S535" s="402"/>
      <c r="T535" s="401"/>
      <c r="U535" s="402"/>
      <c r="V535" s="401"/>
      <c r="W535" s="402"/>
      <c r="X535" s="401"/>
      <c r="Y535" s="402"/>
      <c r="Z535" s="401"/>
      <c r="AA535" s="402"/>
      <c r="AB535" s="401"/>
      <c r="AC535" s="402"/>
      <c r="AD535" s="401"/>
      <c r="AE535" s="402"/>
      <c r="AF535" s="401"/>
      <c r="AG535" s="402"/>
      <c r="AH535" s="401"/>
      <c r="AI535" s="402"/>
      <c r="AJ535" s="401"/>
      <c r="AK535" s="402"/>
      <c r="AL535" s="401"/>
      <c r="AM535" s="402"/>
      <c r="AN535" s="401"/>
      <c r="AO535" s="402"/>
    </row>
    <row r="536" spans="1:41" s="179" customFormat="1" ht="15.75" customHeight="1">
      <c r="A536" s="259" t="s">
        <v>507</v>
      </c>
      <c r="B536" s="260" t="s">
        <v>781</v>
      </c>
      <c r="C536" s="497"/>
      <c r="D536" s="464">
        <v>228547</v>
      </c>
      <c r="E536" s="496">
        <v>8</v>
      </c>
      <c r="F536" s="401">
        <v>1920</v>
      </c>
      <c r="G536" s="402">
        <v>1920</v>
      </c>
      <c r="H536" s="401">
        <v>9150</v>
      </c>
      <c r="I536" s="402">
        <v>9150</v>
      </c>
      <c r="J536" s="401">
        <v>0</v>
      </c>
      <c r="K536" s="402">
        <v>0</v>
      </c>
      <c r="L536" s="401">
        <v>0</v>
      </c>
      <c r="M536" s="402">
        <v>0</v>
      </c>
      <c r="N536" s="401"/>
      <c r="O536" s="402"/>
      <c r="P536" s="413"/>
      <c r="Q536" s="402"/>
      <c r="R536" s="401"/>
      <c r="S536" s="402"/>
      <c r="T536" s="401"/>
      <c r="U536" s="402"/>
      <c r="V536" s="401"/>
      <c r="W536" s="402"/>
      <c r="X536" s="401"/>
      <c r="Y536" s="402"/>
      <c r="Z536" s="401"/>
      <c r="AA536" s="402"/>
      <c r="AB536" s="401"/>
      <c r="AC536" s="402"/>
      <c r="AD536" s="401"/>
      <c r="AE536" s="402"/>
      <c r="AF536" s="401"/>
      <c r="AG536" s="402"/>
      <c r="AH536" s="401"/>
      <c r="AI536" s="402"/>
      <c r="AJ536" s="401"/>
      <c r="AK536" s="402"/>
      <c r="AL536" s="401"/>
      <c r="AM536" s="402"/>
      <c r="AN536" s="401"/>
      <c r="AO536" s="402"/>
    </row>
    <row r="537" spans="1:41" s="179" customFormat="1" ht="15.75" customHeight="1">
      <c r="A537" s="259" t="s">
        <v>507</v>
      </c>
      <c r="B537" s="260" t="s">
        <v>782</v>
      </c>
      <c r="C537" s="497" t="s">
        <v>1025</v>
      </c>
      <c r="D537" s="464">
        <v>225308</v>
      </c>
      <c r="E537" s="496">
        <v>8</v>
      </c>
      <c r="F537" s="401">
        <v>2836</v>
      </c>
      <c r="G537" s="402">
        <v>2836</v>
      </c>
      <c r="H537" s="401">
        <v>5970</v>
      </c>
      <c r="I537" s="402">
        <v>5970</v>
      </c>
      <c r="J537" s="401">
        <v>0</v>
      </c>
      <c r="K537" s="402">
        <v>0</v>
      </c>
      <c r="L537" s="401">
        <v>0</v>
      </c>
      <c r="M537" s="402">
        <v>0</v>
      </c>
      <c r="N537" s="401"/>
      <c r="O537" s="402"/>
      <c r="P537" s="413"/>
      <c r="Q537" s="402"/>
      <c r="R537" s="401"/>
      <c r="S537" s="402"/>
      <c r="T537" s="401"/>
      <c r="U537" s="402"/>
      <c r="V537" s="401"/>
      <c r="W537" s="402"/>
      <c r="X537" s="401"/>
      <c r="Y537" s="402"/>
      <c r="Z537" s="401"/>
      <c r="AA537" s="402"/>
      <c r="AB537" s="401"/>
      <c r="AC537" s="402"/>
      <c r="AD537" s="401"/>
      <c r="AE537" s="402"/>
      <c r="AF537" s="401"/>
      <c r="AG537" s="402"/>
      <c r="AH537" s="401"/>
      <c r="AI537" s="402"/>
      <c r="AJ537" s="401"/>
      <c r="AK537" s="402"/>
      <c r="AL537" s="401"/>
      <c r="AM537" s="402"/>
      <c r="AN537" s="401"/>
      <c r="AO537" s="402"/>
    </row>
    <row r="538" spans="1:41" s="179" customFormat="1" ht="15.75" customHeight="1">
      <c r="A538" s="259" t="s">
        <v>507</v>
      </c>
      <c r="B538" s="260" t="s">
        <v>783</v>
      </c>
      <c r="C538" s="497"/>
      <c r="D538" s="464">
        <v>229355</v>
      </c>
      <c r="E538" s="496">
        <v>8</v>
      </c>
      <c r="F538" s="401">
        <v>3442</v>
      </c>
      <c r="G538" s="402">
        <v>3442</v>
      </c>
      <c r="H538" s="401">
        <v>5482</v>
      </c>
      <c r="I538" s="402">
        <v>5482</v>
      </c>
      <c r="J538" s="401">
        <v>0</v>
      </c>
      <c r="K538" s="402">
        <v>0</v>
      </c>
      <c r="L538" s="401">
        <v>0</v>
      </c>
      <c r="M538" s="402">
        <v>0</v>
      </c>
      <c r="N538" s="401"/>
      <c r="O538" s="402"/>
      <c r="P538" s="413"/>
      <c r="Q538" s="402"/>
      <c r="R538" s="401"/>
      <c r="S538" s="402"/>
      <c r="T538" s="401"/>
      <c r="U538" s="402"/>
      <c r="V538" s="401"/>
      <c r="W538" s="402"/>
      <c r="X538" s="401"/>
      <c r="Y538" s="402"/>
      <c r="Z538" s="401"/>
      <c r="AA538" s="402"/>
      <c r="AB538" s="401"/>
      <c r="AC538" s="402"/>
      <c r="AD538" s="401"/>
      <c r="AE538" s="402"/>
      <c r="AF538" s="401"/>
      <c r="AG538" s="402"/>
      <c r="AH538" s="401"/>
      <c r="AI538" s="402"/>
      <c r="AJ538" s="401"/>
      <c r="AK538" s="402"/>
      <c r="AL538" s="401"/>
      <c r="AM538" s="402"/>
      <c r="AN538" s="401"/>
      <c r="AO538" s="402"/>
    </row>
    <row r="539" spans="1:41" s="179" customFormat="1" ht="15.75" customHeight="1">
      <c r="A539" s="259" t="s">
        <v>507</v>
      </c>
      <c r="B539" s="260" t="s">
        <v>784</v>
      </c>
      <c r="C539" s="497"/>
      <c r="D539" s="464">
        <v>222567</v>
      </c>
      <c r="E539" s="496">
        <v>9</v>
      </c>
      <c r="F539" s="401">
        <v>2030</v>
      </c>
      <c r="G539" s="402">
        <v>2030</v>
      </c>
      <c r="H539" s="401">
        <v>4910</v>
      </c>
      <c r="I539" s="402">
        <v>4910</v>
      </c>
      <c r="J539" s="401">
        <v>0</v>
      </c>
      <c r="K539" s="402">
        <v>0</v>
      </c>
      <c r="L539" s="401">
        <v>0</v>
      </c>
      <c r="M539" s="402">
        <v>0</v>
      </c>
      <c r="N539" s="401"/>
      <c r="O539" s="402"/>
      <c r="P539" s="413"/>
      <c r="Q539" s="402"/>
      <c r="R539" s="401"/>
      <c r="S539" s="402"/>
      <c r="T539" s="401"/>
      <c r="U539" s="402"/>
      <c r="V539" s="401"/>
      <c r="W539" s="402"/>
      <c r="X539" s="401"/>
      <c r="Y539" s="402"/>
      <c r="Z539" s="401"/>
      <c r="AA539" s="402"/>
      <c r="AB539" s="401"/>
      <c r="AC539" s="402"/>
      <c r="AD539" s="401"/>
      <c r="AE539" s="402"/>
      <c r="AF539" s="401"/>
      <c r="AG539" s="402"/>
      <c r="AH539" s="401"/>
      <c r="AI539" s="402"/>
      <c r="AJ539" s="401"/>
      <c r="AK539" s="402"/>
      <c r="AL539" s="401"/>
      <c r="AM539" s="402"/>
      <c r="AN539" s="401"/>
      <c r="AO539" s="402"/>
    </row>
    <row r="540" spans="1:41" s="179" customFormat="1" ht="15.75" customHeight="1">
      <c r="A540" s="259" t="s">
        <v>507</v>
      </c>
      <c r="B540" s="260" t="s">
        <v>785</v>
      </c>
      <c r="C540" s="497"/>
      <c r="D540" s="464">
        <v>222822</v>
      </c>
      <c r="E540" s="496">
        <v>9</v>
      </c>
      <c r="F540" s="401">
        <v>3072</v>
      </c>
      <c r="G540" s="402">
        <v>3552</v>
      </c>
      <c r="H540" s="401">
        <v>5920</v>
      </c>
      <c r="I540" s="402">
        <v>5920</v>
      </c>
      <c r="J540" s="401">
        <v>0</v>
      </c>
      <c r="K540" s="402">
        <v>0</v>
      </c>
      <c r="L540" s="401">
        <v>0</v>
      </c>
      <c r="M540" s="402">
        <v>0</v>
      </c>
      <c r="N540" s="401"/>
      <c r="O540" s="402"/>
      <c r="P540" s="413"/>
      <c r="Q540" s="402"/>
      <c r="R540" s="401"/>
      <c r="S540" s="402"/>
      <c r="T540" s="401"/>
      <c r="U540" s="402"/>
      <c r="V540" s="401"/>
      <c r="W540" s="402"/>
      <c r="X540" s="401"/>
      <c r="Y540" s="402"/>
      <c r="Z540" s="401"/>
      <c r="AA540" s="402"/>
      <c r="AB540" s="401"/>
      <c r="AC540" s="402"/>
      <c r="AD540" s="401"/>
      <c r="AE540" s="402"/>
      <c r="AF540" s="401"/>
      <c r="AG540" s="402"/>
      <c r="AH540" s="401"/>
      <c r="AI540" s="402"/>
      <c r="AJ540" s="401"/>
      <c r="AK540" s="402"/>
      <c r="AL540" s="401"/>
      <c r="AM540" s="402"/>
      <c r="AN540" s="401"/>
      <c r="AO540" s="402"/>
    </row>
    <row r="541" spans="1:41" s="179" customFormat="1" ht="15.75" customHeight="1">
      <c r="A541" s="259" t="s">
        <v>507</v>
      </c>
      <c r="B541" s="260" t="s">
        <v>786</v>
      </c>
      <c r="C541" s="497" t="s">
        <v>1024</v>
      </c>
      <c r="D541" s="464">
        <v>223773</v>
      </c>
      <c r="E541" s="496">
        <v>9</v>
      </c>
      <c r="F541" s="401">
        <v>2370</v>
      </c>
      <c r="G541" s="402">
        <v>2370</v>
      </c>
      <c r="H541" s="401">
        <v>6000</v>
      </c>
      <c r="I541" s="402">
        <v>6000</v>
      </c>
      <c r="J541" s="401">
        <v>0</v>
      </c>
      <c r="K541" s="402">
        <v>0</v>
      </c>
      <c r="L541" s="401">
        <v>0</v>
      </c>
      <c r="M541" s="402">
        <v>0</v>
      </c>
      <c r="N541" s="401"/>
      <c r="O541" s="402"/>
      <c r="P541" s="413"/>
      <c r="Q541" s="402"/>
      <c r="R541" s="401"/>
      <c r="S541" s="402"/>
      <c r="T541" s="401"/>
      <c r="U541" s="402"/>
      <c r="V541" s="401"/>
      <c r="W541" s="402"/>
      <c r="X541" s="401"/>
      <c r="Y541" s="402"/>
      <c r="Z541" s="401"/>
      <c r="AA541" s="402"/>
      <c r="AB541" s="401"/>
      <c r="AC541" s="402"/>
      <c r="AD541" s="401"/>
      <c r="AE541" s="402"/>
      <c r="AF541" s="401"/>
      <c r="AG541" s="402"/>
      <c r="AH541" s="401"/>
      <c r="AI541" s="402"/>
      <c r="AJ541" s="401"/>
      <c r="AK541" s="402"/>
      <c r="AL541" s="401"/>
      <c r="AM541" s="402"/>
      <c r="AN541" s="401"/>
      <c r="AO541" s="402"/>
    </row>
    <row r="542" spans="1:41" s="179" customFormat="1" ht="15.75" customHeight="1">
      <c r="A542" s="259" t="s">
        <v>507</v>
      </c>
      <c r="B542" s="280" t="s">
        <v>787</v>
      </c>
      <c r="C542" s="497"/>
      <c r="D542" s="464">
        <v>223898</v>
      </c>
      <c r="E542" s="496">
        <v>9</v>
      </c>
      <c r="F542" s="401">
        <v>4830</v>
      </c>
      <c r="G542" s="402">
        <v>4980</v>
      </c>
      <c r="H542" s="401">
        <v>5940</v>
      </c>
      <c r="I542" s="402">
        <v>6090</v>
      </c>
      <c r="J542" s="401">
        <v>0</v>
      </c>
      <c r="K542" s="402">
        <v>0</v>
      </c>
      <c r="L542" s="401">
        <v>0</v>
      </c>
      <c r="M542" s="402">
        <v>0</v>
      </c>
      <c r="N542" s="401"/>
      <c r="O542" s="402"/>
      <c r="P542" s="413"/>
      <c r="Q542" s="402"/>
      <c r="R542" s="401"/>
      <c r="S542" s="402"/>
      <c r="T542" s="401"/>
      <c r="U542" s="402"/>
      <c r="V542" s="401"/>
      <c r="W542" s="402"/>
      <c r="X542" s="401"/>
      <c r="Y542" s="402"/>
      <c r="Z542" s="401"/>
      <c r="AA542" s="402"/>
      <c r="AB542" s="401"/>
      <c r="AC542" s="402"/>
      <c r="AD542" s="401"/>
      <c r="AE542" s="402"/>
      <c r="AF542" s="401"/>
      <c r="AG542" s="402"/>
      <c r="AH542" s="401"/>
      <c r="AI542" s="402"/>
      <c r="AJ542" s="401"/>
      <c r="AK542" s="402"/>
      <c r="AL542" s="401"/>
      <c r="AM542" s="402"/>
      <c r="AN542" s="401"/>
      <c r="AO542" s="402"/>
    </row>
    <row r="543" spans="1:41" s="179" customFormat="1" ht="15.75" customHeight="1">
      <c r="A543" s="259" t="s">
        <v>507</v>
      </c>
      <c r="B543" s="260" t="s">
        <v>788</v>
      </c>
      <c r="C543" s="497"/>
      <c r="D543" s="464">
        <v>223320</v>
      </c>
      <c r="E543" s="496">
        <v>9</v>
      </c>
      <c r="F543" s="401">
        <v>4406</v>
      </c>
      <c r="G543" s="402">
        <v>2800</v>
      </c>
      <c r="H543" s="401">
        <v>4956</v>
      </c>
      <c r="I543" s="402">
        <v>4956</v>
      </c>
      <c r="J543" s="401">
        <v>0</v>
      </c>
      <c r="K543" s="402">
        <v>0</v>
      </c>
      <c r="L543" s="401">
        <v>0</v>
      </c>
      <c r="M543" s="402">
        <v>0</v>
      </c>
      <c r="N543" s="401"/>
      <c r="O543" s="402"/>
      <c r="P543" s="413"/>
      <c r="Q543" s="402"/>
      <c r="R543" s="401"/>
      <c r="S543" s="402"/>
      <c r="T543" s="401"/>
      <c r="U543" s="402"/>
      <c r="V543" s="401"/>
      <c r="W543" s="402"/>
      <c r="X543" s="401"/>
      <c r="Y543" s="402"/>
      <c r="Z543" s="401"/>
      <c r="AA543" s="402"/>
      <c r="AB543" s="401"/>
      <c r="AC543" s="402"/>
      <c r="AD543" s="401"/>
      <c r="AE543" s="402"/>
      <c r="AF543" s="401"/>
      <c r="AG543" s="402"/>
      <c r="AH543" s="401"/>
      <c r="AI543" s="402"/>
      <c r="AJ543" s="401"/>
      <c r="AK543" s="402"/>
      <c r="AL543" s="401"/>
      <c r="AM543" s="402"/>
      <c r="AN543" s="401"/>
      <c r="AO543" s="402"/>
    </row>
    <row r="544" spans="1:41" s="179" customFormat="1" ht="15.75" customHeight="1">
      <c r="A544" s="259" t="s">
        <v>507</v>
      </c>
      <c r="B544" s="260" t="s">
        <v>789</v>
      </c>
      <c r="C544" s="497"/>
      <c r="D544" s="464">
        <v>226408</v>
      </c>
      <c r="E544" s="496">
        <v>9</v>
      </c>
      <c r="F544" s="401">
        <v>1774</v>
      </c>
      <c r="G544" s="402">
        <v>1774</v>
      </c>
      <c r="H544" s="401">
        <v>3873</v>
      </c>
      <c r="I544" s="402">
        <v>3873</v>
      </c>
      <c r="J544" s="401">
        <v>0</v>
      </c>
      <c r="K544" s="402">
        <v>0</v>
      </c>
      <c r="L544" s="401">
        <v>0</v>
      </c>
      <c r="M544" s="402">
        <v>0</v>
      </c>
      <c r="N544" s="401"/>
      <c r="O544" s="402"/>
      <c r="P544" s="413"/>
      <c r="Q544" s="402"/>
      <c r="R544" s="401"/>
      <c r="S544" s="402"/>
      <c r="T544" s="401"/>
      <c r="U544" s="402"/>
      <c r="V544" s="401"/>
      <c r="W544" s="402"/>
      <c r="X544" s="401"/>
      <c r="Y544" s="402"/>
      <c r="Z544" s="401"/>
      <c r="AA544" s="402"/>
      <c r="AB544" s="401"/>
      <c r="AC544" s="402"/>
      <c r="AD544" s="401"/>
      <c r="AE544" s="402"/>
      <c r="AF544" s="401"/>
      <c r="AG544" s="402"/>
      <c r="AH544" s="401"/>
      <c r="AI544" s="402"/>
      <c r="AJ544" s="401"/>
      <c r="AK544" s="402"/>
      <c r="AL544" s="401"/>
      <c r="AM544" s="402"/>
      <c r="AN544" s="401"/>
      <c r="AO544" s="402"/>
    </row>
    <row r="545" spans="1:44" s="179" customFormat="1" ht="15.75" customHeight="1">
      <c r="A545" s="282" t="s">
        <v>507</v>
      </c>
      <c r="B545" s="280" t="s">
        <v>790</v>
      </c>
      <c r="C545" s="497"/>
      <c r="D545" s="464">
        <v>225070</v>
      </c>
      <c r="E545" s="496">
        <v>9</v>
      </c>
      <c r="F545" s="401">
        <v>3476</v>
      </c>
      <c r="G545" s="402">
        <v>3316</v>
      </c>
      <c r="H545" s="401">
        <v>5312</v>
      </c>
      <c r="I545" s="402">
        <v>5482</v>
      </c>
      <c r="J545" s="401">
        <v>0</v>
      </c>
      <c r="K545" s="402">
        <v>0</v>
      </c>
      <c r="L545" s="401">
        <v>0</v>
      </c>
      <c r="M545" s="402">
        <v>0</v>
      </c>
      <c r="N545" s="401"/>
      <c r="O545" s="402"/>
      <c r="P545" s="413"/>
      <c r="Q545" s="402"/>
      <c r="R545" s="401"/>
      <c r="S545" s="402"/>
      <c r="T545" s="401"/>
      <c r="U545" s="402"/>
      <c r="V545" s="401"/>
      <c r="W545" s="402"/>
      <c r="X545" s="401"/>
      <c r="Y545" s="402"/>
      <c r="Z545" s="401"/>
      <c r="AA545" s="402"/>
      <c r="AB545" s="401"/>
      <c r="AC545" s="402"/>
      <c r="AD545" s="401"/>
      <c r="AE545" s="402"/>
      <c r="AF545" s="401"/>
      <c r="AG545" s="402"/>
      <c r="AH545" s="401"/>
      <c r="AI545" s="402"/>
      <c r="AJ545" s="401"/>
      <c r="AK545" s="402"/>
      <c r="AL545" s="401"/>
      <c r="AM545" s="402"/>
      <c r="AN545" s="401"/>
      <c r="AO545" s="402"/>
    </row>
    <row r="546" spans="1:44" s="179" customFormat="1" ht="15.75" customHeight="1">
      <c r="A546" s="282" t="s">
        <v>507</v>
      </c>
      <c r="B546" s="260" t="s">
        <v>791</v>
      </c>
      <c r="C546" s="497"/>
      <c r="D546" s="464">
        <v>225371</v>
      </c>
      <c r="E546" s="496">
        <v>9</v>
      </c>
      <c r="F546" s="401">
        <v>3224</v>
      </c>
      <c r="G546" s="402">
        <v>3224</v>
      </c>
      <c r="H546" s="401">
        <v>4140</v>
      </c>
      <c r="I546" s="402">
        <v>4140</v>
      </c>
      <c r="J546" s="401">
        <v>0</v>
      </c>
      <c r="K546" s="402">
        <v>0</v>
      </c>
      <c r="L546" s="401">
        <v>0</v>
      </c>
      <c r="M546" s="402">
        <v>0</v>
      </c>
      <c r="N546" s="401"/>
      <c r="O546" s="402"/>
      <c r="P546" s="413"/>
      <c r="Q546" s="402"/>
      <c r="R546" s="401"/>
      <c r="S546" s="402"/>
      <c r="T546" s="401"/>
      <c r="U546" s="402"/>
      <c r="V546" s="401"/>
      <c r="W546" s="402"/>
      <c r="X546" s="401"/>
      <c r="Y546" s="402"/>
      <c r="Z546" s="401"/>
      <c r="AA546" s="402"/>
      <c r="AB546" s="401"/>
      <c r="AC546" s="402"/>
      <c r="AD546" s="401"/>
      <c r="AE546" s="402"/>
      <c r="AF546" s="401"/>
      <c r="AG546" s="402"/>
      <c r="AH546" s="401"/>
      <c r="AI546" s="402"/>
      <c r="AJ546" s="401"/>
      <c r="AK546" s="402"/>
      <c r="AL546" s="401"/>
      <c r="AM546" s="402"/>
      <c r="AN546" s="401"/>
      <c r="AO546" s="402"/>
    </row>
    <row r="547" spans="1:44" s="179" customFormat="1" ht="15.75" customHeight="1">
      <c r="A547" s="259" t="s">
        <v>507</v>
      </c>
      <c r="B547" s="260" t="s">
        <v>792</v>
      </c>
      <c r="C547" s="497"/>
      <c r="D547" s="464">
        <v>225520</v>
      </c>
      <c r="E547" s="496">
        <v>9</v>
      </c>
      <c r="F547" s="401">
        <v>2610</v>
      </c>
      <c r="G547" s="402"/>
      <c r="H547" s="401">
        <v>0</v>
      </c>
      <c r="I547" s="402">
        <v>5430</v>
      </c>
      <c r="J547" s="401">
        <v>0</v>
      </c>
      <c r="K547" s="402">
        <v>0</v>
      </c>
      <c r="L547" s="401">
        <v>0</v>
      </c>
      <c r="M547" s="402">
        <v>0</v>
      </c>
      <c r="N547" s="401"/>
      <c r="O547" s="402"/>
      <c r="P547" s="413"/>
      <c r="Q547" s="402"/>
      <c r="R547" s="401"/>
      <c r="S547" s="402"/>
      <c r="T547" s="401"/>
      <c r="U547" s="402"/>
      <c r="V547" s="401"/>
      <c r="W547" s="402"/>
      <c r="X547" s="401"/>
      <c r="Y547" s="402"/>
      <c r="Z547" s="401"/>
      <c r="AA547" s="402"/>
      <c r="AB547" s="401"/>
      <c r="AC547" s="402"/>
      <c r="AD547" s="401"/>
      <c r="AE547" s="402"/>
      <c r="AF547" s="401"/>
      <c r="AG547" s="402"/>
      <c r="AH547" s="401"/>
      <c r="AI547" s="402"/>
      <c r="AJ547" s="401"/>
      <c r="AK547" s="402"/>
      <c r="AL547" s="401"/>
      <c r="AM547" s="402"/>
      <c r="AN547" s="401"/>
      <c r="AO547" s="402"/>
    </row>
    <row r="548" spans="1:44" s="179" customFormat="1" ht="15.75" customHeight="1">
      <c r="A548" s="259" t="s">
        <v>507</v>
      </c>
      <c r="B548" s="260" t="s">
        <v>793</v>
      </c>
      <c r="C548" s="497"/>
      <c r="D548" s="464">
        <v>226019</v>
      </c>
      <c r="E548" s="496">
        <v>9</v>
      </c>
      <c r="F548" s="401">
        <v>2970</v>
      </c>
      <c r="G548" s="402">
        <v>3266</v>
      </c>
      <c r="H548" s="401">
        <v>6570</v>
      </c>
      <c r="I548" s="402">
        <v>6570</v>
      </c>
      <c r="J548" s="401">
        <v>0</v>
      </c>
      <c r="K548" s="402">
        <v>0</v>
      </c>
      <c r="L548" s="401">
        <v>0</v>
      </c>
      <c r="M548" s="402">
        <v>0</v>
      </c>
      <c r="N548" s="401"/>
      <c r="O548" s="402"/>
      <c r="P548" s="413"/>
      <c r="Q548" s="402"/>
      <c r="R548" s="401"/>
      <c r="S548" s="402"/>
      <c r="T548" s="401"/>
      <c r="U548" s="402"/>
      <c r="V548" s="401"/>
      <c r="W548" s="402"/>
      <c r="X548" s="401"/>
      <c r="Y548" s="402"/>
      <c r="Z548" s="401"/>
      <c r="AA548" s="402"/>
      <c r="AB548" s="401"/>
      <c r="AC548" s="402"/>
      <c r="AD548" s="401"/>
      <c r="AE548" s="402"/>
      <c r="AF548" s="401"/>
      <c r="AG548" s="402"/>
      <c r="AH548" s="401"/>
      <c r="AI548" s="402"/>
      <c r="AJ548" s="401"/>
      <c r="AK548" s="402"/>
      <c r="AL548" s="401"/>
      <c r="AM548" s="402"/>
      <c r="AN548" s="401"/>
      <c r="AO548" s="402"/>
    </row>
    <row r="549" spans="1:44" s="179" customFormat="1" ht="15.75" customHeight="1">
      <c r="A549" s="259" t="s">
        <v>507</v>
      </c>
      <c r="B549" s="260" t="s">
        <v>794</v>
      </c>
      <c r="C549" s="497"/>
      <c r="D549" s="464">
        <v>441760</v>
      </c>
      <c r="E549" s="496">
        <v>9</v>
      </c>
      <c r="F549" s="401">
        <v>4400</v>
      </c>
      <c r="G549" s="402"/>
      <c r="H549" s="401">
        <v>15320</v>
      </c>
      <c r="I549" s="402">
        <v>0</v>
      </c>
      <c r="J549" s="401">
        <v>0</v>
      </c>
      <c r="K549" s="402">
        <v>0</v>
      </c>
      <c r="L549" s="401">
        <v>0</v>
      </c>
      <c r="M549" s="402">
        <v>0</v>
      </c>
      <c r="N549" s="401"/>
      <c r="O549" s="402"/>
      <c r="P549" s="413"/>
      <c r="Q549" s="402"/>
      <c r="R549" s="401"/>
      <c r="S549" s="402"/>
      <c r="T549" s="401"/>
      <c r="U549" s="402"/>
      <c r="V549" s="401"/>
      <c r="W549" s="402"/>
      <c r="X549" s="401"/>
      <c r="Y549" s="402"/>
      <c r="Z549" s="401"/>
      <c r="AA549" s="402"/>
      <c r="AB549" s="401"/>
      <c r="AC549" s="402"/>
      <c r="AD549" s="401"/>
      <c r="AE549" s="402"/>
      <c r="AF549" s="401"/>
      <c r="AG549" s="402"/>
      <c r="AH549" s="401"/>
      <c r="AI549" s="402"/>
      <c r="AJ549" s="401"/>
      <c r="AK549" s="402"/>
      <c r="AL549" s="401"/>
      <c r="AM549" s="402"/>
      <c r="AN549" s="401"/>
      <c r="AO549" s="402"/>
    </row>
    <row r="550" spans="1:44" s="179" customFormat="1" ht="15" customHeight="1">
      <c r="A550" s="259" t="s">
        <v>507</v>
      </c>
      <c r="B550" s="260" t="s">
        <v>795</v>
      </c>
      <c r="C550" s="414" t="s">
        <v>1026</v>
      </c>
      <c r="D550" s="464">
        <v>226204</v>
      </c>
      <c r="E550" s="496">
        <v>9</v>
      </c>
      <c r="F550" s="401">
        <v>2684</v>
      </c>
      <c r="G550" s="402">
        <v>2684</v>
      </c>
      <c r="H550" s="401">
        <v>5313</v>
      </c>
      <c r="I550" s="402">
        <v>5313</v>
      </c>
      <c r="J550" s="401">
        <v>0</v>
      </c>
      <c r="K550" s="402">
        <v>0</v>
      </c>
      <c r="L550" s="401">
        <v>0</v>
      </c>
      <c r="M550" s="402">
        <v>0</v>
      </c>
      <c r="N550" s="401"/>
      <c r="O550" s="402"/>
      <c r="P550" s="413"/>
      <c r="Q550" s="402"/>
      <c r="R550" s="401"/>
      <c r="S550" s="402"/>
      <c r="T550" s="401"/>
      <c r="U550" s="402"/>
      <c r="V550" s="401"/>
      <c r="W550" s="402"/>
      <c r="X550" s="401"/>
      <c r="Y550" s="402"/>
      <c r="Z550" s="401"/>
      <c r="AA550" s="402"/>
      <c r="AB550" s="401"/>
      <c r="AC550" s="402"/>
      <c r="AD550" s="401"/>
      <c r="AE550" s="402"/>
      <c r="AF550" s="401"/>
      <c r="AG550" s="402"/>
      <c r="AH550" s="401"/>
      <c r="AI550" s="402"/>
      <c r="AJ550" s="401"/>
      <c r="AK550" s="402"/>
      <c r="AL550" s="401"/>
      <c r="AM550" s="402"/>
      <c r="AN550" s="401"/>
      <c r="AO550" s="402"/>
    </row>
    <row r="551" spans="1:44">
      <c r="A551" s="259" t="s">
        <v>507</v>
      </c>
      <c r="B551" s="260" t="s">
        <v>796</v>
      </c>
      <c r="C551" s="414" t="s">
        <v>1027</v>
      </c>
      <c r="D551" s="464">
        <v>227225</v>
      </c>
      <c r="E551" s="496">
        <v>9</v>
      </c>
      <c r="F551" s="401">
        <v>3390</v>
      </c>
      <c r="G551" s="402">
        <v>3398</v>
      </c>
      <c r="H551" s="401">
        <v>6449</v>
      </c>
      <c r="I551" s="402">
        <v>6449</v>
      </c>
      <c r="J551" s="401">
        <v>0</v>
      </c>
      <c r="K551" s="402">
        <v>0</v>
      </c>
      <c r="L551" s="401">
        <v>0</v>
      </c>
      <c r="M551" s="402">
        <v>0</v>
      </c>
      <c r="N551" s="401"/>
      <c r="O551" s="402"/>
      <c r="P551" s="413"/>
      <c r="Q551" s="402"/>
      <c r="R551" s="401"/>
      <c r="S551" s="402"/>
      <c r="T551" s="401"/>
      <c r="U551" s="402"/>
      <c r="V551" s="401"/>
      <c r="W551" s="402"/>
      <c r="X551" s="401"/>
      <c r="Y551" s="402"/>
      <c r="Z551" s="401"/>
      <c r="AA551" s="402"/>
      <c r="AB551" s="401"/>
      <c r="AC551" s="402"/>
      <c r="AD551" s="401"/>
      <c r="AE551" s="402"/>
      <c r="AF551" s="401"/>
      <c r="AG551" s="402"/>
      <c r="AH551" s="401"/>
      <c r="AI551" s="402"/>
      <c r="AJ551" s="401"/>
      <c r="AK551" s="402"/>
      <c r="AL551" s="401"/>
      <c r="AM551" s="402"/>
      <c r="AN551" s="401"/>
      <c r="AO551" s="402"/>
      <c r="AP551" s="53"/>
      <c r="AQ551" s="53"/>
      <c r="AR551" s="53"/>
    </row>
    <row r="552" spans="1:44">
      <c r="A552" s="259" t="s">
        <v>507</v>
      </c>
      <c r="B552" s="260" t="s">
        <v>797</v>
      </c>
      <c r="C552" s="498"/>
      <c r="D552" s="464">
        <v>227304</v>
      </c>
      <c r="E552" s="496">
        <v>9</v>
      </c>
      <c r="F552" s="401">
        <v>2920</v>
      </c>
      <c r="G552" s="402">
        <v>2920</v>
      </c>
      <c r="H552" s="401">
        <v>5610</v>
      </c>
      <c r="I552" s="402">
        <v>5610</v>
      </c>
      <c r="J552" s="401">
        <v>0</v>
      </c>
      <c r="K552" s="402">
        <v>0</v>
      </c>
      <c r="L552" s="401">
        <v>0</v>
      </c>
      <c r="M552" s="402">
        <v>0</v>
      </c>
      <c r="N552" s="401"/>
      <c r="O552" s="402"/>
      <c r="P552" s="413"/>
      <c r="Q552" s="402"/>
      <c r="R552" s="401"/>
      <c r="S552" s="402"/>
      <c r="T552" s="401"/>
      <c r="U552" s="402"/>
      <c r="V552" s="401"/>
      <c r="W552" s="402"/>
      <c r="X552" s="401"/>
      <c r="Y552" s="402"/>
      <c r="Z552" s="401"/>
      <c r="AA552" s="402"/>
      <c r="AB552" s="401"/>
      <c r="AC552" s="402"/>
      <c r="AD552" s="401"/>
      <c r="AE552" s="402"/>
      <c r="AF552" s="401"/>
      <c r="AG552" s="402"/>
      <c r="AH552" s="401"/>
      <c r="AI552" s="402"/>
      <c r="AJ552" s="401"/>
      <c r="AK552" s="402"/>
      <c r="AL552" s="401"/>
      <c r="AM552" s="402"/>
      <c r="AN552" s="401"/>
      <c r="AO552" s="402"/>
      <c r="AP552" s="53"/>
      <c r="AQ552" s="53"/>
      <c r="AR552" s="53"/>
    </row>
    <row r="553" spans="1:44">
      <c r="A553" s="259" t="s">
        <v>507</v>
      </c>
      <c r="B553" s="260" t="s">
        <v>798</v>
      </c>
      <c r="C553" s="498"/>
      <c r="D553" s="464">
        <v>227401</v>
      </c>
      <c r="E553" s="496">
        <v>9</v>
      </c>
      <c r="F553" s="401">
        <v>3960</v>
      </c>
      <c r="G553" s="402">
        <v>3960</v>
      </c>
      <c r="H553" s="401">
        <v>5460</v>
      </c>
      <c r="I553" s="402">
        <v>5460</v>
      </c>
      <c r="J553" s="401">
        <v>0</v>
      </c>
      <c r="K553" s="402">
        <v>0</v>
      </c>
      <c r="L553" s="401">
        <v>0</v>
      </c>
      <c r="M553" s="402">
        <v>0</v>
      </c>
      <c r="N553" s="401"/>
      <c r="O553" s="402"/>
      <c r="P553" s="413"/>
      <c r="Q553" s="402"/>
      <c r="R553" s="401"/>
      <c r="S553" s="402"/>
      <c r="T553" s="401"/>
      <c r="U553" s="402"/>
      <c r="V553" s="401"/>
      <c r="W553" s="402"/>
      <c r="X553" s="401"/>
      <c r="Y553" s="402"/>
      <c r="Z553" s="401"/>
      <c r="AA553" s="402"/>
      <c r="AB553" s="401"/>
      <c r="AC553" s="402"/>
      <c r="AD553" s="401"/>
      <c r="AE553" s="402"/>
      <c r="AF553" s="401"/>
      <c r="AG553" s="402"/>
      <c r="AH553" s="401"/>
      <c r="AI553" s="402"/>
      <c r="AJ553" s="401"/>
      <c r="AK553" s="402"/>
      <c r="AL553" s="401"/>
      <c r="AM553" s="402"/>
      <c r="AN553" s="401"/>
      <c r="AO553" s="402"/>
      <c r="AP553" s="53"/>
      <c r="AQ553" s="53"/>
      <c r="AR553" s="53"/>
    </row>
    <row r="554" spans="1:44">
      <c r="A554" s="259" t="s">
        <v>507</v>
      </c>
      <c r="B554" s="260" t="s">
        <v>799</v>
      </c>
      <c r="C554" s="498"/>
      <c r="D554" s="464">
        <v>228316</v>
      </c>
      <c r="E554" s="496">
        <v>9</v>
      </c>
      <c r="F554" s="401">
        <v>3174</v>
      </c>
      <c r="G554" s="402">
        <v>3176</v>
      </c>
      <c r="H554" s="401">
        <v>7612</v>
      </c>
      <c r="I554" s="402">
        <v>7612</v>
      </c>
      <c r="J554" s="401">
        <v>0</v>
      </c>
      <c r="K554" s="402">
        <v>0</v>
      </c>
      <c r="L554" s="401">
        <v>0</v>
      </c>
      <c r="M554" s="402">
        <v>0</v>
      </c>
      <c r="N554" s="401"/>
      <c r="O554" s="402"/>
      <c r="P554" s="413"/>
      <c r="Q554" s="402"/>
      <c r="R554" s="401"/>
      <c r="S554" s="402"/>
      <c r="T554" s="401"/>
      <c r="U554" s="402"/>
      <c r="V554" s="401"/>
      <c r="W554" s="402"/>
      <c r="X554" s="401"/>
      <c r="Y554" s="402"/>
      <c r="Z554" s="401"/>
      <c r="AA554" s="402"/>
      <c r="AB554" s="401"/>
      <c r="AC554" s="402"/>
      <c r="AD554" s="401"/>
      <c r="AE554" s="402"/>
      <c r="AF554" s="401"/>
      <c r="AG554" s="402"/>
      <c r="AH554" s="401"/>
      <c r="AI554" s="402"/>
      <c r="AJ554" s="401"/>
      <c r="AK554" s="402"/>
      <c r="AL554" s="401"/>
      <c r="AM554" s="402"/>
      <c r="AN554" s="401"/>
      <c r="AO554" s="402"/>
      <c r="AP554" s="53"/>
      <c r="AQ554" s="53"/>
      <c r="AR554" s="53"/>
    </row>
    <row r="555" spans="1:44">
      <c r="A555" s="259" t="s">
        <v>507</v>
      </c>
      <c r="B555" s="260" t="s">
        <v>800</v>
      </c>
      <c r="C555" s="498"/>
      <c r="D555" s="464">
        <v>228608</v>
      </c>
      <c r="E555" s="496">
        <v>9</v>
      </c>
      <c r="F555" s="401">
        <v>3428</v>
      </c>
      <c r="G555" s="402">
        <v>3428</v>
      </c>
      <c r="H555" s="401">
        <v>10500</v>
      </c>
      <c r="I555" s="402">
        <v>10500</v>
      </c>
      <c r="J555" s="401">
        <v>0</v>
      </c>
      <c r="K555" s="402">
        <v>0</v>
      </c>
      <c r="L555" s="401">
        <v>0</v>
      </c>
      <c r="M555" s="402">
        <v>0</v>
      </c>
      <c r="N555" s="401"/>
      <c r="O555" s="402"/>
      <c r="P555" s="413"/>
      <c r="Q555" s="402"/>
      <c r="R555" s="401"/>
      <c r="S555" s="402"/>
      <c r="T555" s="401"/>
      <c r="U555" s="402"/>
      <c r="V555" s="401"/>
      <c r="W555" s="402"/>
      <c r="X555" s="401"/>
      <c r="Y555" s="402"/>
      <c r="Z555" s="401"/>
      <c r="AA555" s="402"/>
      <c r="AB555" s="401"/>
      <c r="AC555" s="402"/>
      <c r="AD555" s="401"/>
      <c r="AE555" s="402"/>
      <c r="AF555" s="401"/>
      <c r="AG555" s="402"/>
      <c r="AH555" s="401"/>
      <c r="AI555" s="402"/>
      <c r="AJ555" s="401"/>
      <c r="AK555" s="402"/>
      <c r="AL555" s="401"/>
      <c r="AM555" s="402"/>
      <c r="AN555" s="401"/>
      <c r="AO555" s="402"/>
      <c r="AP555" s="53"/>
      <c r="AQ555" s="53"/>
      <c r="AR555" s="53"/>
    </row>
    <row r="556" spans="1:44">
      <c r="A556" s="259" t="s">
        <v>507</v>
      </c>
      <c r="B556" s="260" t="s">
        <v>801</v>
      </c>
      <c r="C556" s="498"/>
      <c r="D556" s="464">
        <v>228699</v>
      </c>
      <c r="E556" s="496">
        <v>9</v>
      </c>
      <c r="F556" s="401">
        <v>3140</v>
      </c>
      <c r="G556" s="402">
        <v>3140</v>
      </c>
      <c r="H556" s="401">
        <v>6520</v>
      </c>
      <c r="I556" s="402">
        <v>6520</v>
      </c>
      <c r="J556" s="401">
        <v>0</v>
      </c>
      <c r="K556" s="402">
        <v>0</v>
      </c>
      <c r="L556" s="401">
        <v>0</v>
      </c>
      <c r="M556" s="402">
        <v>0</v>
      </c>
      <c r="N556" s="401"/>
      <c r="O556" s="402"/>
      <c r="P556" s="413"/>
      <c r="Q556" s="402"/>
      <c r="R556" s="401"/>
      <c r="S556" s="402"/>
      <c r="T556" s="401"/>
      <c r="U556" s="402"/>
      <c r="V556" s="401"/>
      <c r="W556" s="402"/>
      <c r="X556" s="401"/>
      <c r="Y556" s="402"/>
      <c r="Z556" s="401"/>
      <c r="AA556" s="402"/>
      <c r="AB556" s="401"/>
      <c r="AC556" s="402"/>
      <c r="AD556" s="401"/>
      <c r="AE556" s="402"/>
      <c r="AF556" s="401"/>
      <c r="AG556" s="402"/>
      <c r="AH556" s="401"/>
      <c r="AI556" s="402"/>
      <c r="AJ556" s="401"/>
      <c r="AK556" s="402"/>
      <c r="AL556" s="401"/>
      <c r="AM556" s="402"/>
      <c r="AN556" s="401"/>
      <c r="AO556" s="402"/>
      <c r="AP556" s="53"/>
      <c r="AQ556" s="53"/>
      <c r="AR556" s="53"/>
    </row>
    <row r="557" spans="1:44">
      <c r="A557" s="259" t="s">
        <v>507</v>
      </c>
      <c r="B557" s="260" t="s">
        <v>802</v>
      </c>
      <c r="C557" s="498" t="s">
        <v>803</v>
      </c>
      <c r="D557" s="499">
        <v>227377</v>
      </c>
      <c r="E557" s="496">
        <v>9</v>
      </c>
      <c r="F557" s="401">
        <v>3850</v>
      </c>
      <c r="G557" s="402">
        <v>3850</v>
      </c>
      <c r="H557" s="401">
        <v>6100</v>
      </c>
      <c r="I557" s="402">
        <v>6100</v>
      </c>
      <c r="J557" s="401">
        <v>0</v>
      </c>
      <c r="K557" s="402">
        <v>0</v>
      </c>
      <c r="L557" s="401">
        <v>0</v>
      </c>
      <c r="M557" s="402">
        <v>0</v>
      </c>
      <c r="N557" s="401"/>
      <c r="O557" s="402"/>
      <c r="P557" s="413"/>
      <c r="Q557" s="402"/>
      <c r="R557" s="401"/>
      <c r="S557" s="402"/>
      <c r="T557" s="401"/>
      <c r="U557" s="402"/>
      <c r="V557" s="401"/>
      <c r="W557" s="402"/>
      <c r="X557" s="401"/>
      <c r="Y557" s="402"/>
      <c r="Z557" s="401"/>
      <c r="AA557" s="402"/>
      <c r="AB557" s="401"/>
      <c r="AC557" s="402"/>
      <c r="AD557" s="401"/>
      <c r="AE557" s="402"/>
      <c r="AF557" s="401"/>
      <c r="AG557" s="402"/>
      <c r="AH557" s="401"/>
      <c r="AI557" s="402"/>
      <c r="AJ557" s="401"/>
      <c r="AK557" s="402"/>
      <c r="AL557" s="401"/>
      <c r="AM557" s="402"/>
      <c r="AN557" s="401"/>
      <c r="AO557" s="402"/>
      <c r="AP557" s="53"/>
      <c r="AQ557" s="53"/>
      <c r="AR557" s="53"/>
    </row>
    <row r="558" spans="1:44">
      <c r="A558" s="259" t="s">
        <v>507</v>
      </c>
      <c r="B558" s="260" t="s">
        <v>804</v>
      </c>
      <c r="C558" s="498"/>
      <c r="D558" s="464">
        <v>229319</v>
      </c>
      <c r="E558" s="496">
        <v>9</v>
      </c>
      <c r="F558" s="401">
        <v>6322</v>
      </c>
      <c r="G558" s="402">
        <v>7900</v>
      </c>
      <c r="H558" s="401">
        <v>0</v>
      </c>
      <c r="I558" s="402">
        <v>0</v>
      </c>
      <c r="J558" s="401">
        <v>0</v>
      </c>
      <c r="K558" s="402">
        <v>0</v>
      </c>
      <c r="L558" s="401">
        <v>0</v>
      </c>
      <c r="M558" s="402">
        <v>0</v>
      </c>
      <c r="N558" s="401"/>
      <c r="O558" s="402"/>
      <c r="P558" s="413"/>
      <c r="Q558" s="402"/>
      <c r="R558" s="401"/>
      <c r="S558" s="402"/>
      <c r="T558" s="401"/>
      <c r="U558" s="402"/>
      <c r="V558" s="401"/>
      <c r="W558" s="402"/>
      <c r="X558" s="401"/>
      <c r="Y558" s="402"/>
      <c r="Z558" s="401"/>
      <c r="AA558" s="402"/>
      <c r="AB558" s="401"/>
      <c r="AC558" s="402"/>
      <c r="AD558" s="401"/>
      <c r="AE558" s="402"/>
      <c r="AF558" s="401"/>
      <c r="AG558" s="402"/>
      <c r="AH558" s="401"/>
      <c r="AI558" s="402"/>
      <c r="AJ558" s="401"/>
      <c r="AK558" s="402"/>
      <c r="AL558" s="401"/>
      <c r="AM558" s="402"/>
      <c r="AN558" s="401"/>
      <c r="AO558" s="402"/>
      <c r="AP558" s="53"/>
      <c r="AQ558" s="53"/>
      <c r="AR558" s="53"/>
    </row>
    <row r="559" spans="1:44">
      <c r="A559" s="259" t="s">
        <v>507</v>
      </c>
      <c r="B559" s="260" t="s">
        <v>805</v>
      </c>
      <c r="C559" s="498"/>
      <c r="D559" s="464">
        <v>228680</v>
      </c>
      <c r="E559" s="496">
        <v>9</v>
      </c>
      <c r="F559" s="401">
        <v>6322</v>
      </c>
      <c r="G559" s="402">
        <v>7900</v>
      </c>
      <c r="H559" s="401">
        <v>10530</v>
      </c>
      <c r="I559" s="402">
        <v>11250</v>
      </c>
      <c r="J559" s="401">
        <v>0</v>
      </c>
      <c r="K559" s="402">
        <v>0</v>
      </c>
      <c r="L559" s="401">
        <v>0</v>
      </c>
      <c r="M559" s="402">
        <v>0</v>
      </c>
      <c r="N559" s="401"/>
      <c r="O559" s="402"/>
      <c r="P559" s="413"/>
      <c r="Q559" s="402"/>
      <c r="R559" s="401"/>
      <c r="S559" s="402"/>
      <c r="T559" s="401"/>
      <c r="U559" s="402"/>
      <c r="V559" s="401"/>
      <c r="W559" s="402"/>
      <c r="X559" s="401"/>
      <c r="Y559" s="402"/>
      <c r="Z559" s="401"/>
      <c r="AA559" s="402"/>
      <c r="AB559" s="401"/>
      <c r="AC559" s="402"/>
      <c r="AD559" s="401"/>
      <c r="AE559" s="402"/>
      <c r="AF559" s="401"/>
      <c r="AG559" s="402"/>
      <c r="AH559" s="401"/>
      <c r="AI559" s="402"/>
      <c r="AJ559" s="401"/>
      <c r="AK559" s="402"/>
      <c r="AL559" s="401"/>
      <c r="AM559" s="402"/>
      <c r="AN559" s="401"/>
      <c r="AO559" s="402"/>
      <c r="AP559" s="53"/>
      <c r="AQ559" s="53"/>
      <c r="AR559" s="53"/>
    </row>
    <row r="560" spans="1:44">
      <c r="A560" s="259" t="s">
        <v>507</v>
      </c>
      <c r="B560" s="260" t="s">
        <v>806</v>
      </c>
      <c r="C560" s="498" t="s">
        <v>1027</v>
      </c>
      <c r="D560" s="464">
        <v>229504</v>
      </c>
      <c r="E560" s="496">
        <v>9</v>
      </c>
      <c r="F560" s="401">
        <v>3096</v>
      </c>
      <c r="G560" s="402">
        <v>3400</v>
      </c>
      <c r="H560" s="401">
        <v>6600</v>
      </c>
      <c r="I560" s="402">
        <v>6900</v>
      </c>
      <c r="J560" s="401">
        <v>0</v>
      </c>
      <c r="K560" s="402">
        <v>0</v>
      </c>
      <c r="L560" s="401">
        <v>0</v>
      </c>
      <c r="M560" s="402">
        <v>0</v>
      </c>
      <c r="N560" s="401"/>
      <c r="O560" s="402"/>
      <c r="P560" s="413"/>
      <c r="Q560" s="402"/>
      <c r="R560" s="401"/>
      <c r="S560" s="402"/>
      <c r="T560" s="401"/>
      <c r="U560" s="402"/>
      <c r="V560" s="401"/>
      <c r="W560" s="402"/>
      <c r="X560" s="401"/>
      <c r="Y560" s="402"/>
      <c r="Z560" s="401"/>
      <c r="AA560" s="402"/>
      <c r="AB560" s="401"/>
      <c r="AC560" s="402"/>
      <c r="AD560" s="401"/>
      <c r="AE560" s="402"/>
      <c r="AF560" s="401"/>
      <c r="AG560" s="402"/>
      <c r="AH560" s="401"/>
      <c r="AI560" s="402"/>
      <c r="AJ560" s="401"/>
      <c r="AK560" s="402"/>
      <c r="AL560" s="401"/>
      <c r="AM560" s="402"/>
      <c r="AN560" s="401"/>
      <c r="AO560" s="402"/>
      <c r="AP560" s="53"/>
      <c r="AQ560" s="53"/>
      <c r="AR560" s="53"/>
    </row>
    <row r="561" spans="1:44">
      <c r="A561" s="259" t="s">
        <v>507</v>
      </c>
      <c r="B561" s="260" t="s">
        <v>807</v>
      </c>
      <c r="C561" s="498" t="s">
        <v>1028</v>
      </c>
      <c r="D561" s="464">
        <v>229540</v>
      </c>
      <c r="E561" s="496">
        <v>9</v>
      </c>
      <c r="F561" s="401">
        <v>4288</v>
      </c>
      <c r="G561" s="402">
        <v>4706</v>
      </c>
      <c r="H561" s="401">
        <v>5880</v>
      </c>
      <c r="I561" s="402">
        <v>6090</v>
      </c>
      <c r="J561" s="401">
        <v>0</v>
      </c>
      <c r="K561" s="402">
        <v>0</v>
      </c>
      <c r="L561" s="401">
        <v>0</v>
      </c>
      <c r="M561" s="402">
        <v>0</v>
      </c>
      <c r="N561" s="401"/>
      <c r="O561" s="402"/>
      <c r="P561" s="413"/>
      <c r="Q561" s="402"/>
      <c r="R561" s="401"/>
      <c r="S561" s="402"/>
      <c r="T561" s="401"/>
      <c r="U561" s="402"/>
      <c r="V561" s="401"/>
      <c r="W561" s="402"/>
      <c r="X561" s="401"/>
      <c r="Y561" s="402"/>
      <c r="Z561" s="401"/>
      <c r="AA561" s="402"/>
      <c r="AB561" s="401"/>
      <c r="AC561" s="402"/>
      <c r="AD561" s="401"/>
      <c r="AE561" s="402"/>
      <c r="AF561" s="401"/>
      <c r="AG561" s="402"/>
      <c r="AH561" s="401"/>
      <c r="AI561" s="402"/>
      <c r="AJ561" s="401"/>
      <c r="AK561" s="402"/>
      <c r="AL561" s="401"/>
      <c r="AM561" s="402"/>
      <c r="AN561" s="401"/>
      <c r="AO561" s="402"/>
      <c r="AP561" s="53"/>
      <c r="AQ561" s="53"/>
      <c r="AR561" s="53"/>
    </row>
    <row r="562" spans="1:44">
      <c r="A562" s="259" t="s">
        <v>507</v>
      </c>
      <c r="B562" s="260" t="s">
        <v>808</v>
      </c>
      <c r="C562" s="463"/>
      <c r="D562" s="464">
        <v>229799</v>
      </c>
      <c r="E562" s="496">
        <v>9</v>
      </c>
      <c r="F562" s="401">
        <v>3348</v>
      </c>
      <c r="G562" s="402">
        <v>3708</v>
      </c>
      <c r="H562" s="401">
        <v>7000</v>
      </c>
      <c r="I562" s="402">
        <v>7600</v>
      </c>
      <c r="J562" s="401">
        <v>0</v>
      </c>
      <c r="K562" s="402">
        <v>0</v>
      </c>
      <c r="L562" s="401">
        <v>0</v>
      </c>
      <c r="M562" s="402">
        <v>0</v>
      </c>
      <c r="N562" s="401"/>
      <c r="O562" s="402"/>
      <c r="P562" s="413"/>
      <c r="Q562" s="402"/>
      <c r="R562" s="401"/>
      <c r="S562" s="402"/>
      <c r="T562" s="401"/>
      <c r="U562" s="402"/>
      <c r="V562" s="401"/>
      <c r="W562" s="402"/>
      <c r="X562" s="401"/>
      <c r="Y562" s="402"/>
      <c r="Z562" s="401"/>
      <c r="AA562" s="402"/>
      <c r="AB562" s="401"/>
      <c r="AC562" s="402"/>
      <c r="AD562" s="401"/>
      <c r="AE562" s="402"/>
      <c r="AF562" s="401"/>
      <c r="AG562" s="402"/>
      <c r="AH562" s="401"/>
      <c r="AI562" s="402"/>
      <c r="AJ562" s="401"/>
      <c r="AK562" s="402"/>
      <c r="AL562" s="401"/>
      <c r="AM562" s="402"/>
      <c r="AN562" s="401"/>
      <c r="AO562" s="402"/>
      <c r="AP562" s="53"/>
      <c r="AQ562" s="53"/>
      <c r="AR562" s="53"/>
    </row>
    <row r="563" spans="1:44">
      <c r="A563" s="259" t="s">
        <v>507</v>
      </c>
      <c r="B563" s="260" t="s">
        <v>809</v>
      </c>
      <c r="C563" s="463"/>
      <c r="D563" s="464">
        <v>229841</v>
      </c>
      <c r="E563" s="496">
        <v>9</v>
      </c>
      <c r="F563" s="401">
        <v>2980</v>
      </c>
      <c r="G563" s="402">
        <v>2980</v>
      </c>
      <c r="H563" s="401">
        <v>6360</v>
      </c>
      <c r="I563" s="402">
        <v>6360</v>
      </c>
      <c r="J563" s="401">
        <v>0</v>
      </c>
      <c r="K563" s="402">
        <v>0</v>
      </c>
      <c r="L563" s="401">
        <v>0</v>
      </c>
      <c r="M563" s="402">
        <v>0</v>
      </c>
      <c r="N563" s="401"/>
      <c r="O563" s="402"/>
      <c r="P563" s="413"/>
      <c r="Q563" s="402"/>
      <c r="R563" s="401"/>
      <c r="S563" s="402"/>
      <c r="T563" s="401"/>
      <c r="U563" s="402"/>
      <c r="V563" s="401"/>
      <c r="W563" s="402"/>
      <c r="X563" s="401"/>
      <c r="Y563" s="402"/>
      <c r="Z563" s="401"/>
      <c r="AA563" s="402"/>
      <c r="AB563" s="401"/>
      <c r="AC563" s="402"/>
      <c r="AD563" s="401"/>
      <c r="AE563" s="402"/>
      <c r="AF563" s="401"/>
      <c r="AG563" s="402"/>
      <c r="AH563" s="401"/>
      <c r="AI563" s="402"/>
      <c r="AJ563" s="401"/>
      <c r="AK563" s="402"/>
      <c r="AL563" s="401"/>
      <c r="AM563" s="402"/>
      <c r="AN563" s="401"/>
      <c r="AO563" s="402"/>
      <c r="AP563" s="53"/>
      <c r="AQ563" s="53"/>
      <c r="AR563" s="53"/>
    </row>
    <row r="564" spans="1:44">
      <c r="A564" s="259" t="s">
        <v>507</v>
      </c>
      <c r="B564" s="260" t="s">
        <v>810</v>
      </c>
      <c r="C564" s="463"/>
      <c r="D564" s="464">
        <v>223922</v>
      </c>
      <c r="E564" s="496">
        <v>10</v>
      </c>
      <c r="F564" s="401">
        <v>3840</v>
      </c>
      <c r="G564" s="402">
        <v>3840</v>
      </c>
      <c r="H564" s="401">
        <v>5220</v>
      </c>
      <c r="I564" s="402">
        <v>5220</v>
      </c>
      <c r="J564" s="401">
        <v>0</v>
      </c>
      <c r="K564" s="402">
        <v>0</v>
      </c>
      <c r="L564" s="401">
        <v>0</v>
      </c>
      <c r="M564" s="402">
        <v>0</v>
      </c>
      <c r="N564" s="401"/>
      <c r="O564" s="402"/>
      <c r="P564" s="413"/>
      <c r="Q564" s="402"/>
      <c r="R564" s="401"/>
      <c r="S564" s="402"/>
      <c r="T564" s="401"/>
      <c r="U564" s="402"/>
      <c r="V564" s="401"/>
      <c r="W564" s="402"/>
      <c r="X564" s="401"/>
      <c r="Y564" s="402"/>
      <c r="Z564" s="401"/>
      <c r="AA564" s="402"/>
      <c r="AB564" s="401"/>
      <c r="AC564" s="402"/>
      <c r="AD564" s="401"/>
      <c r="AE564" s="402"/>
      <c r="AF564" s="401"/>
      <c r="AG564" s="402"/>
      <c r="AH564" s="401"/>
      <c r="AI564" s="402"/>
      <c r="AJ564" s="401"/>
      <c r="AK564" s="402"/>
      <c r="AL564" s="401"/>
      <c r="AM564" s="402"/>
      <c r="AN564" s="401"/>
      <c r="AO564" s="402"/>
      <c r="AP564" s="53"/>
      <c r="AQ564" s="53"/>
      <c r="AR564" s="53"/>
    </row>
    <row r="565" spans="1:44">
      <c r="A565" s="259" t="s">
        <v>507</v>
      </c>
      <c r="B565" s="260" t="s">
        <v>811</v>
      </c>
      <c r="C565" s="463"/>
      <c r="D565" s="464">
        <v>224891</v>
      </c>
      <c r="E565" s="496">
        <v>10</v>
      </c>
      <c r="F565" s="401">
        <v>3272</v>
      </c>
      <c r="G565" s="402">
        <v>3272</v>
      </c>
      <c r="H565" s="401">
        <v>4294</v>
      </c>
      <c r="I565" s="402">
        <v>4294</v>
      </c>
      <c r="J565" s="401">
        <v>0</v>
      </c>
      <c r="K565" s="402">
        <v>0</v>
      </c>
      <c r="L565" s="401">
        <v>0</v>
      </c>
      <c r="M565" s="402">
        <v>0</v>
      </c>
      <c r="N565" s="401"/>
      <c r="O565" s="402"/>
      <c r="P565" s="413"/>
      <c r="Q565" s="402"/>
      <c r="R565" s="401"/>
      <c r="S565" s="402"/>
      <c r="T565" s="401"/>
      <c r="U565" s="402"/>
      <c r="V565" s="401"/>
      <c r="W565" s="402"/>
      <c r="X565" s="401"/>
      <c r="Y565" s="402"/>
      <c r="Z565" s="401"/>
      <c r="AA565" s="402"/>
      <c r="AB565" s="401"/>
      <c r="AC565" s="402"/>
      <c r="AD565" s="401"/>
      <c r="AE565" s="402"/>
      <c r="AF565" s="401"/>
      <c r="AG565" s="402"/>
      <c r="AH565" s="401"/>
      <c r="AI565" s="402"/>
      <c r="AJ565" s="401"/>
      <c r="AK565" s="402"/>
      <c r="AL565" s="401"/>
      <c r="AM565" s="402"/>
      <c r="AN565" s="401"/>
      <c r="AO565" s="402"/>
      <c r="AP565" s="53"/>
      <c r="AQ565" s="53"/>
      <c r="AR565" s="53"/>
    </row>
    <row r="566" spans="1:44">
      <c r="A566" s="259" t="s">
        <v>507</v>
      </c>
      <c r="B566" s="260" t="s">
        <v>812</v>
      </c>
      <c r="C566" s="463"/>
      <c r="D566" s="464">
        <v>224961</v>
      </c>
      <c r="E566" s="496">
        <v>10</v>
      </c>
      <c r="F566" s="401">
        <v>2338</v>
      </c>
      <c r="G566" s="402"/>
      <c r="H566" s="401">
        <v>5200</v>
      </c>
      <c r="I566" s="402">
        <v>0</v>
      </c>
      <c r="J566" s="401">
        <v>0</v>
      </c>
      <c r="K566" s="402">
        <v>0</v>
      </c>
      <c r="L566" s="401">
        <v>0</v>
      </c>
      <c r="M566" s="402">
        <v>0</v>
      </c>
      <c r="N566" s="401"/>
      <c r="O566" s="402"/>
      <c r="P566" s="413"/>
      <c r="Q566" s="402"/>
      <c r="R566" s="401"/>
      <c r="S566" s="402"/>
      <c r="T566" s="401"/>
      <c r="U566" s="402"/>
      <c r="V566" s="401"/>
      <c r="W566" s="402"/>
      <c r="X566" s="401"/>
      <c r="Y566" s="402"/>
      <c r="Z566" s="401"/>
      <c r="AA566" s="402"/>
      <c r="AB566" s="401"/>
      <c r="AC566" s="402"/>
      <c r="AD566" s="401"/>
      <c r="AE566" s="402"/>
      <c r="AF566" s="401"/>
      <c r="AG566" s="402"/>
      <c r="AH566" s="401"/>
      <c r="AI566" s="402"/>
      <c r="AJ566" s="401"/>
      <c r="AK566" s="402"/>
      <c r="AL566" s="401"/>
      <c r="AM566" s="402"/>
      <c r="AN566" s="401"/>
      <c r="AO566" s="402"/>
      <c r="AP566" s="53"/>
      <c r="AQ566" s="53"/>
      <c r="AR566" s="53"/>
    </row>
    <row r="567" spans="1:44">
      <c r="A567" s="259" t="s">
        <v>507</v>
      </c>
      <c r="B567" s="260" t="s">
        <v>813</v>
      </c>
      <c r="C567" s="463"/>
      <c r="D567" s="464">
        <v>226107</v>
      </c>
      <c r="E567" s="496">
        <v>10</v>
      </c>
      <c r="F567" s="401">
        <v>4046</v>
      </c>
      <c r="G567" s="402">
        <v>3608</v>
      </c>
      <c r="H567" s="401">
        <v>16650</v>
      </c>
      <c r="I567" s="402">
        <v>16650</v>
      </c>
      <c r="J567" s="401">
        <v>0</v>
      </c>
      <c r="K567" s="402">
        <v>0</v>
      </c>
      <c r="L567" s="401">
        <v>0</v>
      </c>
      <c r="M567" s="402">
        <v>0</v>
      </c>
      <c r="N567" s="401"/>
      <c r="O567" s="402"/>
      <c r="P567" s="413"/>
      <c r="Q567" s="402"/>
      <c r="R567" s="401"/>
      <c r="S567" s="402"/>
      <c r="T567" s="401"/>
      <c r="U567" s="402"/>
      <c r="V567" s="401"/>
      <c r="W567" s="402"/>
      <c r="X567" s="401"/>
      <c r="Y567" s="402"/>
      <c r="Z567" s="401"/>
      <c r="AA567" s="402"/>
      <c r="AB567" s="401"/>
      <c r="AC567" s="402"/>
      <c r="AD567" s="401"/>
      <c r="AE567" s="402"/>
      <c r="AF567" s="401"/>
      <c r="AG567" s="402"/>
      <c r="AH567" s="401"/>
      <c r="AI567" s="402"/>
      <c r="AJ567" s="401"/>
      <c r="AK567" s="402"/>
      <c r="AL567" s="401"/>
      <c r="AM567" s="402"/>
      <c r="AN567" s="401"/>
      <c r="AO567" s="402"/>
      <c r="AP567" s="53"/>
      <c r="AQ567" s="53"/>
      <c r="AR567" s="53"/>
    </row>
    <row r="568" spans="1:44" s="179" customFormat="1" ht="15.75" customHeight="1">
      <c r="A568" s="259" t="s">
        <v>507</v>
      </c>
      <c r="B568" s="260" t="s">
        <v>814</v>
      </c>
      <c r="C568" s="500" t="s">
        <v>641</v>
      </c>
      <c r="D568" s="464">
        <v>226116</v>
      </c>
      <c r="E568" s="496">
        <v>10</v>
      </c>
      <c r="F568" s="401">
        <v>4332</v>
      </c>
      <c r="G568" s="402">
        <v>3540</v>
      </c>
      <c r="H568" s="401">
        <v>16602</v>
      </c>
      <c r="I568" s="402">
        <v>16602</v>
      </c>
      <c r="J568" s="401">
        <v>0</v>
      </c>
      <c r="K568" s="402">
        <v>0</v>
      </c>
      <c r="L568" s="401">
        <v>0</v>
      </c>
      <c r="M568" s="402">
        <v>0</v>
      </c>
      <c r="N568" s="401"/>
      <c r="O568" s="402"/>
      <c r="P568" s="413"/>
      <c r="Q568" s="402"/>
      <c r="R568" s="401"/>
      <c r="S568" s="402"/>
      <c r="T568" s="401"/>
      <c r="U568" s="402"/>
      <c r="V568" s="401"/>
      <c r="W568" s="402"/>
      <c r="X568" s="401"/>
      <c r="Y568" s="402"/>
      <c r="Z568" s="401"/>
      <c r="AA568" s="402"/>
      <c r="AB568" s="401"/>
      <c r="AC568" s="402"/>
      <c r="AD568" s="401"/>
      <c r="AE568" s="402"/>
      <c r="AF568" s="401"/>
      <c r="AG568" s="402"/>
      <c r="AH568" s="401"/>
      <c r="AI568" s="402"/>
      <c r="AJ568" s="401"/>
      <c r="AK568" s="402"/>
      <c r="AL568" s="401"/>
      <c r="AM568" s="402"/>
      <c r="AN568" s="401"/>
      <c r="AO568" s="402"/>
    </row>
    <row r="569" spans="1:44" s="179" customFormat="1" ht="15.75" customHeight="1">
      <c r="A569" s="259" t="s">
        <v>507</v>
      </c>
      <c r="B569" s="260" t="s">
        <v>815</v>
      </c>
      <c r="C569" s="501"/>
      <c r="D569" s="464">
        <v>488730</v>
      </c>
      <c r="E569" s="502">
        <v>9</v>
      </c>
      <c r="F569" s="401">
        <v>3140</v>
      </c>
      <c r="G569" s="402"/>
      <c r="H569" s="401">
        <v>0</v>
      </c>
      <c r="I569" s="402">
        <v>14122</v>
      </c>
      <c r="J569" s="401">
        <v>0</v>
      </c>
      <c r="K569" s="402">
        <v>0</v>
      </c>
      <c r="L569" s="401">
        <v>0</v>
      </c>
      <c r="M569" s="402">
        <v>0</v>
      </c>
      <c r="N569" s="401"/>
      <c r="O569" s="402"/>
      <c r="P569" s="413"/>
      <c r="Q569" s="402"/>
      <c r="R569" s="401"/>
      <c r="S569" s="402"/>
      <c r="T569" s="401"/>
      <c r="U569" s="402"/>
      <c r="V569" s="401"/>
      <c r="W569" s="402"/>
      <c r="X569" s="401"/>
      <c r="Y569" s="402"/>
      <c r="Z569" s="401"/>
      <c r="AA569" s="402"/>
      <c r="AB569" s="401"/>
      <c r="AC569" s="402"/>
      <c r="AD569" s="401"/>
      <c r="AE569" s="402"/>
      <c r="AF569" s="401"/>
      <c r="AG569" s="402"/>
      <c r="AH569" s="401"/>
      <c r="AI569" s="402"/>
      <c r="AJ569" s="401"/>
      <c r="AK569" s="402"/>
      <c r="AL569" s="401"/>
      <c r="AM569" s="402"/>
      <c r="AN569" s="401"/>
      <c r="AO569" s="402"/>
    </row>
    <row r="570" spans="1:44">
      <c r="A570" s="259" t="s">
        <v>507</v>
      </c>
      <c r="B570" s="260" t="s">
        <v>816</v>
      </c>
      <c r="C570" s="463"/>
      <c r="D570" s="464">
        <v>227386</v>
      </c>
      <c r="E570" s="496">
        <v>10</v>
      </c>
      <c r="F570" s="401">
        <v>2900</v>
      </c>
      <c r="G570" s="402">
        <v>2980</v>
      </c>
      <c r="H570" s="401">
        <v>5700</v>
      </c>
      <c r="I570" s="402">
        <v>5850</v>
      </c>
      <c r="J570" s="401">
        <v>0</v>
      </c>
      <c r="K570" s="402">
        <v>0</v>
      </c>
      <c r="L570" s="401">
        <v>0</v>
      </c>
      <c r="M570" s="402">
        <v>0</v>
      </c>
      <c r="N570" s="401"/>
      <c r="O570" s="402"/>
      <c r="P570" s="413"/>
      <c r="Q570" s="402"/>
      <c r="R570" s="401"/>
      <c r="S570" s="402"/>
      <c r="T570" s="401"/>
      <c r="U570" s="402"/>
      <c r="V570" s="401"/>
      <c r="W570" s="402"/>
      <c r="X570" s="401"/>
      <c r="Y570" s="402"/>
      <c r="Z570" s="401"/>
      <c r="AA570" s="402"/>
      <c r="AB570" s="401"/>
      <c r="AC570" s="402"/>
      <c r="AD570" s="401"/>
      <c r="AE570" s="402"/>
      <c r="AF570" s="401"/>
      <c r="AG570" s="402"/>
      <c r="AH570" s="401"/>
      <c r="AI570" s="402"/>
      <c r="AJ570" s="401"/>
      <c r="AK570" s="402"/>
      <c r="AL570" s="401"/>
      <c r="AM570" s="402"/>
      <c r="AN570" s="401"/>
      <c r="AO570" s="402"/>
      <c r="AP570" s="53"/>
      <c r="AQ570" s="53"/>
      <c r="AR570" s="53"/>
    </row>
    <row r="571" spans="1:44">
      <c r="A571" s="259" t="s">
        <v>507</v>
      </c>
      <c r="B571" s="260" t="s">
        <v>817</v>
      </c>
      <c r="C571" s="463"/>
      <c r="D571" s="464">
        <v>227687</v>
      </c>
      <c r="E571" s="496">
        <v>10</v>
      </c>
      <c r="F571" s="401">
        <v>4990</v>
      </c>
      <c r="G571" s="402">
        <v>6240</v>
      </c>
      <c r="H571" s="401">
        <v>6010</v>
      </c>
      <c r="I571" s="402">
        <v>7400</v>
      </c>
      <c r="J571" s="401">
        <v>0</v>
      </c>
      <c r="K571" s="402">
        <v>0</v>
      </c>
      <c r="L571" s="401">
        <v>0</v>
      </c>
      <c r="M571" s="402">
        <v>0</v>
      </c>
      <c r="N571" s="401"/>
      <c r="O571" s="402"/>
      <c r="P571" s="413"/>
      <c r="Q571" s="402"/>
      <c r="R571" s="401"/>
      <c r="S571" s="402"/>
      <c r="T571" s="401"/>
      <c r="U571" s="402"/>
      <c r="V571" s="401"/>
      <c r="W571" s="402"/>
      <c r="X571" s="401"/>
      <c r="Y571" s="402"/>
      <c r="Z571" s="401"/>
      <c r="AA571" s="402"/>
      <c r="AB571" s="401"/>
      <c r="AC571" s="402"/>
      <c r="AD571" s="401"/>
      <c r="AE571" s="402"/>
      <c r="AF571" s="401"/>
      <c r="AG571" s="402"/>
      <c r="AH571" s="401"/>
      <c r="AI571" s="402"/>
      <c r="AJ571" s="401"/>
      <c r="AK571" s="402"/>
      <c r="AL571" s="401"/>
      <c r="AM571" s="402"/>
      <c r="AN571" s="401"/>
      <c r="AO571" s="402"/>
      <c r="AP571" s="53"/>
      <c r="AQ571" s="53"/>
      <c r="AR571" s="53"/>
    </row>
    <row r="572" spans="1:44">
      <c r="A572" s="259" t="s">
        <v>507</v>
      </c>
      <c r="B572" s="260" t="s">
        <v>818</v>
      </c>
      <c r="C572" s="463"/>
      <c r="D572" s="464">
        <v>382911</v>
      </c>
      <c r="E572" s="496">
        <v>10</v>
      </c>
      <c r="F572" s="401">
        <v>2610</v>
      </c>
      <c r="G572" s="402"/>
      <c r="H572" s="401">
        <v>0</v>
      </c>
      <c r="I572" s="402">
        <v>5430</v>
      </c>
      <c r="J572" s="401">
        <v>0</v>
      </c>
      <c r="K572" s="402">
        <v>0</v>
      </c>
      <c r="L572" s="401">
        <v>0</v>
      </c>
      <c r="M572" s="402">
        <v>0</v>
      </c>
      <c r="N572" s="401"/>
      <c r="O572" s="402"/>
      <c r="P572" s="413"/>
      <c r="Q572" s="402"/>
      <c r="R572" s="401"/>
      <c r="S572" s="402"/>
      <c r="T572" s="401"/>
      <c r="U572" s="402"/>
      <c r="V572" s="401"/>
      <c r="W572" s="402"/>
      <c r="X572" s="401"/>
      <c r="Y572" s="402"/>
      <c r="Z572" s="401"/>
      <c r="AA572" s="402"/>
      <c r="AB572" s="401"/>
      <c r="AC572" s="402"/>
      <c r="AD572" s="401"/>
      <c r="AE572" s="402"/>
      <c r="AF572" s="401"/>
      <c r="AG572" s="402"/>
      <c r="AH572" s="401"/>
      <c r="AI572" s="402"/>
      <c r="AJ572" s="401"/>
      <c r="AK572" s="402"/>
      <c r="AL572" s="401"/>
      <c r="AM572" s="402"/>
      <c r="AN572" s="401"/>
      <c r="AO572" s="402"/>
      <c r="AP572" s="53"/>
      <c r="AQ572" s="53"/>
      <c r="AR572" s="53"/>
    </row>
    <row r="573" spans="1:44">
      <c r="A573" s="259" t="s">
        <v>507</v>
      </c>
      <c r="B573" s="280" t="s">
        <v>819</v>
      </c>
      <c r="C573" s="463"/>
      <c r="D573" s="503" t="s">
        <v>84</v>
      </c>
      <c r="E573" s="496">
        <v>10</v>
      </c>
      <c r="F573" s="401">
        <v>6322</v>
      </c>
      <c r="G573" s="402">
        <v>7900</v>
      </c>
      <c r="H573" s="401">
        <v>0</v>
      </c>
      <c r="I573" s="402">
        <v>0</v>
      </c>
      <c r="J573" s="401">
        <v>0</v>
      </c>
      <c r="K573" s="402">
        <v>0</v>
      </c>
      <c r="L573" s="401">
        <v>0</v>
      </c>
      <c r="M573" s="402">
        <v>0</v>
      </c>
      <c r="N573" s="401"/>
      <c r="O573" s="402"/>
      <c r="P573" s="413"/>
      <c r="Q573" s="402"/>
      <c r="R573" s="401"/>
      <c r="S573" s="402"/>
      <c r="T573" s="401"/>
      <c r="U573" s="402"/>
      <c r="V573" s="401"/>
      <c r="W573" s="402"/>
      <c r="X573" s="401"/>
      <c r="Y573" s="402"/>
      <c r="Z573" s="401"/>
      <c r="AA573" s="402"/>
      <c r="AB573" s="401"/>
      <c r="AC573" s="402"/>
      <c r="AD573" s="401"/>
      <c r="AE573" s="402"/>
      <c r="AF573" s="401"/>
      <c r="AG573" s="402"/>
      <c r="AH573" s="401"/>
      <c r="AI573" s="402"/>
      <c r="AJ573" s="401"/>
      <c r="AK573" s="402"/>
      <c r="AL573" s="401"/>
      <c r="AM573" s="402"/>
      <c r="AN573" s="401"/>
      <c r="AO573" s="402"/>
      <c r="AP573" s="53"/>
      <c r="AQ573" s="53"/>
      <c r="AR573" s="53"/>
    </row>
    <row r="574" spans="1:44">
      <c r="A574" s="259" t="s">
        <v>507</v>
      </c>
      <c r="B574" s="260" t="s">
        <v>820</v>
      </c>
      <c r="C574" s="463"/>
      <c r="D574" s="464">
        <v>408394</v>
      </c>
      <c r="E574" s="496">
        <v>10</v>
      </c>
      <c r="F574" s="401">
        <v>6322</v>
      </c>
      <c r="G574" s="402">
        <v>7900</v>
      </c>
      <c r="H574" s="401">
        <v>0</v>
      </c>
      <c r="I574" s="402">
        <v>0</v>
      </c>
      <c r="J574" s="401">
        <v>0</v>
      </c>
      <c r="K574" s="402">
        <v>0</v>
      </c>
      <c r="L574" s="401">
        <v>0</v>
      </c>
      <c r="M574" s="402">
        <v>0</v>
      </c>
      <c r="N574" s="401"/>
      <c r="O574" s="402"/>
      <c r="P574" s="413"/>
      <c r="Q574" s="402"/>
      <c r="R574" s="401"/>
      <c r="S574" s="402"/>
      <c r="T574" s="401"/>
      <c r="U574" s="402"/>
      <c r="V574" s="401"/>
      <c r="W574" s="402"/>
      <c r="X574" s="401"/>
      <c r="Y574" s="402"/>
      <c r="Z574" s="401"/>
      <c r="AA574" s="402"/>
      <c r="AB574" s="401"/>
      <c r="AC574" s="402"/>
      <c r="AD574" s="401"/>
      <c r="AE574" s="402"/>
      <c r="AF574" s="401"/>
      <c r="AG574" s="402"/>
      <c r="AH574" s="401"/>
      <c r="AI574" s="402"/>
      <c r="AJ574" s="401"/>
      <c r="AK574" s="402"/>
      <c r="AL574" s="401"/>
      <c r="AM574" s="402"/>
      <c r="AN574" s="401"/>
      <c r="AO574" s="402"/>
      <c r="AP574" s="53"/>
      <c r="AQ574" s="53"/>
      <c r="AR574" s="53"/>
    </row>
    <row r="575" spans="1:44">
      <c r="A575" s="259" t="s">
        <v>507</v>
      </c>
      <c r="B575" s="280" t="s">
        <v>821</v>
      </c>
      <c r="C575" s="463"/>
      <c r="D575" s="503" t="s">
        <v>84</v>
      </c>
      <c r="E575" s="496">
        <v>10</v>
      </c>
      <c r="F575" s="401">
        <v>6322</v>
      </c>
      <c r="G575" s="402">
        <v>7900</v>
      </c>
      <c r="H575" s="401">
        <v>0</v>
      </c>
      <c r="I575" s="402">
        <v>0</v>
      </c>
      <c r="J575" s="401">
        <v>0</v>
      </c>
      <c r="K575" s="402">
        <v>0</v>
      </c>
      <c r="L575" s="401">
        <v>0</v>
      </c>
      <c r="M575" s="402">
        <v>0</v>
      </c>
      <c r="N575" s="401"/>
      <c r="O575" s="402"/>
      <c r="P575" s="413"/>
      <c r="Q575" s="402"/>
      <c r="R575" s="401"/>
      <c r="S575" s="402"/>
      <c r="T575" s="401"/>
      <c r="U575" s="402"/>
      <c r="V575" s="401"/>
      <c r="W575" s="402"/>
      <c r="X575" s="401"/>
      <c r="Y575" s="402"/>
      <c r="Z575" s="401"/>
      <c r="AA575" s="402"/>
      <c r="AB575" s="401"/>
      <c r="AC575" s="402"/>
      <c r="AD575" s="401"/>
      <c r="AE575" s="402"/>
      <c r="AF575" s="401"/>
      <c r="AG575" s="402"/>
      <c r="AH575" s="401"/>
      <c r="AI575" s="402"/>
      <c r="AJ575" s="401"/>
      <c r="AK575" s="402"/>
      <c r="AL575" s="401"/>
      <c r="AM575" s="402"/>
      <c r="AN575" s="401"/>
      <c r="AO575" s="402"/>
      <c r="AP575" s="53"/>
      <c r="AQ575" s="53"/>
      <c r="AR575" s="53"/>
    </row>
    <row r="576" spans="1:44">
      <c r="A576" s="259" t="s">
        <v>507</v>
      </c>
      <c r="B576" s="260" t="s">
        <v>822</v>
      </c>
      <c r="C576" s="463"/>
      <c r="D576" s="464">
        <v>229328</v>
      </c>
      <c r="E576" s="496">
        <v>10</v>
      </c>
      <c r="F576" s="401">
        <v>6322</v>
      </c>
      <c r="G576" s="402">
        <v>7900</v>
      </c>
      <c r="H576" s="401">
        <v>0</v>
      </c>
      <c r="I576" s="402">
        <v>0</v>
      </c>
      <c r="J576" s="401">
        <v>0</v>
      </c>
      <c r="K576" s="402">
        <v>0</v>
      </c>
      <c r="L576" s="401">
        <v>0</v>
      </c>
      <c r="M576" s="402">
        <v>0</v>
      </c>
      <c r="N576" s="401"/>
      <c r="O576" s="402"/>
      <c r="P576" s="413"/>
      <c r="Q576" s="402"/>
      <c r="R576" s="401"/>
      <c r="S576" s="402"/>
      <c r="T576" s="401"/>
      <c r="U576" s="402"/>
      <c r="V576" s="401"/>
      <c r="W576" s="402"/>
      <c r="X576" s="401"/>
      <c r="Y576" s="402"/>
      <c r="Z576" s="401"/>
      <c r="AA576" s="402"/>
      <c r="AB576" s="401"/>
      <c r="AC576" s="402"/>
      <c r="AD576" s="401"/>
      <c r="AE576" s="402"/>
      <c r="AF576" s="401"/>
      <c r="AG576" s="402"/>
      <c r="AH576" s="401"/>
      <c r="AI576" s="402"/>
      <c r="AJ576" s="401"/>
      <c r="AK576" s="402"/>
      <c r="AL576" s="401"/>
      <c r="AM576" s="402"/>
      <c r="AN576" s="401"/>
      <c r="AO576" s="402"/>
      <c r="AP576" s="53"/>
      <c r="AQ576" s="53"/>
      <c r="AR576" s="53"/>
    </row>
    <row r="577" spans="1:44">
      <c r="A577" s="259" t="s">
        <v>507</v>
      </c>
      <c r="B577" s="260" t="s">
        <v>823</v>
      </c>
      <c r="C577" s="463"/>
      <c r="D577" s="464">
        <v>229832</v>
      </c>
      <c r="E577" s="496">
        <v>10</v>
      </c>
      <c r="F577" s="401">
        <v>2860</v>
      </c>
      <c r="G577" s="402">
        <v>3040</v>
      </c>
      <c r="H577" s="401">
        <v>5160</v>
      </c>
      <c r="I577" s="402">
        <v>5340</v>
      </c>
      <c r="J577" s="401">
        <v>0</v>
      </c>
      <c r="K577" s="402">
        <v>0</v>
      </c>
      <c r="L577" s="401">
        <v>0</v>
      </c>
      <c r="M577" s="402">
        <v>0</v>
      </c>
      <c r="N577" s="401"/>
      <c r="O577" s="402"/>
      <c r="P577" s="413"/>
      <c r="Q577" s="402"/>
      <c r="R577" s="401"/>
      <c r="S577" s="402"/>
      <c r="T577" s="401"/>
      <c r="U577" s="402"/>
      <c r="V577" s="401"/>
      <c r="W577" s="402"/>
      <c r="X577" s="401"/>
      <c r="Y577" s="402"/>
      <c r="Z577" s="401"/>
      <c r="AA577" s="402"/>
      <c r="AB577" s="401"/>
      <c r="AC577" s="402"/>
      <c r="AD577" s="401"/>
      <c r="AE577" s="402"/>
      <c r="AF577" s="401"/>
      <c r="AG577" s="402"/>
      <c r="AH577" s="401"/>
      <c r="AI577" s="402"/>
      <c r="AJ577" s="401"/>
      <c r="AK577" s="402"/>
      <c r="AL577" s="401"/>
      <c r="AM577" s="402"/>
      <c r="AN577" s="401"/>
      <c r="AO577" s="402"/>
      <c r="AP577" s="53"/>
      <c r="AQ577" s="53"/>
      <c r="AR577" s="53"/>
    </row>
    <row r="578" spans="1:44">
      <c r="A578" s="259" t="s">
        <v>507</v>
      </c>
      <c r="B578" s="260" t="s">
        <v>824</v>
      </c>
      <c r="C578" s="463"/>
      <c r="D578" s="464">
        <v>223214</v>
      </c>
      <c r="E578" s="496">
        <v>15</v>
      </c>
      <c r="F578" s="401">
        <v>0</v>
      </c>
      <c r="G578" s="402">
        <v>0</v>
      </c>
      <c r="H578" s="401">
        <v>0</v>
      </c>
      <c r="I578" s="402">
        <v>0</v>
      </c>
      <c r="J578" s="401">
        <v>0</v>
      </c>
      <c r="K578" s="402">
        <v>0</v>
      </c>
      <c r="L578" s="401">
        <v>0</v>
      </c>
      <c r="M578" s="402">
        <v>0</v>
      </c>
      <c r="N578" s="401"/>
      <c r="O578" s="402"/>
      <c r="P578" s="413"/>
      <c r="Q578" s="402"/>
      <c r="R578" s="401">
        <v>28200</v>
      </c>
      <c r="S578" s="402">
        <v>29520</v>
      </c>
      <c r="T578" s="401">
        <v>45666.666666666701</v>
      </c>
      <c r="U578" s="402">
        <v>46986.666666666701</v>
      </c>
      <c r="V578" s="401">
        <v>42836</v>
      </c>
      <c r="W578" s="402">
        <v>50912</v>
      </c>
      <c r="X578" s="401">
        <v>57236</v>
      </c>
      <c r="Y578" s="402">
        <v>65312</v>
      </c>
      <c r="Z578" s="401"/>
      <c r="AA578" s="402"/>
      <c r="AB578" s="401"/>
      <c r="AC578" s="402"/>
      <c r="AD578" s="401"/>
      <c r="AE578" s="402"/>
      <c r="AF578" s="401"/>
      <c r="AG578" s="402"/>
      <c r="AH578" s="401"/>
      <c r="AI578" s="402"/>
      <c r="AJ578" s="401"/>
      <c r="AK578" s="402"/>
      <c r="AL578" s="401"/>
      <c r="AM578" s="402"/>
      <c r="AN578" s="401"/>
      <c r="AO578" s="402"/>
      <c r="AP578" s="53"/>
      <c r="AQ578" s="53"/>
      <c r="AR578" s="53"/>
    </row>
    <row r="579" spans="1:44" customFormat="1" ht="12.75" customHeight="1">
      <c r="A579" s="259" t="s">
        <v>507</v>
      </c>
      <c r="B579" s="260" t="s">
        <v>825</v>
      </c>
      <c r="C579" s="463"/>
      <c r="D579" s="464">
        <v>229337</v>
      </c>
      <c r="E579" s="496">
        <v>15</v>
      </c>
      <c r="F579" s="401">
        <v>9914</v>
      </c>
      <c r="G579" s="402">
        <v>10174</v>
      </c>
      <c r="H579" s="401">
        <v>22420</v>
      </c>
      <c r="I579" s="402">
        <v>21520</v>
      </c>
      <c r="J579" s="401">
        <v>10472</v>
      </c>
      <c r="K579" s="402">
        <v>11088</v>
      </c>
      <c r="L579" s="401">
        <v>20600</v>
      </c>
      <c r="M579" s="402">
        <v>20904</v>
      </c>
      <c r="N579" s="401"/>
      <c r="O579" s="402"/>
      <c r="P579" s="413"/>
      <c r="Q579" s="402"/>
      <c r="R579" s="401">
        <v>27314.666666666701</v>
      </c>
      <c r="S579" s="402">
        <v>28998.666666666701</v>
      </c>
      <c r="T579" s="401">
        <v>45314.666666666701</v>
      </c>
      <c r="U579" s="402">
        <v>46465.333333333299</v>
      </c>
      <c r="V579" s="401"/>
      <c r="W579" s="402"/>
      <c r="X579" s="401"/>
      <c r="Y579" s="402"/>
      <c r="Z579" s="401">
        <v>24042.666666666701</v>
      </c>
      <c r="AA579" s="402">
        <v>24885.333333333299</v>
      </c>
      <c r="AB579" s="401">
        <v>47666.666666666701</v>
      </c>
      <c r="AC579" s="402">
        <v>46266.666666666701</v>
      </c>
      <c r="AD579" s="401"/>
      <c r="AE579" s="402"/>
      <c r="AF579" s="401"/>
      <c r="AG579" s="402"/>
      <c r="AH579" s="401"/>
      <c r="AI579" s="402"/>
      <c r="AJ579" s="401"/>
      <c r="AK579" s="402"/>
      <c r="AL579" s="401"/>
      <c r="AM579" s="402"/>
      <c r="AN579" s="401"/>
      <c r="AO579" s="402"/>
      <c r="AP579" s="53"/>
      <c r="AQ579" s="53"/>
      <c r="AR579" s="53"/>
    </row>
    <row r="580" spans="1:44" customFormat="1" ht="12.6" customHeight="1">
      <c r="A580" s="259" t="s">
        <v>507</v>
      </c>
      <c r="B580" s="260" t="s">
        <v>826</v>
      </c>
      <c r="C580" s="464"/>
      <c r="D580" s="464">
        <v>492689</v>
      </c>
      <c r="E580" s="496">
        <v>15</v>
      </c>
      <c r="F580" s="401">
        <v>11054</v>
      </c>
      <c r="G580" s="402">
        <v>11260</v>
      </c>
      <c r="H580" s="401">
        <v>25346</v>
      </c>
      <c r="I580" s="402">
        <v>20952</v>
      </c>
      <c r="J580" s="401">
        <v>6765.3333333333303</v>
      </c>
      <c r="K580" s="402">
        <v>6965.3333333333303</v>
      </c>
      <c r="L580" s="401">
        <v>17672</v>
      </c>
      <c r="M580" s="402">
        <v>17872</v>
      </c>
      <c r="N580" s="401"/>
      <c r="O580" s="402"/>
      <c r="P580" s="413"/>
      <c r="Q580" s="402"/>
      <c r="R580" s="401"/>
      <c r="S580" s="402"/>
      <c r="T580" s="401"/>
      <c r="U580" s="402"/>
      <c r="V580" s="401"/>
      <c r="W580" s="402"/>
      <c r="X580" s="401"/>
      <c r="Y580" s="402"/>
      <c r="Z580" s="401"/>
      <c r="AA580" s="402"/>
      <c r="AB580" s="401"/>
      <c r="AC580" s="402"/>
      <c r="AD580" s="401"/>
      <c r="AE580" s="402"/>
      <c r="AF580" s="401"/>
      <c r="AG580" s="402"/>
      <c r="AH580" s="401"/>
      <c r="AI580" s="402"/>
      <c r="AJ580" s="401"/>
      <c r="AK580" s="402"/>
      <c r="AL580" s="401"/>
      <c r="AM580" s="402"/>
      <c r="AN580" s="401"/>
      <c r="AO580" s="402"/>
      <c r="AP580" s="53"/>
      <c r="AQ580" s="53"/>
      <c r="AR580" s="53"/>
    </row>
    <row r="581" spans="1:44" customFormat="1" ht="12.6" customHeight="1">
      <c r="A581" s="259" t="s">
        <v>507</v>
      </c>
      <c r="B581" s="260" t="s">
        <v>827</v>
      </c>
      <c r="C581" s="464" t="s">
        <v>991</v>
      </c>
      <c r="D581" s="464">
        <v>484905</v>
      </c>
      <c r="E581" s="496">
        <v>4</v>
      </c>
      <c r="F581" s="401">
        <v>0</v>
      </c>
      <c r="G581" s="402">
        <v>0</v>
      </c>
      <c r="H581" s="401">
        <v>0</v>
      </c>
      <c r="I581" s="402">
        <v>0</v>
      </c>
      <c r="J581" s="401">
        <v>0</v>
      </c>
      <c r="K581" s="402">
        <v>0</v>
      </c>
      <c r="L581" s="401">
        <v>0</v>
      </c>
      <c r="M581" s="402">
        <v>0</v>
      </c>
      <c r="N581" s="401"/>
      <c r="O581" s="402"/>
      <c r="P581" s="413"/>
      <c r="Q581" s="402"/>
      <c r="R581" s="401"/>
      <c r="S581" s="402"/>
      <c r="T581" s="401"/>
      <c r="U581" s="402"/>
      <c r="V581" s="401"/>
      <c r="W581" s="402"/>
      <c r="X581" s="401"/>
      <c r="Y581" s="402"/>
      <c r="Z581" s="401"/>
      <c r="AA581" s="402"/>
      <c r="AB581" s="401"/>
      <c r="AC581" s="402"/>
      <c r="AD581" s="401"/>
      <c r="AE581" s="402"/>
      <c r="AF581" s="401"/>
      <c r="AG581" s="402"/>
      <c r="AH581" s="401"/>
      <c r="AI581" s="402"/>
      <c r="AJ581" s="401"/>
      <c r="AK581" s="402"/>
      <c r="AL581" s="401"/>
      <c r="AM581" s="402"/>
      <c r="AN581" s="401"/>
      <c r="AO581" s="402"/>
      <c r="AP581" s="53"/>
      <c r="AQ581" s="53"/>
      <c r="AR581" s="53"/>
    </row>
    <row r="582" spans="1:44">
      <c r="A582" s="259" t="s">
        <v>507</v>
      </c>
      <c r="B582" s="260" t="s">
        <v>828</v>
      </c>
      <c r="C582" s="463"/>
      <c r="D582" s="464">
        <v>228909</v>
      </c>
      <c r="E582" s="496">
        <v>15</v>
      </c>
      <c r="F582" s="401">
        <v>0</v>
      </c>
      <c r="G582" s="402">
        <v>0</v>
      </c>
      <c r="H582" s="401">
        <v>0</v>
      </c>
      <c r="I582" s="402">
        <v>0</v>
      </c>
      <c r="J582" s="401">
        <v>0</v>
      </c>
      <c r="K582" s="402">
        <v>0</v>
      </c>
      <c r="L582" s="401">
        <v>0</v>
      </c>
      <c r="M582" s="402">
        <v>0</v>
      </c>
      <c r="N582" s="401"/>
      <c r="O582" s="402"/>
      <c r="P582" s="413"/>
      <c r="Q582" s="402"/>
      <c r="R582" s="401">
        <v>27016</v>
      </c>
      <c r="S582" s="402">
        <v>26290.666666666701</v>
      </c>
      <c r="T582" s="401">
        <v>47933.333333333299</v>
      </c>
      <c r="U582" s="402">
        <v>47208</v>
      </c>
      <c r="V582" s="401"/>
      <c r="W582" s="402"/>
      <c r="X582" s="401"/>
      <c r="Y582" s="402"/>
      <c r="Z582" s="401"/>
      <c r="AA582" s="402"/>
      <c r="AB582" s="401"/>
      <c r="AC582" s="402"/>
      <c r="AD582" s="401"/>
      <c r="AE582" s="402"/>
      <c r="AF582" s="401"/>
      <c r="AG582" s="402"/>
      <c r="AH582" s="401">
        <v>27016</v>
      </c>
      <c r="AI582" s="402">
        <v>26290.666666666701</v>
      </c>
      <c r="AJ582" s="401">
        <v>47933.333333333299</v>
      </c>
      <c r="AK582" s="402">
        <v>47208</v>
      </c>
      <c r="AL582" s="401"/>
      <c r="AM582" s="402"/>
      <c r="AN582" s="401"/>
      <c r="AO582" s="402"/>
      <c r="AP582" s="53"/>
      <c r="AQ582" s="53"/>
      <c r="AR582" s="53"/>
    </row>
    <row r="583" spans="1:44" customFormat="1" ht="12.6" customHeight="1">
      <c r="A583" s="259" t="s">
        <v>507</v>
      </c>
      <c r="B583" s="260" t="s">
        <v>829</v>
      </c>
      <c r="C583" s="464"/>
      <c r="D583" s="464">
        <v>229300</v>
      </c>
      <c r="E583" s="496">
        <v>15</v>
      </c>
      <c r="F583" s="401">
        <v>8574</v>
      </c>
      <c r="G583" s="402">
        <v>9054</v>
      </c>
      <c r="H583" s="401">
        <v>34596</v>
      </c>
      <c r="I583" s="402">
        <v>36248</v>
      </c>
      <c r="J583" s="401">
        <v>10373.333333333299</v>
      </c>
      <c r="K583" s="402">
        <v>10909.333333333299</v>
      </c>
      <c r="L583" s="401">
        <v>29165.333333333299</v>
      </c>
      <c r="M583" s="402">
        <v>29605.333333333299</v>
      </c>
      <c r="N583" s="401"/>
      <c r="O583" s="402"/>
      <c r="P583" s="413"/>
      <c r="Q583" s="402"/>
      <c r="R583" s="401">
        <v>32992</v>
      </c>
      <c r="S583" s="402">
        <v>33737.333333333299</v>
      </c>
      <c r="T583" s="401">
        <v>43996</v>
      </c>
      <c r="U583" s="402">
        <v>43765.333333333299</v>
      </c>
      <c r="V583" s="401">
        <v>52044</v>
      </c>
      <c r="W583" s="402">
        <v>54764</v>
      </c>
      <c r="X583" s="401">
        <v>74232</v>
      </c>
      <c r="Y583" s="402">
        <v>79169.333333333299</v>
      </c>
      <c r="Z583" s="401"/>
      <c r="AA583" s="402"/>
      <c r="AB583" s="401"/>
      <c r="AC583" s="402"/>
      <c r="AD583" s="401"/>
      <c r="AE583" s="402"/>
      <c r="AF583" s="401"/>
      <c r="AG583" s="402"/>
      <c r="AH583" s="401"/>
      <c r="AI583" s="402"/>
      <c r="AJ583" s="401"/>
      <c r="AK583" s="402"/>
      <c r="AL583" s="401"/>
      <c r="AM583" s="402"/>
      <c r="AN583" s="401"/>
      <c r="AO583" s="402"/>
      <c r="AP583" s="53"/>
      <c r="AQ583" s="53"/>
      <c r="AR583" s="53"/>
    </row>
    <row r="584" spans="1:44" customFormat="1" ht="12.6" customHeight="1">
      <c r="A584" s="259" t="s">
        <v>507</v>
      </c>
      <c r="B584" s="260" t="s">
        <v>830</v>
      </c>
      <c r="C584" s="464"/>
      <c r="D584" s="464">
        <v>228644</v>
      </c>
      <c r="E584" s="496">
        <v>15</v>
      </c>
      <c r="F584" s="401">
        <v>9384</v>
      </c>
      <c r="G584" s="402">
        <v>9792</v>
      </c>
      <c r="H584" s="401">
        <v>25842</v>
      </c>
      <c r="I584" s="402">
        <v>25812</v>
      </c>
      <c r="J584" s="401">
        <v>11265.333333333299</v>
      </c>
      <c r="K584" s="402">
        <v>11265.333333333299</v>
      </c>
      <c r="L584" s="401">
        <v>24229.333333333299</v>
      </c>
      <c r="M584" s="402">
        <v>24205.333333333299</v>
      </c>
      <c r="N584" s="401"/>
      <c r="O584" s="402"/>
      <c r="P584" s="413"/>
      <c r="Q584" s="402"/>
      <c r="R584" s="401">
        <v>27596</v>
      </c>
      <c r="S584" s="402">
        <v>28476</v>
      </c>
      <c r="T584" s="401">
        <v>49817.333333333299</v>
      </c>
      <c r="U584" s="402">
        <v>51385.333333333299</v>
      </c>
      <c r="V584" s="401">
        <v>42208</v>
      </c>
      <c r="W584" s="402">
        <v>42208</v>
      </c>
      <c r="X584" s="401">
        <v>56608</v>
      </c>
      <c r="Y584" s="402">
        <v>56608</v>
      </c>
      <c r="Z584" s="401"/>
      <c r="AA584" s="402"/>
      <c r="AB584" s="401"/>
      <c r="AC584" s="402"/>
      <c r="AD584" s="401"/>
      <c r="AE584" s="402"/>
      <c r="AF584" s="401"/>
      <c r="AG584" s="402"/>
      <c r="AH584" s="401"/>
      <c r="AI584" s="402"/>
      <c r="AJ584" s="401"/>
      <c r="AK584" s="402"/>
      <c r="AL584" s="401"/>
      <c r="AM584" s="402"/>
      <c r="AN584" s="401"/>
      <c r="AO584" s="402"/>
      <c r="AP584" s="53"/>
      <c r="AQ584" s="53"/>
      <c r="AR584" s="53"/>
    </row>
    <row r="585" spans="1:44" customFormat="1" ht="12.6" customHeight="1">
      <c r="A585" s="259" t="s">
        <v>507</v>
      </c>
      <c r="B585" s="260" t="s">
        <v>831</v>
      </c>
      <c r="C585" s="464"/>
      <c r="D585" s="464">
        <v>416801</v>
      </c>
      <c r="E585" s="496">
        <v>15</v>
      </c>
      <c r="F585" s="401">
        <v>4024</v>
      </c>
      <c r="G585" s="402">
        <v>4222</v>
      </c>
      <c r="H585" s="401">
        <v>18584</v>
      </c>
      <c r="I585" s="402">
        <v>18878</v>
      </c>
      <c r="J585" s="401">
        <v>7725.3333333333303</v>
      </c>
      <c r="K585" s="402">
        <v>8077.3333333333303</v>
      </c>
      <c r="L585" s="401">
        <v>22904</v>
      </c>
      <c r="M585" s="402">
        <v>23720</v>
      </c>
      <c r="N585" s="401"/>
      <c r="O585" s="402"/>
      <c r="P585" s="413"/>
      <c r="Q585" s="402"/>
      <c r="R585" s="401">
        <v>24813.66</v>
      </c>
      <c r="S585" s="402">
        <v>25836.33</v>
      </c>
      <c r="T585" s="401">
        <v>33066.660000000003</v>
      </c>
      <c r="U585" s="402">
        <v>33357.33</v>
      </c>
      <c r="V585" s="401"/>
      <c r="W585" s="402"/>
      <c r="X585" s="401"/>
      <c r="Y585" s="402"/>
      <c r="Z585" s="401"/>
      <c r="AA585" s="402"/>
      <c r="AB585" s="401"/>
      <c r="AC585" s="402"/>
      <c r="AD585" s="401"/>
      <c r="AE585" s="402"/>
      <c r="AF585" s="401"/>
      <c r="AG585" s="402"/>
      <c r="AH585" s="401"/>
      <c r="AI585" s="402"/>
      <c r="AJ585" s="401"/>
      <c r="AK585" s="402"/>
      <c r="AL585" s="401"/>
      <c r="AM585" s="402"/>
      <c r="AN585" s="401"/>
      <c r="AO585" s="402"/>
      <c r="AP585" s="53"/>
      <c r="AQ585" s="53"/>
      <c r="AR585" s="53"/>
    </row>
    <row r="586" spans="1:44" customFormat="1" ht="12.75" customHeight="1">
      <c r="A586" s="259" t="s">
        <v>507</v>
      </c>
      <c r="B586" s="260" t="s">
        <v>832</v>
      </c>
      <c r="C586" s="464"/>
      <c r="D586" s="464">
        <v>228653</v>
      </c>
      <c r="E586" s="496">
        <v>15</v>
      </c>
      <c r="F586" s="401">
        <v>9258</v>
      </c>
      <c r="G586" s="402">
        <v>9630</v>
      </c>
      <c r="H586" s="401">
        <v>21017</v>
      </c>
      <c r="I586" s="402">
        <v>27344</v>
      </c>
      <c r="J586" s="401">
        <v>7106.6666666666697</v>
      </c>
      <c r="K586" s="402">
        <v>13173.333333333299</v>
      </c>
      <c r="L586" s="401">
        <v>17066.666666666701</v>
      </c>
      <c r="M586" s="402">
        <v>27742.666666666701</v>
      </c>
      <c r="N586" s="401"/>
      <c r="O586" s="402"/>
      <c r="P586" s="413"/>
      <c r="Q586" s="402"/>
      <c r="R586" s="401">
        <v>30357.333333333299</v>
      </c>
      <c r="S586" s="402">
        <v>31957.333333333299</v>
      </c>
      <c r="T586" s="406">
        <v>8769.3333333299997</v>
      </c>
      <c r="U586" s="402">
        <v>51702.666666666701</v>
      </c>
      <c r="V586" s="401"/>
      <c r="W586" s="402"/>
      <c r="X586" s="401"/>
      <c r="Y586" s="402"/>
      <c r="Z586" s="401"/>
      <c r="AA586" s="402"/>
      <c r="AB586" s="401"/>
      <c r="AC586" s="402"/>
      <c r="AD586" s="401"/>
      <c r="AE586" s="402"/>
      <c r="AF586" s="401"/>
      <c r="AG586" s="402"/>
      <c r="AH586" s="401"/>
      <c r="AI586" s="402"/>
      <c r="AJ586" s="401"/>
      <c r="AK586" s="402"/>
      <c r="AL586" s="401"/>
      <c r="AM586" s="402"/>
      <c r="AN586" s="401"/>
      <c r="AO586" s="402"/>
      <c r="AP586" s="53"/>
      <c r="AQ586" s="53"/>
      <c r="AR586" s="53"/>
    </row>
    <row r="587" spans="1:44" customFormat="1" ht="12.6" customHeight="1">
      <c r="A587" s="259" t="s">
        <v>507</v>
      </c>
      <c r="B587" s="260" t="s">
        <v>833</v>
      </c>
      <c r="C587" s="464"/>
      <c r="D587" s="464">
        <v>228635</v>
      </c>
      <c r="E587" s="496">
        <v>15</v>
      </c>
      <c r="F587" s="401">
        <v>0</v>
      </c>
      <c r="G587" s="402">
        <v>0</v>
      </c>
      <c r="H587" s="401">
        <v>0</v>
      </c>
      <c r="I587" s="402">
        <v>0</v>
      </c>
      <c r="J587" s="401">
        <v>9178.6666666666697</v>
      </c>
      <c r="K587" s="402">
        <v>9398.6666666666697</v>
      </c>
      <c r="L587" s="401">
        <v>19138.666666666701</v>
      </c>
      <c r="M587" s="402">
        <v>19358.666666666701</v>
      </c>
      <c r="N587" s="401"/>
      <c r="O587" s="402"/>
      <c r="P587" s="413"/>
      <c r="Q587" s="402"/>
      <c r="R587" s="401">
        <v>29465.333333333299</v>
      </c>
      <c r="S587" s="402">
        <v>30201.333333333299</v>
      </c>
      <c r="T587" s="401">
        <v>46932</v>
      </c>
      <c r="U587" s="402">
        <v>47668</v>
      </c>
      <c r="V587" s="401"/>
      <c r="W587" s="402"/>
      <c r="X587" s="401"/>
      <c r="Y587" s="402"/>
      <c r="Z587" s="401"/>
      <c r="AA587" s="402"/>
      <c r="AB587" s="401"/>
      <c r="AC587" s="402"/>
      <c r="AD587" s="401"/>
      <c r="AE587" s="402"/>
      <c r="AF587" s="401"/>
      <c r="AG587" s="402"/>
      <c r="AH587" s="401"/>
      <c r="AI587" s="402"/>
      <c r="AJ587" s="401"/>
      <c r="AK587" s="402"/>
      <c r="AL587" s="401"/>
      <c r="AM587" s="402"/>
      <c r="AN587" s="401"/>
      <c r="AO587" s="402"/>
      <c r="AP587" s="53"/>
      <c r="AQ587" s="53"/>
      <c r="AR587" s="53"/>
    </row>
    <row r="588" spans="1:44" customFormat="1" ht="12.6" customHeight="1">
      <c r="A588" s="259" t="s">
        <v>507</v>
      </c>
      <c r="B588" s="280" t="s">
        <v>834</v>
      </c>
      <c r="C588" s="464"/>
      <c r="D588" s="464">
        <v>485537</v>
      </c>
      <c r="E588" s="496">
        <v>15</v>
      </c>
      <c r="F588" s="401">
        <v>0</v>
      </c>
      <c r="G588" s="402">
        <v>0</v>
      </c>
      <c r="H588" s="401">
        <v>0</v>
      </c>
      <c r="I588" s="402">
        <v>0</v>
      </c>
      <c r="J588" s="401">
        <v>10101.333333333299</v>
      </c>
      <c r="K588" s="402">
        <v>10245.333333333299</v>
      </c>
      <c r="L588" s="401">
        <v>28341.333333333299</v>
      </c>
      <c r="M588" s="402">
        <v>28461.333333333299</v>
      </c>
      <c r="N588" s="401"/>
      <c r="O588" s="402"/>
      <c r="P588" s="413"/>
      <c r="Q588" s="402"/>
      <c r="R588" s="401">
        <v>6562.56</v>
      </c>
      <c r="S588" s="402">
        <v>25836.33</v>
      </c>
      <c r="T588" s="401">
        <v>24802.560000000001</v>
      </c>
      <c r="U588" s="402">
        <v>33357.33</v>
      </c>
      <c r="V588" s="401"/>
      <c r="W588" s="402"/>
      <c r="X588" s="401"/>
      <c r="Y588" s="402"/>
      <c r="Z588" s="401"/>
      <c r="AA588" s="402"/>
      <c r="AB588" s="401"/>
      <c r="AC588" s="402"/>
      <c r="AD588" s="401"/>
      <c r="AE588" s="402"/>
      <c r="AF588" s="401"/>
      <c r="AG588" s="402"/>
      <c r="AH588" s="401"/>
      <c r="AI588" s="402"/>
      <c r="AJ588" s="401"/>
      <c r="AK588" s="402"/>
      <c r="AL588" s="401"/>
      <c r="AM588" s="402"/>
      <c r="AN588" s="401"/>
      <c r="AO588" s="402"/>
      <c r="AP588" s="53"/>
      <c r="AQ588" s="53"/>
      <c r="AR588" s="53"/>
    </row>
    <row r="589" spans="1:44">
      <c r="A589" s="259" t="s">
        <v>507</v>
      </c>
      <c r="B589" s="280" t="s">
        <v>902</v>
      </c>
      <c r="C589" s="504" t="s">
        <v>992</v>
      </c>
      <c r="D589" s="464">
        <v>224615</v>
      </c>
      <c r="E589" s="496">
        <v>8</v>
      </c>
      <c r="F589" s="401"/>
      <c r="G589" s="402">
        <v>2370</v>
      </c>
      <c r="H589" s="401"/>
      <c r="I589" s="402">
        <v>6000</v>
      </c>
      <c r="J589" s="401"/>
      <c r="K589" s="402">
        <v>0</v>
      </c>
      <c r="L589" s="401"/>
      <c r="M589" s="402">
        <v>0</v>
      </c>
      <c r="N589" s="401"/>
      <c r="O589" s="402"/>
      <c r="P589" s="413"/>
      <c r="Q589" s="402"/>
      <c r="R589" s="401"/>
      <c r="S589" s="402"/>
      <c r="T589" s="401"/>
      <c r="U589" s="402"/>
      <c r="V589" s="401"/>
      <c r="W589" s="402"/>
      <c r="X589" s="401"/>
      <c r="Y589" s="402"/>
      <c r="Z589" s="401"/>
      <c r="AA589" s="402"/>
      <c r="AB589" s="401"/>
      <c r="AC589" s="402"/>
      <c r="AD589" s="401"/>
      <c r="AE589" s="402"/>
      <c r="AF589" s="401"/>
      <c r="AG589" s="402"/>
      <c r="AH589" s="401"/>
      <c r="AI589" s="402"/>
      <c r="AJ589" s="401"/>
      <c r="AK589" s="402"/>
      <c r="AL589" s="401"/>
      <c r="AM589" s="402"/>
      <c r="AN589" s="401"/>
      <c r="AO589" s="402"/>
      <c r="AP589" s="53"/>
      <c r="AQ589" s="53"/>
      <c r="AR589" s="53"/>
    </row>
    <row r="590" spans="1:44" s="179" customFormat="1" ht="14.45" customHeight="1">
      <c r="A590" s="229" t="s">
        <v>445</v>
      </c>
      <c r="B590" s="230" t="s">
        <v>446</v>
      </c>
      <c r="C590" s="505"/>
      <c r="D590" s="445">
        <v>232186</v>
      </c>
      <c r="E590" s="506">
        <v>1</v>
      </c>
      <c r="F590" s="390">
        <v>13014</v>
      </c>
      <c r="G590" s="391">
        <v>13119</v>
      </c>
      <c r="H590" s="390">
        <v>36474</v>
      </c>
      <c r="I590" s="391">
        <v>36579</v>
      </c>
      <c r="J590" s="390">
        <v>16097</v>
      </c>
      <c r="K590" s="391">
        <v>16644</v>
      </c>
      <c r="L590" s="390">
        <v>37410</v>
      </c>
      <c r="M590" s="391">
        <v>37956</v>
      </c>
      <c r="N590" s="390">
        <v>25354</v>
      </c>
      <c r="O590" s="391">
        <v>25875</v>
      </c>
      <c r="P590" s="390">
        <v>40740</v>
      </c>
      <c r="Q590" s="391">
        <v>41261</v>
      </c>
      <c r="R590" s="390"/>
      <c r="S590" s="391"/>
      <c r="T590" s="390"/>
      <c r="U590" s="391"/>
      <c r="V590" s="390"/>
      <c r="W590" s="391"/>
      <c r="X590" s="390"/>
      <c r="Y590" s="391"/>
      <c r="Z590" s="390"/>
      <c r="AA590" s="391"/>
      <c r="AB590" s="390"/>
      <c r="AC590" s="391"/>
      <c r="AD590" s="390"/>
      <c r="AE590" s="391"/>
      <c r="AF590" s="390"/>
      <c r="AG590" s="391"/>
      <c r="AH590" s="390"/>
      <c r="AI590" s="391"/>
      <c r="AJ590" s="390"/>
      <c r="AK590" s="391"/>
      <c r="AL590" s="390"/>
      <c r="AM590" s="391"/>
      <c r="AN590" s="390"/>
      <c r="AO590" s="391"/>
    </row>
    <row r="591" spans="1:44" s="179" customFormat="1" ht="14.45" customHeight="1">
      <c r="A591" s="229" t="s">
        <v>445</v>
      </c>
      <c r="B591" s="230" t="s">
        <v>447</v>
      </c>
      <c r="C591" s="505"/>
      <c r="D591" s="445">
        <v>232982</v>
      </c>
      <c r="E591" s="506">
        <v>1</v>
      </c>
      <c r="F591" s="390">
        <v>11160</v>
      </c>
      <c r="G591" s="391">
        <v>11160</v>
      </c>
      <c r="H591" s="390">
        <v>31320</v>
      </c>
      <c r="I591" s="391">
        <v>31320</v>
      </c>
      <c r="J591" s="390">
        <v>13584</v>
      </c>
      <c r="K591" s="391">
        <v>13584</v>
      </c>
      <c r="L591" s="390">
        <v>33648</v>
      </c>
      <c r="M591" s="391">
        <v>33648</v>
      </c>
      <c r="N591" s="390"/>
      <c r="O591" s="391"/>
      <c r="P591" s="390"/>
      <c r="Q591" s="391"/>
      <c r="R591" s="390"/>
      <c r="S591" s="391"/>
      <c r="T591" s="390"/>
      <c r="U591" s="391"/>
      <c r="V591" s="390"/>
      <c r="W591" s="391"/>
      <c r="X591" s="390"/>
      <c r="Y591" s="391"/>
      <c r="Z591" s="390"/>
      <c r="AA591" s="391"/>
      <c r="AB591" s="390"/>
      <c r="AC591" s="391"/>
      <c r="AD591" s="390"/>
      <c r="AE591" s="391"/>
      <c r="AF591" s="390"/>
      <c r="AG591" s="391"/>
      <c r="AH591" s="390"/>
      <c r="AI591" s="391"/>
      <c r="AJ591" s="390"/>
      <c r="AK591" s="391"/>
      <c r="AL591" s="390"/>
      <c r="AM591" s="391"/>
      <c r="AN591" s="390"/>
      <c r="AO591" s="391"/>
    </row>
    <row r="592" spans="1:44" s="53" customFormat="1">
      <c r="A592" s="229" t="s">
        <v>445</v>
      </c>
      <c r="B592" s="230" t="s">
        <v>448</v>
      </c>
      <c r="C592" s="507"/>
      <c r="D592" s="445">
        <v>234076</v>
      </c>
      <c r="E592" s="506">
        <v>1</v>
      </c>
      <c r="F592" s="390">
        <v>17296</v>
      </c>
      <c r="G592" s="391">
        <v>17410</v>
      </c>
      <c r="H592" s="390">
        <v>51826</v>
      </c>
      <c r="I592" s="391">
        <v>51940</v>
      </c>
      <c r="J592" s="390">
        <v>21454</v>
      </c>
      <c r="K592" s="391">
        <v>22302</v>
      </c>
      <c r="L592" s="390">
        <v>34716</v>
      </c>
      <c r="M592" s="391">
        <v>36068</v>
      </c>
      <c r="N592" s="390">
        <v>65460</v>
      </c>
      <c r="O592" s="391">
        <v>66460</v>
      </c>
      <c r="P592" s="390">
        <v>68460</v>
      </c>
      <c r="Q592" s="391">
        <v>69460</v>
      </c>
      <c r="R592" s="390">
        <v>46936</v>
      </c>
      <c r="S592" s="391">
        <v>48365</v>
      </c>
      <c r="T592" s="390">
        <v>57742</v>
      </c>
      <c r="U592" s="391">
        <v>59475</v>
      </c>
      <c r="V592" s="390"/>
      <c r="W592" s="391"/>
      <c r="X592" s="390"/>
      <c r="Y592" s="391"/>
      <c r="Z592" s="390"/>
      <c r="AA592" s="391"/>
      <c r="AB592" s="390"/>
      <c r="AC592" s="391"/>
      <c r="AD592" s="390"/>
      <c r="AE592" s="391"/>
      <c r="AF592" s="390"/>
      <c r="AG592" s="391"/>
      <c r="AH592" s="390"/>
      <c r="AI592" s="391"/>
      <c r="AJ592" s="390"/>
      <c r="AK592" s="391"/>
      <c r="AL592" s="390"/>
      <c r="AM592" s="391"/>
      <c r="AN592" s="390"/>
      <c r="AO592" s="391"/>
    </row>
    <row r="593" spans="1:41" s="53" customFormat="1" ht="15">
      <c r="A593" s="229" t="s">
        <v>445</v>
      </c>
      <c r="B593" s="230" t="s">
        <v>449</v>
      </c>
      <c r="C593" s="509" t="s">
        <v>1018</v>
      </c>
      <c r="D593" s="445">
        <v>234030</v>
      </c>
      <c r="E593" s="506">
        <v>1</v>
      </c>
      <c r="F593" s="390">
        <v>14710</v>
      </c>
      <c r="G593" s="391">
        <v>15118</v>
      </c>
      <c r="H593" s="390">
        <v>36048</v>
      </c>
      <c r="I593" s="391">
        <v>36456</v>
      </c>
      <c r="J593" s="390">
        <v>15200</v>
      </c>
      <c r="K593" s="391">
        <v>15518</v>
      </c>
      <c r="L593" s="390">
        <v>29228</v>
      </c>
      <c r="M593" s="391">
        <v>29546</v>
      </c>
      <c r="N593" s="390"/>
      <c r="O593" s="391"/>
      <c r="P593" s="390"/>
      <c r="Q593" s="391"/>
      <c r="R593" s="390">
        <v>37322</v>
      </c>
      <c r="S593" s="391">
        <v>37640</v>
      </c>
      <c r="T593" s="390">
        <v>60838</v>
      </c>
      <c r="U593" s="391">
        <v>61156</v>
      </c>
      <c r="V593" s="390">
        <v>60215</v>
      </c>
      <c r="W593" s="391">
        <v>61010</v>
      </c>
      <c r="X593" s="390">
        <v>93884</v>
      </c>
      <c r="Y593" s="391">
        <v>94679</v>
      </c>
      <c r="Z593" s="390">
        <v>31866</v>
      </c>
      <c r="AA593" s="391">
        <v>31984</v>
      </c>
      <c r="AB593" s="390">
        <v>45194</v>
      </c>
      <c r="AC593" s="391">
        <v>45312</v>
      </c>
      <c r="AD593" s="390"/>
      <c r="AE593" s="391"/>
      <c r="AF593" s="390"/>
      <c r="AG593" s="391"/>
      <c r="AH593" s="390"/>
      <c r="AI593" s="391"/>
      <c r="AJ593" s="390"/>
      <c r="AK593" s="391"/>
      <c r="AL593" s="390"/>
      <c r="AM593" s="391"/>
      <c r="AN593" s="390"/>
      <c r="AO593" s="391"/>
    </row>
    <row r="594" spans="1:41" s="53" customFormat="1">
      <c r="A594" s="229" t="s">
        <v>445</v>
      </c>
      <c r="B594" s="230" t="s">
        <v>450</v>
      </c>
      <c r="C594" s="507"/>
      <c r="D594" s="445">
        <v>233921</v>
      </c>
      <c r="E594" s="506">
        <v>1</v>
      </c>
      <c r="F594" s="390">
        <v>13749</v>
      </c>
      <c r="G594" s="391">
        <v>14175</v>
      </c>
      <c r="H594" s="390">
        <v>32893</v>
      </c>
      <c r="I594" s="391">
        <v>33857</v>
      </c>
      <c r="J594" s="390">
        <v>16030</v>
      </c>
      <c r="K594" s="391">
        <v>16522</v>
      </c>
      <c r="L594" s="390">
        <v>30547</v>
      </c>
      <c r="M594" s="391">
        <v>31443</v>
      </c>
      <c r="N594" s="390"/>
      <c r="O594" s="391"/>
      <c r="P594" s="390"/>
      <c r="Q594" s="391"/>
      <c r="R594" s="390">
        <v>54420</v>
      </c>
      <c r="S594" s="391">
        <v>56025</v>
      </c>
      <c r="T594" s="393">
        <v>54420</v>
      </c>
      <c r="U594" s="391">
        <v>56025</v>
      </c>
      <c r="V594" s="390"/>
      <c r="W594" s="391"/>
      <c r="X594" s="390"/>
      <c r="Y594" s="391"/>
      <c r="Z594" s="390"/>
      <c r="AA594" s="391"/>
      <c r="AB594" s="390"/>
      <c r="AC594" s="391"/>
      <c r="AD594" s="390"/>
      <c r="AE594" s="391"/>
      <c r="AF594" s="390"/>
      <c r="AG594" s="391"/>
      <c r="AH594" s="390"/>
      <c r="AI594" s="391"/>
      <c r="AJ594" s="390"/>
      <c r="AK594" s="391"/>
      <c r="AL594" s="390">
        <v>25435</v>
      </c>
      <c r="AM594" s="391">
        <v>26086</v>
      </c>
      <c r="AN594" s="390">
        <v>54568</v>
      </c>
      <c r="AO594" s="391">
        <v>55687</v>
      </c>
    </row>
    <row r="595" spans="1:41" s="53" customFormat="1">
      <c r="A595" s="229" t="s">
        <v>445</v>
      </c>
      <c r="B595" s="230" t="s">
        <v>1044</v>
      </c>
      <c r="C595" s="507" t="s">
        <v>1045</v>
      </c>
      <c r="D595" s="445">
        <v>231624</v>
      </c>
      <c r="E595" s="506">
        <v>2</v>
      </c>
      <c r="F595" s="390">
        <v>23628</v>
      </c>
      <c r="G595" s="391">
        <v>23812</v>
      </c>
      <c r="H595" s="390">
        <v>46854</v>
      </c>
      <c r="I595" s="391">
        <v>47038</v>
      </c>
      <c r="J595" s="390">
        <v>16440</v>
      </c>
      <c r="K595" s="391">
        <v>16618</v>
      </c>
      <c r="L595" s="390">
        <v>34800</v>
      </c>
      <c r="M595" s="391">
        <v>34978</v>
      </c>
      <c r="N595" s="390">
        <v>35000</v>
      </c>
      <c r="O595" s="391">
        <v>36199</v>
      </c>
      <c r="P595" s="390">
        <v>44000</v>
      </c>
      <c r="Q595" s="391">
        <v>45520</v>
      </c>
      <c r="R595" s="390"/>
      <c r="S595" s="391"/>
      <c r="T595" s="390"/>
      <c r="U595" s="391"/>
      <c r="V595" s="390"/>
      <c r="W595" s="391"/>
      <c r="X595" s="390"/>
      <c r="Y595" s="391"/>
      <c r="Z595" s="390"/>
      <c r="AA595" s="391"/>
      <c r="AB595" s="390"/>
      <c r="AC595" s="391"/>
      <c r="AD595" s="390"/>
      <c r="AE595" s="391"/>
      <c r="AF595" s="390"/>
      <c r="AG595" s="391"/>
      <c r="AH595" s="390"/>
      <c r="AI595" s="391"/>
      <c r="AJ595" s="390"/>
      <c r="AK595" s="391"/>
      <c r="AL595" s="390"/>
      <c r="AM595" s="391"/>
      <c r="AN595" s="390"/>
      <c r="AO595" s="391"/>
    </row>
    <row r="596" spans="1:41" s="179" customFormat="1" ht="14.45" customHeight="1">
      <c r="A596" s="229" t="s">
        <v>445</v>
      </c>
      <c r="B596" s="230" t="s">
        <v>452</v>
      </c>
      <c r="C596" s="509" t="s">
        <v>1018</v>
      </c>
      <c r="D596" s="445">
        <v>232423</v>
      </c>
      <c r="E596" s="506">
        <v>3</v>
      </c>
      <c r="F596" s="390">
        <v>12330</v>
      </c>
      <c r="G596" s="391">
        <v>12638</v>
      </c>
      <c r="H596" s="390">
        <v>29230</v>
      </c>
      <c r="I596" s="391">
        <v>29564</v>
      </c>
      <c r="J596" s="390">
        <v>11976</v>
      </c>
      <c r="K596" s="391">
        <v>12312</v>
      </c>
      <c r="L596" s="390">
        <v>29544</v>
      </c>
      <c r="M596" s="391">
        <v>29544</v>
      </c>
      <c r="N596" s="390"/>
      <c r="O596" s="391"/>
      <c r="P596" s="390"/>
      <c r="Q596" s="391"/>
      <c r="R596" s="390"/>
      <c r="S596" s="391"/>
      <c r="T596" s="390"/>
      <c r="U596" s="391"/>
      <c r="V596" s="390"/>
      <c r="W596" s="391"/>
      <c r="X596" s="390"/>
      <c r="Y596" s="391"/>
      <c r="Z596" s="390"/>
      <c r="AA596" s="391"/>
      <c r="AB596" s="390"/>
      <c r="AC596" s="391"/>
      <c r="AD596" s="390"/>
      <c r="AE596" s="391"/>
      <c r="AF596" s="390"/>
      <c r="AG596" s="391"/>
      <c r="AH596" s="390"/>
      <c r="AI596" s="391"/>
      <c r="AJ596" s="390"/>
      <c r="AK596" s="391"/>
      <c r="AL596" s="390"/>
      <c r="AM596" s="391"/>
      <c r="AN596" s="390"/>
      <c r="AO596" s="391"/>
    </row>
    <row r="597" spans="1:41" s="179" customFormat="1" ht="14.45" customHeight="1">
      <c r="A597" s="229" t="s">
        <v>445</v>
      </c>
      <c r="B597" s="230" t="s">
        <v>453</v>
      </c>
      <c r="C597" s="510"/>
      <c r="D597" s="469">
        <v>232566</v>
      </c>
      <c r="E597" s="511">
        <v>5</v>
      </c>
      <c r="F597" s="390">
        <v>13910</v>
      </c>
      <c r="G597" s="391">
        <v>14090</v>
      </c>
      <c r="H597" s="390">
        <v>30350</v>
      </c>
      <c r="I597" s="391">
        <v>26510</v>
      </c>
      <c r="J597" s="390">
        <v>12072</v>
      </c>
      <c r="K597" s="391">
        <v>12168</v>
      </c>
      <c r="L597" s="390">
        <v>27792</v>
      </c>
      <c r="M597" s="391">
        <v>27888</v>
      </c>
      <c r="N597" s="390"/>
      <c r="O597" s="391"/>
      <c r="P597" s="390"/>
      <c r="Q597" s="391"/>
      <c r="R597" s="390"/>
      <c r="S597" s="391"/>
      <c r="T597" s="390"/>
      <c r="U597" s="391"/>
      <c r="V597" s="390"/>
      <c r="W597" s="391"/>
      <c r="X597" s="390"/>
      <c r="Y597" s="391"/>
      <c r="Z597" s="390"/>
      <c r="AA597" s="391"/>
      <c r="AB597" s="390"/>
      <c r="AC597" s="391"/>
      <c r="AD597" s="390"/>
      <c r="AE597" s="391"/>
      <c r="AF597" s="390"/>
      <c r="AG597" s="391"/>
      <c r="AH597" s="390"/>
      <c r="AI597" s="391"/>
      <c r="AJ597" s="390"/>
      <c r="AK597" s="391"/>
      <c r="AL597" s="390"/>
      <c r="AM597" s="391"/>
      <c r="AN597" s="390"/>
      <c r="AO597" s="391"/>
    </row>
    <row r="598" spans="1:41" s="179" customFormat="1" ht="14.45" customHeight="1">
      <c r="A598" s="229" t="s">
        <v>445</v>
      </c>
      <c r="B598" s="230" t="s">
        <v>454</v>
      </c>
      <c r="C598" s="510"/>
      <c r="D598" s="469">
        <v>232937</v>
      </c>
      <c r="E598" s="511">
        <v>4</v>
      </c>
      <c r="F598" s="390">
        <v>9622</v>
      </c>
      <c r="G598" s="391">
        <v>9622</v>
      </c>
      <c r="H598" s="390">
        <v>21550</v>
      </c>
      <c r="I598" s="391">
        <v>21550</v>
      </c>
      <c r="J598" s="390">
        <v>12690</v>
      </c>
      <c r="K598" s="391">
        <v>12690</v>
      </c>
      <c r="L598" s="390">
        <v>25502</v>
      </c>
      <c r="M598" s="391">
        <v>25502</v>
      </c>
      <c r="N598" s="390"/>
      <c r="O598" s="391"/>
      <c r="P598" s="390"/>
      <c r="Q598" s="391"/>
      <c r="R598" s="390"/>
      <c r="S598" s="391"/>
      <c r="T598" s="390"/>
      <c r="U598" s="391"/>
      <c r="V598" s="390"/>
      <c r="W598" s="391"/>
      <c r="X598" s="390"/>
      <c r="Y598" s="391"/>
      <c r="Z598" s="390"/>
      <c r="AA598" s="391"/>
      <c r="AB598" s="390"/>
      <c r="AC598" s="391"/>
      <c r="AD598" s="390"/>
      <c r="AE598" s="391"/>
      <c r="AF598" s="390"/>
      <c r="AG598" s="391"/>
      <c r="AH598" s="390"/>
      <c r="AI598" s="391"/>
      <c r="AJ598" s="390"/>
      <c r="AK598" s="391"/>
      <c r="AL598" s="390"/>
      <c r="AM598" s="391"/>
      <c r="AN598" s="390"/>
      <c r="AO598" s="391"/>
    </row>
    <row r="599" spans="1:41" s="179" customFormat="1" ht="14.45" customHeight="1">
      <c r="A599" s="229" t="s">
        <v>445</v>
      </c>
      <c r="B599" s="230" t="s">
        <v>455</v>
      </c>
      <c r="C599" s="505"/>
      <c r="D599" s="445">
        <v>233277</v>
      </c>
      <c r="E599" s="506">
        <v>3</v>
      </c>
      <c r="F599" s="390">
        <v>11416</v>
      </c>
      <c r="G599" s="391">
        <v>11542</v>
      </c>
      <c r="H599" s="390">
        <v>23498</v>
      </c>
      <c r="I599" s="391">
        <v>23624</v>
      </c>
      <c r="J599" s="390">
        <v>12409</v>
      </c>
      <c r="K599" s="391">
        <v>12535</v>
      </c>
      <c r="L599" s="390">
        <v>21382</v>
      </c>
      <c r="M599" s="391">
        <v>21508</v>
      </c>
      <c r="N599" s="390"/>
      <c r="O599" s="391"/>
      <c r="P599" s="390"/>
      <c r="Q599" s="391"/>
      <c r="R599" s="390"/>
      <c r="S599" s="391"/>
      <c r="T599" s="390"/>
      <c r="U599" s="391"/>
      <c r="V599" s="390"/>
      <c r="W599" s="391"/>
      <c r="X599" s="390"/>
      <c r="Y599" s="391"/>
      <c r="Z599" s="390"/>
      <c r="AA599" s="391"/>
      <c r="AB599" s="390"/>
      <c r="AC599" s="391"/>
      <c r="AD599" s="390"/>
      <c r="AE599" s="391"/>
      <c r="AF599" s="390"/>
      <c r="AG599" s="391"/>
      <c r="AH599" s="390"/>
      <c r="AI599" s="391"/>
      <c r="AJ599" s="390"/>
      <c r="AK599" s="391"/>
      <c r="AL599" s="390"/>
      <c r="AM599" s="391"/>
      <c r="AN599" s="390"/>
      <c r="AO599" s="391"/>
    </row>
    <row r="600" spans="1:41" s="179" customFormat="1" ht="14.45" customHeight="1">
      <c r="A600" s="229" t="s">
        <v>445</v>
      </c>
      <c r="B600" s="230" t="s">
        <v>456</v>
      </c>
      <c r="C600" s="510"/>
      <c r="D600" s="469">
        <v>232681</v>
      </c>
      <c r="E600" s="511">
        <v>5</v>
      </c>
      <c r="F600" s="390">
        <v>13574</v>
      </c>
      <c r="G600" s="391">
        <v>13830</v>
      </c>
      <c r="H600" s="390">
        <v>30000</v>
      </c>
      <c r="I600" s="391">
        <v>30256</v>
      </c>
      <c r="J600" s="390">
        <v>11250</v>
      </c>
      <c r="K600" s="391">
        <v>11418</v>
      </c>
      <c r="L600" s="390">
        <v>20970</v>
      </c>
      <c r="M600" s="391">
        <v>21138</v>
      </c>
      <c r="N600" s="390"/>
      <c r="O600" s="391"/>
      <c r="P600" s="390"/>
      <c r="Q600" s="391"/>
      <c r="R600" s="390"/>
      <c r="S600" s="391"/>
      <c r="T600" s="390"/>
      <c r="U600" s="391"/>
      <c r="V600" s="390"/>
      <c r="W600" s="391"/>
      <c r="X600" s="390"/>
      <c r="Y600" s="391"/>
      <c r="Z600" s="390"/>
      <c r="AA600" s="391"/>
      <c r="AB600" s="390"/>
      <c r="AC600" s="391"/>
      <c r="AD600" s="390"/>
      <c r="AE600" s="391"/>
      <c r="AF600" s="390"/>
      <c r="AG600" s="391"/>
      <c r="AH600" s="390"/>
      <c r="AI600" s="391"/>
      <c r="AJ600" s="390"/>
      <c r="AK600" s="391"/>
      <c r="AL600" s="390"/>
      <c r="AM600" s="391"/>
      <c r="AN600" s="390"/>
      <c r="AO600" s="391"/>
    </row>
    <row r="601" spans="1:41" s="179" customFormat="1" ht="14.45" customHeight="1">
      <c r="A601" s="229" t="s">
        <v>445</v>
      </c>
      <c r="B601" s="230" t="s">
        <v>457</v>
      </c>
      <c r="C601" s="509" t="s">
        <v>1020</v>
      </c>
      <c r="D601" s="445">
        <v>234155</v>
      </c>
      <c r="E601" s="506">
        <v>3</v>
      </c>
      <c r="F601" s="390">
        <v>9154</v>
      </c>
      <c r="G601" s="391">
        <v>9154</v>
      </c>
      <c r="H601" s="390">
        <v>20909</v>
      </c>
      <c r="I601" s="391">
        <v>20909</v>
      </c>
      <c r="J601" s="390">
        <v>11989</v>
      </c>
      <c r="K601" s="391">
        <v>11989</v>
      </c>
      <c r="L601" s="390">
        <v>22994</v>
      </c>
      <c r="M601" s="391">
        <v>22994</v>
      </c>
      <c r="N601" s="390"/>
      <c r="O601" s="391"/>
      <c r="P601" s="390"/>
      <c r="Q601" s="391"/>
      <c r="R601" s="390"/>
      <c r="S601" s="391"/>
      <c r="T601" s="390"/>
      <c r="U601" s="391"/>
      <c r="V601" s="390"/>
      <c r="W601" s="391"/>
      <c r="X601" s="390"/>
      <c r="Y601" s="391"/>
      <c r="Z601" s="390"/>
      <c r="AA601" s="391"/>
      <c r="AB601" s="390"/>
      <c r="AC601" s="391"/>
      <c r="AD601" s="390"/>
      <c r="AE601" s="391"/>
      <c r="AF601" s="390"/>
      <c r="AG601" s="391"/>
      <c r="AH601" s="390"/>
      <c r="AI601" s="391"/>
      <c r="AJ601" s="390"/>
      <c r="AK601" s="391"/>
      <c r="AL601" s="390"/>
      <c r="AM601" s="391"/>
      <c r="AN601" s="390"/>
      <c r="AO601" s="391"/>
    </row>
    <row r="602" spans="1:41" s="179" customFormat="1" ht="14.45" customHeight="1">
      <c r="A602" s="229" t="s">
        <v>445</v>
      </c>
      <c r="B602" s="230" t="s">
        <v>458</v>
      </c>
      <c r="C602" s="505"/>
      <c r="D602" s="445">
        <v>231712</v>
      </c>
      <c r="E602" s="506">
        <v>5</v>
      </c>
      <c r="F602" s="390">
        <v>14924</v>
      </c>
      <c r="G602" s="391">
        <v>14924</v>
      </c>
      <c r="H602" s="390">
        <v>27790</v>
      </c>
      <c r="I602" s="391">
        <v>27790</v>
      </c>
      <c r="J602" s="390"/>
      <c r="K602" s="391"/>
      <c r="L602" s="390"/>
      <c r="M602" s="391"/>
      <c r="N602" s="390"/>
      <c r="O602" s="391"/>
      <c r="P602" s="390"/>
      <c r="Q602" s="391"/>
      <c r="R602" s="390"/>
      <c r="S602" s="391"/>
      <c r="T602" s="390"/>
      <c r="U602" s="391"/>
      <c r="V602" s="390"/>
      <c r="W602" s="391"/>
      <c r="X602" s="390"/>
      <c r="Y602" s="391"/>
      <c r="Z602" s="390"/>
      <c r="AA602" s="391"/>
      <c r="AB602" s="390"/>
      <c r="AC602" s="391"/>
      <c r="AD602" s="390"/>
      <c r="AE602" s="391"/>
      <c r="AF602" s="390"/>
      <c r="AG602" s="391"/>
      <c r="AH602" s="390"/>
      <c r="AI602" s="391"/>
      <c r="AJ602" s="390"/>
      <c r="AK602" s="391"/>
      <c r="AL602" s="390"/>
      <c r="AM602" s="391"/>
      <c r="AN602" s="390"/>
      <c r="AO602" s="391"/>
    </row>
    <row r="603" spans="1:41" s="179" customFormat="1" ht="14.45" customHeight="1">
      <c r="A603" s="229" t="s">
        <v>445</v>
      </c>
      <c r="B603" s="230" t="s">
        <v>459</v>
      </c>
      <c r="C603" s="505"/>
      <c r="D603" s="445">
        <v>233897</v>
      </c>
      <c r="E603" s="506">
        <v>6</v>
      </c>
      <c r="F603" s="390">
        <v>10837</v>
      </c>
      <c r="G603" s="391">
        <v>11161</v>
      </c>
      <c r="H603" s="390">
        <v>29950</v>
      </c>
      <c r="I603" s="391">
        <v>30328</v>
      </c>
      <c r="J603" s="390"/>
      <c r="K603" s="391"/>
      <c r="L603" s="390"/>
      <c r="M603" s="391"/>
      <c r="N603" s="390"/>
      <c r="O603" s="391"/>
      <c r="P603" s="390"/>
      <c r="Q603" s="391"/>
      <c r="R603" s="390"/>
      <c r="S603" s="391"/>
      <c r="T603" s="390"/>
      <c r="U603" s="391"/>
      <c r="V603" s="390"/>
      <c r="W603" s="391"/>
      <c r="X603" s="390"/>
      <c r="Y603" s="391"/>
      <c r="Z603" s="390"/>
      <c r="AA603" s="391"/>
      <c r="AB603" s="390"/>
      <c r="AC603" s="391"/>
      <c r="AD603" s="390"/>
      <c r="AE603" s="391"/>
      <c r="AF603" s="390"/>
      <c r="AG603" s="391"/>
      <c r="AH603" s="390"/>
      <c r="AI603" s="391"/>
      <c r="AJ603" s="390"/>
      <c r="AK603" s="391"/>
      <c r="AL603" s="390"/>
      <c r="AM603" s="391"/>
      <c r="AN603" s="390"/>
      <c r="AO603" s="391"/>
    </row>
    <row r="604" spans="1:41" s="179" customFormat="1" ht="14.45" customHeight="1">
      <c r="A604" s="229" t="s">
        <v>445</v>
      </c>
      <c r="B604" s="230" t="s">
        <v>460</v>
      </c>
      <c r="C604" s="382" t="s">
        <v>1051</v>
      </c>
      <c r="D604" s="445">
        <v>232414</v>
      </c>
      <c r="E604" s="506">
        <v>8</v>
      </c>
      <c r="F604" s="390">
        <v>4620.1000000000004</v>
      </c>
      <c r="G604" s="391">
        <v>4620</v>
      </c>
      <c r="H604" s="390">
        <v>10623</v>
      </c>
      <c r="I604" s="391">
        <v>10622.9</v>
      </c>
      <c r="J604" s="390"/>
      <c r="K604" s="391"/>
      <c r="L604" s="390"/>
      <c r="M604" s="391"/>
      <c r="N604" s="390"/>
      <c r="O604" s="391"/>
      <c r="P604" s="390"/>
      <c r="Q604" s="391"/>
      <c r="R604" s="390"/>
      <c r="S604" s="391"/>
      <c r="T604" s="390"/>
      <c r="U604" s="391"/>
      <c r="V604" s="390"/>
      <c r="W604" s="391"/>
      <c r="X604" s="390"/>
      <c r="Y604" s="391"/>
      <c r="Z604" s="390"/>
      <c r="AA604" s="391"/>
      <c r="AB604" s="390"/>
      <c r="AC604" s="391"/>
      <c r="AD604" s="390"/>
      <c r="AE604" s="391"/>
      <c r="AF604" s="390"/>
      <c r="AG604" s="391"/>
      <c r="AH604" s="390"/>
      <c r="AI604" s="391"/>
      <c r="AJ604" s="390"/>
      <c r="AK604" s="391"/>
      <c r="AL604" s="390"/>
      <c r="AM604" s="391"/>
      <c r="AN604" s="390"/>
      <c r="AO604" s="391"/>
    </row>
    <row r="605" spans="1:41" s="179" customFormat="1" ht="14.45" customHeight="1">
      <c r="A605" s="229" t="s">
        <v>445</v>
      </c>
      <c r="B605" s="230" t="s">
        <v>1036</v>
      </c>
      <c r="C605" s="232" t="s">
        <v>1034</v>
      </c>
      <c r="D605" s="445">
        <v>232450</v>
      </c>
      <c r="E605" s="506">
        <v>8</v>
      </c>
      <c r="F605" s="390">
        <v>4620.1000000000004</v>
      </c>
      <c r="G605" s="391">
        <v>4620</v>
      </c>
      <c r="H605" s="390">
        <v>10623</v>
      </c>
      <c r="I605" s="391">
        <v>10622.9</v>
      </c>
      <c r="J605" s="390"/>
      <c r="K605" s="391"/>
      <c r="L605" s="390"/>
      <c r="M605" s="391"/>
      <c r="N605" s="390"/>
      <c r="O605" s="391"/>
      <c r="P605" s="390"/>
      <c r="Q605" s="391"/>
      <c r="R605" s="390"/>
      <c r="S605" s="391"/>
      <c r="T605" s="390"/>
      <c r="U605" s="391"/>
      <c r="V605" s="390"/>
      <c r="W605" s="391"/>
      <c r="X605" s="390"/>
      <c r="Y605" s="391"/>
      <c r="Z605" s="390"/>
      <c r="AA605" s="391"/>
      <c r="AB605" s="390"/>
      <c r="AC605" s="391"/>
      <c r="AD605" s="390"/>
      <c r="AE605" s="391"/>
      <c r="AF605" s="390"/>
      <c r="AG605" s="391"/>
      <c r="AH605" s="390"/>
      <c r="AI605" s="391"/>
      <c r="AJ605" s="390"/>
      <c r="AK605" s="391"/>
      <c r="AL605" s="390"/>
      <c r="AM605" s="391"/>
      <c r="AN605" s="390"/>
      <c r="AO605" s="391"/>
    </row>
    <row r="606" spans="1:41" s="179" customFormat="1" ht="14.45" customHeight="1">
      <c r="A606" s="229" t="s">
        <v>445</v>
      </c>
      <c r="B606" s="230" t="s">
        <v>462</v>
      </c>
      <c r="C606" s="505"/>
      <c r="D606" s="445">
        <v>232946</v>
      </c>
      <c r="E606" s="506">
        <v>8</v>
      </c>
      <c r="F606" s="390">
        <v>4620.1000000000004</v>
      </c>
      <c r="G606" s="391">
        <v>4620</v>
      </c>
      <c r="H606" s="390">
        <v>10623</v>
      </c>
      <c r="I606" s="391">
        <v>10622.9</v>
      </c>
      <c r="J606" s="390"/>
      <c r="K606" s="391"/>
      <c r="L606" s="390"/>
      <c r="M606" s="391"/>
      <c r="N606" s="390"/>
      <c r="O606" s="391"/>
      <c r="P606" s="390"/>
      <c r="Q606" s="391"/>
      <c r="R606" s="390"/>
      <c r="S606" s="391"/>
      <c r="T606" s="390"/>
      <c r="U606" s="391"/>
      <c r="V606" s="390"/>
      <c r="W606" s="391"/>
      <c r="X606" s="390"/>
      <c r="Y606" s="391"/>
      <c r="Z606" s="390"/>
      <c r="AA606" s="391"/>
      <c r="AB606" s="390"/>
      <c r="AC606" s="391"/>
      <c r="AD606" s="390"/>
      <c r="AE606" s="391"/>
      <c r="AF606" s="390"/>
      <c r="AG606" s="391"/>
      <c r="AH606" s="390"/>
      <c r="AI606" s="391"/>
      <c r="AJ606" s="390"/>
      <c r="AK606" s="391"/>
      <c r="AL606" s="390"/>
      <c r="AM606" s="391"/>
      <c r="AN606" s="390"/>
      <c r="AO606" s="391"/>
    </row>
    <row r="607" spans="1:41" s="179" customFormat="1" ht="14.45" customHeight="1">
      <c r="A607" s="229" t="s">
        <v>445</v>
      </c>
      <c r="B607" s="230" t="s">
        <v>1052</v>
      </c>
      <c r="C607" s="512" t="s">
        <v>1053</v>
      </c>
      <c r="D607" s="445">
        <v>233754</v>
      </c>
      <c r="E607" s="514">
        <v>9</v>
      </c>
      <c r="F607" s="390">
        <v>4620.1000000000004</v>
      </c>
      <c r="G607" s="391">
        <v>4620</v>
      </c>
      <c r="H607" s="390">
        <v>10623</v>
      </c>
      <c r="I607" s="391">
        <v>10622.9</v>
      </c>
      <c r="J607" s="390"/>
      <c r="K607" s="391"/>
      <c r="L607" s="390"/>
      <c r="M607" s="391"/>
      <c r="N607" s="390"/>
      <c r="O607" s="391"/>
      <c r="P607" s="390"/>
      <c r="Q607" s="391"/>
      <c r="R607" s="390"/>
      <c r="S607" s="391"/>
      <c r="T607" s="390"/>
      <c r="U607" s="391"/>
      <c r="V607" s="390"/>
      <c r="W607" s="391"/>
      <c r="X607" s="390"/>
      <c r="Y607" s="391"/>
      <c r="Z607" s="390"/>
      <c r="AA607" s="391"/>
      <c r="AB607" s="390"/>
      <c r="AC607" s="391"/>
      <c r="AD607" s="390"/>
      <c r="AE607" s="391"/>
      <c r="AF607" s="390"/>
      <c r="AG607" s="391"/>
      <c r="AH607" s="390"/>
      <c r="AI607" s="391"/>
      <c r="AJ607" s="390"/>
      <c r="AK607" s="391"/>
      <c r="AL607" s="390"/>
      <c r="AM607" s="391"/>
      <c r="AN607" s="390"/>
      <c r="AO607" s="391"/>
    </row>
    <row r="608" spans="1:41" s="179" customFormat="1" ht="14.45" customHeight="1">
      <c r="A608" s="229" t="s">
        <v>445</v>
      </c>
      <c r="B608" s="230" t="s">
        <v>464</v>
      </c>
      <c r="C608" s="505"/>
      <c r="D608" s="445">
        <v>233772</v>
      </c>
      <c r="E608" s="506">
        <v>8</v>
      </c>
      <c r="F608" s="390">
        <v>4620.1000000000004</v>
      </c>
      <c r="G608" s="391">
        <v>4620</v>
      </c>
      <c r="H608" s="390">
        <v>10623</v>
      </c>
      <c r="I608" s="391">
        <v>10622.9</v>
      </c>
      <c r="J608" s="390"/>
      <c r="K608" s="391"/>
      <c r="L608" s="390"/>
      <c r="M608" s="391"/>
      <c r="N608" s="390"/>
      <c r="O608" s="391"/>
      <c r="P608" s="390"/>
      <c r="Q608" s="391"/>
      <c r="R608" s="390"/>
      <c r="S608" s="391"/>
      <c r="T608" s="390"/>
      <c r="U608" s="391"/>
      <c r="V608" s="390"/>
      <c r="W608" s="391"/>
      <c r="X608" s="390"/>
      <c r="Y608" s="391"/>
      <c r="Z608" s="390"/>
      <c r="AA608" s="391"/>
      <c r="AB608" s="390"/>
      <c r="AC608" s="391"/>
      <c r="AD608" s="390"/>
      <c r="AE608" s="391"/>
      <c r="AF608" s="390"/>
      <c r="AG608" s="391"/>
      <c r="AH608" s="390"/>
      <c r="AI608" s="391"/>
      <c r="AJ608" s="390"/>
      <c r="AK608" s="391"/>
      <c r="AL608" s="390"/>
      <c r="AM608" s="391"/>
      <c r="AN608" s="390"/>
      <c r="AO608" s="391"/>
    </row>
    <row r="609" spans="1:41" s="179" customFormat="1" ht="14.45" customHeight="1">
      <c r="A609" s="229" t="s">
        <v>445</v>
      </c>
      <c r="B609" s="230" t="s">
        <v>465</v>
      </c>
      <c r="C609" s="505"/>
      <c r="D609" s="445">
        <v>231536</v>
      </c>
      <c r="E609" s="506">
        <v>9</v>
      </c>
      <c r="F609" s="390">
        <v>4620.1000000000004</v>
      </c>
      <c r="G609" s="391">
        <v>4620</v>
      </c>
      <c r="H609" s="390">
        <v>10623</v>
      </c>
      <c r="I609" s="391">
        <v>10622.9</v>
      </c>
      <c r="J609" s="390"/>
      <c r="K609" s="391"/>
      <c r="L609" s="390"/>
      <c r="M609" s="391"/>
      <c r="N609" s="390"/>
      <c r="O609" s="391"/>
      <c r="P609" s="390"/>
      <c r="Q609" s="391"/>
      <c r="R609" s="390"/>
      <c r="S609" s="391"/>
      <c r="T609" s="390"/>
      <c r="U609" s="391"/>
      <c r="V609" s="390"/>
      <c r="W609" s="391"/>
      <c r="X609" s="390"/>
      <c r="Y609" s="391"/>
      <c r="Z609" s="390"/>
      <c r="AA609" s="391"/>
      <c r="AB609" s="390"/>
      <c r="AC609" s="391"/>
      <c r="AD609" s="390"/>
      <c r="AE609" s="391"/>
      <c r="AF609" s="390"/>
      <c r="AG609" s="391"/>
      <c r="AH609" s="390"/>
      <c r="AI609" s="391"/>
      <c r="AJ609" s="390"/>
      <c r="AK609" s="391"/>
      <c r="AL609" s="390"/>
      <c r="AM609" s="391"/>
      <c r="AN609" s="390"/>
      <c r="AO609" s="391"/>
    </row>
    <row r="610" spans="1:41" s="179" customFormat="1" ht="14.45" customHeight="1">
      <c r="A610" s="229" t="s">
        <v>445</v>
      </c>
      <c r="B610" s="230" t="s">
        <v>466</v>
      </c>
      <c r="C610" s="505"/>
      <c r="D610" s="445">
        <v>231697</v>
      </c>
      <c r="E610" s="506">
        <v>9</v>
      </c>
      <c r="F610" s="390">
        <v>4620.1000000000004</v>
      </c>
      <c r="G610" s="391">
        <v>4620</v>
      </c>
      <c r="H610" s="390">
        <v>10623</v>
      </c>
      <c r="I610" s="391">
        <v>10622.9</v>
      </c>
      <c r="J610" s="390"/>
      <c r="K610" s="391"/>
      <c r="L610" s="390"/>
      <c r="M610" s="391"/>
      <c r="N610" s="390"/>
      <c r="O610" s="391"/>
      <c r="P610" s="390"/>
      <c r="Q610" s="391"/>
      <c r="R610" s="390"/>
      <c r="S610" s="391"/>
      <c r="T610" s="390"/>
      <c r="U610" s="391"/>
      <c r="V610" s="390"/>
      <c r="W610" s="391"/>
      <c r="X610" s="390"/>
      <c r="Y610" s="391"/>
      <c r="Z610" s="390"/>
      <c r="AA610" s="391"/>
      <c r="AB610" s="390"/>
      <c r="AC610" s="391"/>
      <c r="AD610" s="390"/>
      <c r="AE610" s="391"/>
      <c r="AF610" s="390"/>
      <c r="AG610" s="391"/>
      <c r="AH610" s="390"/>
      <c r="AI610" s="391"/>
      <c r="AJ610" s="390"/>
      <c r="AK610" s="391"/>
      <c r="AL610" s="390"/>
      <c r="AM610" s="391"/>
      <c r="AN610" s="390"/>
      <c r="AO610" s="391"/>
    </row>
    <row r="611" spans="1:41" s="179" customFormat="1" ht="14.45" customHeight="1">
      <c r="A611" s="229" t="s">
        <v>445</v>
      </c>
      <c r="B611" s="230" t="s">
        <v>468</v>
      </c>
      <c r="C611" s="505"/>
      <c r="D611" s="445">
        <v>232195</v>
      </c>
      <c r="E611" s="506">
        <v>9</v>
      </c>
      <c r="F611" s="390">
        <v>4620.1000000000004</v>
      </c>
      <c r="G611" s="391">
        <v>4620</v>
      </c>
      <c r="H611" s="390">
        <v>10623</v>
      </c>
      <c r="I611" s="391">
        <v>10622.9</v>
      </c>
      <c r="J611" s="390"/>
      <c r="K611" s="391"/>
      <c r="L611" s="390"/>
      <c r="M611" s="391"/>
      <c r="N611" s="390"/>
      <c r="O611" s="391"/>
      <c r="P611" s="390"/>
      <c r="Q611" s="391"/>
      <c r="R611" s="390"/>
      <c r="S611" s="391"/>
      <c r="T611" s="390"/>
      <c r="U611" s="391"/>
      <c r="V611" s="390"/>
      <c r="W611" s="391"/>
      <c r="X611" s="390"/>
      <c r="Y611" s="391"/>
      <c r="Z611" s="390"/>
      <c r="AA611" s="391"/>
      <c r="AB611" s="390"/>
      <c r="AC611" s="391"/>
      <c r="AD611" s="390"/>
      <c r="AE611" s="391"/>
      <c r="AF611" s="390"/>
      <c r="AG611" s="391"/>
      <c r="AH611" s="390"/>
      <c r="AI611" s="391"/>
      <c r="AJ611" s="390"/>
      <c r="AK611" s="391"/>
      <c r="AL611" s="390"/>
      <c r="AM611" s="391"/>
      <c r="AN611" s="390"/>
      <c r="AO611" s="391"/>
    </row>
    <row r="612" spans="1:41" s="179" customFormat="1" ht="14.45" customHeight="1">
      <c r="A612" s="229" t="s">
        <v>445</v>
      </c>
      <c r="B612" s="230" t="s">
        <v>1037</v>
      </c>
      <c r="C612" s="232" t="s">
        <v>1035</v>
      </c>
      <c r="D612" s="445">
        <v>232575</v>
      </c>
      <c r="E612" s="506">
        <v>9</v>
      </c>
      <c r="F612" s="390">
        <v>4620.1000000000004</v>
      </c>
      <c r="G612" s="391">
        <v>4620</v>
      </c>
      <c r="H612" s="390">
        <v>10623</v>
      </c>
      <c r="I612" s="391">
        <v>10622.9</v>
      </c>
      <c r="J612" s="390"/>
      <c r="K612" s="391"/>
      <c r="L612" s="390"/>
      <c r="M612" s="391"/>
      <c r="N612" s="390"/>
      <c r="O612" s="391"/>
      <c r="P612" s="390"/>
      <c r="Q612" s="391"/>
      <c r="R612" s="390"/>
      <c r="S612" s="391"/>
      <c r="T612" s="390"/>
      <c r="U612" s="391"/>
      <c r="V612" s="390"/>
      <c r="W612" s="391"/>
      <c r="X612" s="390"/>
      <c r="Y612" s="391"/>
      <c r="Z612" s="390"/>
      <c r="AA612" s="391"/>
      <c r="AB612" s="390"/>
      <c r="AC612" s="391"/>
      <c r="AD612" s="390"/>
      <c r="AE612" s="391"/>
      <c r="AF612" s="390"/>
      <c r="AG612" s="391"/>
      <c r="AH612" s="390"/>
      <c r="AI612" s="391"/>
      <c r="AJ612" s="390"/>
      <c r="AK612" s="391"/>
      <c r="AL612" s="390"/>
      <c r="AM612" s="391"/>
      <c r="AN612" s="390"/>
      <c r="AO612" s="391"/>
    </row>
    <row r="613" spans="1:41" s="179" customFormat="1" ht="14.45" customHeight="1">
      <c r="A613" s="229" t="s">
        <v>445</v>
      </c>
      <c r="B613" s="230" t="s">
        <v>470</v>
      </c>
      <c r="C613" s="505"/>
      <c r="D613" s="445">
        <v>232867</v>
      </c>
      <c r="E613" s="506">
        <v>9</v>
      </c>
      <c r="F613" s="390">
        <v>4620.1000000000004</v>
      </c>
      <c r="G613" s="391">
        <v>4620</v>
      </c>
      <c r="H613" s="390">
        <v>10623</v>
      </c>
      <c r="I613" s="391">
        <v>10622.9</v>
      </c>
      <c r="J613" s="390"/>
      <c r="K613" s="391"/>
      <c r="L613" s="390"/>
      <c r="M613" s="391"/>
      <c r="N613" s="390"/>
      <c r="O613" s="391"/>
      <c r="P613" s="390"/>
      <c r="Q613" s="391"/>
      <c r="R613" s="390"/>
      <c r="S613" s="391"/>
      <c r="T613" s="390"/>
      <c r="U613" s="391"/>
      <c r="V613" s="390"/>
      <c r="W613" s="391"/>
      <c r="X613" s="390"/>
      <c r="Y613" s="391"/>
      <c r="Z613" s="390"/>
      <c r="AA613" s="391"/>
      <c r="AB613" s="390"/>
      <c r="AC613" s="391"/>
      <c r="AD613" s="390"/>
      <c r="AE613" s="391"/>
      <c r="AF613" s="390"/>
      <c r="AG613" s="391"/>
      <c r="AH613" s="390"/>
      <c r="AI613" s="391"/>
      <c r="AJ613" s="390"/>
      <c r="AK613" s="391"/>
      <c r="AL613" s="390"/>
      <c r="AM613" s="391"/>
      <c r="AN613" s="390"/>
      <c r="AO613" s="391"/>
    </row>
    <row r="614" spans="1:41" s="179" customFormat="1" ht="14.45" customHeight="1">
      <c r="A614" s="229" t="s">
        <v>445</v>
      </c>
      <c r="B614" s="230" t="s">
        <v>472</v>
      </c>
      <c r="C614" s="505"/>
      <c r="D614" s="445">
        <v>233116</v>
      </c>
      <c r="E614" s="506">
        <v>9</v>
      </c>
      <c r="F614" s="390">
        <v>4620.1000000000004</v>
      </c>
      <c r="G614" s="391">
        <v>4620</v>
      </c>
      <c r="H614" s="390">
        <v>10623</v>
      </c>
      <c r="I614" s="391">
        <v>10622.9</v>
      </c>
      <c r="J614" s="390"/>
      <c r="K614" s="391"/>
      <c r="L614" s="390"/>
      <c r="M614" s="391"/>
      <c r="N614" s="390"/>
      <c r="O614" s="391"/>
      <c r="P614" s="390"/>
      <c r="Q614" s="391"/>
      <c r="R614" s="390"/>
      <c r="S614" s="391"/>
      <c r="T614" s="390"/>
      <c r="U614" s="391"/>
      <c r="V614" s="390"/>
      <c r="W614" s="391"/>
      <c r="X614" s="390"/>
      <c r="Y614" s="391"/>
      <c r="Z614" s="390"/>
      <c r="AA614" s="391"/>
      <c r="AB614" s="390"/>
      <c r="AC614" s="391"/>
      <c r="AD614" s="390"/>
      <c r="AE614" s="391"/>
      <c r="AF614" s="390"/>
      <c r="AG614" s="391"/>
      <c r="AH614" s="390"/>
      <c r="AI614" s="391"/>
      <c r="AJ614" s="390"/>
      <c r="AK614" s="391"/>
      <c r="AL614" s="390"/>
      <c r="AM614" s="391"/>
      <c r="AN614" s="390"/>
      <c r="AO614" s="391"/>
    </row>
    <row r="615" spans="1:41" s="179" customFormat="1" ht="14.45" customHeight="1">
      <c r="A615" s="229" t="s">
        <v>445</v>
      </c>
      <c r="B615" s="230" t="s">
        <v>473</v>
      </c>
      <c r="C615" s="512" t="s">
        <v>1029</v>
      </c>
      <c r="D615" s="513">
        <v>233639</v>
      </c>
      <c r="E615" s="514">
        <v>10</v>
      </c>
      <c r="F615" s="390">
        <v>4620.1000000000004</v>
      </c>
      <c r="G615" s="391">
        <v>4620</v>
      </c>
      <c r="H615" s="390">
        <v>10623</v>
      </c>
      <c r="I615" s="391">
        <v>10622.9</v>
      </c>
      <c r="J615" s="390"/>
      <c r="K615" s="391"/>
      <c r="L615" s="390"/>
      <c r="M615" s="391"/>
      <c r="N615" s="390"/>
      <c r="O615" s="391"/>
      <c r="P615" s="390"/>
      <c r="Q615" s="391"/>
      <c r="R615" s="390"/>
      <c r="S615" s="391"/>
      <c r="T615" s="390"/>
      <c r="U615" s="391"/>
      <c r="V615" s="390"/>
      <c r="W615" s="391"/>
      <c r="X615" s="390"/>
      <c r="Y615" s="391"/>
      <c r="Z615" s="390"/>
      <c r="AA615" s="391"/>
      <c r="AB615" s="390"/>
      <c r="AC615" s="391"/>
      <c r="AD615" s="390"/>
      <c r="AE615" s="391"/>
      <c r="AF615" s="390"/>
      <c r="AG615" s="391"/>
      <c r="AH615" s="390"/>
      <c r="AI615" s="391"/>
      <c r="AJ615" s="390"/>
      <c r="AK615" s="391"/>
      <c r="AL615" s="390"/>
      <c r="AM615" s="391"/>
      <c r="AN615" s="390"/>
      <c r="AO615" s="391"/>
    </row>
    <row r="616" spans="1:41" s="179" customFormat="1" ht="14.45" customHeight="1">
      <c r="A616" s="229" t="s">
        <v>445</v>
      </c>
      <c r="B616" s="230" t="s">
        <v>474</v>
      </c>
      <c r="C616" s="505"/>
      <c r="D616" s="445">
        <v>233949</v>
      </c>
      <c r="E616" s="506">
        <v>9</v>
      </c>
      <c r="F616" s="390">
        <v>4620.1000000000004</v>
      </c>
      <c r="G616" s="391">
        <v>4620</v>
      </c>
      <c r="H616" s="390">
        <v>10623</v>
      </c>
      <c r="I616" s="391">
        <v>10622.9</v>
      </c>
      <c r="J616" s="390"/>
      <c r="K616" s="391"/>
      <c r="L616" s="390"/>
      <c r="M616" s="391"/>
      <c r="N616" s="390"/>
      <c r="O616" s="391"/>
      <c r="P616" s="390"/>
      <c r="Q616" s="391"/>
      <c r="R616" s="390"/>
      <c r="S616" s="391"/>
      <c r="T616" s="390"/>
      <c r="U616" s="391"/>
      <c r="V616" s="390"/>
      <c r="W616" s="391"/>
      <c r="X616" s="390"/>
      <c r="Y616" s="391"/>
      <c r="Z616" s="390"/>
      <c r="AA616" s="391"/>
      <c r="AB616" s="390"/>
      <c r="AC616" s="391"/>
      <c r="AD616" s="390"/>
      <c r="AE616" s="391"/>
      <c r="AF616" s="390"/>
      <c r="AG616" s="391"/>
      <c r="AH616" s="390"/>
      <c r="AI616" s="391"/>
      <c r="AJ616" s="390"/>
      <c r="AK616" s="391"/>
      <c r="AL616" s="390"/>
      <c r="AM616" s="391"/>
      <c r="AN616" s="390"/>
      <c r="AO616" s="391"/>
    </row>
    <row r="617" spans="1:41" s="53" customFormat="1">
      <c r="A617" s="229" t="s">
        <v>445</v>
      </c>
      <c r="B617" s="230" t="s">
        <v>1040</v>
      </c>
      <c r="C617" s="232" t="s">
        <v>1041</v>
      </c>
      <c r="D617" s="445">
        <v>231873</v>
      </c>
      <c r="E617" s="506">
        <v>10</v>
      </c>
      <c r="F617" s="390">
        <v>4620.1000000000004</v>
      </c>
      <c r="G617" s="391">
        <v>4620</v>
      </c>
      <c r="H617" s="390">
        <v>10623</v>
      </c>
      <c r="I617" s="391">
        <v>10622.9</v>
      </c>
      <c r="J617" s="390"/>
      <c r="K617" s="391"/>
      <c r="L617" s="390"/>
      <c r="M617" s="391"/>
      <c r="N617" s="390"/>
      <c r="O617" s="391"/>
      <c r="P617" s="390"/>
      <c r="Q617" s="391"/>
      <c r="R617" s="390"/>
      <c r="S617" s="391"/>
      <c r="T617" s="390"/>
      <c r="U617" s="391"/>
      <c r="V617" s="390"/>
      <c r="W617" s="391"/>
      <c r="X617" s="390"/>
      <c r="Y617" s="391"/>
      <c r="Z617" s="390"/>
      <c r="AA617" s="391"/>
      <c r="AB617" s="390"/>
      <c r="AC617" s="391"/>
      <c r="AD617" s="390"/>
      <c r="AE617" s="391"/>
      <c r="AF617" s="390"/>
      <c r="AG617" s="391"/>
      <c r="AH617" s="390"/>
      <c r="AI617" s="391"/>
      <c r="AJ617" s="390"/>
      <c r="AK617" s="391"/>
      <c r="AL617" s="390"/>
      <c r="AM617" s="391"/>
      <c r="AN617" s="390"/>
      <c r="AO617" s="391"/>
    </row>
    <row r="618" spans="1:41" s="179" customFormat="1" ht="14.45" customHeight="1">
      <c r="A618" s="229" t="s">
        <v>445</v>
      </c>
      <c r="B618" s="230" t="s">
        <v>467</v>
      </c>
      <c r="C618" s="515"/>
      <c r="D618" s="445">
        <v>231882</v>
      </c>
      <c r="E618" s="506">
        <v>10</v>
      </c>
      <c r="F618" s="390">
        <v>4620.1000000000004</v>
      </c>
      <c r="G618" s="391">
        <v>4620</v>
      </c>
      <c r="H618" s="390">
        <v>10623</v>
      </c>
      <c r="I618" s="391">
        <v>10622.9</v>
      </c>
      <c r="J618" s="390"/>
      <c r="K618" s="391"/>
      <c r="L618" s="390"/>
      <c r="M618" s="391"/>
      <c r="N618" s="390"/>
      <c r="O618" s="391"/>
      <c r="P618" s="390"/>
      <c r="Q618" s="391"/>
      <c r="R618" s="390"/>
      <c r="S618" s="391"/>
      <c r="T618" s="390"/>
      <c r="U618" s="391"/>
      <c r="V618" s="390"/>
      <c r="W618" s="391"/>
      <c r="X618" s="390"/>
      <c r="Y618" s="391"/>
      <c r="Z618" s="390"/>
      <c r="AA618" s="391"/>
      <c r="AB618" s="390"/>
      <c r="AC618" s="391"/>
      <c r="AD618" s="390"/>
      <c r="AE618" s="391"/>
      <c r="AF618" s="390"/>
      <c r="AG618" s="391"/>
      <c r="AH618" s="390"/>
      <c r="AI618" s="391"/>
      <c r="AJ618" s="390"/>
      <c r="AK618" s="391"/>
      <c r="AL618" s="390"/>
      <c r="AM618" s="391"/>
      <c r="AN618" s="390"/>
      <c r="AO618" s="391"/>
    </row>
    <row r="619" spans="1:41" s="53" customFormat="1">
      <c r="A619" s="229" t="s">
        <v>445</v>
      </c>
      <c r="B619" s="230" t="s">
        <v>477</v>
      </c>
      <c r="C619" s="507"/>
      <c r="D619" s="445">
        <v>232052</v>
      </c>
      <c r="E619" s="506">
        <v>10</v>
      </c>
      <c r="F619" s="390">
        <v>4620.1000000000004</v>
      </c>
      <c r="G619" s="391">
        <v>4620</v>
      </c>
      <c r="H619" s="390">
        <v>10623</v>
      </c>
      <c r="I619" s="391">
        <v>10622.9</v>
      </c>
      <c r="J619" s="390"/>
      <c r="K619" s="391"/>
      <c r="L619" s="390"/>
      <c r="M619" s="391"/>
      <c r="N619" s="390"/>
      <c r="O619" s="391"/>
      <c r="P619" s="390"/>
      <c r="Q619" s="391"/>
      <c r="R619" s="390"/>
      <c r="S619" s="391"/>
      <c r="T619" s="390"/>
      <c r="U619" s="391"/>
      <c r="V619" s="390"/>
      <c r="W619" s="391"/>
      <c r="X619" s="390"/>
      <c r="Y619" s="391"/>
      <c r="Z619" s="390"/>
      <c r="AA619" s="391"/>
      <c r="AB619" s="390"/>
      <c r="AC619" s="391"/>
      <c r="AD619" s="390"/>
      <c r="AE619" s="391"/>
      <c r="AF619" s="390"/>
      <c r="AG619" s="391"/>
      <c r="AH619" s="390"/>
      <c r="AI619" s="391"/>
      <c r="AJ619" s="390"/>
      <c r="AK619" s="391"/>
      <c r="AL619" s="390"/>
      <c r="AM619" s="391"/>
      <c r="AN619" s="390"/>
      <c r="AO619" s="391"/>
    </row>
    <row r="620" spans="1:41" s="53" customFormat="1">
      <c r="A620" s="229" t="s">
        <v>445</v>
      </c>
      <c r="B620" s="230" t="s">
        <v>478</v>
      </c>
      <c r="C620" s="508"/>
      <c r="D620" s="445">
        <v>232788</v>
      </c>
      <c r="E620" s="506">
        <v>10</v>
      </c>
      <c r="F620" s="390">
        <v>4620.1000000000004</v>
      </c>
      <c r="G620" s="391">
        <v>4620</v>
      </c>
      <c r="H620" s="390">
        <v>10623</v>
      </c>
      <c r="I620" s="391">
        <v>10622.9</v>
      </c>
      <c r="J620" s="390"/>
      <c r="K620" s="391"/>
      <c r="L620" s="390"/>
      <c r="M620" s="391"/>
      <c r="N620" s="390"/>
      <c r="O620" s="391"/>
      <c r="P620" s="390"/>
      <c r="Q620" s="391"/>
      <c r="R620" s="390"/>
      <c r="S620" s="391"/>
      <c r="T620" s="390"/>
      <c r="U620" s="391"/>
      <c r="V620" s="390"/>
      <c r="W620" s="391"/>
      <c r="X620" s="390"/>
      <c r="Y620" s="391"/>
      <c r="Z620" s="390"/>
      <c r="AA620" s="391"/>
      <c r="AB620" s="390"/>
      <c r="AC620" s="391"/>
      <c r="AD620" s="390"/>
      <c r="AE620" s="391"/>
      <c r="AF620" s="390"/>
      <c r="AG620" s="391"/>
      <c r="AH620" s="390"/>
      <c r="AI620" s="391"/>
      <c r="AJ620" s="390"/>
      <c r="AK620" s="391"/>
      <c r="AL620" s="390"/>
      <c r="AM620" s="391"/>
      <c r="AN620" s="390"/>
      <c r="AO620" s="391"/>
    </row>
    <row r="621" spans="1:41" s="179" customFormat="1" ht="14.45" customHeight="1">
      <c r="A621" s="229" t="s">
        <v>445</v>
      </c>
      <c r="B621" s="230" t="s">
        <v>1042</v>
      </c>
      <c r="C621" s="232" t="s">
        <v>1043</v>
      </c>
      <c r="D621" s="445">
        <v>233019</v>
      </c>
      <c r="E621" s="506">
        <v>10</v>
      </c>
      <c r="F621" s="390">
        <v>4620.1000000000004</v>
      </c>
      <c r="G621" s="391">
        <v>4620</v>
      </c>
      <c r="H621" s="390">
        <v>10623</v>
      </c>
      <c r="I621" s="391">
        <v>10622.9</v>
      </c>
      <c r="J621" s="390"/>
      <c r="K621" s="391"/>
      <c r="L621" s="390"/>
      <c r="M621" s="391"/>
      <c r="N621" s="390"/>
      <c r="O621" s="391"/>
      <c r="P621" s="390"/>
      <c r="Q621" s="391"/>
      <c r="R621" s="390"/>
      <c r="S621" s="391"/>
      <c r="T621" s="390"/>
      <c r="U621" s="391"/>
      <c r="V621" s="390"/>
      <c r="W621" s="391"/>
      <c r="X621" s="390"/>
      <c r="Y621" s="391"/>
      <c r="Z621" s="390"/>
      <c r="AA621" s="391"/>
      <c r="AB621" s="390"/>
      <c r="AC621" s="391"/>
      <c r="AD621" s="390"/>
      <c r="AE621" s="391"/>
      <c r="AF621" s="390"/>
      <c r="AG621" s="391"/>
      <c r="AH621" s="390"/>
      <c r="AI621" s="391"/>
      <c r="AJ621" s="390"/>
      <c r="AK621" s="391"/>
      <c r="AL621" s="390"/>
      <c r="AM621" s="391"/>
      <c r="AN621" s="390"/>
      <c r="AO621" s="391"/>
    </row>
    <row r="622" spans="1:41" s="53" customFormat="1">
      <c r="A622" s="229" t="s">
        <v>445</v>
      </c>
      <c r="B622" s="230" t="s">
        <v>479</v>
      </c>
      <c r="C622" s="507"/>
      <c r="D622" s="445">
        <v>233037</v>
      </c>
      <c r="E622" s="506">
        <v>10</v>
      </c>
      <c r="F622" s="390">
        <v>4620.1000000000004</v>
      </c>
      <c r="G622" s="391">
        <v>4620</v>
      </c>
      <c r="H622" s="390">
        <v>10623</v>
      </c>
      <c r="I622" s="391">
        <v>10622.9</v>
      </c>
      <c r="J622" s="390"/>
      <c r="K622" s="391"/>
      <c r="L622" s="390"/>
      <c r="M622" s="391"/>
      <c r="N622" s="390"/>
      <c r="O622" s="391"/>
      <c r="P622" s="390"/>
      <c r="Q622" s="391"/>
      <c r="R622" s="390"/>
      <c r="S622" s="391"/>
      <c r="T622" s="390"/>
      <c r="U622" s="391"/>
      <c r="V622" s="390"/>
      <c r="W622" s="391"/>
      <c r="X622" s="390"/>
      <c r="Y622" s="391"/>
      <c r="Z622" s="390"/>
      <c r="AA622" s="391"/>
      <c r="AB622" s="390"/>
      <c r="AC622" s="391"/>
      <c r="AD622" s="390"/>
      <c r="AE622" s="391"/>
      <c r="AF622" s="390"/>
      <c r="AG622" s="391"/>
      <c r="AH622" s="390"/>
      <c r="AI622" s="391"/>
      <c r="AJ622" s="390"/>
      <c r="AK622" s="391"/>
      <c r="AL622" s="390"/>
      <c r="AM622" s="391"/>
      <c r="AN622" s="390"/>
      <c r="AO622" s="391"/>
    </row>
    <row r="623" spans="1:41" s="53" customFormat="1">
      <c r="A623" s="229" t="s">
        <v>445</v>
      </c>
      <c r="B623" s="230" t="s">
        <v>480</v>
      </c>
      <c r="C623" s="507"/>
      <c r="D623" s="445">
        <v>233310</v>
      </c>
      <c r="E623" s="506">
        <v>10</v>
      </c>
      <c r="F623" s="390">
        <v>4620.1000000000004</v>
      </c>
      <c r="G623" s="391">
        <v>4620</v>
      </c>
      <c r="H623" s="390">
        <v>10623</v>
      </c>
      <c r="I623" s="391">
        <v>10622.9</v>
      </c>
      <c r="J623" s="390"/>
      <c r="K623" s="391"/>
      <c r="L623" s="390"/>
      <c r="M623" s="391"/>
      <c r="N623" s="390"/>
      <c r="O623" s="391"/>
      <c r="P623" s="390"/>
      <c r="Q623" s="391"/>
      <c r="R623" s="390"/>
      <c r="S623" s="391"/>
      <c r="T623" s="390"/>
      <c r="U623" s="391"/>
      <c r="V623" s="390"/>
      <c r="W623" s="391"/>
      <c r="X623" s="390"/>
      <c r="Y623" s="391"/>
      <c r="Z623" s="390"/>
      <c r="AA623" s="391"/>
      <c r="AB623" s="390"/>
      <c r="AC623" s="391"/>
      <c r="AD623" s="390"/>
      <c r="AE623" s="391"/>
      <c r="AF623" s="390"/>
      <c r="AG623" s="391"/>
      <c r="AH623" s="390"/>
      <c r="AI623" s="391"/>
      <c r="AJ623" s="390"/>
      <c r="AK623" s="391"/>
      <c r="AL623" s="390"/>
      <c r="AM623" s="391"/>
      <c r="AN623" s="390"/>
      <c r="AO623" s="391"/>
    </row>
    <row r="624" spans="1:41" s="53" customFormat="1">
      <c r="A624" s="229" t="s">
        <v>445</v>
      </c>
      <c r="B624" s="230" t="s">
        <v>481</v>
      </c>
      <c r="C624" s="507"/>
      <c r="D624" s="445">
        <v>233338</v>
      </c>
      <c r="E624" s="506">
        <v>10</v>
      </c>
      <c r="F624" s="390">
        <v>8100</v>
      </c>
      <c r="G624" s="391">
        <v>8160</v>
      </c>
      <c r="H624" s="390">
        <v>14070</v>
      </c>
      <c r="I624" s="391">
        <v>14130</v>
      </c>
      <c r="J624" s="390"/>
      <c r="K624" s="391"/>
      <c r="L624" s="390"/>
      <c r="M624" s="391"/>
      <c r="N624" s="390"/>
      <c r="O624" s="391"/>
      <c r="P624" s="390"/>
      <c r="Q624" s="391"/>
      <c r="R624" s="390"/>
      <c r="S624" s="391"/>
      <c r="T624" s="390"/>
      <c r="U624" s="391"/>
      <c r="V624" s="390"/>
      <c r="W624" s="391"/>
      <c r="X624" s="390"/>
      <c r="Y624" s="391"/>
      <c r="Z624" s="390"/>
      <c r="AA624" s="391"/>
      <c r="AB624" s="390"/>
      <c r="AC624" s="391"/>
      <c r="AD624" s="390"/>
      <c r="AE624" s="391"/>
      <c r="AF624" s="390"/>
      <c r="AG624" s="391"/>
      <c r="AH624" s="390"/>
      <c r="AI624" s="391"/>
      <c r="AJ624" s="390"/>
      <c r="AK624" s="391"/>
      <c r="AL624" s="390"/>
      <c r="AM624" s="391"/>
      <c r="AN624" s="390"/>
      <c r="AO624" s="391"/>
    </row>
    <row r="625" spans="1:44" s="53" customFormat="1">
      <c r="A625" s="229" t="s">
        <v>445</v>
      </c>
      <c r="B625" s="230" t="s">
        <v>482</v>
      </c>
      <c r="C625" s="508"/>
      <c r="D625" s="445">
        <v>233648</v>
      </c>
      <c r="E625" s="506">
        <v>10</v>
      </c>
      <c r="F625" s="390">
        <v>4620.1000000000004</v>
      </c>
      <c r="G625" s="391">
        <v>4620</v>
      </c>
      <c r="H625" s="390">
        <v>10623</v>
      </c>
      <c r="I625" s="391">
        <v>10622.9</v>
      </c>
      <c r="J625" s="390"/>
      <c r="K625" s="391"/>
      <c r="L625" s="390"/>
      <c r="M625" s="391"/>
      <c r="N625" s="390"/>
      <c r="O625" s="391"/>
      <c r="P625" s="390"/>
      <c r="Q625" s="391"/>
      <c r="R625" s="390"/>
      <c r="S625" s="391"/>
      <c r="T625" s="390"/>
      <c r="U625" s="391"/>
      <c r="V625" s="390"/>
      <c r="W625" s="391"/>
      <c r="X625" s="390"/>
      <c r="Y625" s="391"/>
      <c r="Z625" s="390"/>
      <c r="AA625" s="391"/>
      <c r="AB625" s="390"/>
      <c r="AC625" s="391"/>
      <c r="AD625" s="390"/>
      <c r="AE625" s="391"/>
      <c r="AF625" s="390"/>
      <c r="AG625" s="391"/>
      <c r="AH625" s="390"/>
      <c r="AI625" s="391"/>
      <c r="AJ625" s="390"/>
      <c r="AK625" s="391"/>
      <c r="AL625" s="390"/>
      <c r="AM625" s="391"/>
      <c r="AN625" s="390"/>
      <c r="AO625" s="391"/>
    </row>
    <row r="626" spans="1:44" s="53" customFormat="1">
      <c r="A626" s="229" t="s">
        <v>445</v>
      </c>
      <c r="B626" s="230" t="s">
        <v>483</v>
      </c>
      <c r="C626" s="507"/>
      <c r="D626" s="445">
        <v>233903</v>
      </c>
      <c r="E626" s="506">
        <v>10</v>
      </c>
      <c r="F626" s="390">
        <v>4620.1000000000004</v>
      </c>
      <c r="G626" s="391">
        <v>4620</v>
      </c>
      <c r="H626" s="390">
        <v>10623</v>
      </c>
      <c r="I626" s="391">
        <v>10622.9</v>
      </c>
      <c r="J626" s="390"/>
      <c r="K626" s="391"/>
      <c r="L626" s="390"/>
      <c r="M626" s="391"/>
      <c r="N626" s="390"/>
      <c r="O626" s="391"/>
      <c r="P626" s="390"/>
      <c r="Q626" s="391"/>
      <c r="R626" s="390"/>
      <c r="S626" s="391"/>
      <c r="T626" s="390"/>
      <c r="U626" s="391"/>
      <c r="V626" s="390"/>
      <c r="W626" s="391"/>
      <c r="X626" s="390"/>
      <c r="Y626" s="391"/>
      <c r="Z626" s="390"/>
      <c r="AA626" s="391"/>
      <c r="AB626" s="390"/>
      <c r="AC626" s="391"/>
      <c r="AD626" s="390"/>
      <c r="AE626" s="391"/>
      <c r="AF626" s="390"/>
      <c r="AG626" s="391"/>
      <c r="AH626" s="390"/>
      <c r="AI626" s="391"/>
      <c r="AJ626" s="390"/>
      <c r="AK626" s="391"/>
      <c r="AL626" s="390"/>
      <c r="AM626" s="391"/>
      <c r="AN626" s="390"/>
      <c r="AO626" s="391"/>
    </row>
    <row r="627" spans="1:44" s="179" customFormat="1" ht="14.45" customHeight="1">
      <c r="A627" s="229" t="s">
        <v>445</v>
      </c>
      <c r="B627" s="230" t="s">
        <v>475</v>
      </c>
      <c r="C627" s="515"/>
      <c r="D627" s="445">
        <v>234377</v>
      </c>
      <c r="E627" s="506">
        <v>10</v>
      </c>
      <c r="F627" s="390">
        <v>4620.1000000000004</v>
      </c>
      <c r="G627" s="391">
        <v>4620</v>
      </c>
      <c r="H627" s="390">
        <v>10623</v>
      </c>
      <c r="I627" s="391">
        <v>10622.9</v>
      </c>
      <c r="J627" s="390"/>
      <c r="K627" s="391"/>
      <c r="L627" s="390"/>
      <c r="M627" s="391"/>
      <c r="N627" s="390"/>
      <c r="O627" s="391"/>
      <c r="P627" s="390"/>
      <c r="Q627" s="391"/>
      <c r="R627" s="390"/>
      <c r="S627" s="391"/>
      <c r="T627" s="390"/>
      <c r="U627" s="391"/>
      <c r="V627" s="390"/>
      <c r="W627" s="391"/>
      <c r="X627" s="390"/>
      <c r="Y627" s="391"/>
      <c r="Z627" s="390"/>
      <c r="AA627" s="391"/>
      <c r="AB627" s="390"/>
      <c r="AC627" s="391"/>
      <c r="AD627" s="390"/>
      <c r="AE627" s="391"/>
      <c r="AF627" s="390"/>
      <c r="AG627" s="391"/>
      <c r="AH627" s="390"/>
      <c r="AI627" s="391"/>
      <c r="AJ627" s="390"/>
      <c r="AK627" s="391"/>
      <c r="AL627" s="390"/>
      <c r="AM627" s="391"/>
      <c r="AN627" s="390"/>
      <c r="AO627" s="391"/>
    </row>
    <row r="628" spans="1:44" s="53" customFormat="1">
      <c r="A628" s="234" t="s">
        <v>445</v>
      </c>
      <c r="B628" s="230" t="s">
        <v>484</v>
      </c>
      <c r="C628" s="507"/>
      <c r="D628" s="445">
        <v>234085</v>
      </c>
      <c r="E628" s="506">
        <v>15</v>
      </c>
      <c r="F628" s="390">
        <v>19210</v>
      </c>
      <c r="G628" s="391">
        <v>19670</v>
      </c>
      <c r="H628" s="390">
        <v>47220</v>
      </c>
      <c r="I628" s="391">
        <v>48324</v>
      </c>
      <c r="J628" s="390"/>
      <c r="K628" s="391"/>
      <c r="L628" s="390"/>
      <c r="M628" s="391"/>
      <c r="N628" s="390"/>
      <c r="O628" s="391"/>
      <c r="P628" s="390"/>
      <c r="Q628" s="391"/>
      <c r="R628" s="390"/>
      <c r="S628" s="391"/>
      <c r="T628" s="390"/>
      <c r="U628" s="391"/>
      <c r="V628" s="390"/>
      <c r="W628" s="391"/>
      <c r="X628" s="390"/>
      <c r="Y628" s="391"/>
      <c r="Z628" s="390"/>
      <c r="AA628" s="391"/>
      <c r="AB628" s="390"/>
      <c r="AC628" s="391"/>
      <c r="AD628" s="390"/>
      <c r="AE628" s="391"/>
      <c r="AF628" s="390"/>
      <c r="AG628" s="391"/>
      <c r="AH628" s="390"/>
      <c r="AI628" s="391"/>
      <c r="AJ628" s="390"/>
      <c r="AK628" s="391"/>
      <c r="AL628" s="390"/>
      <c r="AM628" s="391"/>
      <c r="AN628" s="390"/>
      <c r="AO628" s="391"/>
    </row>
    <row r="629" spans="1:44">
      <c r="A629" s="266" t="s">
        <v>485</v>
      </c>
      <c r="B629" s="267" t="s">
        <v>486</v>
      </c>
      <c r="C629" s="472"/>
      <c r="D629" s="473">
        <v>238032</v>
      </c>
      <c r="E629" s="474">
        <v>1</v>
      </c>
      <c r="F629" s="401">
        <v>8976</v>
      </c>
      <c r="G629" s="402">
        <v>9144</v>
      </c>
      <c r="H629" s="401">
        <v>25320</v>
      </c>
      <c r="I629" s="402">
        <v>25824</v>
      </c>
      <c r="J629" s="401">
        <v>10134</v>
      </c>
      <c r="K629" s="402">
        <v>10332</v>
      </c>
      <c r="L629" s="401">
        <v>26154</v>
      </c>
      <c r="M629" s="402">
        <v>26676</v>
      </c>
      <c r="N629" s="401">
        <v>24228</v>
      </c>
      <c r="O629" s="402">
        <v>24714</v>
      </c>
      <c r="P629" s="401">
        <v>40248</v>
      </c>
      <c r="Q629" s="402">
        <v>41058</v>
      </c>
      <c r="R629" s="401">
        <v>31716</v>
      </c>
      <c r="S629" s="402">
        <v>31914</v>
      </c>
      <c r="T629" s="401">
        <v>62262</v>
      </c>
      <c r="U629" s="402">
        <v>62784</v>
      </c>
      <c r="V629" s="401">
        <v>25506</v>
      </c>
      <c r="W629" s="402">
        <v>26010</v>
      </c>
      <c r="X629" s="401">
        <v>56574</v>
      </c>
      <c r="Y629" s="402">
        <v>57708</v>
      </c>
      <c r="Z629" s="401">
        <v>21780</v>
      </c>
      <c r="AA629" s="402">
        <v>21988</v>
      </c>
      <c r="AB629" s="401">
        <v>43164</v>
      </c>
      <c r="AC629" s="402">
        <v>43686</v>
      </c>
      <c r="AD629" s="401"/>
      <c r="AE629" s="402"/>
      <c r="AF629" s="401"/>
      <c r="AG629" s="402"/>
      <c r="AH629" s="401"/>
      <c r="AI629" s="402"/>
      <c r="AJ629" s="401"/>
      <c r="AK629" s="402"/>
      <c r="AL629" s="401"/>
      <c r="AM629" s="402"/>
      <c r="AN629" s="401"/>
      <c r="AO629" s="402"/>
      <c r="AP629" s="53"/>
      <c r="AQ629" s="53"/>
      <c r="AR629" s="53"/>
    </row>
    <row r="630" spans="1:44">
      <c r="A630" s="266" t="s">
        <v>485</v>
      </c>
      <c r="B630" s="267" t="s">
        <v>487</v>
      </c>
      <c r="C630" s="472"/>
      <c r="D630" s="473">
        <v>237525</v>
      </c>
      <c r="E630" s="474">
        <v>3</v>
      </c>
      <c r="F630" s="401">
        <v>8512</v>
      </c>
      <c r="G630" s="402">
        <v>8552</v>
      </c>
      <c r="H630" s="401">
        <v>19366</v>
      </c>
      <c r="I630" s="402">
        <v>19606</v>
      </c>
      <c r="J630" s="401">
        <v>8828</v>
      </c>
      <c r="K630" s="402">
        <v>8882</v>
      </c>
      <c r="L630" s="401">
        <v>21162</v>
      </c>
      <c r="M630" s="402">
        <v>21434</v>
      </c>
      <c r="N630" s="401"/>
      <c r="O630" s="402"/>
      <c r="P630" s="401"/>
      <c r="Q630" s="402"/>
      <c r="R630" s="401">
        <v>24004</v>
      </c>
      <c r="S630" s="402">
        <v>24324</v>
      </c>
      <c r="T630" s="401">
        <v>56788</v>
      </c>
      <c r="U630" s="402">
        <v>57682</v>
      </c>
      <c r="V630" s="401"/>
      <c r="W630" s="402"/>
      <c r="X630" s="401"/>
      <c r="Y630" s="402"/>
      <c r="Z630" s="401">
        <v>22430</v>
      </c>
      <c r="AA630" s="402">
        <v>23508</v>
      </c>
      <c r="AB630" s="401">
        <v>37050</v>
      </c>
      <c r="AC630" s="402">
        <v>38796</v>
      </c>
      <c r="AD630" s="401"/>
      <c r="AE630" s="402"/>
      <c r="AF630" s="401"/>
      <c r="AG630" s="402"/>
      <c r="AH630" s="401"/>
      <c r="AI630" s="402"/>
      <c r="AJ630" s="401"/>
      <c r="AK630" s="402"/>
      <c r="AL630" s="401"/>
      <c r="AM630" s="402"/>
      <c r="AN630" s="401"/>
      <c r="AO630" s="402"/>
      <c r="AP630" s="53"/>
      <c r="AQ630" s="53"/>
      <c r="AR630" s="53"/>
    </row>
    <row r="631" spans="1:44" s="179" customFormat="1" ht="15.4" customHeight="1">
      <c r="A631" s="269" t="s">
        <v>485</v>
      </c>
      <c r="B631" s="267" t="s">
        <v>491</v>
      </c>
      <c r="C631" s="516"/>
      <c r="D631" s="473">
        <v>237330</v>
      </c>
      <c r="E631" s="474">
        <v>5</v>
      </c>
      <c r="F631" s="401">
        <v>8050</v>
      </c>
      <c r="G631" s="402">
        <v>8130</v>
      </c>
      <c r="H631" s="401">
        <v>17702</v>
      </c>
      <c r="I631" s="402">
        <v>17880</v>
      </c>
      <c r="J631" s="401">
        <v>8644</v>
      </c>
      <c r="K631" s="402">
        <v>8730</v>
      </c>
      <c r="L631" s="401">
        <v>15072</v>
      </c>
      <c r="M631" s="402">
        <v>15230</v>
      </c>
      <c r="N631" s="401"/>
      <c r="O631" s="402"/>
      <c r="P631" s="401"/>
      <c r="Q631" s="402"/>
      <c r="R631" s="401"/>
      <c r="S631" s="402"/>
      <c r="T631" s="401"/>
      <c r="U631" s="402"/>
      <c r="V631" s="401"/>
      <c r="W631" s="402"/>
      <c r="X631" s="401"/>
      <c r="Y631" s="402"/>
      <c r="Z631" s="401"/>
      <c r="AA631" s="402"/>
      <c r="AB631" s="401"/>
      <c r="AC631" s="402"/>
      <c r="AD631" s="401"/>
      <c r="AE631" s="402"/>
      <c r="AF631" s="401"/>
      <c r="AG631" s="402"/>
      <c r="AH631" s="401"/>
      <c r="AI631" s="402"/>
      <c r="AJ631" s="401"/>
      <c r="AK631" s="402"/>
      <c r="AL631" s="401"/>
      <c r="AM631" s="402"/>
      <c r="AN631" s="401"/>
      <c r="AO631" s="402"/>
    </row>
    <row r="632" spans="1:44">
      <c r="A632" s="269" t="s">
        <v>485</v>
      </c>
      <c r="B632" s="267" t="s">
        <v>488</v>
      </c>
      <c r="C632" s="268" t="s">
        <v>1047</v>
      </c>
      <c r="D632" s="523">
        <v>237367</v>
      </c>
      <c r="E632" s="524">
        <v>5</v>
      </c>
      <c r="F632" s="401">
        <v>7738</v>
      </c>
      <c r="G632" s="402">
        <v>7892</v>
      </c>
      <c r="H632" s="401">
        <v>16814</v>
      </c>
      <c r="I632" s="402">
        <v>17150</v>
      </c>
      <c r="J632" s="401">
        <v>8922</v>
      </c>
      <c r="K632" s="402">
        <v>9012</v>
      </c>
      <c r="L632" s="401">
        <v>19100</v>
      </c>
      <c r="M632" s="402">
        <v>19290</v>
      </c>
      <c r="N632" s="401"/>
      <c r="O632" s="402"/>
      <c r="P632" s="401"/>
      <c r="Q632" s="402"/>
      <c r="R632" s="401"/>
      <c r="S632" s="402"/>
      <c r="T632" s="401"/>
      <c r="U632" s="402"/>
      <c r="V632" s="401"/>
      <c r="W632" s="402"/>
      <c r="X632" s="401"/>
      <c r="Y632" s="402"/>
      <c r="Z632" s="401"/>
      <c r="AA632" s="402"/>
      <c r="AB632" s="401"/>
      <c r="AC632" s="402"/>
      <c r="AD632" s="401"/>
      <c r="AE632" s="402"/>
      <c r="AF632" s="401"/>
      <c r="AG632" s="402"/>
      <c r="AH632" s="401"/>
      <c r="AI632" s="402"/>
      <c r="AJ632" s="401"/>
      <c r="AK632" s="402"/>
      <c r="AL632" s="401"/>
      <c r="AM632" s="402"/>
      <c r="AN632" s="401"/>
      <c r="AO632" s="402"/>
      <c r="AP632" s="53"/>
      <c r="AQ632" s="53"/>
      <c r="AR632" s="53"/>
    </row>
    <row r="633" spans="1:44">
      <c r="A633" s="266" t="s">
        <v>485</v>
      </c>
      <c r="B633" s="267" t="s">
        <v>489</v>
      </c>
      <c r="C633" s="472"/>
      <c r="D633" s="473">
        <v>237792</v>
      </c>
      <c r="E633" s="474">
        <v>5</v>
      </c>
      <c r="F633" s="401">
        <v>7784</v>
      </c>
      <c r="G633" s="402">
        <v>7784</v>
      </c>
      <c r="H633" s="401">
        <v>18224</v>
      </c>
      <c r="I633" s="402">
        <v>18224</v>
      </c>
      <c r="J633" s="401">
        <v>8550</v>
      </c>
      <c r="K633" s="402">
        <v>8730</v>
      </c>
      <c r="L633" s="401">
        <v>12402</v>
      </c>
      <c r="M633" s="402">
        <v>12906</v>
      </c>
      <c r="N633" s="401"/>
      <c r="O633" s="402"/>
      <c r="P633" s="401"/>
      <c r="Q633" s="402"/>
      <c r="R633" s="401"/>
      <c r="S633" s="402"/>
      <c r="T633" s="401"/>
      <c r="U633" s="402"/>
      <c r="V633" s="401"/>
      <c r="W633" s="402"/>
      <c r="X633" s="401"/>
      <c r="Y633" s="402"/>
      <c r="Z633" s="401"/>
      <c r="AA633" s="402"/>
      <c r="AB633" s="401"/>
      <c r="AC633" s="402"/>
      <c r="AD633" s="401"/>
      <c r="AE633" s="402"/>
      <c r="AF633" s="401"/>
      <c r="AG633" s="402"/>
      <c r="AH633" s="401"/>
      <c r="AI633" s="402"/>
      <c r="AJ633" s="401"/>
      <c r="AK633" s="402"/>
      <c r="AL633" s="401"/>
      <c r="AM633" s="402"/>
      <c r="AN633" s="401"/>
      <c r="AO633" s="402"/>
      <c r="AP633" s="53"/>
      <c r="AQ633" s="53"/>
      <c r="AR633" s="53"/>
    </row>
    <row r="634" spans="1:44">
      <c r="A634" s="269" t="s">
        <v>485</v>
      </c>
      <c r="B634" s="479" t="s">
        <v>493</v>
      </c>
      <c r="C634" s="479" t="s">
        <v>1030</v>
      </c>
      <c r="D634" s="525">
        <v>237932</v>
      </c>
      <c r="E634" s="526">
        <v>4</v>
      </c>
      <c r="F634" s="401">
        <v>8150</v>
      </c>
      <c r="G634" s="402">
        <v>8546</v>
      </c>
      <c r="H634" s="401">
        <v>16090</v>
      </c>
      <c r="I634" s="402">
        <v>16764</v>
      </c>
      <c r="J634" s="401">
        <v>8280</v>
      </c>
      <c r="K634" s="402">
        <v>8446</v>
      </c>
      <c r="L634" s="406">
        <v>8280</v>
      </c>
      <c r="M634" s="402">
        <v>8446</v>
      </c>
      <c r="N634" s="401"/>
      <c r="O634" s="402"/>
      <c r="P634" s="401"/>
      <c r="Q634" s="402"/>
      <c r="R634" s="401"/>
      <c r="S634" s="402"/>
      <c r="T634" s="401"/>
      <c r="U634" s="402"/>
      <c r="V634" s="401"/>
      <c r="W634" s="402"/>
      <c r="X634" s="401"/>
      <c r="Y634" s="402"/>
      <c r="Z634" s="401"/>
      <c r="AA634" s="402"/>
      <c r="AB634" s="401"/>
      <c r="AC634" s="402"/>
      <c r="AD634" s="401"/>
      <c r="AE634" s="402"/>
      <c r="AF634" s="401"/>
      <c r="AG634" s="402"/>
      <c r="AH634" s="401"/>
      <c r="AI634" s="402"/>
      <c r="AJ634" s="401"/>
      <c r="AK634" s="402"/>
      <c r="AL634" s="401"/>
      <c r="AM634" s="402"/>
      <c r="AN634" s="401"/>
      <c r="AO634" s="402"/>
      <c r="AP634" s="53"/>
      <c r="AQ634" s="53"/>
      <c r="AR634" s="53"/>
    </row>
    <row r="635" spans="1:44">
      <c r="A635" s="266" t="s">
        <v>485</v>
      </c>
      <c r="B635" s="267" t="s">
        <v>1038</v>
      </c>
      <c r="C635" s="472"/>
      <c r="D635" s="473">
        <v>237215</v>
      </c>
      <c r="E635" s="474">
        <v>6</v>
      </c>
      <c r="F635" s="401">
        <v>7584</v>
      </c>
      <c r="G635" s="402">
        <v>8084</v>
      </c>
      <c r="H635" s="401">
        <v>14448</v>
      </c>
      <c r="I635" s="402">
        <v>15282</v>
      </c>
      <c r="J635" s="401"/>
      <c r="K635" s="402"/>
      <c r="L635" s="401"/>
      <c r="M635" s="402"/>
      <c r="N635" s="401"/>
      <c r="O635" s="402"/>
      <c r="P635" s="401"/>
      <c r="Q635" s="402"/>
      <c r="R635" s="401"/>
      <c r="S635" s="402"/>
      <c r="T635" s="401"/>
      <c r="U635" s="402"/>
      <c r="V635" s="401"/>
      <c r="W635" s="402"/>
      <c r="X635" s="401"/>
      <c r="Y635" s="402"/>
      <c r="Z635" s="401"/>
      <c r="AA635" s="402"/>
      <c r="AB635" s="401"/>
      <c r="AC635" s="402"/>
      <c r="AD635" s="401"/>
      <c r="AE635" s="402"/>
      <c r="AF635" s="401"/>
      <c r="AG635" s="402"/>
      <c r="AH635" s="401"/>
      <c r="AI635" s="402"/>
      <c r="AJ635" s="401"/>
      <c r="AK635" s="402"/>
      <c r="AL635" s="401"/>
      <c r="AM635" s="402"/>
      <c r="AN635" s="401"/>
      <c r="AO635" s="402"/>
      <c r="AP635" s="53"/>
      <c r="AQ635" s="53"/>
      <c r="AR635" s="53"/>
    </row>
    <row r="636" spans="1:44" s="179" customFormat="1" ht="15.4" customHeight="1">
      <c r="A636" s="266" t="s">
        <v>485</v>
      </c>
      <c r="B636" s="267" t="s">
        <v>1039</v>
      </c>
      <c r="C636" s="517"/>
      <c r="D636" s="473">
        <v>237385</v>
      </c>
      <c r="E636" s="474">
        <v>6</v>
      </c>
      <c r="F636" s="401">
        <v>7886</v>
      </c>
      <c r="G636" s="402">
        <v>7886</v>
      </c>
      <c r="H636" s="401">
        <v>9514</v>
      </c>
      <c r="I636" s="402">
        <v>9514</v>
      </c>
      <c r="J636" s="401"/>
      <c r="K636" s="402"/>
      <c r="L636" s="401"/>
      <c r="M636" s="402"/>
      <c r="N636" s="401"/>
      <c r="O636" s="402"/>
      <c r="P636" s="401"/>
      <c r="Q636" s="402"/>
      <c r="R636" s="401"/>
      <c r="S636" s="402"/>
      <c r="T636" s="401"/>
      <c r="U636" s="402"/>
      <c r="V636" s="401"/>
      <c r="W636" s="402"/>
      <c r="X636" s="401"/>
      <c r="Y636" s="402"/>
      <c r="Z636" s="401"/>
      <c r="AA636" s="402"/>
      <c r="AB636" s="401"/>
      <c r="AC636" s="402"/>
      <c r="AD636" s="401"/>
      <c r="AE636" s="402"/>
      <c r="AF636" s="401"/>
      <c r="AG636" s="402"/>
      <c r="AH636" s="401"/>
      <c r="AI636" s="402"/>
      <c r="AJ636" s="401"/>
      <c r="AK636" s="402"/>
      <c r="AL636" s="401"/>
      <c r="AM636" s="402"/>
      <c r="AN636" s="401"/>
      <c r="AO636" s="402"/>
    </row>
    <row r="637" spans="1:44">
      <c r="A637" s="266" t="s">
        <v>485</v>
      </c>
      <c r="B637" s="479" t="s">
        <v>494</v>
      </c>
      <c r="C637" s="479" t="s">
        <v>1030</v>
      </c>
      <c r="D637" s="525">
        <v>237899</v>
      </c>
      <c r="E637" s="526">
        <v>4</v>
      </c>
      <c r="F637" s="401">
        <v>7912</v>
      </c>
      <c r="G637" s="402">
        <v>7912</v>
      </c>
      <c r="H637" s="401">
        <v>13600</v>
      </c>
      <c r="I637" s="402">
        <v>13600</v>
      </c>
      <c r="J637" s="401">
        <v>8224</v>
      </c>
      <c r="K637" s="402">
        <v>8224</v>
      </c>
      <c r="L637" s="401">
        <v>19030</v>
      </c>
      <c r="M637" s="402">
        <v>19030</v>
      </c>
      <c r="N637" s="401"/>
      <c r="O637" s="402"/>
      <c r="P637" s="401"/>
      <c r="Q637" s="402"/>
      <c r="R637" s="401"/>
      <c r="S637" s="402"/>
      <c r="T637" s="401"/>
      <c r="U637" s="402"/>
      <c r="V637" s="401"/>
      <c r="W637" s="402"/>
      <c r="X637" s="401"/>
      <c r="Y637" s="402"/>
      <c r="Z637" s="401"/>
      <c r="AA637" s="402"/>
      <c r="AB637" s="401"/>
      <c r="AC637" s="402"/>
      <c r="AD637" s="401"/>
      <c r="AE637" s="402"/>
      <c r="AF637" s="401"/>
      <c r="AG637" s="402"/>
      <c r="AH637" s="401"/>
      <c r="AI637" s="402"/>
      <c r="AJ637" s="401"/>
      <c r="AK637" s="402"/>
      <c r="AL637" s="401"/>
      <c r="AM637" s="402"/>
      <c r="AN637" s="401"/>
      <c r="AO637" s="402"/>
      <c r="AP637" s="53"/>
      <c r="AQ637" s="53"/>
      <c r="AR637" s="53"/>
    </row>
    <row r="638" spans="1:44">
      <c r="A638" s="266" t="s">
        <v>485</v>
      </c>
      <c r="B638" s="267" t="s">
        <v>496</v>
      </c>
      <c r="C638" s="472"/>
      <c r="D638" s="473">
        <v>237950</v>
      </c>
      <c r="E638" s="474">
        <v>6</v>
      </c>
      <c r="F638" s="401">
        <v>7560</v>
      </c>
      <c r="G638" s="402">
        <v>7728</v>
      </c>
      <c r="H638" s="401">
        <v>18912</v>
      </c>
      <c r="I638" s="402">
        <v>19296</v>
      </c>
      <c r="J638" s="401"/>
      <c r="K638" s="402"/>
      <c r="L638" s="401"/>
      <c r="M638" s="402"/>
      <c r="N638" s="401"/>
      <c r="O638" s="402"/>
      <c r="P638" s="401"/>
      <c r="Q638" s="402"/>
      <c r="R638" s="401"/>
      <c r="S638" s="402"/>
      <c r="T638" s="401"/>
      <c r="U638" s="402"/>
      <c r="V638" s="401"/>
      <c r="W638" s="402"/>
      <c r="X638" s="401"/>
      <c r="Y638" s="402"/>
      <c r="Z638" s="401"/>
      <c r="AA638" s="402"/>
      <c r="AB638" s="401"/>
      <c r="AC638" s="402"/>
      <c r="AD638" s="401"/>
      <c r="AE638" s="402"/>
      <c r="AF638" s="401"/>
      <c r="AG638" s="402"/>
      <c r="AH638" s="401"/>
      <c r="AI638" s="402"/>
      <c r="AJ638" s="401"/>
      <c r="AK638" s="402"/>
      <c r="AL638" s="401"/>
      <c r="AM638" s="402"/>
      <c r="AN638" s="401"/>
      <c r="AO638" s="402"/>
      <c r="AP638" s="53"/>
      <c r="AQ638" s="53"/>
      <c r="AR638" s="53"/>
    </row>
    <row r="639" spans="1:44">
      <c r="A639" s="266" t="s">
        <v>485</v>
      </c>
      <c r="B639" s="267" t="s">
        <v>497</v>
      </c>
      <c r="C639" s="472"/>
      <c r="D639" s="473">
        <v>237701</v>
      </c>
      <c r="E639" s="474">
        <v>7</v>
      </c>
      <c r="F639" s="401">
        <v>4536</v>
      </c>
      <c r="G639" s="402">
        <v>4632</v>
      </c>
      <c r="H639" s="401">
        <v>11544</v>
      </c>
      <c r="I639" s="402">
        <v>11784</v>
      </c>
      <c r="J639" s="401"/>
      <c r="K639" s="402"/>
      <c r="L639" s="401"/>
      <c r="M639" s="402"/>
      <c r="N639" s="401"/>
      <c r="O639" s="402"/>
      <c r="P639" s="401"/>
      <c r="Q639" s="402"/>
      <c r="R639" s="401"/>
      <c r="S639" s="402"/>
      <c r="T639" s="401"/>
      <c r="U639" s="402"/>
      <c r="V639" s="401"/>
      <c r="W639" s="402"/>
      <c r="X639" s="401"/>
      <c r="Y639" s="402"/>
      <c r="Z639" s="401"/>
      <c r="AA639" s="402"/>
      <c r="AB639" s="401"/>
      <c r="AC639" s="402"/>
      <c r="AD639" s="401"/>
      <c r="AE639" s="402"/>
      <c r="AF639" s="401"/>
      <c r="AG639" s="402"/>
      <c r="AH639" s="401"/>
      <c r="AI639" s="402"/>
      <c r="AJ639" s="401"/>
      <c r="AK639" s="402"/>
      <c r="AL639" s="401"/>
      <c r="AM639" s="402"/>
      <c r="AN639" s="401"/>
      <c r="AO639" s="402"/>
      <c r="AP639" s="53"/>
      <c r="AQ639" s="53"/>
      <c r="AR639" s="53"/>
    </row>
    <row r="640" spans="1:44">
      <c r="A640" s="266" t="s">
        <v>485</v>
      </c>
      <c r="B640" s="267" t="s">
        <v>495</v>
      </c>
      <c r="C640" s="472"/>
      <c r="D640" s="473">
        <v>237686</v>
      </c>
      <c r="E640" s="474">
        <v>7</v>
      </c>
      <c r="F640" s="401">
        <v>3940</v>
      </c>
      <c r="G640" s="402">
        <v>3940</v>
      </c>
      <c r="H640" s="401">
        <v>8692</v>
      </c>
      <c r="I640" s="402">
        <v>8692</v>
      </c>
      <c r="J640" s="401"/>
      <c r="K640" s="402"/>
      <c r="L640" s="401"/>
      <c r="M640" s="402"/>
      <c r="N640" s="401"/>
      <c r="O640" s="402"/>
      <c r="P640" s="401"/>
      <c r="Q640" s="402"/>
      <c r="R640" s="401"/>
      <c r="S640" s="402"/>
      <c r="T640" s="401"/>
      <c r="U640" s="402"/>
      <c r="V640" s="401"/>
      <c r="W640" s="402"/>
      <c r="X640" s="401"/>
      <c r="Y640" s="402"/>
      <c r="Z640" s="401"/>
      <c r="AA640" s="402"/>
      <c r="AB640" s="401"/>
      <c r="AC640" s="402"/>
      <c r="AD640" s="401"/>
      <c r="AE640" s="402"/>
      <c r="AF640" s="401"/>
      <c r="AG640" s="402"/>
      <c r="AH640" s="401"/>
      <c r="AI640" s="402"/>
      <c r="AJ640" s="401"/>
      <c r="AK640" s="402"/>
      <c r="AL640" s="401"/>
      <c r="AM640" s="402"/>
      <c r="AN640" s="401"/>
      <c r="AO640" s="402"/>
      <c r="AP640" s="53"/>
      <c r="AQ640" s="53"/>
      <c r="AR640" s="53"/>
    </row>
    <row r="641" spans="1:44">
      <c r="A641" s="269" t="s">
        <v>485</v>
      </c>
      <c r="B641" s="267" t="s">
        <v>500</v>
      </c>
      <c r="C641" s="472" t="s">
        <v>997</v>
      </c>
      <c r="D641" s="473">
        <v>446774</v>
      </c>
      <c r="E641" s="518">
        <v>9</v>
      </c>
      <c r="F641" s="401">
        <v>4128</v>
      </c>
      <c r="G641" s="402">
        <v>4128</v>
      </c>
      <c r="H641" s="401">
        <v>7464</v>
      </c>
      <c r="I641" s="402">
        <v>7464</v>
      </c>
      <c r="J641" s="401"/>
      <c r="K641" s="402"/>
      <c r="L641" s="401"/>
      <c r="M641" s="402"/>
      <c r="N641" s="401"/>
      <c r="O641" s="402"/>
      <c r="P641" s="401"/>
      <c r="Q641" s="402"/>
      <c r="R641" s="401"/>
      <c r="S641" s="402"/>
      <c r="T641" s="401"/>
      <c r="U641" s="402"/>
      <c r="V641" s="401"/>
      <c r="W641" s="402"/>
      <c r="X641" s="401"/>
      <c r="Y641" s="402"/>
      <c r="Z641" s="401"/>
      <c r="AA641" s="402"/>
      <c r="AB641" s="401"/>
      <c r="AC641" s="402"/>
      <c r="AD641" s="401"/>
      <c r="AE641" s="402"/>
      <c r="AF641" s="401"/>
      <c r="AG641" s="402"/>
      <c r="AH641" s="401"/>
      <c r="AI641" s="402"/>
      <c r="AJ641" s="401"/>
      <c r="AK641" s="402"/>
      <c r="AL641" s="401"/>
      <c r="AM641" s="402"/>
      <c r="AN641" s="401"/>
      <c r="AO641" s="402"/>
      <c r="AP641" s="53"/>
      <c r="AQ641" s="53"/>
      <c r="AR641" s="53"/>
    </row>
    <row r="642" spans="1:44">
      <c r="A642" s="269" t="s">
        <v>485</v>
      </c>
      <c r="B642" s="292" t="s">
        <v>501</v>
      </c>
      <c r="C642" s="472"/>
      <c r="D642" s="473">
        <v>484932</v>
      </c>
      <c r="E642" s="474">
        <v>10</v>
      </c>
      <c r="F642" s="401">
        <v>4502</v>
      </c>
      <c r="G642" s="402">
        <v>4502</v>
      </c>
      <c r="H642" s="401">
        <v>10720</v>
      </c>
      <c r="I642" s="402">
        <v>10720</v>
      </c>
      <c r="J642" s="401"/>
      <c r="K642" s="402"/>
      <c r="L642" s="401"/>
      <c r="M642" s="402"/>
      <c r="N642" s="401"/>
      <c r="O642" s="402"/>
      <c r="P642" s="401"/>
      <c r="Q642" s="402"/>
      <c r="R642" s="401"/>
      <c r="S642" s="402"/>
      <c r="T642" s="401"/>
      <c r="U642" s="402"/>
      <c r="V642" s="401"/>
      <c r="W642" s="402"/>
      <c r="X642" s="401"/>
      <c r="Y642" s="402"/>
      <c r="Z642" s="401"/>
      <c r="AA642" s="402"/>
      <c r="AB642" s="401"/>
      <c r="AC642" s="402"/>
      <c r="AD642" s="401"/>
      <c r="AE642" s="402"/>
      <c r="AF642" s="401"/>
      <c r="AG642" s="402"/>
      <c r="AH642" s="401"/>
      <c r="AI642" s="402"/>
      <c r="AJ642" s="401"/>
      <c r="AK642" s="402"/>
      <c r="AL642" s="401"/>
      <c r="AM642" s="402"/>
      <c r="AN642" s="401"/>
      <c r="AO642" s="402"/>
      <c r="AP642" s="53"/>
      <c r="AQ642" s="53"/>
      <c r="AR642" s="53"/>
    </row>
    <row r="643" spans="1:44">
      <c r="A643" s="266" t="s">
        <v>485</v>
      </c>
      <c r="B643" s="267" t="s">
        <v>502</v>
      </c>
      <c r="C643" s="472"/>
      <c r="D643" s="473">
        <v>438708</v>
      </c>
      <c r="E643" s="474">
        <v>10</v>
      </c>
      <c r="F643" s="401">
        <v>3768</v>
      </c>
      <c r="G643" s="402">
        <v>3768</v>
      </c>
      <c r="H643" s="401">
        <v>8520</v>
      </c>
      <c r="I643" s="402">
        <v>8520</v>
      </c>
      <c r="J643" s="401"/>
      <c r="K643" s="402"/>
      <c r="L643" s="401"/>
      <c r="M643" s="402"/>
      <c r="N643" s="401"/>
      <c r="O643" s="402"/>
      <c r="P643" s="401"/>
      <c r="Q643" s="402"/>
      <c r="R643" s="401"/>
      <c r="S643" s="402"/>
      <c r="T643" s="401"/>
      <c r="U643" s="402"/>
      <c r="V643" s="401"/>
      <c r="W643" s="402"/>
      <c r="X643" s="401"/>
      <c r="Y643" s="402"/>
      <c r="Z643" s="401"/>
      <c r="AA643" s="402"/>
      <c r="AB643" s="401"/>
      <c r="AC643" s="402"/>
      <c r="AD643" s="401"/>
      <c r="AE643" s="402"/>
      <c r="AF643" s="401"/>
      <c r="AG643" s="402"/>
      <c r="AH643" s="401"/>
      <c r="AI643" s="402"/>
      <c r="AJ643" s="401"/>
      <c r="AK643" s="402"/>
      <c r="AL643" s="401"/>
      <c r="AM643" s="402"/>
      <c r="AN643" s="401"/>
      <c r="AO643" s="402"/>
      <c r="AP643" s="53"/>
      <c r="AQ643" s="53"/>
      <c r="AR643" s="53"/>
    </row>
    <row r="644" spans="1:44">
      <c r="A644" s="269" t="s">
        <v>485</v>
      </c>
      <c r="B644" s="267" t="s">
        <v>503</v>
      </c>
      <c r="C644" s="472"/>
      <c r="D644" s="473">
        <v>444954</v>
      </c>
      <c r="E644" s="474">
        <v>10</v>
      </c>
      <c r="F644" s="401">
        <v>4464</v>
      </c>
      <c r="G644" s="402">
        <v>4692</v>
      </c>
      <c r="H644" s="401">
        <v>11112</v>
      </c>
      <c r="I644" s="402">
        <v>11688</v>
      </c>
      <c r="J644" s="401"/>
      <c r="K644" s="402"/>
      <c r="L644" s="401"/>
      <c r="M644" s="402"/>
      <c r="N644" s="401"/>
      <c r="O644" s="402"/>
      <c r="P644" s="401"/>
      <c r="Q644" s="402"/>
      <c r="R644" s="401"/>
      <c r="S644" s="402"/>
      <c r="T644" s="401"/>
      <c r="U644" s="402"/>
      <c r="V644" s="401"/>
      <c r="W644" s="402"/>
      <c r="X644" s="401"/>
      <c r="Y644" s="402"/>
      <c r="Z644" s="401"/>
      <c r="AA644" s="402"/>
      <c r="AB644" s="401"/>
      <c r="AC644" s="402"/>
      <c r="AD644" s="401"/>
      <c r="AE644" s="402"/>
      <c r="AF644" s="401"/>
      <c r="AG644" s="402"/>
      <c r="AH644" s="401"/>
      <c r="AI644" s="402"/>
      <c r="AJ644" s="401"/>
      <c r="AK644" s="402"/>
      <c r="AL644" s="401"/>
      <c r="AM644" s="402"/>
      <c r="AN644" s="401"/>
      <c r="AO644" s="402"/>
      <c r="AP644" s="53"/>
      <c r="AQ644" s="53"/>
      <c r="AR644" s="53"/>
    </row>
    <row r="645" spans="1:44" s="179" customFormat="1" ht="15.4" customHeight="1">
      <c r="A645" s="269" t="s">
        <v>485</v>
      </c>
      <c r="B645" s="267" t="s">
        <v>498</v>
      </c>
      <c r="C645" s="516"/>
      <c r="D645" s="473">
        <v>447582</v>
      </c>
      <c r="E645" s="474">
        <v>10</v>
      </c>
      <c r="F645" s="401">
        <v>4372</v>
      </c>
      <c r="G645" s="402">
        <v>4590</v>
      </c>
      <c r="H645" s="401">
        <v>6900</v>
      </c>
      <c r="I645" s="402">
        <v>7245</v>
      </c>
      <c r="J645" s="401"/>
      <c r="K645" s="402"/>
      <c r="L645" s="401"/>
      <c r="M645" s="402"/>
      <c r="N645" s="401"/>
      <c r="O645" s="402"/>
      <c r="P645" s="401"/>
      <c r="Q645" s="402"/>
      <c r="R645" s="401"/>
      <c r="S645" s="402"/>
      <c r="T645" s="401"/>
      <c r="U645" s="402"/>
      <c r="V645" s="401"/>
      <c r="W645" s="402"/>
      <c r="X645" s="401"/>
      <c r="Y645" s="402"/>
      <c r="Z645" s="401"/>
      <c r="AA645" s="402"/>
      <c r="AB645" s="401"/>
      <c r="AC645" s="402"/>
      <c r="AD645" s="401"/>
      <c r="AE645" s="402"/>
      <c r="AF645" s="401"/>
      <c r="AG645" s="402"/>
      <c r="AH645" s="401"/>
      <c r="AI645" s="402"/>
      <c r="AJ645" s="401"/>
      <c r="AK645" s="402"/>
      <c r="AL645" s="401"/>
      <c r="AM645" s="402"/>
      <c r="AN645" s="401"/>
      <c r="AO645" s="402"/>
    </row>
    <row r="646" spans="1:44" s="179" customFormat="1" ht="15.4" customHeight="1">
      <c r="A646" s="269" t="s">
        <v>485</v>
      </c>
      <c r="B646" s="267" t="s">
        <v>499</v>
      </c>
      <c r="C646" s="516"/>
      <c r="D646" s="473">
        <v>443492</v>
      </c>
      <c r="E646" s="474">
        <v>10</v>
      </c>
      <c r="F646" s="401">
        <v>5086</v>
      </c>
      <c r="G646" s="402">
        <v>5086</v>
      </c>
      <c r="H646" s="401">
        <v>12056</v>
      </c>
      <c r="I646" s="402">
        <v>12056</v>
      </c>
      <c r="J646" s="401"/>
      <c r="K646" s="402"/>
      <c r="L646" s="401"/>
      <c r="M646" s="402"/>
      <c r="N646" s="401"/>
      <c r="O646" s="402"/>
      <c r="P646" s="401"/>
      <c r="Q646" s="402"/>
      <c r="R646" s="401"/>
      <c r="S646" s="402"/>
      <c r="T646" s="401"/>
      <c r="U646" s="402"/>
      <c r="V646" s="401"/>
      <c r="W646" s="402"/>
      <c r="X646" s="401"/>
      <c r="Y646" s="402"/>
      <c r="Z646" s="401"/>
      <c r="AA646" s="402"/>
      <c r="AB646" s="401"/>
      <c r="AC646" s="402"/>
      <c r="AD646" s="401"/>
      <c r="AE646" s="402"/>
      <c r="AF646" s="401"/>
      <c r="AG646" s="402"/>
      <c r="AH646" s="401"/>
      <c r="AI646" s="402"/>
      <c r="AJ646" s="401"/>
      <c r="AK646" s="402"/>
      <c r="AL646" s="401"/>
      <c r="AM646" s="402"/>
      <c r="AN646" s="401"/>
      <c r="AO646" s="402"/>
    </row>
    <row r="647" spans="1:44">
      <c r="A647" s="269" t="s">
        <v>485</v>
      </c>
      <c r="B647" s="267" t="s">
        <v>504</v>
      </c>
      <c r="C647" s="472"/>
      <c r="D647" s="473">
        <v>237817</v>
      </c>
      <c r="E647" s="474">
        <v>10</v>
      </c>
      <c r="F647" s="401">
        <v>3864</v>
      </c>
      <c r="G647" s="402">
        <v>3864</v>
      </c>
      <c r="H647" s="401">
        <v>6094</v>
      </c>
      <c r="I647" s="402">
        <v>6250</v>
      </c>
      <c r="J647" s="401"/>
      <c r="K647" s="402"/>
      <c r="L647" s="401"/>
      <c r="M647" s="402"/>
      <c r="N647" s="401"/>
      <c r="O647" s="402"/>
      <c r="P647" s="401"/>
      <c r="Q647" s="402"/>
      <c r="R647" s="401"/>
      <c r="S647" s="402"/>
      <c r="T647" s="401"/>
      <c r="U647" s="402"/>
      <c r="V647" s="401"/>
      <c r="W647" s="402"/>
      <c r="X647" s="401"/>
      <c r="Y647" s="402"/>
      <c r="Z647" s="401"/>
      <c r="AA647" s="402"/>
      <c r="AB647" s="401"/>
      <c r="AC647" s="402"/>
      <c r="AD647" s="401"/>
      <c r="AE647" s="402"/>
      <c r="AF647" s="401"/>
      <c r="AG647" s="402"/>
      <c r="AH647" s="401"/>
      <c r="AI647" s="402"/>
      <c r="AJ647" s="401"/>
      <c r="AK647" s="402"/>
      <c r="AL647" s="401"/>
      <c r="AM647" s="402"/>
      <c r="AN647" s="401"/>
      <c r="AO647" s="402"/>
      <c r="AP647" s="53"/>
      <c r="AQ647" s="53"/>
      <c r="AR647" s="53"/>
    </row>
    <row r="648" spans="1:44">
      <c r="A648" s="269" t="s">
        <v>485</v>
      </c>
      <c r="B648" s="267" t="s">
        <v>505</v>
      </c>
      <c r="C648" s="475"/>
      <c r="D648" s="473">
        <v>238014</v>
      </c>
      <c r="E648" s="474">
        <v>10</v>
      </c>
      <c r="F648" s="401">
        <v>3868</v>
      </c>
      <c r="G648" s="402">
        <v>3940</v>
      </c>
      <c r="H648" s="401">
        <v>11452</v>
      </c>
      <c r="I648" s="402">
        <v>11668</v>
      </c>
      <c r="J648" s="401"/>
      <c r="K648" s="402"/>
      <c r="L648" s="401"/>
      <c r="M648" s="402"/>
      <c r="N648" s="401"/>
      <c r="O648" s="402"/>
      <c r="P648" s="401"/>
      <c r="Q648" s="402"/>
      <c r="R648" s="401"/>
      <c r="S648" s="402"/>
      <c r="T648" s="401"/>
      <c r="U648" s="402"/>
      <c r="V648" s="401"/>
      <c r="W648" s="402"/>
      <c r="X648" s="401"/>
      <c r="Y648" s="402"/>
      <c r="Z648" s="401"/>
      <c r="AA648" s="402"/>
      <c r="AB648" s="401"/>
      <c r="AC648" s="402"/>
      <c r="AD648" s="401"/>
      <c r="AE648" s="402"/>
      <c r="AF648" s="401"/>
      <c r="AG648" s="402"/>
      <c r="AH648" s="401"/>
      <c r="AI648" s="402"/>
      <c r="AJ648" s="401"/>
      <c r="AK648" s="402"/>
      <c r="AL648" s="401"/>
      <c r="AM648" s="402"/>
      <c r="AN648" s="401"/>
      <c r="AO648" s="402"/>
      <c r="AP648" s="53"/>
      <c r="AQ648" s="53"/>
      <c r="AR648" s="53"/>
    </row>
    <row r="649" spans="1:44" s="179" customFormat="1" ht="15" customHeight="1">
      <c r="A649" s="269" t="s">
        <v>485</v>
      </c>
      <c r="B649" s="267" t="s">
        <v>506</v>
      </c>
      <c r="C649" s="519"/>
      <c r="D649" s="473">
        <v>237880</v>
      </c>
      <c r="E649" s="474">
        <v>15</v>
      </c>
      <c r="F649" s="412"/>
      <c r="G649" s="402"/>
      <c r="H649" s="401"/>
      <c r="I649" s="402"/>
      <c r="J649" s="401"/>
      <c r="K649" s="402"/>
      <c r="L649" s="401"/>
      <c r="M649" s="402"/>
      <c r="N649" s="401"/>
      <c r="O649" s="402"/>
      <c r="P649" s="401"/>
      <c r="Q649" s="402"/>
      <c r="R649" s="401"/>
      <c r="S649" s="402"/>
      <c r="T649" s="401"/>
      <c r="U649" s="402"/>
      <c r="V649" s="401"/>
      <c r="W649" s="402"/>
      <c r="X649" s="401"/>
      <c r="Y649" s="402"/>
      <c r="Z649" s="401"/>
      <c r="AA649" s="402"/>
      <c r="AB649" s="401"/>
      <c r="AC649" s="402"/>
      <c r="AD649" s="401"/>
      <c r="AE649" s="402"/>
      <c r="AF649" s="401"/>
      <c r="AG649" s="402"/>
      <c r="AH649" s="401">
        <v>22472</v>
      </c>
      <c r="AI649" s="402">
        <v>23472</v>
      </c>
      <c r="AJ649" s="401">
        <v>53710</v>
      </c>
      <c r="AK649" s="402">
        <v>54710</v>
      </c>
      <c r="AL649" s="401"/>
      <c r="AM649" s="402"/>
      <c r="AN649" s="401"/>
      <c r="AO649" s="402"/>
    </row>
    <row r="650" spans="1:44" s="179" customFormat="1" ht="15" customHeight="1">
      <c r="A650" s="239" t="s">
        <v>485</v>
      </c>
      <c r="B650" s="237" t="s">
        <v>644</v>
      </c>
      <c r="C650" s="520"/>
      <c r="D650" s="448">
        <v>237729</v>
      </c>
      <c r="E650" s="521">
        <v>14</v>
      </c>
      <c r="F650" s="401">
        <v>6058</v>
      </c>
      <c r="G650" s="402">
        <v>6779</v>
      </c>
      <c r="H650" s="401"/>
      <c r="I650" s="402"/>
      <c r="J650" s="401"/>
      <c r="K650" s="402"/>
      <c r="L650" s="401"/>
      <c r="M650" s="402"/>
      <c r="N650" s="401"/>
      <c r="O650" s="402"/>
      <c r="P650" s="401"/>
      <c r="Q650" s="402"/>
      <c r="R650" s="401"/>
      <c r="S650" s="402"/>
      <c r="T650" s="401"/>
      <c r="U650" s="402"/>
      <c r="V650" s="401"/>
      <c r="W650" s="402"/>
      <c r="X650" s="401"/>
      <c r="Y650" s="402"/>
      <c r="Z650" s="401"/>
      <c r="AA650" s="402"/>
      <c r="AB650" s="401"/>
      <c r="AC650" s="402"/>
      <c r="AD650" s="401"/>
      <c r="AE650" s="402"/>
      <c r="AF650" s="401"/>
      <c r="AG650" s="402"/>
      <c r="AH650" s="401"/>
      <c r="AI650" s="402"/>
      <c r="AJ650" s="401"/>
      <c r="AK650" s="402"/>
      <c r="AL650" s="401"/>
      <c r="AM650" s="402"/>
      <c r="AN650" s="401"/>
      <c r="AO650" s="402"/>
    </row>
    <row r="651" spans="1:44" s="179" customFormat="1" ht="15" customHeight="1">
      <c r="A651" s="239" t="s">
        <v>485</v>
      </c>
      <c r="B651" s="237" t="s">
        <v>645</v>
      </c>
      <c r="C651" s="520"/>
      <c r="D651" s="448">
        <v>237172</v>
      </c>
      <c r="E651" s="521">
        <v>14</v>
      </c>
      <c r="F651" s="401">
        <v>6550</v>
      </c>
      <c r="G651" s="402">
        <v>5439</v>
      </c>
      <c r="H651" s="401"/>
      <c r="I651" s="402"/>
      <c r="J651" s="401"/>
      <c r="K651" s="402"/>
      <c r="L651" s="401"/>
      <c r="M651" s="402"/>
      <c r="N651" s="401"/>
      <c r="O651" s="402"/>
      <c r="P651" s="401"/>
      <c r="Q651" s="402"/>
      <c r="R651" s="401"/>
      <c r="S651" s="402"/>
      <c r="T651" s="401"/>
      <c r="U651" s="402"/>
      <c r="V651" s="401"/>
      <c r="W651" s="402"/>
      <c r="X651" s="401"/>
      <c r="Y651" s="402"/>
      <c r="Z651" s="401"/>
      <c r="AA651" s="402"/>
      <c r="AB651" s="401"/>
      <c r="AC651" s="402"/>
      <c r="AD651" s="401"/>
      <c r="AE651" s="402"/>
      <c r="AF651" s="401"/>
      <c r="AG651" s="402"/>
      <c r="AH651" s="401"/>
      <c r="AI651" s="402"/>
      <c r="AJ651" s="401"/>
      <c r="AK651" s="402"/>
      <c r="AL651" s="401"/>
      <c r="AM651" s="402"/>
      <c r="AN651" s="401"/>
      <c r="AO651" s="402"/>
    </row>
    <row r="652" spans="1:44" s="179" customFormat="1" ht="15" customHeight="1">
      <c r="A652" s="239" t="s">
        <v>485</v>
      </c>
      <c r="B652" s="237" t="s">
        <v>646</v>
      </c>
      <c r="C652" s="520"/>
      <c r="D652" s="448">
        <v>237224</v>
      </c>
      <c r="E652" s="521">
        <v>14</v>
      </c>
      <c r="F652" s="401">
        <v>4250</v>
      </c>
      <c r="G652" s="402">
        <v>5525</v>
      </c>
      <c r="H652" s="401"/>
      <c r="I652" s="402"/>
      <c r="J652" s="401"/>
      <c r="K652" s="402"/>
      <c r="L652" s="401"/>
      <c r="M652" s="402"/>
      <c r="N652" s="401"/>
      <c r="O652" s="402"/>
      <c r="P652" s="401"/>
      <c r="Q652" s="402"/>
      <c r="R652" s="401"/>
      <c r="S652" s="402"/>
      <c r="T652" s="401"/>
      <c r="U652" s="402"/>
      <c r="V652" s="401"/>
      <c r="W652" s="402"/>
      <c r="X652" s="401"/>
      <c r="Y652" s="402"/>
      <c r="Z652" s="401"/>
      <c r="AA652" s="402"/>
      <c r="AB652" s="401"/>
      <c r="AC652" s="402"/>
      <c r="AD652" s="401"/>
      <c r="AE652" s="402"/>
      <c r="AF652" s="401"/>
      <c r="AG652" s="402"/>
      <c r="AH652" s="401"/>
      <c r="AI652" s="402"/>
      <c r="AJ652" s="401"/>
      <c r="AK652" s="402"/>
      <c r="AL652" s="401"/>
      <c r="AM652" s="402"/>
      <c r="AN652" s="401"/>
      <c r="AO652" s="402"/>
    </row>
    <row r="653" spans="1:44" s="179" customFormat="1" ht="15" customHeight="1">
      <c r="A653" s="239" t="s">
        <v>485</v>
      </c>
      <c r="B653" s="237" t="s">
        <v>508</v>
      </c>
      <c r="C653" s="520"/>
      <c r="D653" s="448">
        <v>237242</v>
      </c>
      <c r="E653" s="521">
        <v>14</v>
      </c>
      <c r="F653" s="401">
        <v>6125</v>
      </c>
      <c r="G653" s="402">
        <v>6105</v>
      </c>
      <c r="H653" s="401"/>
      <c r="I653" s="402"/>
      <c r="J653" s="401"/>
      <c r="K653" s="402"/>
      <c r="L653" s="401"/>
      <c r="M653" s="402"/>
      <c r="N653" s="401"/>
      <c r="O653" s="402"/>
      <c r="P653" s="401"/>
      <c r="Q653" s="402"/>
      <c r="R653" s="401"/>
      <c r="S653" s="402"/>
      <c r="T653" s="401"/>
      <c r="U653" s="402"/>
      <c r="V653" s="401"/>
      <c r="W653" s="402"/>
      <c r="X653" s="401"/>
      <c r="Y653" s="402"/>
      <c r="Z653" s="401"/>
      <c r="AA653" s="402"/>
      <c r="AB653" s="401"/>
      <c r="AC653" s="402"/>
      <c r="AD653" s="401"/>
      <c r="AE653" s="402"/>
      <c r="AF653" s="401"/>
      <c r="AG653" s="402"/>
      <c r="AH653" s="401"/>
      <c r="AI653" s="402"/>
      <c r="AJ653" s="401"/>
      <c r="AK653" s="402"/>
      <c r="AL653" s="401"/>
      <c r="AM653" s="402"/>
      <c r="AN653" s="401"/>
      <c r="AO653" s="402"/>
    </row>
    <row r="654" spans="1:44" s="179" customFormat="1" ht="15" customHeight="1">
      <c r="A654" s="239" t="s">
        <v>485</v>
      </c>
      <c r="B654" s="237" t="s">
        <v>647</v>
      </c>
      <c r="C654" s="520"/>
      <c r="D654" s="448">
        <v>430795</v>
      </c>
      <c r="E654" s="521">
        <v>14</v>
      </c>
      <c r="F654" s="401">
        <v>8681</v>
      </c>
      <c r="G654" s="402">
        <v>8681</v>
      </c>
      <c r="H654" s="401"/>
      <c r="I654" s="402"/>
      <c r="J654" s="401"/>
      <c r="K654" s="402"/>
      <c r="L654" s="401"/>
      <c r="M654" s="402"/>
      <c r="N654" s="401"/>
      <c r="O654" s="402"/>
      <c r="P654" s="401"/>
      <c r="Q654" s="402"/>
      <c r="R654" s="401"/>
      <c r="S654" s="402"/>
      <c r="T654" s="401"/>
      <c r="U654" s="402"/>
      <c r="V654" s="401"/>
      <c r="W654" s="402"/>
      <c r="X654" s="401"/>
      <c r="Y654" s="402"/>
      <c r="Z654" s="401"/>
      <c r="AA654" s="402"/>
      <c r="AB654" s="401"/>
      <c r="AC654" s="402"/>
      <c r="AD654" s="401"/>
      <c r="AE654" s="402"/>
      <c r="AF654" s="401"/>
      <c r="AG654" s="402"/>
      <c r="AH654" s="401"/>
      <c r="AI654" s="402"/>
      <c r="AJ654" s="401"/>
      <c r="AK654" s="402"/>
      <c r="AL654" s="401"/>
      <c r="AM654" s="402"/>
      <c r="AN654" s="401"/>
      <c r="AO654" s="402"/>
    </row>
    <row r="655" spans="1:44" s="179" customFormat="1" ht="15" customHeight="1">
      <c r="A655" s="239" t="s">
        <v>485</v>
      </c>
      <c r="B655" s="237" t="s">
        <v>509</v>
      </c>
      <c r="C655" s="520"/>
      <c r="D655" s="448">
        <v>413176</v>
      </c>
      <c r="E655" s="521">
        <v>14</v>
      </c>
      <c r="F655" s="401">
        <v>5727</v>
      </c>
      <c r="G655" s="402">
        <v>2830</v>
      </c>
      <c r="H655" s="401"/>
      <c r="I655" s="402"/>
      <c r="J655" s="401"/>
      <c r="K655" s="402"/>
      <c r="L655" s="401"/>
      <c r="M655" s="402"/>
      <c r="N655" s="401"/>
      <c r="O655" s="402"/>
      <c r="P655" s="401"/>
      <c r="Q655" s="402"/>
      <c r="R655" s="401"/>
      <c r="S655" s="402"/>
      <c r="T655" s="401"/>
      <c r="U655" s="402"/>
      <c r="V655" s="401"/>
      <c r="W655" s="402"/>
      <c r="X655" s="401"/>
      <c r="Y655" s="402"/>
      <c r="Z655" s="401"/>
      <c r="AA655" s="402"/>
      <c r="AB655" s="401"/>
      <c r="AC655" s="402"/>
      <c r="AD655" s="401"/>
      <c r="AE655" s="402"/>
      <c r="AF655" s="401"/>
      <c r="AG655" s="402"/>
      <c r="AH655" s="401"/>
      <c r="AI655" s="402"/>
      <c r="AJ655" s="401"/>
      <c r="AK655" s="402"/>
      <c r="AL655" s="401"/>
      <c r="AM655" s="402"/>
      <c r="AN655" s="401"/>
      <c r="AO655" s="402"/>
    </row>
    <row r="656" spans="1:44" s="179" customFormat="1" ht="15" customHeight="1">
      <c r="A656" s="239" t="s">
        <v>485</v>
      </c>
      <c r="B656" s="237" t="s">
        <v>510</v>
      </c>
      <c r="C656" s="520"/>
      <c r="D656" s="448">
        <v>237844</v>
      </c>
      <c r="E656" s="521">
        <v>14</v>
      </c>
      <c r="F656" s="401">
        <v>4558</v>
      </c>
      <c r="G656" s="402">
        <v>4592</v>
      </c>
      <c r="H656" s="401"/>
      <c r="I656" s="402"/>
      <c r="J656" s="401"/>
      <c r="K656" s="402"/>
      <c r="L656" s="401"/>
      <c r="M656" s="402"/>
      <c r="N656" s="401"/>
      <c r="O656" s="402"/>
      <c r="P656" s="401"/>
      <c r="Q656" s="402"/>
      <c r="R656" s="401"/>
      <c r="S656" s="402"/>
      <c r="T656" s="401"/>
      <c r="U656" s="402"/>
      <c r="V656" s="401"/>
      <c r="W656" s="402"/>
      <c r="X656" s="401"/>
      <c r="Y656" s="402"/>
      <c r="Z656" s="401"/>
      <c r="AA656" s="402"/>
      <c r="AB656" s="401"/>
      <c r="AC656" s="402"/>
      <c r="AD656" s="401"/>
      <c r="AE656" s="402"/>
      <c r="AF656" s="401"/>
      <c r="AG656" s="402"/>
      <c r="AH656" s="401"/>
      <c r="AI656" s="402"/>
      <c r="AJ656" s="401"/>
      <c r="AK656" s="402"/>
      <c r="AL656" s="401"/>
      <c r="AM656" s="402"/>
      <c r="AN656" s="401"/>
      <c r="AO656" s="402"/>
    </row>
    <row r="657" spans="1:44" s="179" customFormat="1" ht="15" customHeight="1">
      <c r="A657" s="239" t="s">
        <v>485</v>
      </c>
      <c r="B657" s="237" t="s">
        <v>511</v>
      </c>
      <c r="C657" s="520"/>
      <c r="D657" s="448">
        <v>431169</v>
      </c>
      <c r="E657" s="521">
        <v>14</v>
      </c>
      <c r="F657" s="401">
        <v>5092</v>
      </c>
      <c r="G657" s="402">
        <v>5557</v>
      </c>
      <c r="H657" s="401"/>
      <c r="I657" s="402"/>
      <c r="J657" s="401"/>
      <c r="K657" s="402"/>
      <c r="L657" s="401"/>
      <c r="M657" s="402"/>
      <c r="N657" s="401"/>
      <c r="O657" s="402"/>
      <c r="P657" s="401"/>
      <c r="Q657" s="402"/>
      <c r="R657" s="401"/>
      <c r="S657" s="402"/>
      <c r="T657" s="401"/>
      <c r="U657" s="402"/>
      <c r="V657" s="401"/>
      <c r="W657" s="402"/>
      <c r="X657" s="401"/>
      <c r="Y657" s="402"/>
      <c r="Z657" s="401"/>
      <c r="AA657" s="402"/>
      <c r="AB657" s="401"/>
      <c r="AC657" s="402"/>
      <c r="AD657" s="401"/>
      <c r="AE657" s="402"/>
      <c r="AF657" s="401"/>
      <c r="AG657" s="402"/>
      <c r="AH657" s="401"/>
      <c r="AI657" s="402"/>
      <c r="AJ657" s="401"/>
      <c r="AK657" s="402"/>
      <c r="AL657" s="401"/>
      <c r="AM657" s="402"/>
      <c r="AN657" s="401"/>
      <c r="AO657" s="402"/>
    </row>
    <row r="658" spans="1:44" s="179" customFormat="1" ht="15" customHeight="1">
      <c r="A658" s="239" t="s">
        <v>485</v>
      </c>
      <c r="B658" s="237" t="s">
        <v>512</v>
      </c>
      <c r="C658" s="520"/>
      <c r="D658" s="448">
        <v>237473</v>
      </c>
      <c r="E658" s="521">
        <v>14</v>
      </c>
      <c r="F658" s="401">
        <v>6177</v>
      </c>
      <c r="G658" s="402">
        <v>7623</v>
      </c>
      <c r="H658" s="401"/>
      <c r="I658" s="402"/>
      <c r="J658" s="401"/>
      <c r="K658" s="402"/>
      <c r="L658" s="401"/>
      <c r="M658" s="402"/>
      <c r="N658" s="401"/>
      <c r="O658" s="402"/>
      <c r="P658" s="401"/>
      <c r="Q658" s="402"/>
      <c r="R658" s="401"/>
      <c r="S658" s="402"/>
      <c r="T658" s="401"/>
      <c r="U658" s="402"/>
      <c r="V658" s="401"/>
      <c r="W658" s="402"/>
      <c r="X658" s="401"/>
      <c r="Y658" s="402"/>
      <c r="Z658" s="401"/>
      <c r="AA658" s="402"/>
      <c r="AB658" s="401"/>
      <c r="AC658" s="402"/>
      <c r="AD658" s="401"/>
      <c r="AE658" s="402"/>
      <c r="AF658" s="401"/>
      <c r="AG658" s="402"/>
      <c r="AH658" s="401"/>
      <c r="AI658" s="402"/>
      <c r="AJ658" s="401"/>
      <c r="AK658" s="402"/>
      <c r="AL658" s="401"/>
      <c r="AM658" s="402"/>
      <c r="AN658" s="401"/>
      <c r="AO658" s="402"/>
    </row>
    <row r="659" spans="1:44" s="179" customFormat="1" ht="15" customHeight="1">
      <c r="A659" s="239" t="s">
        <v>485</v>
      </c>
      <c r="B659" s="237" t="s">
        <v>513</v>
      </c>
      <c r="C659" s="520"/>
      <c r="D659" s="448">
        <v>446349</v>
      </c>
      <c r="E659" s="521">
        <v>14</v>
      </c>
      <c r="F659" s="401">
        <v>6002</v>
      </c>
      <c r="G659" s="402">
        <v>7428</v>
      </c>
      <c r="H659" s="401"/>
      <c r="I659" s="402"/>
      <c r="J659" s="401"/>
      <c r="K659" s="402"/>
      <c r="L659" s="401"/>
      <c r="M659" s="402"/>
      <c r="N659" s="401"/>
      <c r="O659" s="402"/>
      <c r="P659" s="401"/>
      <c r="Q659" s="402"/>
      <c r="R659" s="401"/>
      <c r="S659" s="402"/>
      <c r="T659" s="401"/>
      <c r="U659" s="402"/>
      <c r="V659" s="401"/>
      <c r="W659" s="402"/>
      <c r="X659" s="401"/>
      <c r="Y659" s="402"/>
      <c r="Z659" s="401"/>
      <c r="AA659" s="402"/>
      <c r="AB659" s="401"/>
      <c r="AC659" s="402"/>
      <c r="AD659" s="401"/>
      <c r="AE659" s="402"/>
      <c r="AF659" s="401"/>
      <c r="AG659" s="402"/>
      <c r="AH659" s="401"/>
      <c r="AI659" s="402"/>
      <c r="AJ659" s="401"/>
      <c r="AK659" s="402"/>
      <c r="AL659" s="401"/>
      <c r="AM659" s="402"/>
      <c r="AN659" s="401"/>
      <c r="AO659" s="402"/>
    </row>
    <row r="660" spans="1:44" s="179" customFormat="1" ht="15" customHeight="1">
      <c r="A660" s="239" t="s">
        <v>485</v>
      </c>
      <c r="B660" s="237" t="s">
        <v>648</v>
      </c>
      <c r="C660" s="520"/>
      <c r="D660" s="448">
        <v>237516</v>
      </c>
      <c r="E660" s="521">
        <v>14</v>
      </c>
      <c r="F660" s="401">
        <v>1250</v>
      </c>
      <c r="G660" s="402">
        <v>1250</v>
      </c>
      <c r="H660" s="401"/>
      <c r="I660" s="402"/>
      <c r="J660" s="401"/>
      <c r="K660" s="402"/>
      <c r="L660" s="401"/>
      <c r="M660" s="402"/>
      <c r="N660" s="401"/>
      <c r="O660" s="402"/>
      <c r="P660" s="401"/>
      <c r="Q660" s="402"/>
      <c r="R660" s="401"/>
      <c r="S660" s="402"/>
      <c r="T660" s="401"/>
      <c r="U660" s="402"/>
      <c r="V660" s="401"/>
      <c r="W660" s="402"/>
      <c r="X660" s="401"/>
      <c r="Y660" s="402"/>
      <c r="Z660" s="401"/>
      <c r="AA660" s="402"/>
      <c r="AB660" s="401"/>
      <c r="AC660" s="402"/>
      <c r="AD660" s="401"/>
      <c r="AE660" s="402"/>
      <c r="AF660" s="401"/>
      <c r="AG660" s="402"/>
      <c r="AH660" s="401"/>
      <c r="AI660" s="402"/>
      <c r="AJ660" s="401"/>
      <c r="AK660" s="402"/>
      <c r="AL660" s="401"/>
      <c r="AM660" s="402"/>
      <c r="AN660" s="401"/>
      <c r="AO660" s="402"/>
    </row>
    <row r="661" spans="1:44" s="179" customFormat="1" ht="15" customHeight="1">
      <c r="A661" s="239" t="s">
        <v>485</v>
      </c>
      <c r="B661" s="237" t="s">
        <v>649</v>
      </c>
      <c r="C661" s="520"/>
      <c r="D661" s="448">
        <v>237534</v>
      </c>
      <c r="E661" s="521">
        <v>14</v>
      </c>
      <c r="F661" s="401">
        <v>7276</v>
      </c>
      <c r="G661" s="402">
        <v>7793</v>
      </c>
      <c r="H661" s="401"/>
      <c r="I661" s="402"/>
      <c r="J661" s="401"/>
      <c r="K661" s="402"/>
      <c r="L661" s="401"/>
      <c r="M661" s="402"/>
      <c r="N661" s="401"/>
      <c r="O661" s="402"/>
      <c r="P661" s="401"/>
      <c r="Q661" s="402"/>
      <c r="R661" s="401"/>
      <c r="S661" s="402"/>
      <c r="T661" s="401"/>
      <c r="U661" s="402"/>
      <c r="V661" s="401"/>
      <c r="W661" s="402"/>
      <c r="X661" s="401"/>
      <c r="Y661" s="402"/>
      <c r="Z661" s="401"/>
      <c r="AA661" s="402"/>
      <c r="AB661" s="401"/>
      <c r="AC661" s="402"/>
      <c r="AD661" s="401"/>
      <c r="AE661" s="402"/>
      <c r="AF661" s="401"/>
      <c r="AG661" s="402"/>
      <c r="AH661" s="401"/>
      <c r="AI661" s="402"/>
      <c r="AJ661" s="401"/>
      <c r="AK661" s="402"/>
      <c r="AL661" s="401"/>
      <c r="AM661" s="402"/>
      <c r="AN661" s="401"/>
      <c r="AO661" s="402"/>
    </row>
    <row r="662" spans="1:44" s="179" customFormat="1" ht="15" customHeight="1">
      <c r="A662" s="239" t="s">
        <v>485</v>
      </c>
      <c r="B662" s="237" t="s">
        <v>514</v>
      </c>
      <c r="C662" s="520"/>
      <c r="D662" s="448">
        <v>237543</v>
      </c>
      <c r="E662" s="521">
        <v>14</v>
      </c>
      <c r="F662" s="401">
        <v>3925</v>
      </c>
      <c r="G662" s="402">
        <v>4327</v>
      </c>
      <c r="H662" s="401"/>
      <c r="I662" s="402"/>
      <c r="J662" s="401"/>
      <c r="K662" s="402"/>
      <c r="L662" s="401"/>
      <c r="M662" s="402"/>
      <c r="N662" s="401"/>
      <c r="O662" s="402"/>
      <c r="P662" s="401"/>
      <c r="Q662" s="402"/>
      <c r="R662" s="401"/>
      <c r="S662" s="402"/>
      <c r="T662" s="401"/>
      <c r="U662" s="402"/>
      <c r="V662" s="401"/>
      <c r="W662" s="402"/>
      <c r="X662" s="401"/>
      <c r="Y662" s="402"/>
      <c r="Z662" s="401"/>
      <c r="AA662" s="402"/>
      <c r="AB662" s="401"/>
      <c r="AC662" s="402"/>
      <c r="AD662" s="401"/>
      <c r="AE662" s="402"/>
      <c r="AF662" s="401"/>
      <c r="AG662" s="402"/>
      <c r="AH662" s="401"/>
      <c r="AI662" s="402"/>
      <c r="AJ662" s="401"/>
      <c r="AK662" s="402"/>
      <c r="AL662" s="401"/>
      <c r="AM662" s="402"/>
      <c r="AN662" s="401"/>
      <c r="AO662" s="402"/>
    </row>
    <row r="663" spans="1:44" s="179" customFormat="1" ht="15" customHeight="1">
      <c r="A663" s="239" t="s">
        <v>485</v>
      </c>
      <c r="B663" s="237" t="s">
        <v>650</v>
      </c>
      <c r="C663" s="520"/>
      <c r="D663" s="448">
        <v>368647</v>
      </c>
      <c r="E663" s="521">
        <v>14</v>
      </c>
      <c r="F663" s="401">
        <v>6435</v>
      </c>
      <c r="G663" s="402">
        <v>6435</v>
      </c>
      <c r="H663" s="401"/>
      <c r="I663" s="402"/>
      <c r="J663" s="401"/>
      <c r="K663" s="402"/>
      <c r="L663" s="401"/>
      <c r="M663" s="402"/>
      <c r="N663" s="401"/>
      <c r="O663" s="402"/>
      <c r="P663" s="401"/>
      <c r="Q663" s="402"/>
      <c r="R663" s="401"/>
      <c r="S663" s="402"/>
      <c r="T663" s="401"/>
      <c r="U663" s="402"/>
      <c r="V663" s="401"/>
      <c r="W663" s="402"/>
      <c r="X663" s="401"/>
      <c r="Y663" s="402"/>
      <c r="Z663" s="401"/>
      <c r="AA663" s="402"/>
      <c r="AB663" s="401"/>
      <c r="AC663" s="402"/>
      <c r="AD663" s="401"/>
      <c r="AE663" s="402"/>
      <c r="AF663" s="401"/>
      <c r="AG663" s="402"/>
      <c r="AH663" s="401"/>
      <c r="AI663" s="402"/>
      <c r="AJ663" s="401"/>
      <c r="AK663" s="402"/>
      <c r="AL663" s="401"/>
      <c r="AM663" s="402"/>
      <c r="AN663" s="401"/>
      <c r="AO663" s="402"/>
    </row>
    <row r="664" spans="1:44" s="179" customFormat="1" ht="15" customHeight="1">
      <c r="A664" s="239" t="s">
        <v>485</v>
      </c>
      <c r="B664" s="237" t="s">
        <v>515</v>
      </c>
      <c r="C664" s="520"/>
      <c r="D664" s="448">
        <v>237561</v>
      </c>
      <c r="E664" s="521">
        <v>14</v>
      </c>
      <c r="F664" s="401">
        <v>5006</v>
      </c>
      <c r="G664" s="402">
        <v>5535</v>
      </c>
      <c r="H664" s="401"/>
      <c r="I664" s="402"/>
      <c r="J664" s="401"/>
      <c r="K664" s="402"/>
      <c r="L664" s="401"/>
      <c r="M664" s="402"/>
      <c r="N664" s="401"/>
      <c r="O664" s="402"/>
      <c r="P664" s="401"/>
      <c r="Q664" s="402"/>
      <c r="R664" s="401"/>
      <c r="S664" s="402"/>
      <c r="T664" s="401"/>
      <c r="U664" s="402"/>
      <c r="V664" s="401"/>
      <c r="W664" s="402"/>
      <c r="X664" s="401"/>
      <c r="Y664" s="402"/>
      <c r="Z664" s="401"/>
      <c r="AA664" s="402"/>
      <c r="AB664" s="401"/>
      <c r="AC664" s="402"/>
      <c r="AD664" s="401"/>
      <c r="AE664" s="402"/>
      <c r="AF664" s="401"/>
      <c r="AG664" s="402"/>
      <c r="AH664" s="401"/>
      <c r="AI664" s="402"/>
      <c r="AJ664" s="401"/>
      <c r="AK664" s="402"/>
      <c r="AL664" s="401"/>
      <c r="AM664" s="402"/>
      <c r="AN664" s="401"/>
      <c r="AO664" s="402"/>
    </row>
    <row r="665" spans="1:44" s="179" customFormat="1" ht="15" customHeight="1">
      <c r="A665" s="239" t="s">
        <v>485</v>
      </c>
      <c r="B665" s="237" t="s">
        <v>516</v>
      </c>
      <c r="C665" s="520"/>
      <c r="D665" s="448">
        <v>419420</v>
      </c>
      <c r="E665" s="521">
        <v>14</v>
      </c>
      <c r="F665" s="401">
        <v>5081</v>
      </c>
      <c r="G665" s="402">
        <v>3296</v>
      </c>
      <c r="H665" s="401"/>
      <c r="I665" s="402"/>
      <c r="J665" s="401"/>
      <c r="K665" s="402"/>
      <c r="L665" s="401"/>
      <c r="M665" s="402"/>
      <c r="N665" s="401"/>
      <c r="O665" s="402"/>
      <c r="P665" s="401"/>
      <c r="Q665" s="402"/>
      <c r="R665" s="401"/>
      <c r="S665" s="402"/>
      <c r="T665" s="401"/>
      <c r="U665" s="402"/>
      <c r="V665" s="401"/>
      <c r="W665" s="402"/>
      <c r="X665" s="401"/>
      <c r="Y665" s="402"/>
      <c r="Z665" s="401"/>
      <c r="AA665" s="402"/>
      <c r="AB665" s="401"/>
      <c r="AC665" s="402"/>
      <c r="AD665" s="401"/>
      <c r="AE665" s="402"/>
      <c r="AF665" s="401"/>
      <c r="AG665" s="402"/>
      <c r="AH665" s="401"/>
      <c r="AI665" s="402"/>
      <c r="AJ665" s="401"/>
      <c r="AK665" s="402"/>
      <c r="AL665" s="401"/>
      <c r="AM665" s="402"/>
      <c r="AN665" s="401"/>
      <c r="AO665" s="402"/>
    </row>
    <row r="666" spans="1:44" s="179" customFormat="1" ht="15" customHeight="1">
      <c r="A666" s="239" t="s">
        <v>485</v>
      </c>
      <c r="B666" s="237" t="s">
        <v>651</v>
      </c>
      <c r="C666" s="520"/>
      <c r="D666" s="448">
        <v>237491</v>
      </c>
      <c r="E666" s="521">
        <v>14</v>
      </c>
      <c r="F666" s="401">
        <v>3609</v>
      </c>
      <c r="G666" s="402">
        <v>8162</v>
      </c>
      <c r="H666" s="401"/>
      <c r="I666" s="402"/>
      <c r="J666" s="401"/>
      <c r="K666" s="402"/>
      <c r="L666" s="401"/>
      <c r="M666" s="402"/>
      <c r="N666" s="401"/>
      <c r="O666" s="402"/>
      <c r="P666" s="401"/>
      <c r="Q666" s="402"/>
      <c r="R666" s="401"/>
      <c r="S666" s="402"/>
      <c r="T666" s="401"/>
      <c r="U666" s="402"/>
      <c r="V666" s="401"/>
      <c r="W666" s="402"/>
      <c r="X666" s="401"/>
      <c r="Y666" s="402"/>
      <c r="Z666" s="401"/>
      <c r="AA666" s="402"/>
      <c r="AB666" s="401"/>
      <c r="AC666" s="402"/>
      <c r="AD666" s="401"/>
      <c r="AE666" s="402"/>
      <c r="AF666" s="401"/>
      <c r="AG666" s="402"/>
      <c r="AH666" s="401"/>
      <c r="AI666" s="402"/>
      <c r="AJ666" s="401"/>
      <c r="AK666" s="402"/>
      <c r="AL666" s="401"/>
      <c r="AM666" s="402"/>
      <c r="AN666" s="401"/>
      <c r="AO666" s="402"/>
    </row>
    <row r="667" spans="1:44" s="179" customFormat="1" ht="15" customHeight="1">
      <c r="A667" s="239" t="s">
        <v>485</v>
      </c>
      <c r="B667" s="237" t="s">
        <v>517</v>
      </c>
      <c r="C667" s="520"/>
      <c r="D667" s="448">
        <v>364575</v>
      </c>
      <c r="E667" s="521">
        <v>14</v>
      </c>
      <c r="F667" s="401">
        <v>8105</v>
      </c>
      <c r="G667" s="402">
        <v>8105</v>
      </c>
      <c r="H667" s="401"/>
      <c r="I667" s="402"/>
      <c r="J667" s="401"/>
      <c r="K667" s="402"/>
      <c r="L667" s="401"/>
      <c r="M667" s="402"/>
      <c r="N667" s="401"/>
      <c r="O667" s="402"/>
      <c r="P667" s="401"/>
      <c r="Q667" s="402"/>
      <c r="R667" s="401"/>
      <c r="S667" s="402"/>
      <c r="T667" s="401"/>
      <c r="U667" s="402"/>
      <c r="V667" s="401"/>
      <c r="W667" s="402"/>
      <c r="X667" s="401"/>
      <c r="Y667" s="402"/>
      <c r="Z667" s="401"/>
      <c r="AA667" s="402"/>
      <c r="AB667" s="401"/>
      <c r="AC667" s="402"/>
      <c r="AD667" s="401"/>
      <c r="AE667" s="402"/>
      <c r="AF667" s="401"/>
      <c r="AG667" s="402"/>
      <c r="AH667" s="401"/>
      <c r="AI667" s="402"/>
      <c r="AJ667" s="401"/>
      <c r="AK667" s="402"/>
      <c r="AL667" s="401"/>
      <c r="AM667" s="402"/>
      <c r="AN667" s="401"/>
      <c r="AO667" s="402"/>
    </row>
    <row r="668" spans="1:44" s="179" customFormat="1" ht="15" customHeight="1">
      <c r="A668" s="239" t="s">
        <v>485</v>
      </c>
      <c r="B668" s="237" t="s">
        <v>518</v>
      </c>
      <c r="C668" s="520"/>
      <c r="D668" s="448">
        <v>441894</v>
      </c>
      <c r="E668" s="521">
        <v>14</v>
      </c>
      <c r="F668" s="401">
        <v>9000</v>
      </c>
      <c r="G668" s="402">
        <v>9000</v>
      </c>
      <c r="H668" s="401"/>
      <c r="I668" s="402"/>
      <c r="J668" s="401"/>
      <c r="K668" s="402"/>
      <c r="L668" s="401"/>
      <c r="M668" s="402"/>
      <c r="N668" s="401"/>
      <c r="O668" s="402"/>
      <c r="P668" s="401"/>
      <c r="Q668" s="402"/>
      <c r="R668" s="401"/>
      <c r="S668" s="402"/>
      <c r="T668" s="401"/>
      <c r="U668" s="402"/>
      <c r="V668" s="401"/>
      <c r="W668" s="402"/>
      <c r="X668" s="401"/>
      <c r="Y668" s="402"/>
      <c r="Z668" s="401"/>
      <c r="AA668" s="402"/>
      <c r="AB668" s="401"/>
      <c r="AC668" s="402"/>
      <c r="AD668" s="401"/>
      <c r="AE668" s="402"/>
      <c r="AF668" s="401"/>
      <c r="AG668" s="402"/>
      <c r="AH668" s="401"/>
      <c r="AI668" s="402"/>
      <c r="AJ668" s="401"/>
      <c r="AK668" s="402"/>
      <c r="AL668" s="401"/>
      <c r="AM668" s="402"/>
      <c r="AN668" s="401"/>
      <c r="AO668" s="402"/>
    </row>
    <row r="669" spans="1:44" s="179" customFormat="1" ht="15" customHeight="1">
      <c r="A669" s="239" t="s">
        <v>485</v>
      </c>
      <c r="B669" s="237" t="s">
        <v>519</v>
      </c>
      <c r="C669" s="520"/>
      <c r="D669" s="448">
        <v>419031</v>
      </c>
      <c r="E669" s="521">
        <v>14</v>
      </c>
      <c r="F669" s="401">
        <v>8460</v>
      </c>
      <c r="G669" s="402">
        <v>8731</v>
      </c>
      <c r="H669" s="401"/>
      <c r="I669" s="402"/>
      <c r="J669" s="401"/>
      <c r="K669" s="402"/>
      <c r="L669" s="401"/>
      <c r="M669" s="402"/>
      <c r="N669" s="401"/>
      <c r="O669" s="402"/>
      <c r="P669" s="401"/>
      <c r="Q669" s="402"/>
      <c r="R669" s="401"/>
      <c r="S669" s="402"/>
      <c r="T669" s="401"/>
      <c r="U669" s="402"/>
      <c r="V669" s="401"/>
      <c r="W669" s="402"/>
      <c r="X669" s="401"/>
      <c r="Y669" s="402"/>
      <c r="Z669" s="401"/>
      <c r="AA669" s="402"/>
      <c r="AB669" s="401"/>
      <c r="AC669" s="402"/>
      <c r="AD669" s="401"/>
      <c r="AE669" s="402"/>
      <c r="AF669" s="401"/>
      <c r="AG669" s="402"/>
      <c r="AH669" s="401"/>
      <c r="AI669" s="402"/>
      <c r="AJ669" s="401"/>
      <c r="AK669" s="402"/>
      <c r="AL669" s="401"/>
      <c r="AM669" s="402"/>
      <c r="AN669" s="401"/>
      <c r="AO669" s="402"/>
    </row>
    <row r="670" spans="1:44">
      <c r="A670" s="239" t="s">
        <v>485</v>
      </c>
      <c r="B670" s="237" t="s">
        <v>652</v>
      </c>
      <c r="C670" s="520"/>
      <c r="D670" s="522" t="s">
        <v>84</v>
      </c>
      <c r="E670" s="521">
        <v>14</v>
      </c>
      <c r="F670" s="401">
        <v>6650</v>
      </c>
      <c r="G670" s="402">
        <v>6555</v>
      </c>
      <c r="H670" s="401"/>
      <c r="I670" s="402"/>
      <c r="J670" s="401"/>
      <c r="K670" s="402"/>
      <c r="L670" s="401"/>
      <c r="M670" s="402"/>
      <c r="N670" s="401"/>
      <c r="O670" s="402"/>
      <c r="P670" s="401"/>
      <c r="Q670" s="402"/>
      <c r="R670" s="401"/>
      <c r="S670" s="402"/>
      <c r="T670" s="401"/>
      <c r="U670" s="402"/>
      <c r="V670" s="401"/>
      <c r="W670" s="402"/>
      <c r="X670" s="401"/>
      <c r="Y670" s="402"/>
      <c r="Z670" s="401"/>
      <c r="AA670" s="402"/>
      <c r="AB670" s="401"/>
      <c r="AC670" s="402"/>
      <c r="AD670" s="401"/>
      <c r="AE670" s="402"/>
      <c r="AF670" s="401"/>
      <c r="AG670" s="402"/>
      <c r="AH670" s="401"/>
      <c r="AI670" s="402"/>
      <c r="AJ670" s="401"/>
      <c r="AK670" s="402"/>
      <c r="AL670" s="401"/>
      <c r="AM670" s="402"/>
      <c r="AN670" s="401"/>
      <c r="AO670" s="402"/>
      <c r="AP670" s="53"/>
      <c r="AQ670" s="53"/>
      <c r="AR670" s="53"/>
    </row>
    <row r="671" spans="1:44">
      <c r="A671" s="239" t="s">
        <v>485</v>
      </c>
      <c r="B671" s="237" t="s">
        <v>653</v>
      </c>
      <c r="C671" s="520"/>
      <c r="D671" s="522" t="s">
        <v>84</v>
      </c>
      <c r="E671" s="521">
        <v>15</v>
      </c>
      <c r="F671" s="401">
        <v>5500</v>
      </c>
      <c r="G671" s="402">
        <v>5500</v>
      </c>
      <c r="H671" s="401"/>
      <c r="I671" s="402"/>
      <c r="J671" s="401"/>
      <c r="K671" s="402"/>
      <c r="L671" s="401"/>
      <c r="M671" s="402"/>
      <c r="N671" s="401"/>
      <c r="O671" s="402"/>
      <c r="P671" s="401"/>
      <c r="Q671" s="402"/>
      <c r="R671" s="401"/>
      <c r="S671" s="402"/>
      <c r="T671" s="401"/>
      <c r="U671" s="402"/>
      <c r="V671" s="401"/>
      <c r="W671" s="402"/>
      <c r="X671" s="401"/>
      <c r="Y671" s="402"/>
      <c r="Z671" s="401"/>
      <c r="AA671" s="402"/>
      <c r="AB671" s="401"/>
      <c r="AC671" s="402"/>
      <c r="AD671" s="401"/>
      <c r="AE671" s="402"/>
      <c r="AF671" s="401"/>
      <c r="AG671" s="402"/>
      <c r="AH671" s="401"/>
      <c r="AI671" s="402"/>
      <c r="AJ671" s="401"/>
      <c r="AK671" s="402"/>
      <c r="AL671" s="401"/>
      <c r="AM671" s="402"/>
      <c r="AN671" s="401"/>
      <c r="AO671" s="402"/>
      <c r="AP671" s="53"/>
      <c r="AQ671" s="53"/>
      <c r="AR671" s="53"/>
    </row>
    <row r="672" spans="1:44" s="179" customFormat="1" ht="15" customHeight="1">
      <c r="A672" s="239" t="s">
        <v>485</v>
      </c>
      <c r="B672" s="237" t="s">
        <v>520</v>
      </c>
      <c r="C672" s="520"/>
      <c r="D672" s="448">
        <v>486202</v>
      </c>
      <c r="E672" s="521">
        <v>15</v>
      </c>
      <c r="F672" s="401">
        <v>4812</v>
      </c>
      <c r="G672" s="402">
        <v>2110</v>
      </c>
      <c r="H672" s="401"/>
      <c r="I672" s="402"/>
      <c r="J672" s="401"/>
      <c r="K672" s="402"/>
      <c r="L672" s="401"/>
      <c r="M672" s="402"/>
      <c r="N672" s="401"/>
      <c r="O672" s="402"/>
      <c r="P672" s="401"/>
      <c r="Q672" s="402"/>
      <c r="R672" s="401"/>
      <c r="S672" s="402"/>
      <c r="T672" s="401"/>
      <c r="U672" s="402"/>
      <c r="V672" s="401"/>
      <c r="W672" s="402"/>
      <c r="X672" s="401"/>
      <c r="Y672" s="402"/>
      <c r="Z672" s="401"/>
      <c r="AA672" s="402"/>
      <c r="AB672" s="401"/>
      <c r="AC672" s="402"/>
      <c r="AD672" s="401"/>
      <c r="AE672" s="402"/>
      <c r="AF672" s="401"/>
      <c r="AG672" s="402"/>
      <c r="AH672" s="401"/>
      <c r="AI672" s="402"/>
      <c r="AJ672" s="401"/>
      <c r="AK672" s="402"/>
      <c r="AL672" s="401"/>
      <c r="AM672" s="402"/>
      <c r="AN672" s="401"/>
      <c r="AO672" s="402"/>
    </row>
    <row r="673" spans="1:44" s="179" customFormat="1" ht="15" customHeight="1">
      <c r="A673" s="239" t="s">
        <v>485</v>
      </c>
      <c r="B673" s="237" t="s">
        <v>654</v>
      </c>
      <c r="C673" s="520"/>
      <c r="D673" s="448">
        <v>486406</v>
      </c>
      <c r="E673" s="521">
        <v>15</v>
      </c>
      <c r="F673" s="401">
        <v>6000</v>
      </c>
      <c r="G673" s="402">
        <v>6000</v>
      </c>
      <c r="H673" s="401"/>
      <c r="I673" s="402"/>
      <c r="J673" s="401"/>
      <c r="K673" s="402"/>
      <c r="L673" s="401"/>
      <c r="M673" s="402"/>
      <c r="N673" s="401"/>
      <c r="O673" s="402"/>
      <c r="P673" s="401"/>
      <c r="Q673" s="402"/>
      <c r="R673" s="401"/>
      <c r="S673" s="402"/>
      <c r="T673" s="401"/>
      <c r="U673" s="402"/>
      <c r="V673" s="401"/>
      <c r="W673" s="402"/>
      <c r="X673" s="401"/>
      <c r="Y673" s="402"/>
      <c r="Z673" s="401"/>
      <c r="AA673" s="402"/>
      <c r="AB673" s="401"/>
      <c r="AC673" s="402"/>
      <c r="AD673" s="401"/>
      <c r="AE673" s="402"/>
      <c r="AF673" s="401"/>
      <c r="AG673" s="402"/>
      <c r="AH673" s="401"/>
      <c r="AI673" s="402"/>
      <c r="AJ673" s="401"/>
      <c r="AK673" s="402"/>
      <c r="AL673" s="401"/>
      <c r="AM673" s="402"/>
      <c r="AN673" s="401"/>
      <c r="AO673" s="402"/>
    </row>
    <row r="674" spans="1:44">
      <c r="A674" s="239" t="s">
        <v>485</v>
      </c>
      <c r="B674" s="237" t="s">
        <v>655</v>
      </c>
      <c r="C674" s="520"/>
      <c r="D674" s="522" t="s">
        <v>84</v>
      </c>
      <c r="E674" s="521">
        <v>15</v>
      </c>
      <c r="F674" s="401">
        <v>4618</v>
      </c>
      <c r="G674" s="402">
        <v>0</v>
      </c>
      <c r="H674" s="401"/>
      <c r="I674" s="402"/>
      <c r="J674" s="401"/>
      <c r="K674" s="402"/>
      <c r="L674" s="401"/>
      <c r="M674" s="402"/>
      <c r="N674" s="401"/>
      <c r="O674" s="402"/>
      <c r="P674" s="401"/>
      <c r="Q674" s="402"/>
      <c r="R674" s="401"/>
      <c r="S674" s="402"/>
      <c r="T674" s="401"/>
      <c r="U674" s="402"/>
      <c r="V674" s="401"/>
      <c r="W674" s="402"/>
      <c r="X674" s="401"/>
      <c r="Y674" s="402"/>
      <c r="Z674" s="401"/>
      <c r="AA674" s="402"/>
      <c r="AB674" s="401"/>
      <c r="AC674" s="402"/>
      <c r="AD674" s="401"/>
      <c r="AE674" s="402"/>
      <c r="AF674" s="401"/>
      <c r="AG674" s="402"/>
      <c r="AH674" s="401"/>
      <c r="AI674" s="402"/>
      <c r="AJ674" s="401"/>
      <c r="AK674" s="402"/>
      <c r="AL674" s="401"/>
      <c r="AM674" s="402"/>
      <c r="AN674" s="401"/>
      <c r="AO674" s="402"/>
      <c r="AP674" s="53"/>
      <c r="AQ674" s="53"/>
      <c r="AR674" s="53"/>
    </row>
    <row r="675" spans="1:44" s="179" customFormat="1" ht="15" customHeight="1">
      <c r="A675" s="239" t="s">
        <v>485</v>
      </c>
      <c r="B675" s="237" t="s">
        <v>835</v>
      </c>
      <c r="C675" s="520"/>
      <c r="D675" s="448">
        <v>238096</v>
      </c>
      <c r="E675" s="521">
        <v>15</v>
      </c>
      <c r="F675" s="401">
        <v>7120</v>
      </c>
      <c r="G675" s="402">
        <v>6900</v>
      </c>
      <c r="H675" s="401"/>
      <c r="I675" s="402"/>
      <c r="J675" s="401"/>
      <c r="K675" s="402"/>
      <c r="L675" s="415"/>
      <c r="M675" s="402"/>
      <c r="N675" s="401"/>
      <c r="O675" s="402"/>
      <c r="P675" s="401"/>
      <c r="Q675" s="402"/>
      <c r="R675" s="401"/>
      <c r="S675" s="402"/>
      <c r="T675" s="401"/>
      <c r="U675" s="402"/>
      <c r="V675" s="401"/>
      <c r="W675" s="402"/>
      <c r="X675" s="401"/>
      <c r="Y675" s="402"/>
      <c r="Z675" s="401"/>
      <c r="AA675" s="402"/>
      <c r="AB675" s="401"/>
      <c r="AC675" s="402"/>
      <c r="AD675" s="401"/>
      <c r="AE675" s="402"/>
      <c r="AF675" s="401"/>
      <c r="AG675" s="402"/>
      <c r="AH675" s="401"/>
      <c r="AI675" s="402"/>
      <c r="AJ675" s="401"/>
      <c r="AK675" s="402"/>
      <c r="AL675" s="401"/>
      <c r="AM675" s="402"/>
      <c r="AN675" s="401"/>
      <c r="AO675" s="402"/>
    </row>
  </sheetData>
  <sheetProtection insertRows="0" deleteRows="0"/>
  <mergeCells count="1">
    <mergeCell ref="A3:E3"/>
  </mergeCells>
  <pageMargins left="0.25" right="0.25" top="0.25" bottom="0.25" header="0.5" footer="0.5"/>
  <pageSetup paperSize="5" fitToWidth="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A9D3-5323-41C1-8DE3-713DA825A216}">
  <sheetPr codeName="Sheet9" filterMode="1"/>
  <dimension ref="A1:AR1032"/>
  <sheetViews>
    <sheetView topLeftCell="A677" workbookViewId="0">
      <selection activeCell="K697" sqref="K697"/>
    </sheetView>
  </sheetViews>
  <sheetFormatPr defaultColWidth="9" defaultRowHeight="12.75"/>
  <cols>
    <col min="1" max="1" width="6" style="206" customWidth="1"/>
    <col min="2" max="2" width="25.44140625" style="207" customWidth="1"/>
    <col min="3" max="3" width="20.21875" style="207" customWidth="1"/>
    <col min="4" max="4" width="12.21875" style="206" customWidth="1"/>
    <col min="5" max="5" width="7.109375" style="206" bestFit="1" customWidth="1"/>
    <col min="6" max="6" width="8.6640625" style="201" customWidth="1"/>
    <col min="7" max="7" width="9.21875" style="208" customWidth="1"/>
    <col min="8" max="8" width="9.88671875" style="201" customWidth="1"/>
    <col min="9" max="9" width="9.109375" style="208" customWidth="1"/>
    <col min="10" max="10" width="8.6640625" style="209" customWidth="1"/>
    <col min="11" max="11" width="8.44140625" style="208" customWidth="1"/>
    <col min="12" max="12" width="9.88671875" style="201" customWidth="1"/>
    <col min="13" max="13" width="8.88671875" style="208" customWidth="1"/>
    <col min="14" max="14" width="8.6640625" style="210" customWidth="1"/>
    <col min="15" max="15" width="8" style="208" customWidth="1"/>
    <col min="16" max="16" width="9.88671875" style="201" customWidth="1"/>
    <col min="17" max="17" width="8.44140625" style="208" customWidth="1"/>
    <col min="18" max="18" width="8.6640625" style="201" customWidth="1"/>
    <col min="19" max="19" width="8.33203125" style="208" customWidth="1"/>
    <col min="20" max="20" width="9.88671875" style="201" customWidth="1"/>
    <col min="21" max="21" width="8.21875" style="208" customWidth="1"/>
    <col min="22" max="22" width="8.6640625" style="201" customWidth="1"/>
    <col min="23" max="23" width="8.44140625" style="208" customWidth="1"/>
    <col min="24" max="24" width="9.88671875" style="201" customWidth="1"/>
    <col min="25" max="25" width="10.44140625" style="208" customWidth="1"/>
    <col min="26" max="26" width="8.6640625" style="201" customWidth="1"/>
    <col min="27" max="27" width="10.44140625" style="208" customWidth="1"/>
    <col min="28" max="28" width="9.88671875" style="201" customWidth="1"/>
    <col min="29" max="29" width="10.44140625" style="208" customWidth="1"/>
    <col min="30" max="30" width="8.6640625" style="201" customWidth="1"/>
    <col min="31" max="31" width="10.44140625" style="208" customWidth="1"/>
    <col min="32" max="32" width="9.88671875" style="201" customWidth="1"/>
    <col min="33" max="33" width="10.44140625" style="208" customWidth="1"/>
    <col min="34" max="34" width="9.6640625" style="201" customWidth="1"/>
    <col min="35" max="35" width="10.44140625" style="208" customWidth="1"/>
    <col min="36" max="36" width="9.88671875" style="201" customWidth="1"/>
    <col min="37" max="37" width="10.44140625" style="208" customWidth="1"/>
    <col min="38" max="38" width="9.44140625" style="201" customWidth="1"/>
    <col min="39" max="39" width="10.44140625" style="208" customWidth="1"/>
    <col min="40" max="40" width="9.88671875" style="201" customWidth="1"/>
    <col min="41" max="41" width="10.44140625" style="208" customWidth="1"/>
    <col min="42" max="16384" width="9" style="201"/>
  </cols>
  <sheetData>
    <row r="1" spans="1:43" s="53" customFormat="1" ht="30.75" customHeight="1">
      <c r="A1" s="195" t="s">
        <v>12</v>
      </c>
      <c r="B1" s="196" t="s">
        <v>17</v>
      </c>
      <c r="C1" s="196" t="s">
        <v>838</v>
      </c>
      <c r="D1" s="195" t="s">
        <v>18</v>
      </c>
      <c r="E1" s="195" t="s">
        <v>19</v>
      </c>
      <c r="F1" s="197" t="s">
        <v>20</v>
      </c>
      <c r="G1" s="197" t="s">
        <v>21</v>
      </c>
      <c r="H1" s="197" t="s">
        <v>22</v>
      </c>
      <c r="I1" s="197" t="s">
        <v>23</v>
      </c>
      <c r="J1" s="198" t="s">
        <v>24</v>
      </c>
      <c r="K1" s="197" t="s">
        <v>25</v>
      </c>
      <c r="L1" s="197" t="s">
        <v>26</v>
      </c>
      <c r="M1" s="197" t="s">
        <v>27</v>
      </c>
      <c r="N1" s="198" t="s">
        <v>28</v>
      </c>
      <c r="O1" s="197" t="s">
        <v>29</v>
      </c>
      <c r="P1" s="197" t="s">
        <v>30</v>
      </c>
      <c r="Q1" s="197" t="s">
        <v>31</v>
      </c>
      <c r="R1" s="198" t="s">
        <v>32</v>
      </c>
      <c r="S1" s="197" t="s">
        <v>33</v>
      </c>
      <c r="T1" s="197" t="s">
        <v>34</v>
      </c>
      <c r="U1" s="197" t="s">
        <v>35</v>
      </c>
      <c r="V1" s="198" t="s">
        <v>36</v>
      </c>
      <c r="W1" s="197" t="s">
        <v>37</v>
      </c>
      <c r="X1" s="197" t="s">
        <v>38</v>
      </c>
      <c r="Y1" s="197" t="s">
        <v>39</v>
      </c>
      <c r="Z1" s="198" t="s">
        <v>40</v>
      </c>
      <c r="AA1" s="197" t="s">
        <v>41</v>
      </c>
      <c r="AB1" s="197" t="s">
        <v>42</v>
      </c>
      <c r="AC1" s="197" t="s">
        <v>43</v>
      </c>
      <c r="AD1" s="198" t="s">
        <v>44</v>
      </c>
      <c r="AE1" s="197" t="s">
        <v>45</v>
      </c>
      <c r="AF1" s="197" t="s">
        <v>46</v>
      </c>
      <c r="AG1" s="197" t="s">
        <v>47</v>
      </c>
      <c r="AH1" s="198" t="s">
        <v>48</v>
      </c>
      <c r="AI1" s="197" t="s">
        <v>49</v>
      </c>
      <c r="AJ1" s="197" t="s">
        <v>50</v>
      </c>
      <c r="AK1" s="197" t="s">
        <v>51</v>
      </c>
      <c r="AL1" s="198" t="s">
        <v>52</v>
      </c>
      <c r="AM1" s="197" t="s">
        <v>53</v>
      </c>
      <c r="AN1" s="197" t="s">
        <v>54</v>
      </c>
      <c r="AO1" s="197" t="s">
        <v>55</v>
      </c>
      <c r="AP1" s="199"/>
      <c r="AQ1" s="200"/>
    </row>
    <row r="2" spans="1:43">
      <c r="A2" s="340" t="s">
        <v>56</v>
      </c>
      <c r="B2" s="341" t="s">
        <v>57</v>
      </c>
      <c r="C2" s="421"/>
      <c r="D2" s="416">
        <v>100858</v>
      </c>
      <c r="E2" s="416">
        <v>1</v>
      </c>
      <c r="F2" s="390">
        <v>11796</v>
      </c>
      <c r="G2" s="391">
        <v>11826</v>
      </c>
      <c r="H2" s="390">
        <v>31956</v>
      </c>
      <c r="I2" s="391">
        <v>31986</v>
      </c>
      <c r="J2" s="390">
        <v>11796</v>
      </c>
      <c r="K2" s="391">
        <v>11826</v>
      </c>
      <c r="L2" s="390">
        <v>31956</v>
      </c>
      <c r="M2" s="391">
        <v>31986</v>
      </c>
      <c r="N2" s="390"/>
      <c r="O2" s="391"/>
      <c r="P2" s="390"/>
      <c r="Q2" s="391"/>
      <c r="R2" s="390"/>
      <c r="S2" s="391"/>
      <c r="T2" s="390"/>
      <c r="U2" s="391"/>
      <c r="V2" s="390"/>
      <c r="W2" s="391"/>
      <c r="X2" s="390"/>
      <c r="Y2" s="391"/>
      <c r="Z2" s="390">
        <v>22362</v>
      </c>
      <c r="AA2" s="391">
        <v>22392</v>
      </c>
      <c r="AB2" s="390">
        <v>42522</v>
      </c>
      <c r="AC2" s="391">
        <v>42552</v>
      </c>
      <c r="AD2" s="390"/>
      <c r="AE2" s="391"/>
      <c r="AF2" s="390"/>
      <c r="AG2" s="391"/>
      <c r="AH2" s="390"/>
      <c r="AI2" s="391"/>
      <c r="AJ2" s="390"/>
      <c r="AK2" s="391"/>
      <c r="AL2" s="390">
        <v>24296</v>
      </c>
      <c r="AM2" s="391">
        <v>24326</v>
      </c>
      <c r="AN2" s="390">
        <v>50456</v>
      </c>
      <c r="AO2" s="391">
        <v>50486</v>
      </c>
      <c r="AP2" s="392">
        <f>MEDIAN(AM2:AM671)</f>
        <v>26086</v>
      </c>
    </row>
    <row r="3" spans="1:43">
      <c r="A3" s="340" t="s">
        <v>56</v>
      </c>
      <c r="B3" s="341" t="s">
        <v>58</v>
      </c>
      <c r="C3" s="422"/>
      <c r="D3" s="417">
        <v>100751</v>
      </c>
      <c r="E3" s="417">
        <v>1</v>
      </c>
      <c r="F3" s="390">
        <v>11620</v>
      </c>
      <c r="G3" s="391">
        <v>11620</v>
      </c>
      <c r="H3" s="390">
        <v>31090</v>
      </c>
      <c r="I3" s="391">
        <v>31090</v>
      </c>
      <c r="J3" s="390">
        <v>11470</v>
      </c>
      <c r="K3" s="391">
        <v>11470</v>
      </c>
      <c r="L3" s="390">
        <v>30940</v>
      </c>
      <c r="M3" s="391">
        <v>30940</v>
      </c>
      <c r="N3" s="390">
        <v>23910</v>
      </c>
      <c r="O3" s="391">
        <v>23910</v>
      </c>
      <c r="P3" s="390">
        <v>43360</v>
      </c>
      <c r="Q3" s="391">
        <v>43360</v>
      </c>
      <c r="R3" s="390">
        <v>29702</v>
      </c>
      <c r="S3" s="391">
        <v>29998</v>
      </c>
      <c r="T3" s="390">
        <v>62714</v>
      </c>
      <c r="U3" s="391">
        <v>62714</v>
      </c>
      <c r="V3" s="390"/>
      <c r="W3" s="391"/>
      <c r="X3" s="390"/>
      <c r="Y3" s="391"/>
      <c r="Z3" s="390"/>
      <c r="AA3" s="391"/>
      <c r="AB3" s="390"/>
      <c r="AC3" s="391"/>
      <c r="AD3" s="390"/>
      <c r="AE3" s="391"/>
      <c r="AF3" s="390"/>
      <c r="AG3" s="391"/>
      <c r="AH3" s="390"/>
      <c r="AI3" s="391"/>
      <c r="AJ3" s="390"/>
      <c r="AK3" s="391"/>
      <c r="AL3" s="390"/>
      <c r="AM3" s="391"/>
      <c r="AN3" s="390"/>
      <c r="AO3" s="391"/>
      <c r="AP3" s="392"/>
    </row>
    <row r="4" spans="1:43">
      <c r="A4" s="340" t="s">
        <v>56</v>
      </c>
      <c r="B4" s="341" t="s">
        <v>59</v>
      </c>
      <c r="C4" s="423"/>
      <c r="D4" s="417">
        <v>100663</v>
      </c>
      <c r="E4" s="417">
        <v>1</v>
      </c>
      <c r="F4" s="390">
        <v>10710</v>
      </c>
      <c r="G4" s="391">
        <v>10710</v>
      </c>
      <c r="H4" s="390">
        <v>25500</v>
      </c>
      <c r="I4" s="391">
        <v>25500</v>
      </c>
      <c r="J4" s="390">
        <v>10800</v>
      </c>
      <c r="K4" s="391">
        <v>10800</v>
      </c>
      <c r="L4" s="390">
        <v>25584</v>
      </c>
      <c r="M4" s="391">
        <v>25584</v>
      </c>
      <c r="N4" s="390"/>
      <c r="O4" s="391"/>
      <c r="P4" s="390"/>
      <c r="Q4" s="391"/>
      <c r="R4" s="390">
        <v>29702</v>
      </c>
      <c r="S4" s="391">
        <v>29998</v>
      </c>
      <c r="T4" s="390">
        <v>62714</v>
      </c>
      <c r="U4" s="391">
        <v>62714</v>
      </c>
      <c r="V4" s="390">
        <v>29484</v>
      </c>
      <c r="W4" s="391">
        <v>29782</v>
      </c>
      <c r="X4" s="390">
        <v>68726</v>
      </c>
      <c r="Y4" s="391">
        <v>69420</v>
      </c>
      <c r="Z4" s="390"/>
      <c r="AA4" s="391"/>
      <c r="AB4" s="390"/>
      <c r="AC4" s="391"/>
      <c r="AD4" s="390">
        <v>27492</v>
      </c>
      <c r="AE4" s="391">
        <v>27858</v>
      </c>
      <c r="AF4" s="390">
        <v>54012</v>
      </c>
      <c r="AG4" s="391">
        <v>54012</v>
      </c>
      <c r="AH4" s="390"/>
      <c r="AI4" s="391"/>
      <c r="AJ4" s="390"/>
      <c r="AK4" s="391"/>
      <c r="AL4" s="390"/>
      <c r="AM4" s="391"/>
      <c r="AN4" s="390"/>
      <c r="AO4" s="391"/>
      <c r="AP4" s="392"/>
    </row>
    <row r="5" spans="1:43">
      <c r="A5" s="340" t="s">
        <v>56</v>
      </c>
      <c r="B5" s="341" t="s">
        <v>60</v>
      </c>
      <c r="C5" s="424"/>
      <c r="D5" s="417">
        <v>100706</v>
      </c>
      <c r="E5" s="343">
        <v>2</v>
      </c>
      <c r="F5" s="390">
        <v>11338</v>
      </c>
      <c r="G5" s="391">
        <v>11380</v>
      </c>
      <c r="H5" s="390">
        <v>23734</v>
      </c>
      <c r="I5" s="391">
        <v>23776</v>
      </c>
      <c r="J5" s="390">
        <v>11918</v>
      </c>
      <c r="K5" s="391">
        <v>11952</v>
      </c>
      <c r="L5" s="390">
        <v>25716</v>
      </c>
      <c r="M5" s="391">
        <v>25750</v>
      </c>
      <c r="N5" s="390"/>
      <c r="O5" s="391"/>
      <c r="P5" s="390"/>
      <c r="Q5" s="391"/>
      <c r="R5" s="390"/>
      <c r="S5" s="391"/>
      <c r="T5" s="390"/>
      <c r="U5" s="391"/>
      <c r="V5" s="390"/>
      <c r="W5" s="391"/>
      <c r="X5" s="390"/>
      <c r="Y5" s="391"/>
      <c r="Z5" s="390"/>
      <c r="AA5" s="391"/>
      <c r="AB5" s="390"/>
      <c r="AC5" s="391"/>
      <c r="AD5" s="390"/>
      <c r="AE5" s="391"/>
      <c r="AF5" s="390"/>
      <c r="AG5" s="391"/>
      <c r="AH5" s="390"/>
      <c r="AI5" s="391"/>
      <c r="AJ5" s="390"/>
      <c r="AK5" s="391"/>
      <c r="AL5" s="390"/>
      <c r="AM5" s="391"/>
      <c r="AN5" s="390"/>
      <c r="AO5" s="391"/>
      <c r="AP5" s="392"/>
    </row>
    <row r="6" spans="1:43">
      <c r="A6" s="340" t="s">
        <v>56</v>
      </c>
      <c r="B6" s="341" t="s">
        <v>64</v>
      </c>
      <c r="C6" s="346"/>
      <c r="D6" s="417">
        <v>102094</v>
      </c>
      <c r="E6" s="343">
        <v>2</v>
      </c>
      <c r="F6" s="390">
        <v>10070</v>
      </c>
      <c r="G6" s="391">
        <v>10520</v>
      </c>
      <c r="H6" s="390">
        <v>19940</v>
      </c>
      <c r="I6" s="391">
        <v>20840</v>
      </c>
      <c r="J6" s="390">
        <v>10808</v>
      </c>
      <c r="K6" s="391">
        <v>11168</v>
      </c>
      <c r="L6" s="390">
        <v>21416</v>
      </c>
      <c r="M6" s="391">
        <v>22136</v>
      </c>
      <c r="N6" s="390"/>
      <c r="O6" s="391"/>
      <c r="P6" s="390"/>
      <c r="Q6" s="391"/>
      <c r="R6" s="390">
        <v>31378</v>
      </c>
      <c r="S6" s="391">
        <v>32820</v>
      </c>
      <c r="T6" s="390">
        <v>62382</v>
      </c>
      <c r="U6" s="391">
        <v>64754</v>
      </c>
      <c r="V6" s="390"/>
      <c r="W6" s="391"/>
      <c r="X6" s="390"/>
      <c r="Y6" s="391"/>
      <c r="Z6" s="390"/>
      <c r="AA6" s="391"/>
      <c r="AB6" s="390"/>
      <c r="AC6" s="391"/>
      <c r="AD6" s="390"/>
      <c r="AE6" s="391"/>
      <c r="AF6" s="390"/>
      <c r="AG6" s="391"/>
      <c r="AH6" s="390"/>
      <c r="AI6" s="391"/>
      <c r="AJ6" s="390"/>
      <c r="AK6" s="391"/>
      <c r="AL6" s="390"/>
      <c r="AM6" s="391"/>
      <c r="AN6" s="390"/>
      <c r="AO6" s="391"/>
      <c r="AP6" s="392"/>
    </row>
    <row r="7" spans="1:43">
      <c r="A7" s="340" t="s">
        <v>56</v>
      </c>
      <c r="B7" s="341" t="s">
        <v>61</v>
      </c>
      <c r="C7" s="422"/>
      <c r="D7" s="417">
        <v>100654</v>
      </c>
      <c r="E7" s="343">
        <v>3</v>
      </c>
      <c r="F7" s="390">
        <v>10024</v>
      </c>
      <c r="G7" s="391">
        <v>10024</v>
      </c>
      <c r="H7" s="390">
        <v>18634</v>
      </c>
      <c r="I7" s="391">
        <v>18634</v>
      </c>
      <c r="J7" s="390">
        <v>11542</v>
      </c>
      <c r="K7" s="391">
        <v>11542</v>
      </c>
      <c r="L7" s="390">
        <v>21574</v>
      </c>
      <c r="M7" s="391">
        <v>21574</v>
      </c>
      <c r="N7" s="390"/>
      <c r="O7" s="391"/>
      <c r="P7" s="390"/>
      <c r="Q7" s="391"/>
      <c r="R7" s="390"/>
      <c r="S7" s="391"/>
      <c r="T7" s="390"/>
      <c r="U7" s="391"/>
      <c r="V7" s="390"/>
      <c r="W7" s="391"/>
      <c r="X7" s="390"/>
      <c r="Y7" s="391"/>
      <c r="Z7" s="390"/>
      <c r="AA7" s="391"/>
      <c r="AB7" s="390"/>
      <c r="AC7" s="391"/>
      <c r="AD7" s="390"/>
      <c r="AE7" s="391"/>
      <c r="AF7" s="390"/>
      <c r="AG7" s="391"/>
      <c r="AH7" s="390"/>
      <c r="AI7" s="391"/>
      <c r="AJ7" s="390"/>
      <c r="AK7" s="391"/>
      <c r="AL7" s="390"/>
      <c r="AM7" s="391"/>
      <c r="AN7" s="390"/>
      <c r="AO7" s="391"/>
      <c r="AP7" s="392"/>
    </row>
    <row r="8" spans="1:43">
      <c r="A8" s="340" t="s">
        <v>56</v>
      </c>
      <c r="B8" s="341" t="s">
        <v>62</v>
      </c>
      <c r="C8" s="422"/>
      <c r="D8" s="417">
        <v>101480</v>
      </c>
      <c r="E8" s="343">
        <v>3</v>
      </c>
      <c r="F8" s="390">
        <v>11120</v>
      </c>
      <c r="G8" s="391">
        <v>11120</v>
      </c>
      <c r="H8" s="390">
        <v>20840</v>
      </c>
      <c r="I8" s="391">
        <v>20840</v>
      </c>
      <c r="J8" s="390">
        <v>10600</v>
      </c>
      <c r="K8" s="391">
        <v>10600</v>
      </c>
      <c r="L8" s="390">
        <v>20200</v>
      </c>
      <c r="M8" s="391">
        <v>20200</v>
      </c>
      <c r="N8" s="390"/>
      <c r="O8" s="391"/>
      <c r="P8" s="390"/>
      <c r="Q8" s="391"/>
      <c r="R8" s="390"/>
      <c r="S8" s="391"/>
      <c r="T8" s="390"/>
      <c r="U8" s="391"/>
      <c r="V8" s="390"/>
      <c r="W8" s="391"/>
      <c r="X8" s="390"/>
      <c r="Y8" s="391"/>
      <c r="Z8" s="390"/>
      <c r="AA8" s="391"/>
      <c r="AB8" s="390"/>
      <c r="AC8" s="391"/>
      <c r="AD8" s="390"/>
      <c r="AE8" s="391"/>
      <c r="AF8" s="390"/>
      <c r="AG8" s="391"/>
      <c r="AH8" s="390"/>
      <c r="AI8" s="391"/>
      <c r="AJ8" s="390"/>
      <c r="AK8" s="391"/>
      <c r="AL8" s="390"/>
      <c r="AM8" s="391"/>
      <c r="AN8" s="390"/>
      <c r="AO8" s="391"/>
      <c r="AP8" s="392"/>
    </row>
    <row r="9" spans="1:43">
      <c r="A9" s="340" t="s">
        <v>56</v>
      </c>
      <c r="B9" s="341" t="s">
        <v>63</v>
      </c>
      <c r="C9" s="422"/>
      <c r="D9" s="417">
        <v>102368</v>
      </c>
      <c r="E9" s="343">
        <v>3</v>
      </c>
      <c r="F9" s="390">
        <v>11110</v>
      </c>
      <c r="G9" s="391">
        <v>11640</v>
      </c>
      <c r="H9" s="390">
        <v>20860</v>
      </c>
      <c r="I9" s="391">
        <v>23280</v>
      </c>
      <c r="J9" s="390">
        <v>11308</v>
      </c>
      <c r="K9" s="391">
        <v>11400</v>
      </c>
      <c r="L9" s="390">
        <v>21508</v>
      </c>
      <c r="M9" s="391">
        <v>22800</v>
      </c>
      <c r="N9" s="390"/>
      <c r="O9" s="391"/>
      <c r="P9" s="390"/>
      <c r="Q9" s="391"/>
      <c r="R9" s="390"/>
      <c r="S9" s="391"/>
      <c r="T9" s="390"/>
      <c r="U9" s="391"/>
      <c r="V9" s="390"/>
      <c r="W9" s="391"/>
      <c r="X9" s="390"/>
      <c r="Y9" s="391"/>
      <c r="Z9" s="390"/>
      <c r="AA9" s="391"/>
      <c r="AB9" s="390"/>
      <c r="AC9" s="391"/>
      <c r="AD9" s="390"/>
      <c r="AE9" s="391"/>
      <c r="AF9" s="390"/>
      <c r="AG9" s="391"/>
      <c r="AH9" s="390"/>
      <c r="AI9" s="391"/>
      <c r="AJ9" s="390"/>
      <c r="AK9" s="391"/>
      <c r="AL9" s="390"/>
      <c r="AM9" s="391"/>
      <c r="AN9" s="390"/>
      <c r="AO9" s="391"/>
      <c r="AP9" s="392"/>
    </row>
    <row r="10" spans="1:43">
      <c r="A10" s="340" t="s">
        <v>56</v>
      </c>
      <c r="B10" s="341" t="s">
        <v>67</v>
      </c>
      <c r="C10" s="423"/>
      <c r="D10" s="417">
        <v>101879</v>
      </c>
      <c r="E10" s="343">
        <v>3</v>
      </c>
      <c r="F10" s="390">
        <v>10800</v>
      </c>
      <c r="G10" s="391">
        <v>10800</v>
      </c>
      <c r="H10" s="390">
        <v>20400</v>
      </c>
      <c r="I10" s="391">
        <v>20400</v>
      </c>
      <c r="J10" s="390">
        <v>9600</v>
      </c>
      <c r="K10" s="391">
        <v>9600</v>
      </c>
      <c r="L10" s="390">
        <v>18480</v>
      </c>
      <c r="M10" s="391">
        <v>18480</v>
      </c>
      <c r="N10" s="390"/>
      <c r="O10" s="391"/>
      <c r="P10" s="390"/>
      <c r="Q10" s="391"/>
      <c r="R10" s="390"/>
      <c r="S10" s="391"/>
      <c r="T10" s="390"/>
      <c r="U10" s="391"/>
      <c r="V10" s="390"/>
      <c r="W10" s="391"/>
      <c r="X10" s="390"/>
      <c r="Y10" s="391"/>
      <c r="Z10" s="390"/>
      <c r="AA10" s="391"/>
      <c r="AB10" s="390"/>
      <c r="AC10" s="391"/>
      <c r="AD10" s="390"/>
      <c r="AE10" s="391"/>
      <c r="AF10" s="390"/>
      <c r="AG10" s="391"/>
      <c r="AH10" s="390"/>
      <c r="AI10" s="391"/>
      <c r="AJ10" s="390"/>
      <c r="AK10" s="391"/>
      <c r="AL10" s="390"/>
      <c r="AM10" s="391"/>
      <c r="AN10" s="390"/>
      <c r="AO10" s="391"/>
      <c r="AP10" s="392"/>
    </row>
    <row r="11" spans="1:43">
      <c r="A11" s="340" t="s">
        <v>56</v>
      </c>
      <c r="B11" s="341" t="s">
        <v>65</v>
      </c>
      <c r="C11" s="422"/>
      <c r="D11" s="417">
        <v>100724</v>
      </c>
      <c r="E11" s="343">
        <v>4</v>
      </c>
      <c r="F11" s="390">
        <v>11068</v>
      </c>
      <c r="G11" s="391">
        <v>11168</v>
      </c>
      <c r="H11" s="390">
        <v>19396</v>
      </c>
      <c r="I11" s="391">
        <v>19496</v>
      </c>
      <c r="J11" s="390">
        <v>12628</v>
      </c>
      <c r="K11" s="391">
        <v>12728</v>
      </c>
      <c r="L11" s="390">
        <v>22516</v>
      </c>
      <c r="M11" s="391">
        <v>22616</v>
      </c>
      <c r="N11" s="390"/>
      <c r="O11" s="391"/>
      <c r="P11" s="390"/>
      <c r="Q11" s="391"/>
      <c r="R11" s="390"/>
      <c r="S11" s="391"/>
      <c r="T11" s="390"/>
      <c r="U11" s="391"/>
      <c r="V11" s="390"/>
      <c r="W11" s="391"/>
      <c r="X11" s="390"/>
      <c r="Y11" s="391"/>
      <c r="Z11" s="390"/>
      <c r="AA11" s="391"/>
      <c r="AB11" s="390"/>
      <c r="AC11" s="391"/>
      <c r="AD11" s="390"/>
      <c r="AE11" s="391"/>
      <c r="AF11" s="390"/>
      <c r="AG11" s="391"/>
      <c r="AH11" s="390"/>
      <c r="AI11" s="391"/>
      <c r="AJ11" s="390"/>
      <c r="AK11" s="391"/>
      <c r="AL11" s="390"/>
      <c r="AM11" s="391"/>
      <c r="AN11" s="390"/>
      <c r="AO11" s="391"/>
      <c r="AP11" s="392"/>
    </row>
    <row r="12" spans="1:43">
      <c r="A12" s="340" t="s">
        <v>56</v>
      </c>
      <c r="B12" s="341" t="s">
        <v>66</v>
      </c>
      <c r="C12" s="347"/>
      <c r="D12" s="418" t="s">
        <v>973</v>
      </c>
      <c r="E12" s="343">
        <v>3</v>
      </c>
      <c r="F12" s="390">
        <v>10918</v>
      </c>
      <c r="G12" s="391">
        <v>10918</v>
      </c>
      <c r="H12" s="390">
        <v>23368</v>
      </c>
      <c r="I12" s="391">
        <v>23368</v>
      </c>
      <c r="J12" s="390">
        <v>10930</v>
      </c>
      <c r="K12" s="391">
        <v>10930</v>
      </c>
      <c r="L12" s="390">
        <v>23554</v>
      </c>
      <c r="M12" s="391">
        <v>23554</v>
      </c>
      <c r="N12" s="390"/>
      <c r="O12" s="391"/>
      <c r="P12" s="390"/>
      <c r="Q12" s="391"/>
      <c r="R12" s="390"/>
      <c r="S12" s="391"/>
      <c r="T12" s="390"/>
      <c r="U12" s="391"/>
      <c r="V12" s="390"/>
      <c r="W12" s="391"/>
      <c r="X12" s="390"/>
      <c r="Y12" s="391"/>
      <c r="Z12" s="390"/>
      <c r="AA12" s="391"/>
      <c r="AB12" s="390"/>
      <c r="AC12" s="391"/>
      <c r="AD12" s="390"/>
      <c r="AE12" s="391"/>
      <c r="AF12" s="390"/>
      <c r="AG12" s="391"/>
      <c r="AH12" s="390"/>
      <c r="AI12" s="391"/>
      <c r="AJ12" s="390"/>
      <c r="AK12" s="391"/>
      <c r="AL12" s="390"/>
      <c r="AM12" s="391"/>
      <c r="AN12" s="390"/>
      <c r="AO12" s="391"/>
      <c r="AP12" s="392"/>
    </row>
    <row r="13" spans="1:43">
      <c r="A13" s="340" t="s">
        <v>56</v>
      </c>
      <c r="B13" s="341" t="s">
        <v>68</v>
      </c>
      <c r="C13" s="422"/>
      <c r="D13" s="417">
        <v>101709</v>
      </c>
      <c r="E13" s="343">
        <v>5</v>
      </c>
      <c r="F13" s="390">
        <v>13708</v>
      </c>
      <c r="G13" s="391">
        <v>13708</v>
      </c>
      <c r="H13" s="390">
        <v>26728</v>
      </c>
      <c r="I13" s="391">
        <v>26728</v>
      </c>
      <c r="J13" s="390">
        <v>11916</v>
      </c>
      <c r="K13" s="391">
        <v>11916</v>
      </c>
      <c r="L13" s="390">
        <v>26532</v>
      </c>
      <c r="M13" s="391">
        <v>26532</v>
      </c>
      <c r="N13" s="390"/>
      <c r="O13" s="391"/>
      <c r="P13" s="390"/>
      <c r="Q13" s="391"/>
      <c r="R13" s="390"/>
      <c r="S13" s="391"/>
      <c r="T13" s="390"/>
      <c r="U13" s="391"/>
      <c r="V13" s="390"/>
      <c r="W13" s="391"/>
      <c r="X13" s="390"/>
      <c r="Y13" s="391"/>
      <c r="Z13" s="390"/>
      <c r="AA13" s="391"/>
      <c r="AB13" s="390"/>
      <c r="AC13" s="391"/>
      <c r="AD13" s="390"/>
      <c r="AE13" s="391"/>
      <c r="AF13" s="390"/>
      <c r="AG13" s="391"/>
      <c r="AH13" s="390"/>
      <c r="AI13" s="391"/>
      <c r="AJ13" s="390"/>
      <c r="AK13" s="391"/>
      <c r="AL13" s="390"/>
      <c r="AM13" s="391"/>
      <c r="AN13" s="390"/>
      <c r="AO13" s="391"/>
      <c r="AP13" s="392"/>
    </row>
    <row r="14" spans="1:43">
      <c r="A14" s="340" t="s">
        <v>56</v>
      </c>
      <c r="B14" s="341" t="s">
        <v>69</v>
      </c>
      <c r="C14" s="347"/>
      <c r="D14" s="418" t="s">
        <v>974</v>
      </c>
      <c r="E14" s="343">
        <v>4</v>
      </c>
      <c r="F14" s="390">
        <v>10990</v>
      </c>
      <c r="G14" s="391">
        <v>10990</v>
      </c>
      <c r="H14" s="390">
        <v>20090</v>
      </c>
      <c r="I14" s="391">
        <v>20090</v>
      </c>
      <c r="J14" s="390">
        <v>9264</v>
      </c>
      <c r="K14" s="391">
        <v>9264</v>
      </c>
      <c r="L14" s="390">
        <v>18168</v>
      </c>
      <c r="M14" s="391">
        <v>18168</v>
      </c>
      <c r="N14" s="390"/>
      <c r="O14" s="391"/>
      <c r="P14" s="390"/>
      <c r="Q14" s="391"/>
      <c r="R14" s="390"/>
      <c r="S14" s="391"/>
      <c r="T14" s="390"/>
      <c r="U14" s="391"/>
      <c r="V14" s="390"/>
      <c r="W14" s="391"/>
      <c r="X14" s="390"/>
      <c r="Y14" s="391"/>
      <c r="Z14" s="390"/>
      <c r="AA14" s="391"/>
      <c r="AB14" s="390"/>
      <c r="AC14" s="391"/>
      <c r="AD14" s="390"/>
      <c r="AE14" s="391"/>
      <c r="AF14" s="390"/>
      <c r="AG14" s="391"/>
      <c r="AH14" s="390"/>
      <c r="AI14" s="391"/>
      <c r="AJ14" s="390"/>
      <c r="AK14" s="391"/>
      <c r="AL14" s="390"/>
      <c r="AM14" s="391"/>
      <c r="AN14" s="390"/>
      <c r="AO14" s="391"/>
      <c r="AP14" s="392"/>
    </row>
    <row r="15" spans="1:43">
      <c r="A15" s="340" t="s">
        <v>56</v>
      </c>
      <c r="B15" s="429" t="s">
        <v>70</v>
      </c>
      <c r="C15" s="425" t="s">
        <v>996</v>
      </c>
      <c r="D15" s="419">
        <v>100812</v>
      </c>
      <c r="E15" s="420">
        <v>5</v>
      </c>
      <c r="F15" s="390">
        <v>7710</v>
      </c>
      <c r="G15" s="391">
        <v>9060</v>
      </c>
      <c r="H15" s="390">
        <v>13890</v>
      </c>
      <c r="I15" s="391">
        <v>15810</v>
      </c>
      <c r="J15" s="390">
        <v>8160</v>
      </c>
      <c r="K15" s="391">
        <v>9648</v>
      </c>
      <c r="L15" s="390">
        <v>13224</v>
      </c>
      <c r="M15" s="391">
        <v>13848</v>
      </c>
      <c r="N15" s="390"/>
      <c r="O15" s="391"/>
      <c r="P15" s="390"/>
      <c r="Q15" s="391"/>
      <c r="R15" s="390"/>
      <c r="S15" s="391"/>
      <c r="T15" s="390"/>
      <c r="U15" s="391"/>
      <c r="V15" s="390"/>
      <c r="W15" s="391"/>
      <c r="X15" s="390"/>
      <c r="Y15" s="391"/>
      <c r="Z15" s="390"/>
      <c r="AA15" s="391"/>
      <c r="AB15" s="390"/>
      <c r="AC15" s="391"/>
      <c r="AD15" s="390"/>
      <c r="AE15" s="391"/>
      <c r="AF15" s="390"/>
      <c r="AG15" s="391"/>
      <c r="AH15" s="390"/>
      <c r="AI15" s="391"/>
      <c r="AJ15" s="390"/>
      <c r="AK15" s="391"/>
      <c r="AL15" s="390"/>
      <c r="AM15" s="391"/>
      <c r="AN15" s="390"/>
      <c r="AO15" s="391"/>
      <c r="AP15" s="392"/>
    </row>
    <row r="16" spans="1:43" hidden="1">
      <c r="A16" s="340" t="s">
        <v>56</v>
      </c>
      <c r="B16" s="350" t="s">
        <v>71</v>
      </c>
      <c r="C16" s="422"/>
      <c r="D16" s="417">
        <v>101505</v>
      </c>
      <c r="E16" s="343">
        <v>8</v>
      </c>
      <c r="F16" s="390">
        <v>4920</v>
      </c>
      <c r="G16" s="391">
        <v>4920</v>
      </c>
      <c r="H16" s="390">
        <v>8910</v>
      </c>
      <c r="I16" s="391">
        <v>8610</v>
      </c>
      <c r="J16" s="390"/>
      <c r="K16" s="391"/>
      <c r="L16" s="390"/>
      <c r="M16" s="391"/>
      <c r="N16" s="390"/>
      <c r="O16" s="391"/>
      <c r="P16" s="390"/>
      <c r="Q16" s="391"/>
      <c r="R16" s="390"/>
      <c r="S16" s="391"/>
      <c r="T16" s="390"/>
      <c r="U16" s="391"/>
      <c r="V16" s="390"/>
      <c r="W16" s="391"/>
      <c r="X16" s="390"/>
      <c r="Y16" s="391"/>
      <c r="Z16" s="390"/>
      <c r="AA16" s="391"/>
      <c r="AB16" s="390"/>
      <c r="AC16" s="391"/>
      <c r="AD16" s="390"/>
      <c r="AE16" s="391"/>
      <c r="AF16" s="390"/>
      <c r="AG16" s="391"/>
      <c r="AH16" s="390"/>
      <c r="AI16" s="391"/>
      <c r="AJ16" s="390"/>
      <c r="AK16" s="391"/>
      <c r="AL16" s="390"/>
      <c r="AM16" s="391"/>
      <c r="AN16" s="390"/>
      <c r="AO16" s="391"/>
      <c r="AP16" s="392"/>
    </row>
    <row r="17" spans="1:42" hidden="1">
      <c r="A17" s="340" t="s">
        <v>56</v>
      </c>
      <c r="B17" s="350" t="s">
        <v>611</v>
      </c>
      <c r="C17" s="422"/>
      <c r="D17" s="417">
        <v>101514</v>
      </c>
      <c r="E17" s="343">
        <v>8</v>
      </c>
      <c r="F17" s="390">
        <v>4940</v>
      </c>
      <c r="G17" s="391">
        <v>4940</v>
      </c>
      <c r="H17" s="390">
        <v>8930</v>
      </c>
      <c r="I17" s="391">
        <v>8630</v>
      </c>
      <c r="J17" s="390"/>
      <c r="K17" s="391"/>
      <c r="L17" s="390"/>
      <c r="M17" s="391"/>
      <c r="N17" s="390"/>
      <c r="O17" s="391"/>
      <c r="P17" s="390"/>
      <c r="Q17" s="391"/>
      <c r="R17" s="390"/>
      <c r="S17" s="391"/>
      <c r="T17" s="390"/>
      <c r="U17" s="391"/>
      <c r="V17" s="390"/>
      <c r="W17" s="391"/>
      <c r="X17" s="390"/>
      <c r="Y17" s="391"/>
      <c r="Z17" s="390"/>
      <c r="AA17" s="391"/>
      <c r="AB17" s="390"/>
      <c r="AC17" s="391"/>
      <c r="AD17" s="390"/>
      <c r="AE17" s="391"/>
      <c r="AF17" s="390"/>
      <c r="AG17" s="391"/>
      <c r="AH17" s="390"/>
      <c r="AI17" s="391"/>
      <c r="AJ17" s="390"/>
      <c r="AK17" s="391"/>
      <c r="AL17" s="390"/>
      <c r="AM17" s="391"/>
      <c r="AN17" s="390"/>
      <c r="AO17" s="391"/>
      <c r="AP17" s="392"/>
    </row>
    <row r="18" spans="1:42" hidden="1">
      <c r="A18" s="340" t="s">
        <v>56</v>
      </c>
      <c r="B18" s="341" t="s">
        <v>72</v>
      </c>
      <c r="C18" s="345" t="s">
        <v>997</v>
      </c>
      <c r="D18" s="417">
        <v>102429</v>
      </c>
      <c r="E18" s="343">
        <v>9</v>
      </c>
      <c r="F18" s="390">
        <v>4930</v>
      </c>
      <c r="G18" s="391">
        <v>4930</v>
      </c>
      <c r="H18" s="390">
        <v>8920</v>
      </c>
      <c r="I18" s="391">
        <v>8620</v>
      </c>
      <c r="J18" s="390"/>
      <c r="K18" s="391"/>
      <c r="L18" s="390"/>
      <c r="M18" s="391"/>
      <c r="N18" s="390"/>
      <c r="O18" s="391"/>
      <c r="P18" s="390"/>
      <c r="Q18" s="391"/>
      <c r="R18" s="390"/>
      <c r="S18" s="391"/>
      <c r="T18" s="390"/>
      <c r="U18" s="391"/>
      <c r="V18" s="390"/>
      <c r="W18" s="391"/>
      <c r="X18" s="390"/>
      <c r="Y18" s="391"/>
      <c r="Z18" s="390"/>
      <c r="AA18" s="391"/>
      <c r="AB18" s="390"/>
      <c r="AC18" s="391"/>
      <c r="AD18" s="390"/>
      <c r="AE18" s="391"/>
      <c r="AF18" s="390"/>
      <c r="AG18" s="391"/>
      <c r="AH18" s="390"/>
      <c r="AI18" s="391"/>
      <c r="AJ18" s="390"/>
      <c r="AK18" s="391"/>
      <c r="AL18" s="390"/>
      <c r="AM18" s="391"/>
      <c r="AN18" s="390"/>
      <c r="AO18" s="391"/>
      <c r="AP18" s="392"/>
    </row>
    <row r="19" spans="1:42" hidden="1">
      <c r="A19" s="340" t="s">
        <v>56</v>
      </c>
      <c r="B19" s="352" t="s">
        <v>73</v>
      </c>
      <c r="C19" s="426" t="s">
        <v>998</v>
      </c>
      <c r="D19" s="417">
        <v>102030</v>
      </c>
      <c r="E19" s="343">
        <v>9</v>
      </c>
      <c r="F19" s="390">
        <v>4860</v>
      </c>
      <c r="G19" s="391">
        <v>4860</v>
      </c>
      <c r="H19" s="390">
        <v>8850</v>
      </c>
      <c r="I19" s="391">
        <v>8550</v>
      </c>
      <c r="J19" s="390"/>
      <c r="K19" s="391"/>
      <c r="L19" s="390"/>
      <c r="M19" s="391"/>
      <c r="N19" s="390"/>
      <c r="O19" s="391"/>
      <c r="P19" s="390"/>
      <c r="Q19" s="391"/>
      <c r="R19" s="390"/>
      <c r="S19" s="391"/>
      <c r="T19" s="390"/>
      <c r="U19" s="391"/>
      <c r="V19" s="390"/>
      <c r="W19" s="391"/>
      <c r="X19" s="390"/>
      <c r="Y19" s="391"/>
      <c r="Z19" s="390"/>
      <c r="AA19" s="391"/>
      <c r="AB19" s="390"/>
      <c r="AC19" s="391"/>
      <c r="AD19" s="390"/>
      <c r="AE19" s="391"/>
      <c r="AF19" s="390"/>
      <c r="AG19" s="391"/>
      <c r="AH19" s="390"/>
      <c r="AI19" s="391"/>
      <c r="AJ19" s="390"/>
      <c r="AK19" s="391"/>
      <c r="AL19" s="390"/>
      <c r="AM19" s="391"/>
      <c r="AN19" s="390"/>
      <c r="AO19" s="391"/>
      <c r="AP19" s="392"/>
    </row>
    <row r="20" spans="1:42" hidden="1">
      <c r="A20" s="340" t="s">
        <v>56</v>
      </c>
      <c r="B20" s="352" t="s">
        <v>626</v>
      </c>
      <c r="C20" s="426" t="s">
        <v>999</v>
      </c>
      <c r="D20" s="418" t="s">
        <v>975</v>
      </c>
      <c r="E20" s="343">
        <v>8</v>
      </c>
      <c r="F20" s="390">
        <v>4860</v>
      </c>
      <c r="G20" s="391">
        <v>4860</v>
      </c>
      <c r="H20" s="390">
        <v>8850</v>
      </c>
      <c r="I20" s="391">
        <v>8550</v>
      </c>
      <c r="J20" s="390"/>
      <c r="K20" s="391"/>
      <c r="L20" s="390"/>
      <c r="M20" s="391"/>
      <c r="N20" s="390"/>
      <c r="O20" s="391"/>
      <c r="P20" s="390"/>
      <c r="Q20" s="391"/>
      <c r="R20" s="390"/>
      <c r="S20" s="391"/>
      <c r="T20" s="390"/>
      <c r="U20" s="391"/>
      <c r="V20" s="390"/>
      <c r="W20" s="391"/>
      <c r="X20" s="390"/>
      <c r="Y20" s="391"/>
      <c r="Z20" s="390"/>
      <c r="AA20" s="391"/>
      <c r="AB20" s="390"/>
      <c r="AC20" s="391"/>
      <c r="AD20" s="390"/>
      <c r="AE20" s="391"/>
      <c r="AF20" s="390"/>
      <c r="AG20" s="391"/>
      <c r="AH20" s="390"/>
      <c r="AI20" s="391"/>
      <c r="AJ20" s="390"/>
      <c r="AK20" s="391"/>
      <c r="AL20" s="390"/>
      <c r="AM20" s="391"/>
      <c r="AN20" s="390"/>
      <c r="AO20" s="391"/>
      <c r="AP20" s="392"/>
    </row>
    <row r="21" spans="1:42" hidden="1">
      <c r="A21" s="340" t="s">
        <v>56</v>
      </c>
      <c r="B21" s="341" t="s">
        <v>74</v>
      </c>
      <c r="C21" s="427"/>
      <c r="D21" s="417">
        <v>101240</v>
      </c>
      <c r="E21" s="343">
        <v>9</v>
      </c>
      <c r="F21" s="390">
        <v>4920</v>
      </c>
      <c r="G21" s="391">
        <v>4920</v>
      </c>
      <c r="H21" s="390">
        <v>8910</v>
      </c>
      <c r="I21" s="391">
        <v>8610</v>
      </c>
      <c r="J21" s="390"/>
      <c r="K21" s="391"/>
      <c r="L21" s="390"/>
      <c r="M21" s="391"/>
      <c r="N21" s="390"/>
      <c r="O21" s="391"/>
      <c r="P21" s="390"/>
      <c r="Q21" s="391"/>
      <c r="R21" s="390"/>
      <c r="S21" s="391"/>
      <c r="T21" s="390"/>
      <c r="U21" s="391"/>
      <c r="V21" s="390"/>
      <c r="W21" s="391"/>
      <c r="X21" s="390"/>
      <c r="Y21" s="391"/>
      <c r="Z21" s="390"/>
      <c r="AA21" s="391"/>
      <c r="AB21" s="390"/>
      <c r="AC21" s="391"/>
      <c r="AD21" s="390"/>
      <c r="AE21" s="391"/>
      <c r="AF21" s="390"/>
      <c r="AG21" s="391"/>
      <c r="AH21" s="390"/>
      <c r="AI21" s="391"/>
      <c r="AJ21" s="390"/>
      <c r="AK21" s="391"/>
      <c r="AL21" s="390"/>
      <c r="AM21" s="391"/>
      <c r="AN21" s="390"/>
      <c r="AO21" s="391"/>
      <c r="AP21" s="392"/>
    </row>
    <row r="22" spans="1:42" hidden="1">
      <c r="A22" s="340" t="s">
        <v>56</v>
      </c>
      <c r="B22" s="350" t="s">
        <v>612</v>
      </c>
      <c r="C22" s="422"/>
      <c r="D22" s="417">
        <v>101286</v>
      </c>
      <c r="E22" s="343">
        <v>9</v>
      </c>
      <c r="F22" s="390">
        <v>4800</v>
      </c>
      <c r="G22" s="391">
        <v>4800</v>
      </c>
      <c r="H22" s="390">
        <v>8790</v>
      </c>
      <c r="I22" s="391">
        <v>8490</v>
      </c>
      <c r="J22" s="390"/>
      <c r="K22" s="391"/>
      <c r="L22" s="390"/>
      <c r="M22" s="391"/>
      <c r="N22" s="390"/>
      <c r="O22" s="391"/>
      <c r="P22" s="390"/>
      <c r="Q22" s="391"/>
      <c r="R22" s="390"/>
      <c r="S22" s="391"/>
      <c r="T22" s="390"/>
      <c r="U22" s="391"/>
      <c r="V22" s="390"/>
      <c r="W22" s="391"/>
      <c r="X22" s="390"/>
      <c r="Y22" s="391"/>
      <c r="Z22" s="390"/>
      <c r="AA22" s="391"/>
      <c r="AB22" s="390"/>
      <c r="AC22" s="391"/>
      <c r="AD22" s="390"/>
      <c r="AE22" s="391"/>
      <c r="AF22" s="390"/>
      <c r="AG22" s="391"/>
      <c r="AH22" s="390"/>
      <c r="AI22" s="391"/>
      <c r="AJ22" s="390"/>
      <c r="AK22" s="391"/>
      <c r="AL22" s="390"/>
      <c r="AM22" s="391"/>
      <c r="AN22" s="390"/>
      <c r="AO22" s="391"/>
      <c r="AP22" s="392"/>
    </row>
    <row r="23" spans="1:42" hidden="1">
      <c r="A23" s="340" t="s">
        <v>56</v>
      </c>
      <c r="B23" s="350" t="s">
        <v>613</v>
      </c>
      <c r="C23" s="423"/>
      <c r="D23" s="417">
        <v>101295</v>
      </c>
      <c r="E23" s="343">
        <v>9</v>
      </c>
      <c r="F23" s="390">
        <v>4860</v>
      </c>
      <c r="G23" s="391">
        <v>4860</v>
      </c>
      <c r="H23" s="390">
        <v>8850</v>
      </c>
      <c r="I23" s="391">
        <v>8550</v>
      </c>
      <c r="J23" s="390"/>
      <c r="K23" s="391"/>
      <c r="L23" s="390"/>
      <c r="M23" s="391"/>
      <c r="N23" s="390"/>
      <c r="O23" s="391"/>
      <c r="P23" s="390"/>
      <c r="Q23" s="391"/>
      <c r="R23" s="390"/>
      <c r="S23" s="391"/>
      <c r="T23" s="390"/>
      <c r="U23" s="391"/>
      <c r="V23" s="390"/>
      <c r="W23" s="391"/>
      <c r="X23" s="390"/>
      <c r="Y23" s="391"/>
      <c r="Z23" s="390"/>
      <c r="AA23" s="391"/>
      <c r="AB23" s="390"/>
      <c r="AC23" s="391"/>
      <c r="AD23" s="390"/>
      <c r="AE23" s="391"/>
      <c r="AF23" s="390"/>
      <c r="AG23" s="391"/>
      <c r="AH23" s="390"/>
      <c r="AI23" s="391"/>
      <c r="AJ23" s="390"/>
      <c r="AK23" s="391"/>
      <c r="AL23" s="390"/>
      <c r="AM23" s="391"/>
      <c r="AN23" s="390"/>
      <c r="AO23" s="391"/>
      <c r="AP23" s="392"/>
    </row>
    <row r="24" spans="1:42" hidden="1">
      <c r="A24" s="340" t="s">
        <v>56</v>
      </c>
      <c r="B24" s="341" t="s">
        <v>75</v>
      </c>
      <c r="C24" s="422"/>
      <c r="D24" s="417">
        <v>101569</v>
      </c>
      <c r="E24" s="343">
        <v>9</v>
      </c>
      <c r="F24" s="390">
        <v>4880</v>
      </c>
      <c r="G24" s="391">
        <v>4880</v>
      </c>
      <c r="H24" s="390">
        <v>8870</v>
      </c>
      <c r="I24" s="391">
        <v>8570</v>
      </c>
      <c r="J24" s="390"/>
      <c r="K24" s="391"/>
      <c r="L24" s="390"/>
      <c r="M24" s="391"/>
      <c r="N24" s="390"/>
      <c r="O24" s="391"/>
      <c r="P24" s="390"/>
      <c r="Q24" s="391"/>
      <c r="R24" s="390"/>
      <c r="S24" s="391"/>
      <c r="T24" s="390"/>
      <c r="U24" s="391"/>
      <c r="V24" s="390"/>
      <c r="W24" s="391"/>
      <c r="X24" s="390"/>
      <c r="Y24" s="391"/>
      <c r="Z24" s="390"/>
      <c r="AA24" s="391"/>
      <c r="AB24" s="390"/>
      <c r="AC24" s="391"/>
      <c r="AD24" s="390"/>
      <c r="AE24" s="391"/>
      <c r="AF24" s="390"/>
      <c r="AG24" s="391"/>
      <c r="AH24" s="390"/>
      <c r="AI24" s="391"/>
      <c r="AJ24" s="390"/>
      <c r="AK24" s="391"/>
      <c r="AL24" s="390"/>
      <c r="AM24" s="391"/>
      <c r="AN24" s="390"/>
      <c r="AO24" s="391"/>
      <c r="AP24" s="392"/>
    </row>
    <row r="25" spans="1:42" hidden="1">
      <c r="A25" s="340" t="s">
        <v>56</v>
      </c>
      <c r="B25" s="341" t="s">
        <v>76</v>
      </c>
      <c r="C25" s="422"/>
      <c r="D25" s="417">
        <v>101736</v>
      </c>
      <c r="E25" s="343">
        <v>9</v>
      </c>
      <c r="F25" s="390">
        <v>4815</v>
      </c>
      <c r="G25" s="391">
        <v>4815</v>
      </c>
      <c r="H25" s="390">
        <v>8805</v>
      </c>
      <c r="I25" s="391">
        <v>8505</v>
      </c>
      <c r="J25" s="390"/>
      <c r="K25" s="391"/>
      <c r="L25" s="390"/>
      <c r="M25" s="391"/>
      <c r="N25" s="390"/>
      <c r="O25" s="391"/>
      <c r="P25" s="390"/>
      <c r="Q25" s="391"/>
      <c r="R25" s="390"/>
      <c r="S25" s="391"/>
      <c r="T25" s="390"/>
      <c r="U25" s="391"/>
      <c r="V25" s="390"/>
      <c r="W25" s="391"/>
      <c r="X25" s="390"/>
      <c r="Y25" s="391"/>
      <c r="Z25" s="390"/>
      <c r="AA25" s="391"/>
      <c r="AB25" s="390"/>
      <c r="AC25" s="391"/>
      <c r="AD25" s="390"/>
      <c r="AE25" s="391"/>
      <c r="AF25" s="390"/>
      <c r="AG25" s="391"/>
      <c r="AH25" s="390"/>
      <c r="AI25" s="391"/>
      <c r="AJ25" s="390"/>
      <c r="AK25" s="391"/>
      <c r="AL25" s="390"/>
      <c r="AM25" s="391"/>
      <c r="AN25" s="390"/>
      <c r="AO25" s="391"/>
      <c r="AP25" s="392"/>
    </row>
    <row r="26" spans="1:42" hidden="1">
      <c r="A26" s="340" t="s">
        <v>56</v>
      </c>
      <c r="B26" s="341" t="s">
        <v>77</v>
      </c>
      <c r="C26" s="422"/>
      <c r="D26" s="417">
        <v>102067</v>
      </c>
      <c r="E26" s="343">
        <v>9</v>
      </c>
      <c r="F26" s="390">
        <v>4587</v>
      </c>
      <c r="G26" s="391">
        <v>4587</v>
      </c>
      <c r="H26" s="390">
        <v>8577</v>
      </c>
      <c r="I26" s="391">
        <v>8277</v>
      </c>
      <c r="J26" s="390"/>
      <c r="K26" s="391"/>
      <c r="L26" s="390"/>
      <c r="M26" s="391"/>
      <c r="N26" s="390"/>
      <c r="O26" s="391"/>
      <c r="P26" s="390"/>
      <c r="Q26" s="391"/>
      <c r="R26" s="390"/>
      <c r="S26" s="391"/>
      <c r="T26" s="390"/>
      <c r="U26" s="391"/>
      <c r="V26" s="390"/>
      <c r="W26" s="391"/>
      <c r="X26" s="390"/>
      <c r="Y26" s="391"/>
      <c r="Z26" s="390"/>
      <c r="AA26" s="391"/>
      <c r="AB26" s="390"/>
      <c r="AC26" s="391"/>
      <c r="AD26" s="390"/>
      <c r="AE26" s="391"/>
      <c r="AF26" s="390"/>
      <c r="AG26" s="391"/>
      <c r="AH26" s="390"/>
      <c r="AI26" s="391"/>
      <c r="AJ26" s="390"/>
      <c r="AK26" s="391"/>
      <c r="AL26" s="390"/>
      <c r="AM26" s="391"/>
      <c r="AN26" s="390"/>
      <c r="AO26" s="391"/>
      <c r="AP26" s="392"/>
    </row>
    <row r="27" spans="1:42" hidden="1">
      <c r="A27" s="340" t="s">
        <v>56</v>
      </c>
      <c r="B27" s="341" t="s">
        <v>78</v>
      </c>
      <c r="C27" s="422"/>
      <c r="D27" s="417">
        <v>251260</v>
      </c>
      <c r="E27" s="343">
        <v>9</v>
      </c>
      <c r="F27" s="390">
        <v>4860</v>
      </c>
      <c r="G27" s="391">
        <v>4860</v>
      </c>
      <c r="H27" s="390">
        <v>8850</v>
      </c>
      <c r="I27" s="391">
        <v>8550</v>
      </c>
      <c r="J27" s="390"/>
      <c r="K27" s="391"/>
      <c r="L27" s="390"/>
      <c r="M27" s="391"/>
      <c r="N27" s="390"/>
      <c r="O27" s="391"/>
      <c r="P27" s="390"/>
      <c r="Q27" s="391"/>
      <c r="R27" s="390"/>
      <c r="S27" s="391"/>
      <c r="T27" s="390"/>
      <c r="U27" s="391"/>
      <c r="V27" s="390"/>
      <c r="W27" s="391"/>
      <c r="X27" s="390"/>
      <c r="Y27" s="391"/>
      <c r="Z27" s="390"/>
      <c r="AA27" s="391"/>
      <c r="AB27" s="390"/>
      <c r="AC27" s="391"/>
      <c r="AD27" s="390"/>
      <c r="AE27" s="391"/>
      <c r="AF27" s="390"/>
      <c r="AG27" s="391"/>
      <c r="AH27" s="390"/>
      <c r="AI27" s="391"/>
      <c r="AJ27" s="390"/>
      <c r="AK27" s="391"/>
      <c r="AL27" s="390"/>
      <c r="AM27" s="391"/>
      <c r="AN27" s="390"/>
      <c r="AO27" s="391"/>
      <c r="AP27" s="392"/>
    </row>
    <row r="28" spans="1:42" hidden="1">
      <c r="A28" s="340" t="s">
        <v>56</v>
      </c>
      <c r="B28" s="341" t="s">
        <v>79</v>
      </c>
      <c r="C28" s="427"/>
      <c r="D28" s="417">
        <v>100760</v>
      </c>
      <c r="E28" s="343">
        <v>10</v>
      </c>
      <c r="F28" s="390">
        <v>4930</v>
      </c>
      <c r="G28" s="391">
        <v>4930</v>
      </c>
      <c r="H28" s="390">
        <v>8920</v>
      </c>
      <c r="I28" s="391">
        <v>8620</v>
      </c>
      <c r="J28" s="390"/>
      <c r="K28" s="391"/>
      <c r="L28" s="390"/>
      <c r="M28" s="391"/>
      <c r="N28" s="390"/>
      <c r="O28" s="391"/>
      <c r="P28" s="390"/>
      <c r="Q28" s="391"/>
      <c r="R28" s="390"/>
      <c r="S28" s="391"/>
      <c r="T28" s="390"/>
      <c r="U28" s="391"/>
      <c r="V28" s="390"/>
      <c r="W28" s="391"/>
      <c r="X28" s="390"/>
      <c r="Y28" s="391"/>
      <c r="Z28" s="390"/>
      <c r="AA28" s="391"/>
      <c r="AB28" s="390"/>
      <c r="AC28" s="391"/>
      <c r="AD28" s="390"/>
      <c r="AE28" s="391"/>
      <c r="AF28" s="390"/>
      <c r="AG28" s="391"/>
      <c r="AH28" s="390"/>
      <c r="AI28" s="391"/>
      <c r="AJ28" s="390"/>
      <c r="AK28" s="391"/>
      <c r="AL28" s="390"/>
      <c r="AM28" s="391"/>
      <c r="AN28" s="390"/>
      <c r="AO28" s="391"/>
      <c r="AP28" s="392"/>
    </row>
    <row r="29" spans="1:42" hidden="1">
      <c r="A29" s="340" t="s">
        <v>56</v>
      </c>
      <c r="B29" s="350" t="s">
        <v>614</v>
      </c>
      <c r="C29" s="422"/>
      <c r="D29" s="417">
        <v>101028</v>
      </c>
      <c r="E29" s="343">
        <v>10</v>
      </c>
      <c r="F29" s="390">
        <v>4920</v>
      </c>
      <c r="G29" s="391">
        <v>4920</v>
      </c>
      <c r="H29" s="390">
        <v>8910</v>
      </c>
      <c r="I29" s="391">
        <v>8610</v>
      </c>
      <c r="J29" s="390"/>
      <c r="K29" s="391"/>
      <c r="L29" s="390"/>
      <c r="M29" s="391"/>
      <c r="N29" s="390"/>
      <c r="O29" s="391"/>
      <c r="P29" s="390"/>
      <c r="Q29" s="391"/>
      <c r="R29" s="390"/>
      <c r="S29" s="391"/>
      <c r="T29" s="390"/>
      <c r="U29" s="391"/>
      <c r="V29" s="390"/>
      <c r="W29" s="391"/>
      <c r="X29" s="390"/>
      <c r="Y29" s="391"/>
      <c r="Z29" s="390"/>
      <c r="AA29" s="391"/>
      <c r="AB29" s="390"/>
      <c r="AC29" s="391"/>
      <c r="AD29" s="390"/>
      <c r="AE29" s="391"/>
      <c r="AF29" s="390"/>
      <c r="AG29" s="391"/>
      <c r="AH29" s="390"/>
      <c r="AI29" s="391"/>
      <c r="AJ29" s="390"/>
      <c r="AK29" s="391"/>
      <c r="AL29" s="390"/>
      <c r="AM29" s="391"/>
      <c r="AN29" s="390"/>
      <c r="AO29" s="391"/>
      <c r="AP29" s="392"/>
    </row>
    <row r="30" spans="1:42" hidden="1">
      <c r="A30" s="340" t="s">
        <v>56</v>
      </c>
      <c r="B30" s="353" t="s">
        <v>615</v>
      </c>
      <c r="C30" s="423"/>
      <c r="D30" s="417">
        <v>101143</v>
      </c>
      <c r="E30" s="417">
        <v>10</v>
      </c>
      <c r="F30" s="390">
        <v>4860</v>
      </c>
      <c r="G30" s="391">
        <v>4860</v>
      </c>
      <c r="H30" s="390">
        <v>8850</v>
      </c>
      <c r="I30" s="391">
        <v>8550</v>
      </c>
      <c r="J30" s="390"/>
      <c r="K30" s="391"/>
      <c r="L30" s="390"/>
      <c r="M30" s="391"/>
      <c r="N30" s="390"/>
      <c r="O30" s="391"/>
      <c r="P30" s="390"/>
      <c r="Q30" s="391"/>
      <c r="R30" s="390"/>
      <c r="S30" s="391"/>
      <c r="T30" s="390"/>
      <c r="U30" s="391"/>
      <c r="V30" s="390"/>
      <c r="W30" s="391"/>
      <c r="X30" s="390"/>
      <c r="Y30" s="391"/>
      <c r="Z30" s="390"/>
      <c r="AA30" s="391"/>
      <c r="AB30" s="390"/>
      <c r="AC30" s="391"/>
      <c r="AD30" s="390"/>
      <c r="AE30" s="391"/>
      <c r="AF30" s="390"/>
      <c r="AG30" s="391"/>
      <c r="AH30" s="390"/>
      <c r="AI30" s="391"/>
      <c r="AJ30" s="390"/>
      <c r="AK30" s="391"/>
      <c r="AL30" s="390"/>
      <c r="AM30" s="391"/>
      <c r="AN30" s="390"/>
      <c r="AO30" s="391"/>
      <c r="AP30" s="392"/>
    </row>
    <row r="31" spans="1:42" hidden="1">
      <c r="A31" s="340" t="s">
        <v>56</v>
      </c>
      <c r="B31" s="341" t="s">
        <v>80</v>
      </c>
      <c r="C31" s="422"/>
      <c r="D31" s="417">
        <v>101301</v>
      </c>
      <c r="E31" s="417">
        <v>10</v>
      </c>
      <c r="F31" s="390">
        <v>4560</v>
      </c>
      <c r="G31" s="391">
        <v>4560</v>
      </c>
      <c r="H31" s="390">
        <v>8550</v>
      </c>
      <c r="I31" s="391">
        <v>8250</v>
      </c>
      <c r="J31" s="390"/>
      <c r="K31" s="391"/>
      <c r="L31" s="390"/>
      <c r="M31" s="391"/>
      <c r="N31" s="390"/>
      <c r="O31" s="391"/>
      <c r="P31" s="390"/>
      <c r="Q31" s="391"/>
      <c r="R31" s="390"/>
      <c r="S31" s="391"/>
      <c r="T31" s="390"/>
      <c r="U31" s="391"/>
      <c r="V31" s="390"/>
      <c r="W31" s="391"/>
      <c r="X31" s="390"/>
      <c r="Y31" s="391"/>
      <c r="Z31" s="390"/>
      <c r="AA31" s="391"/>
      <c r="AB31" s="390"/>
      <c r="AC31" s="391"/>
      <c r="AD31" s="390"/>
      <c r="AE31" s="391"/>
      <c r="AF31" s="390"/>
      <c r="AG31" s="391"/>
      <c r="AH31" s="390"/>
      <c r="AI31" s="391"/>
      <c r="AJ31" s="390"/>
      <c r="AK31" s="391"/>
      <c r="AL31" s="390"/>
      <c r="AM31" s="391"/>
      <c r="AN31" s="390"/>
      <c r="AO31" s="391"/>
      <c r="AP31" s="392"/>
    </row>
    <row r="32" spans="1:42" hidden="1">
      <c r="A32" s="340" t="s">
        <v>56</v>
      </c>
      <c r="B32" s="341" t="s">
        <v>81</v>
      </c>
      <c r="C32" s="422"/>
      <c r="D32" s="417">
        <v>101602</v>
      </c>
      <c r="E32" s="417">
        <v>10</v>
      </c>
      <c r="F32" s="390">
        <v>4860</v>
      </c>
      <c r="G32" s="391">
        <v>4860</v>
      </c>
      <c r="H32" s="390">
        <v>8850</v>
      </c>
      <c r="I32" s="391">
        <v>8550</v>
      </c>
      <c r="J32" s="390"/>
      <c r="K32" s="391"/>
      <c r="L32" s="390"/>
      <c r="M32" s="391"/>
      <c r="N32" s="390"/>
      <c r="O32" s="391"/>
      <c r="P32" s="390"/>
      <c r="Q32" s="391"/>
      <c r="R32" s="390"/>
      <c r="S32" s="391"/>
      <c r="T32" s="390"/>
      <c r="U32" s="391"/>
      <c r="V32" s="390"/>
      <c r="W32" s="391"/>
      <c r="X32" s="390"/>
      <c r="Y32" s="391"/>
      <c r="Z32" s="390"/>
      <c r="AA32" s="391"/>
      <c r="AB32" s="390"/>
      <c r="AC32" s="391"/>
      <c r="AD32" s="390"/>
      <c r="AE32" s="391"/>
      <c r="AF32" s="390"/>
      <c r="AG32" s="391"/>
      <c r="AH32" s="390"/>
      <c r="AI32" s="391"/>
      <c r="AJ32" s="390"/>
      <c r="AK32" s="391"/>
      <c r="AL32" s="390"/>
      <c r="AM32" s="391"/>
      <c r="AN32" s="390"/>
      <c r="AO32" s="391"/>
      <c r="AP32" s="392"/>
    </row>
    <row r="33" spans="1:44" hidden="1">
      <c r="A33" s="340" t="s">
        <v>56</v>
      </c>
      <c r="B33" s="354" t="s">
        <v>616</v>
      </c>
      <c r="C33" s="428"/>
      <c r="D33" s="417">
        <v>101897</v>
      </c>
      <c r="E33" s="417">
        <v>10</v>
      </c>
      <c r="F33" s="390">
        <v>4860</v>
      </c>
      <c r="G33" s="391">
        <v>4860</v>
      </c>
      <c r="H33" s="390">
        <v>8850</v>
      </c>
      <c r="I33" s="391">
        <v>8550</v>
      </c>
      <c r="J33" s="390"/>
      <c r="K33" s="391"/>
      <c r="L33" s="390"/>
      <c r="M33" s="391"/>
      <c r="N33" s="390"/>
      <c r="O33" s="391"/>
      <c r="P33" s="390"/>
      <c r="Q33" s="391"/>
      <c r="R33" s="390"/>
      <c r="S33" s="391"/>
      <c r="T33" s="390"/>
      <c r="U33" s="391"/>
      <c r="V33" s="390"/>
      <c r="W33" s="391"/>
      <c r="X33" s="390"/>
      <c r="Y33" s="391"/>
      <c r="Z33" s="390"/>
      <c r="AA33" s="391"/>
      <c r="AB33" s="390"/>
      <c r="AC33" s="391"/>
      <c r="AD33" s="390"/>
      <c r="AE33" s="391"/>
      <c r="AF33" s="390"/>
      <c r="AG33" s="391"/>
      <c r="AH33" s="390"/>
      <c r="AI33" s="391"/>
      <c r="AJ33" s="390"/>
      <c r="AK33" s="391"/>
      <c r="AL33" s="390"/>
      <c r="AM33" s="391"/>
      <c r="AN33" s="390"/>
      <c r="AO33" s="391"/>
      <c r="AP33" s="392"/>
    </row>
    <row r="34" spans="1:44" hidden="1">
      <c r="A34" s="340" t="s">
        <v>56</v>
      </c>
      <c r="B34" s="341" t="s">
        <v>82</v>
      </c>
      <c r="C34" s="428"/>
      <c r="D34" s="417">
        <v>102076</v>
      </c>
      <c r="E34" s="417">
        <v>10</v>
      </c>
      <c r="F34" s="390">
        <v>5010</v>
      </c>
      <c r="G34" s="391">
        <v>5010</v>
      </c>
      <c r="H34" s="390">
        <v>9000</v>
      </c>
      <c r="I34" s="391">
        <v>8700</v>
      </c>
      <c r="J34" s="390"/>
      <c r="K34" s="391"/>
      <c r="L34" s="390"/>
      <c r="M34" s="391"/>
      <c r="N34" s="390"/>
      <c r="O34" s="391"/>
      <c r="P34" s="390"/>
      <c r="Q34" s="391"/>
      <c r="R34" s="390"/>
      <c r="S34" s="391"/>
      <c r="T34" s="390"/>
      <c r="U34" s="391"/>
      <c r="V34" s="390"/>
      <c r="W34" s="391"/>
      <c r="X34" s="390"/>
      <c r="Y34" s="391"/>
      <c r="Z34" s="390"/>
      <c r="AA34" s="391"/>
      <c r="AB34" s="390"/>
      <c r="AC34" s="391"/>
      <c r="AD34" s="390"/>
      <c r="AE34" s="391"/>
      <c r="AF34" s="390"/>
      <c r="AG34" s="391"/>
      <c r="AH34" s="390"/>
      <c r="AI34" s="391"/>
      <c r="AJ34" s="390"/>
      <c r="AK34" s="391"/>
      <c r="AL34" s="390"/>
      <c r="AM34" s="391"/>
      <c r="AN34" s="390"/>
      <c r="AO34" s="391"/>
      <c r="AP34" s="392"/>
    </row>
    <row r="35" spans="1:44" hidden="1">
      <c r="A35" s="340" t="s">
        <v>56</v>
      </c>
      <c r="B35" s="350" t="s">
        <v>617</v>
      </c>
      <c r="C35" s="427"/>
      <c r="D35" s="417">
        <v>102313</v>
      </c>
      <c r="E35" s="417">
        <v>12</v>
      </c>
      <c r="F35" s="390">
        <v>4770</v>
      </c>
      <c r="G35" s="391">
        <v>4770</v>
      </c>
      <c r="H35" s="390">
        <v>8760</v>
      </c>
      <c r="I35" s="391">
        <v>8460</v>
      </c>
      <c r="J35" s="390"/>
      <c r="K35" s="391"/>
      <c r="L35" s="390"/>
      <c r="M35" s="391"/>
      <c r="N35" s="390"/>
      <c r="O35" s="391"/>
      <c r="P35" s="390"/>
      <c r="Q35" s="391"/>
      <c r="R35" s="390"/>
      <c r="S35" s="391"/>
      <c r="T35" s="390"/>
      <c r="U35" s="391"/>
      <c r="V35" s="390"/>
      <c r="W35" s="391"/>
      <c r="X35" s="390"/>
      <c r="Y35" s="391"/>
      <c r="Z35" s="390"/>
      <c r="AA35" s="391"/>
      <c r="AB35" s="390"/>
      <c r="AC35" s="391"/>
      <c r="AD35" s="390"/>
      <c r="AE35" s="391"/>
      <c r="AF35" s="390"/>
      <c r="AG35" s="391"/>
      <c r="AH35" s="390"/>
      <c r="AI35" s="391"/>
      <c r="AJ35" s="390"/>
      <c r="AK35" s="391"/>
      <c r="AL35" s="390"/>
      <c r="AM35" s="391"/>
      <c r="AN35" s="390"/>
      <c r="AO35" s="391"/>
      <c r="AP35" s="392"/>
    </row>
    <row r="36" spans="1:44" hidden="1">
      <c r="A36" s="340" t="s">
        <v>56</v>
      </c>
      <c r="B36" s="350" t="s">
        <v>618</v>
      </c>
      <c r="C36" s="422"/>
      <c r="D36" s="417">
        <v>101462</v>
      </c>
      <c r="E36" s="417">
        <v>13</v>
      </c>
      <c r="F36" s="390">
        <v>4830</v>
      </c>
      <c r="G36" s="391">
        <v>4830</v>
      </c>
      <c r="H36" s="390">
        <v>8820</v>
      </c>
      <c r="I36" s="391">
        <v>8520</v>
      </c>
      <c r="J36" s="390"/>
      <c r="K36" s="391"/>
      <c r="L36" s="390"/>
      <c r="M36" s="391"/>
      <c r="N36" s="390"/>
      <c r="O36" s="391"/>
      <c r="P36" s="390"/>
      <c r="Q36" s="391"/>
      <c r="R36" s="390"/>
      <c r="S36" s="391"/>
      <c r="T36" s="390"/>
      <c r="U36" s="391"/>
      <c r="V36" s="390"/>
      <c r="W36" s="391"/>
      <c r="X36" s="390"/>
      <c r="Y36" s="391"/>
      <c r="Z36" s="390"/>
      <c r="AA36" s="391"/>
      <c r="AB36" s="390"/>
      <c r="AC36" s="391"/>
      <c r="AD36" s="390"/>
      <c r="AE36" s="391"/>
      <c r="AF36" s="390"/>
      <c r="AG36" s="391"/>
      <c r="AH36" s="390"/>
      <c r="AI36" s="391"/>
      <c r="AJ36" s="390"/>
      <c r="AK36" s="391"/>
      <c r="AL36" s="390"/>
      <c r="AM36" s="391"/>
      <c r="AN36" s="390"/>
      <c r="AO36" s="391"/>
      <c r="AP36" s="392"/>
    </row>
    <row r="37" spans="1:44" hidden="1">
      <c r="A37" s="340" t="s">
        <v>56</v>
      </c>
      <c r="B37" s="341" t="s">
        <v>83</v>
      </c>
      <c r="C37" s="422"/>
      <c r="D37" s="417">
        <v>101471</v>
      </c>
      <c r="E37" s="417">
        <v>13</v>
      </c>
      <c r="F37" s="390">
        <v>5070</v>
      </c>
      <c r="G37" s="391">
        <v>5070</v>
      </c>
      <c r="H37" s="390">
        <v>0</v>
      </c>
      <c r="I37" s="391">
        <v>0</v>
      </c>
      <c r="J37" s="390"/>
      <c r="K37" s="391"/>
      <c r="L37" s="390"/>
      <c r="M37" s="391"/>
      <c r="N37" s="390"/>
      <c r="O37" s="391"/>
      <c r="P37" s="390"/>
      <c r="Q37" s="391"/>
      <c r="R37" s="390"/>
      <c r="S37" s="391"/>
      <c r="T37" s="390"/>
      <c r="U37" s="391"/>
      <c r="V37" s="390"/>
      <c r="W37" s="391"/>
      <c r="X37" s="390"/>
      <c r="Y37" s="391"/>
      <c r="Z37" s="390"/>
      <c r="AA37" s="391"/>
      <c r="AB37" s="390"/>
      <c r="AC37" s="391"/>
      <c r="AD37" s="390"/>
      <c r="AE37" s="391"/>
      <c r="AF37" s="390"/>
      <c r="AG37" s="391"/>
      <c r="AH37" s="390"/>
      <c r="AI37" s="391"/>
      <c r="AJ37" s="390"/>
      <c r="AK37" s="391"/>
      <c r="AL37" s="390"/>
      <c r="AM37" s="391"/>
      <c r="AN37" s="390"/>
      <c r="AO37" s="391"/>
      <c r="AP37" s="392"/>
    </row>
    <row r="38" spans="1:44" hidden="1">
      <c r="A38" s="340" t="s">
        <v>56</v>
      </c>
      <c r="B38" s="341" t="s">
        <v>85</v>
      </c>
      <c r="C38" s="422"/>
      <c r="D38" s="417">
        <v>101994</v>
      </c>
      <c r="E38" s="417">
        <v>13</v>
      </c>
      <c r="F38" s="390">
        <v>4900</v>
      </c>
      <c r="G38" s="391">
        <v>4900</v>
      </c>
      <c r="H38" s="390">
        <v>8890</v>
      </c>
      <c r="I38" s="391">
        <v>8590</v>
      </c>
      <c r="J38" s="390"/>
      <c r="K38" s="391"/>
      <c r="L38" s="390"/>
      <c r="M38" s="391"/>
      <c r="N38" s="390"/>
      <c r="O38" s="391"/>
      <c r="P38" s="390"/>
      <c r="Q38" s="391"/>
      <c r="R38" s="390"/>
      <c r="S38" s="391"/>
      <c r="T38" s="390"/>
      <c r="U38" s="391"/>
      <c r="V38" s="390"/>
      <c r="W38" s="391"/>
      <c r="X38" s="390"/>
      <c r="Y38" s="391"/>
      <c r="Z38" s="390"/>
      <c r="AA38" s="391"/>
      <c r="AB38" s="390"/>
      <c r="AC38" s="391"/>
      <c r="AD38" s="390"/>
      <c r="AE38" s="391"/>
      <c r="AF38" s="390"/>
      <c r="AG38" s="391"/>
      <c r="AH38" s="390"/>
      <c r="AI38" s="391"/>
      <c r="AJ38" s="390"/>
      <c r="AK38" s="391"/>
      <c r="AL38" s="390"/>
      <c r="AM38" s="391"/>
      <c r="AN38" s="390"/>
      <c r="AO38" s="391"/>
      <c r="AP38" s="392"/>
    </row>
    <row r="39" spans="1:44" hidden="1">
      <c r="A39" s="340" t="s">
        <v>56</v>
      </c>
      <c r="B39" s="341" t="s">
        <v>86</v>
      </c>
      <c r="C39" s="422"/>
      <c r="D39" s="417">
        <v>101648</v>
      </c>
      <c r="E39" s="417">
        <v>15</v>
      </c>
      <c r="F39" s="390">
        <v>9190</v>
      </c>
      <c r="G39" s="391">
        <v>8890</v>
      </c>
      <c r="H39" s="390">
        <v>15190</v>
      </c>
      <c r="I39" s="391">
        <v>14890</v>
      </c>
      <c r="J39" s="390"/>
      <c r="K39" s="391"/>
      <c r="L39" s="390"/>
      <c r="M39" s="391"/>
      <c r="N39" s="390"/>
      <c r="O39" s="391"/>
      <c r="P39" s="390"/>
      <c r="Q39" s="391"/>
      <c r="R39" s="390"/>
      <c r="S39" s="391"/>
      <c r="T39" s="390"/>
      <c r="U39" s="391"/>
      <c r="V39" s="390"/>
      <c r="W39" s="391"/>
      <c r="X39" s="390"/>
      <c r="Y39" s="391"/>
      <c r="Z39" s="390"/>
      <c r="AA39" s="391"/>
      <c r="AB39" s="390"/>
      <c r="AC39" s="391"/>
      <c r="AD39" s="390"/>
      <c r="AE39" s="391"/>
      <c r="AF39" s="390"/>
      <c r="AG39" s="391"/>
      <c r="AH39" s="390"/>
      <c r="AI39" s="391"/>
      <c r="AJ39" s="390"/>
      <c r="AK39" s="391"/>
      <c r="AL39" s="390"/>
      <c r="AM39" s="391"/>
      <c r="AN39" s="390"/>
      <c r="AO39" s="391"/>
      <c r="AP39" s="392"/>
    </row>
    <row r="40" spans="1:44" s="404" customFormat="1" ht="12.6" customHeight="1">
      <c r="A40" s="430" t="s">
        <v>87</v>
      </c>
      <c r="B40" s="431" t="s">
        <v>90</v>
      </c>
      <c r="C40" s="432"/>
      <c r="D40" s="433">
        <v>106458</v>
      </c>
      <c r="E40" s="433">
        <v>3</v>
      </c>
      <c r="F40" s="401">
        <v>8900</v>
      </c>
      <c r="G40" s="402">
        <v>8900</v>
      </c>
      <c r="H40" s="401">
        <v>15860</v>
      </c>
      <c r="I40" s="402">
        <v>15860</v>
      </c>
      <c r="J40" s="401">
        <v>8546</v>
      </c>
      <c r="K40" s="402">
        <v>8546</v>
      </c>
      <c r="L40" s="401">
        <v>15194</v>
      </c>
      <c r="M40" s="402">
        <v>15194</v>
      </c>
      <c r="N40" s="401"/>
      <c r="O40" s="402"/>
      <c r="P40" s="401"/>
      <c r="Q40" s="402"/>
      <c r="R40" s="401"/>
      <c r="S40" s="402"/>
      <c r="T40" s="401"/>
      <c r="U40" s="402"/>
      <c r="V40" s="401"/>
      <c r="W40" s="402"/>
      <c r="X40" s="401"/>
      <c r="Y40" s="402"/>
      <c r="Z40" s="401"/>
      <c r="AA40" s="402"/>
      <c r="AB40" s="401"/>
      <c r="AC40" s="402"/>
      <c r="AD40" s="401"/>
      <c r="AE40" s="402"/>
      <c r="AF40" s="401"/>
      <c r="AG40" s="402"/>
      <c r="AH40" s="401"/>
      <c r="AI40" s="402"/>
      <c r="AJ40" s="401"/>
      <c r="AK40" s="402"/>
      <c r="AL40" s="401"/>
      <c r="AM40" s="402"/>
      <c r="AN40" s="401"/>
      <c r="AO40" s="402"/>
      <c r="AP40" s="403"/>
      <c r="AQ40" s="403"/>
      <c r="AR40" s="403"/>
    </row>
    <row r="41" spans="1:44" s="404" customFormat="1" ht="12.6" customHeight="1">
      <c r="A41" s="430" t="s">
        <v>87</v>
      </c>
      <c r="B41" s="431" t="s">
        <v>91</v>
      </c>
      <c r="C41" s="434"/>
      <c r="D41" s="433">
        <v>106467</v>
      </c>
      <c r="E41" s="433">
        <v>3</v>
      </c>
      <c r="F41" s="401">
        <v>9255</v>
      </c>
      <c r="G41" s="402">
        <v>9539</v>
      </c>
      <c r="H41" s="401">
        <v>16215</v>
      </c>
      <c r="I41" s="402">
        <v>16709</v>
      </c>
      <c r="J41" s="401">
        <v>8844</v>
      </c>
      <c r="K41" s="402">
        <v>9113</v>
      </c>
      <c r="L41" s="401">
        <v>15852</v>
      </c>
      <c r="M41" s="402">
        <v>16331</v>
      </c>
      <c r="N41" s="401"/>
      <c r="O41" s="402"/>
      <c r="P41" s="401"/>
      <c r="Q41" s="402"/>
      <c r="R41" s="401"/>
      <c r="S41" s="402"/>
      <c r="T41" s="401"/>
      <c r="U41" s="402"/>
      <c r="V41" s="401"/>
      <c r="W41" s="402"/>
      <c r="X41" s="401"/>
      <c r="Y41" s="402"/>
      <c r="Z41" s="401"/>
      <c r="AA41" s="402"/>
      <c r="AB41" s="401"/>
      <c r="AC41" s="402"/>
      <c r="AD41" s="401"/>
      <c r="AE41" s="402"/>
      <c r="AF41" s="401"/>
      <c r="AG41" s="402"/>
      <c r="AH41" s="401"/>
      <c r="AI41" s="402"/>
      <c r="AJ41" s="401"/>
      <c r="AK41" s="402"/>
      <c r="AL41" s="401"/>
      <c r="AM41" s="402"/>
      <c r="AN41" s="401"/>
      <c r="AO41" s="402"/>
      <c r="AP41" s="403"/>
      <c r="AQ41" s="403"/>
      <c r="AR41" s="403"/>
    </row>
    <row r="42" spans="1:44" s="404" customFormat="1" ht="12.6" customHeight="1">
      <c r="A42" s="430" t="s">
        <v>87</v>
      </c>
      <c r="B42" s="431" t="s">
        <v>93</v>
      </c>
      <c r="C42" s="432"/>
      <c r="D42" s="433">
        <v>107071</v>
      </c>
      <c r="E42" s="433">
        <v>4</v>
      </c>
      <c r="F42" s="401">
        <v>8811</v>
      </c>
      <c r="G42" s="402">
        <v>9450</v>
      </c>
      <c r="H42" s="401">
        <v>10521</v>
      </c>
      <c r="I42" s="402">
        <v>12210</v>
      </c>
      <c r="J42" s="401">
        <v>8349</v>
      </c>
      <c r="K42" s="402">
        <v>9240</v>
      </c>
      <c r="L42" s="401">
        <v>11568</v>
      </c>
      <c r="M42" s="402">
        <v>12144</v>
      </c>
      <c r="N42" s="401"/>
      <c r="O42" s="402"/>
      <c r="P42" s="401"/>
      <c r="Q42" s="402"/>
      <c r="R42" s="401"/>
      <c r="S42" s="402"/>
      <c r="T42" s="401"/>
      <c r="U42" s="402"/>
      <c r="V42" s="401"/>
      <c r="W42" s="402"/>
      <c r="X42" s="401"/>
      <c r="Y42" s="402"/>
      <c r="Z42" s="401"/>
      <c r="AA42" s="402"/>
      <c r="AB42" s="401"/>
      <c r="AC42" s="402"/>
      <c r="AD42" s="401"/>
      <c r="AE42" s="402"/>
      <c r="AF42" s="401"/>
      <c r="AG42" s="402"/>
      <c r="AH42" s="401"/>
      <c r="AI42" s="402"/>
      <c r="AJ42" s="401"/>
      <c r="AK42" s="402"/>
      <c r="AL42" s="401"/>
      <c r="AM42" s="402"/>
      <c r="AN42" s="401"/>
      <c r="AO42" s="402"/>
      <c r="AP42" s="403"/>
      <c r="AQ42" s="403"/>
      <c r="AR42" s="403"/>
    </row>
    <row r="43" spans="1:44" s="404" customFormat="1" ht="12.6" customHeight="1">
      <c r="A43" s="430" t="s">
        <v>87</v>
      </c>
      <c r="B43" s="431" t="s">
        <v>94</v>
      </c>
      <c r="C43" s="434"/>
      <c r="D43" s="433">
        <v>107983</v>
      </c>
      <c r="E43" s="433">
        <v>4</v>
      </c>
      <c r="F43" s="401">
        <v>8980</v>
      </c>
      <c r="G43" s="402">
        <v>9310</v>
      </c>
      <c r="H43" s="401">
        <v>13480</v>
      </c>
      <c r="I43" s="402">
        <v>14530</v>
      </c>
      <c r="J43" s="401">
        <v>8766</v>
      </c>
      <c r="K43" s="402">
        <v>9192</v>
      </c>
      <c r="L43" s="401">
        <v>12606</v>
      </c>
      <c r="M43" s="402">
        <v>13176</v>
      </c>
      <c r="N43" s="401"/>
      <c r="O43" s="402"/>
      <c r="P43" s="401"/>
      <c r="Q43" s="402"/>
      <c r="R43" s="401"/>
      <c r="S43" s="402"/>
      <c r="T43" s="401"/>
      <c r="U43" s="402"/>
      <c r="V43" s="401"/>
      <c r="W43" s="402"/>
      <c r="X43" s="401"/>
      <c r="Y43" s="402"/>
      <c r="Z43" s="401"/>
      <c r="AA43" s="402"/>
      <c r="AB43" s="401"/>
      <c r="AC43" s="402"/>
      <c r="AD43" s="401"/>
      <c r="AE43" s="402"/>
      <c r="AF43" s="401"/>
      <c r="AG43" s="402"/>
      <c r="AH43" s="401"/>
      <c r="AI43" s="402"/>
      <c r="AJ43" s="401"/>
      <c r="AK43" s="402"/>
      <c r="AL43" s="401"/>
      <c r="AM43" s="402"/>
      <c r="AN43" s="401"/>
      <c r="AO43" s="402"/>
      <c r="AP43" s="403"/>
      <c r="AQ43" s="403"/>
      <c r="AR43" s="403"/>
    </row>
    <row r="44" spans="1:44" s="405" customFormat="1">
      <c r="A44" s="430" t="s">
        <v>87</v>
      </c>
      <c r="B44" s="431" t="s">
        <v>88</v>
      </c>
      <c r="C44" s="432"/>
      <c r="D44" s="433">
        <v>106397</v>
      </c>
      <c r="E44" s="433">
        <v>1</v>
      </c>
      <c r="F44" s="401">
        <v>9385</v>
      </c>
      <c r="G44" s="402">
        <v>9572</v>
      </c>
      <c r="H44" s="401">
        <v>25873</v>
      </c>
      <c r="I44" s="402">
        <v>26389</v>
      </c>
      <c r="J44" s="401">
        <v>11789</v>
      </c>
      <c r="K44" s="402">
        <v>12024</v>
      </c>
      <c r="L44" s="401">
        <v>29494</v>
      </c>
      <c r="M44" s="402">
        <v>30084</v>
      </c>
      <c r="N44" s="401">
        <v>13283</v>
      </c>
      <c r="O44" s="402">
        <v>13707</v>
      </c>
      <c r="P44" s="401">
        <v>29791</v>
      </c>
      <c r="Q44" s="402">
        <v>30528</v>
      </c>
      <c r="R44" s="401"/>
      <c r="S44" s="402"/>
      <c r="T44" s="401"/>
      <c r="U44" s="402"/>
      <c r="V44" s="401"/>
      <c r="W44" s="402"/>
      <c r="X44" s="401"/>
      <c r="Y44" s="402"/>
      <c r="Z44" s="401"/>
      <c r="AA44" s="402"/>
      <c r="AB44" s="401"/>
      <c r="AC44" s="402"/>
      <c r="AD44" s="401"/>
      <c r="AE44" s="402"/>
      <c r="AF44" s="401"/>
      <c r="AG44" s="402"/>
      <c r="AH44" s="401"/>
      <c r="AI44" s="402"/>
      <c r="AJ44" s="401"/>
      <c r="AK44" s="402"/>
      <c r="AL44" s="401"/>
      <c r="AM44" s="402"/>
      <c r="AN44" s="401"/>
      <c r="AO44" s="402"/>
      <c r="AP44" s="403"/>
      <c r="AQ44" s="403"/>
      <c r="AR44" s="403"/>
    </row>
    <row r="45" spans="1:44" s="405" customFormat="1">
      <c r="A45" s="430" t="s">
        <v>87</v>
      </c>
      <c r="B45" s="431" t="s">
        <v>96</v>
      </c>
      <c r="C45" s="432"/>
      <c r="D45" s="433">
        <v>108092</v>
      </c>
      <c r="E45" s="433">
        <v>6</v>
      </c>
      <c r="F45" s="401">
        <v>7339</v>
      </c>
      <c r="G45" s="402">
        <v>7339</v>
      </c>
      <c r="H45" s="401">
        <v>16429</v>
      </c>
      <c r="I45" s="402">
        <v>16429</v>
      </c>
      <c r="J45" s="401">
        <v>10106</v>
      </c>
      <c r="K45" s="402">
        <v>10106</v>
      </c>
      <c r="L45" s="401">
        <v>15842</v>
      </c>
      <c r="M45" s="402">
        <v>15842</v>
      </c>
      <c r="N45" s="401"/>
      <c r="O45" s="402"/>
      <c r="P45" s="401"/>
      <c r="Q45" s="402"/>
      <c r="R45" s="401"/>
      <c r="S45" s="402"/>
      <c r="T45" s="401"/>
      <c r="U45" s="402"/>
      <c r="V45" s="401"/>
      <c r="W45" s="402"/>
      <c r="X45" s="401"/>
      <c r="Y45" s="402"/>
      <c r="Z45" s="401"/>
      <c r="AA45" s="402"/>
      <c r="AB45" s="401"/>
      <c r="AC45" s="402"/>
      <c r="AD45" s="401"/>
      <c r="AE45" s="402"/>
      <c r="AF45" s="401"/>
      <c r="AG45" s="402"/>
      <c r="AH45" s="401"/>
      <c r="AI45" s="402"/>
      <c r="AJ45" s="401"/>
      <c r="AK45" s="402"/>
      <c r="AL45" s="401"/>
      <c r="AM45" s="402"/>
      <c r="AN45" s="401"/>
      <c r="AO45" s="402"/>
      <c r="AP45" s="403"/>
      <c r="AQ45" s="403"/>
      <c r="AR45" s="403"/>
    </row>
    <row r="46" spans="1:44" s="405" customFormat="1">
      <c r="A46" s="430" t="s">
        <v>87</v>
      </c>
      <c r="B46" s="431" t="s">
        <v>89</v>
      </c>
      <c r="C46" s="432"/>
      <c r="D46" s="433">
        <v>106245</v>
      </c>
      <c r="E46" s="433">
        <v>2</v>
      </c>
      <c r="F46" s="401">
        <v>9529</v>
      </c>
      <c r="G46" s="402">
        <v>9529</v>
      </c>
      <c r="H46" s="401">
        <v>21784</v>
      </c>
      <c r="I46" s="402">
        <v>21784</v>
      </c>
      <c r="J46" s="401">
        <v>10119</v>
      </c>
      <c r="K46" s="402">
        <v>10119</v>
      </c>
      <c r="L46" s="401">
        <v>19839</v>
      </c>
      <c r="M46" s="402">
        <v>19839</v>
      </c>
      <c r="N46" s="401">
        <v>13693</v>
      </c>
      <c r="O46" s="402">
        <v>13693</v>
      </c>
      <c r="P46" s="401">
        <v>26448</v>
      </c>
      <c r="Q46" s="402">
        <v>26448</v>
      </c>
      <c r="R46" s="401"/>
      <c r="S46" s="402"/>
      <c r="T46" s="401"/>
      <c r="U46" s="402"/>
      <c r="V46" s="401"/>
      <c r="W46" s="402"/>
      <c r="X46" s="401"/>
      <c r="Y46" s="402"/>
      <c r="Z46" s="401"/>
      <c r="AA46" s="402"/>
      <c r="AB46" s="401"/>
      <c r="AC46" s="402"/>
      <c r="AD46" s="401"/>
      <c r="AE46" s="402"/>
      <c r="AF46" s="401"/>
      <c r="AG46" s="402"/>
      <c r="AH46" s="401"/>
      <c r="AI46" s="402"/>
      <c r="AJ46" s="401"/>
      <c r="AK46" s="402"/>
      <c r="AL46" s="401"/>
      <c r="AM46" s="402"/>
      <c r="AN46" s="401"/>
      <c r="AO46" s="402"/>
      <c r="AP46" s="403"/>
      <c r="AQ46" s="403"/>
      <c r="AR46" s="403"/>
    </row>
    <row r="47" spans="1:44" s="405" customFormat="1">
      <c r="A47" s="430" t="s">
        <v>87</v>
      </c>
      <c r="B47" s="431" t="s">
        <v>95</v>
      </c>
      <c r="C47" s="432"/>
      <c r="D47" s="433">
        <v>106485</v>
      </c>
      <c r="E47" s="433">
        <v>4</v>
      </c>
      <c r="F47" s="401">
        <v>7909</v>
      </c>
      <c r="G47" s="402">
        <v>8029</v>
      </c>
      <c r="H47" s="401">
        <v>13759</v>
      </c>
      <c r="I47" s="402">
        <v>13879</v>
      </c>
      <c r="J47" s="401">
        <v>9127</v>
      </c>
      <c r="K47" s="402">
        <v>9223</v>
      </c>
      <c r="L47" s="401">
        <v>15007</v>
      </c>
      <c r="M47" s="402">
        <v>15103</v>
      </c>
      <c r="N47" s="401"/>
      <c r="O47" s="402"/>
      <c r="P47" s="401"/>
      <c r="Q47" s="402"/>
      <c r="R47" s="401"/>
      <c r="S47" s="402"/>
      <c r="T47" s="401"/>
      <c r="U47" s="402"/>
      <c r="V47" s="401"/>
      <c r="W47" s="402"/>
      <c r="X47" s="401"/>
      <c r="Y47" s="402"/>
      <c r="Z47" s="401"/>
      <c r="AA47" s="402"/>
      <c r="AB47" s="401"/>
      <c r="AC47" s="402"/>
      <c r="AD47" s="401"/>
      <c r="AE47" s="402"/>
      <c r="AF47" s="401"/>
      <c r="AG47" s="402"/>
      <c r="AH47" s="401"/>
      <c r="AI47" s="402"/>
      <c r="AJ47" s="401"/>
      <c r="AK47" s="402"/>
      <c r="AL47" s="401"/>
      <c r="AM47" s="402"/>
      <c r="AN47" s="401"/>
      <c r="AO47" s="402"/>
      <c r="AP47" s="403"/>
      <c r="AQ47" s="403"/>
      <c r="AR47" s="403"/>
    </row>
    <row r="48" spans="1:44" s="405" customFormat="1" hidden="1">
      <c r="A48" s="430" t="s">
        <v>87</v>
      </c>
      <c r="B48" s="431" t="s">
        <v>116</v>
      </c>
      <c r="C48" s="432"/>
      <c r="D48" s="433">
        <v>106263</v>
      </c>
      <c r="E48" s="433">
        <v>15</v>
      </c>
      <c r="F48" s="401">
        <v>7658</v>
      </c>
      <c r="G48" s="402">
        <v>7528</v>
      </c>
      <c r="H48" s="401">
        <v>15386</v>
      </c>
      <c r="I48" s="402">
        <v>15256</v>
      </c>
      <c r="J48" s="401">
        <v>8606</v>
      </c>
      <c r="K48" s="402">
        <v>8476</v>
      </c>
      <c r="L48" s="401">
        <v>16688</v>
      </c>
      <c r="M48" s="402">
        <v>16558</v>
      </c>
      <c r="N48" s="401"/>
      <c r="O48" s="402"/>
      <c r="P48" s="401"/>
      <c r="Q48" s="402"/>
      <c r="R48" s="401">
        <v>34668</v>
      </c>
      <c r="S48" s="402">
        <v>34538</v>
      </c>
      <c r="T48" s="401">
        <v>66838</v>
      </c>
      <c r="U48" s="402">
        <v>66708</v>
      </c>
      <c r="V48" s="401"/>
      <c r="W48" s="402"/>
      <c r="X48" s="401"/>
      <c r="Y48" s="402"/>
      <c r="Z48" s="401">
        <v>20938</v>
      </c>
      <c r="AA48" s="402">
        <v>20808</v>
      </c>
      <c r="AB48" s="401">
        <v>40218</v>
      </c>
      <c r="AC48" s="402">
        <v>40088</v>
      </c>
      <c r="AD48" s="401"/>
      <c r="AE48" s="402"/>
      <c r="AF48" s="401"/>
      <c r="AG48" s="402"/>
      <c r="AH48" s="401"/>
      <c r="AI48" s="402"/>
      <c r="AJ48" s="401"/>
      <c r="AK48" s="402"/>
      <c r="AL48" s="401"/>
      <c r="AM48" s="402"/>
      <c r="AN48" s="401"/>
      <c r="AO48" s="402"/>
      <c r="AP48" s="403"/>
      <c r="AQ48" s="403"/>
      <c r="AR48" s="403"/>
    </row>
    <row r="49" spans="1:44" s="405" customFormat="1">
      <c r="A49" s="430" t="s">
        <v>87</v>
      </c>
      <c r="B49" s="431" t="s">
        <v>97</v>
      </c>
      <c r="C49" s="435" t="s">
        <v>1000</v>
      </c>
      <c r="D49" s="433">
        <v>106412</v>
      </c>
      <c r="E49" s="433">
        <v>6</v>
      </c>
      <c r="F49" s="401">
        <v>8064</v>
      </c>
      <c r="G49" s="402">
        <v>8064</v>
      </c>
      <c r="H49" s="401">
        <v>14574</v>
      </c>
      <c r="I49" s="402">
        <v>14574</v>
      </c>
      <c r="J49" s="401">
        <v>7570</v>
      </c>
      <c r="K49" s="402">
        <v>7570</v>
      </c>
      <c r="L49" s="401">
        <v>14146</v>
      </c>
      <c r="M49" s="402">
        <v>14146</v>
      </c>
      <c r="N49" s="401"/>
      <c r="O49" s="402"/>
      <c r="P49" s="401"/>
      <c r="Q49" s="402"/>
      <c r="R49" s="401"/>
      <c r="S49" s="402"/>
      <c r="T49" s="401"/>
      <c r="U49" s="402"/>
      <c r="V49" s="401"/>
      <c r="W49" s="402"/>
      <c r="X49" s="401"/>
      <c r="Y49" s="402"/>
      <c r="Z49" s="401"/>
      <c r="AA49" s="402"/>
      <c r="AB49" s="401"/>
      <c r="AC49" s="402"/>
      <c r="AD49" s="401"/>
      <c r="AE49" s="402"/>
      <c r="AF49" s="401"/>
      <c r="AG49" s="402"/>
      <c r="AH49" s="401"/>
      <c r="AI49" s="402"/>
      <c r="AJ49" s="401"/>
      <c r="AK49" s="402"/>
      <c r="AL49" s="401"/>
      <c r="AM49" s="402"/>
      <c r="AN49" s="401"/>
      <c r="AO49" s="402"/>
      <c r="AP49" s="403"/>
      <c r="AQ49" s="403"/>
      <c r="AR49" s="403"/>
    </row>
    <row r="50" spans="1:44" s="405" customFormat="1">
      <c r="A50" s="430" t="s">
        <v>87</v>
      </c>
      <c r="B50" s="431" t="s">
        <v>92</v>
      </c>
      <c r="C50" s="432"/>
      <c r="D50" s="433">
        <v>106704</v>
      </c>
      <c r="E50" s="433">
        <v>3</v>
      </c>
      <c r="F50" s="401">
        <v>9188</v>
      </c>
      <c r="G50" s="402">
        <v>9563</v>
      </c>
      <c r="H50" s="401">
        <v>15998</v>
      </c>
      <c r="I50" s="402">
        <v>16433</v>
      </c>
      <c r="J50" s="401">
        <v>8633</v>
      </c>
      <c r="K50" s="402">
        <v>8944</v>
      </c>
      <c r="L50" s="401">
        <v>15324</v>
      </c>
      <c r="M50" s="402">
        <v>15694</v>
      </c>
      <c r="N50" s="401"/>
      <c r="O50" s="402"/>
      <c r="P50" s="401"/>
      <c r="Q50" s="402"/>
      <c r="R50" s="401"/>
      <c r="S50" s="402"/>
      <c r="T50" s="401"/>
      <c r="U50" s="402"/>
      <c r="V50" s="401"/>
      <c r="W50" s="402"/>
      <c r="X50" s="401"/>
      <c r="Y50" s="402"/>
      <c r="Z50" s="401"/>
      <c r="AA50" s="402"/>
      <c r="AB50" s="401"/>
      <c r="AC50" s="402"/>
      <c r="AD50" s="401"/>
      <c r="AE50" s="402"/>
      <c r="AF50" s="401"/>
      <c r="AG50" s="402"/>
      <c r="AH50" s="401"/>
      <c r="AI50" s="402"/>
      <c r="AJ50" s="401"/>
      <c r="AK50" s="402"/>
      <c r="AL50" s="401"/>
      <c r="AM50" s="402"/>
      <c r="AN50" s="401"/>
      <c r="AO50" s="402"/>
      <c r="AP50" s="403"/>
      <c r="AQ50" s="403"/>
      <c r="AR50" s="403"/>
    </row>
    <row r="51" spans="1:44" s="405" customFormat="1" hidden="1">
      <c r="A51" s="430" t="s">
        <v>87</v>
      </c>
      <c r="B51" s="431" t="s">
        <v>101</v>
      </c>
      <c r="C51" s="432"/>
      <c r="D51" s="433">
        <v>107327</v>
      </c>
      <c r="E51" s="433">
        <v>10</v>
      </c>
      <c r="F51" s="401">
        <v>2510</v>
      </c>
      <c r="G51" s="402">
        <v>2630</v>
      </c>
      <c r="H51" s="401">
        <v>4310</v>
      </c>
      <c r="I51" s="402">
        <v>4430</v>
      </c>
      <c r="J51" s="401"/>
      <c r="K51" s="402"/>
      <c r="L51" s="401"/>
      <c r="M51" s="402"/>
      <c r="N51" s="401"/>
      <c r="O51" s="402"/>
      <c r="P51" s="401"/>
      <c r="Q51" s="402"/>
      <c r="R51" s="401"/>
      <c r="S51" s="402"/>
      <c r="T51" s="401"/>
      <c r="U51" s="402"/>
      <c r="V51" s="401"/>
      <c r="W51" s="402"/>
      <c r="X51" s="401"/>
      <c r="Y51" s="402"/>
      <c r="Z51" s="401"/>
      <c r="AA51" s="402"/>
      <c r="AB51" s="401"/>
      <c r="AC51" s="402"/>
      <c r="AD51" s="401"/>
      <c r="AE51" s="402"/>
      <c r="AF51" s="401"/>
      <c r="AG51" s="402"/>
      <c r="AH51" s="401"/>
      <c r="AI51" s="402"/>
      <c r="AJ51" s="401"/>
      <c r="AK51" s="402"/>
      <c r="AL51" s="401"/>
      <c r="AM51" s="402"/>
      <c r="AN51" s="401"/>
      <c r="AO51" s="402"/>
      <c r="AP51" s="403"/>
      <c r="AQ51" s="403"/>
      <c r="AR51" s="403"/>
    </row>
    <row r="52" spans="1:44" s="405" customFormat="1" hidden="1">
      <c r="A52" s="430" t="s">
        <v>87</v>
      </c>
      <c r="B52" s="431" t="s">
        <v>99</v>
      </c>
      <c r="C52" s="432"/>
      <c r="D52" s="433">
        <v>106449</v>
      </c>
      <c r="E52" s="433">
        <v>9</v>
      </c>
      <c r="F52" s="401">
        <v>3660</v>
      </c>
      <c r="G52" s="402">
        <v>3660</v>
      </c>
      <c r="H52" s="401">
        <v>5820</v>
      </c>
      <c r="I52" s="402">
        <v>5820</v>
      </c>
      <c r="J52" s="401"/>
      <c r="K52" s="402"/>
      <c r="L52" s="401"/>
      <c r="M52" s="402"/>
      <c r="N52" s="401"/>
      <c r="O52" s="402"/>
      <c r="P52" s="401"/>
      <c r="Q52" s="402"/>
      <c r="R52" s="401"/>
      <c r="S52" s="402"/>
      <c r="T52" s="401"/>
      <c r="U52" s="402"/>
      <c r="V52" s="401"/>
      <c r="W52" s="402"/>
      <c r="X52" s="401"/>
      <c r="Y52" s="402"/>
      <c r="Z52" s="401"/>
      <c r="AA52" s="402"/>
      <c r="AB52" s="401"/>
      <c r="AC52" s="402"/>
      <c r="AD52" s="401"/>
      <c r="AE52" s="402"/>
      <c r="AF52" s="401"/>
      <c r="AG52" s="402"/>
      <c r="AH52" s="401"/>
      <c r="AI52" s="402"/>
      <c r="AJ52" s="401"/>
      <c r="AK52" s="402"/>
      <c r="AL52" s="401"/>
      <c r="AM52" s="402"/>
      <c r="AN52" s="401"/>
      <c r="AO52" s="402"/>
      <c r="AP52" s="403"/>
      <c r="AQ52" s="403"/>
      <c r="AR52" s="403"/>
    </row>
    <row r="53" spans="1:44" s="405" customFormat="1" hidden="1">
      <c r="A53" s="430" t="s">
        <v>87</v>
      </c>
      <c r="B53" s="431" t="s">
        <v>103</v>
      </c>
      <c r="C53" s="432"/>
      <c r="D53" s="433">
        <v>420538</v>
      </c>
      <c r="E53" s="433">
        <v>10</v>
      </c>
      <c r="F53" s="401">
        <v>3630</v>
      </c>
      <c r="G53" s="402">
        <v>3630</v>
      </c>
      <c r="H53" s="401">
        <v>5640</v>
      </c>
      <c r="I53" s="402">
        <v>5640</v>
      </c>
      <c r="J53" s="401"/>
      <c r="K53" s="402"/>
      <c r="L53" s="401"/>
      <c r="M53" s="402"/>
      <c r="N53" s="401"/>
      <c r="O53" s="402"/>
      <c r="P53" s="401"/>
      <c r="Q53" s="402"/>
      <c r="R53" s="401"/>
      <c r="S53" s="402"/>
      <c r="T53" s="401"/>
      <c r="U53" s="402"/>
      <c r="V53" s="401"/>
      <c r="W53" s="402"/>
      <c r="X53" s="401"/>
      <c r="Y53" s="402"/>
      <c r="Z53" s="401"/>
      <c r="AA53" s="402"/>
      <c r="AB53" s="401"/>
      <c r="AC53" s="402"/>
      <c r="AD53" s="401"/>
      <c r="AE53" s="402"/>
      <c r="AF53" s="401"/>
      <c r="AG53" s="402"/>
      <c r="AH53" s="401"/>
      <c r="AI53" s="402"/>
      <c r="AJ53" s="401"/>
      <c r="AK53" s="402"/>
      <c r="AL53" s="401"/>
      <c r="AM53" s="402"/>
      <c r="AN53" s="401"/>
      <c r="AO53" s="402"/>
      <c r="AP53" s="403"/>
      <c r="AQ53" s="403"/>
      <c r="AR53" s="403"/>
    </row>
    <row r="54" spans="1:44" s="405" customFormat="1" hidden="1">
      <c r="A54" s="430" t="s">
        <v>87</v>
      </c>
      <c r="B54" s="431" t="s">
        <v>102</v>
      </c>
      <c r="C54" s="432"/>
      <c r="D54" s="433">
        <v>107318</v>
      </c>
      <c r="E54" s="433">
        <v>10</v>
      </c>
      <c r="F54" s="401">
        <v>3490</v>
      </c>
      <c r="G54" s="402">
        <v>3490</v>
      </c>
      <c r="H54" s="401">
        <v>5290</v>
      </c>
      <c r="I54" s="402">
        <v>5290</v>
      </c>
      <c r="J54" s="401"/>
      <c r="K54" s="402"/>
      <c r="L54" s="401"/>
      <c r="M54" s="402"/>
      <c r="N54" s="401"/>
      <c r="O54" s="402"/>
      <c r="P54" s="401"/>
      <c r="Q54" s="402"/>
      <c r="R54" s="401"/>
      <c r="S54" s="402"/>
      <c r="T54" s="401"/>
      <c r="U54" s="402"/>
      <c r="V54" s="401"/>
      <c r="W54" s="402"/>
      <c r="X54" s="401"/>
      <c r="Y54" s="402"/>
      <c r="Z54" s="401"/>
      <c r="AA54" s="402"/>
      <c r="AB54" s="401"/>
      <c r="AC54" s="402"/>
      <c r="AD54" s="401"/>
      <c r="AE54" s="402"/>
      <c r="AF54" s="401"/>
      <c r="AG54" s="402"/>
      <c r="AH54" s="401"/>
      <c r="AI54" s="402"/>
      <c r="AJ54" s="401"/>
      <c r="AK54" s="402"/>
      <c r="AL54" s="401"/>
      <c r="AM54" s="402"/>
      <c r="AN54" s="401"/>
      <c r="AO54" s="402"/>
      <c r="AP54" s="403"/>
      <c r="AQ54" s="403"/>
      <c r="AR54" s="403"/>
    </row>
    <row r="55" spans="1:44" s="405" customFormat="1" hidden="1">
      <c r="A55" s="430" t="s">
        <v>87</v>
      </c>
      <c r="B55" s="431" t="s">
        <v>104</v>
      </c>
      <c r="C55" s="432"/>
      <c r="D55" s="433">
        <v>440402</v>
      </c>
      <c r="E55" s="433">
        <v>10</v>
      </c>
      <c r="F55" s="401">
        <v>3570</v>
      </c>
      <c r="G55" s="402">
        <v>3570</v>
      </c>
      <c r="H55" s="401">
        <v>5400</v>
      </c>
      <c r="I55" s="402">
        <v>5400</v>
      </c>
      <c r="J55" s="401"/>
      <c r="K55" s="402"/>
      <c r="L55" s="401"/>
      <c r="M55" s="402"/>
      <c r="N55" s="401"/>
      <c r="O55" s="402"/>
      <c r="P55" s="401"/>
      <c r="Q55" s="402"/>
      <c r="R55" s="401"/>
      <c r="S55" s="402"/>
      <c r="T55" s="401"/>
      <c r="U55" s="402"/>
      <c r="V55" s="401"/>
      <c r="W55" s="402"/>
      <c r="X55" s="401"/>
      <c r="Y55" s="402"/>
      <c r="Z55" s="401"/>
      <c r="AA55" s="402"/>
      <c r="AB55" s="401"/>
      <c r="AC55" s="402"/>
      <c r="AD55" s="401"/>
      <c r="AE55" s="402"/>
      <c r="AF55" s="401"/>
      <c r="AG55" s="402"/>
      <c r="AH55" s="401"/>
      <c r="AI55" s="402"/>
      <c r="AJ55" s="401"/>
      <c r="AK55" s="402"/>
      <c r="AL55" s="401"/>
      <c r="AM55" s="402"/>
      <c r="AN55" s="401"/>
      <c r="AO55" s="402"/>
      <c r="AP55" s="403"/>
      <c r="AQ55" s="403"/>
      <c r="AR55" s="403"/>
    </row>
    <row r="56" spans="1:44" s="405" customFormat="1" hidden="1">
      <c r="A56" s="430" t="s">
        <v>87</v>
      </c>
      <c r="B56" s="431" t="s">
        <v>628</v>
      </c>
      <c r="C56" s="432"/>
      <c r="D56" s="433">
        <v>107521</v>
      </c>
      <c r="E56" s="433">
        <v>10</v>
      </c>
      <c r="F56" s="401">
        <v>4070</v>
      </c>
      <c r="G56" s="402">
        <v>4070</v>
      </c>
      <c r="H56" s="401">
        <v>7100</v>
      </c>
      <c r="I56" s="402">
        <v>7100</v>
      </c>
      <c r="J56" s="401"/>
      <c r="K56" s="402"/>
      <c r="L56" s="401"/>
      <c r="M56" s="402"/>
      <c r="N56" s="401"/>
      <c r="O56" s="402"/>
      <c r="P56" s="401"/>
      <c r="Q56" s="402"/>
      <c r="R56" s="401"/>
      <c r="S56" s="402"/>
      <c r="T56" s="401"/>
      <c r="U56" s="402"/>
      <c r="V56" s="401"/>
      <c r="W56" s="402"/>
      <c r="X56" s="401"/>
      <c r="Y56" s="402"/>
      <c r="Z56" s="401"/>
      <c r="AA56" s="402"/>
      <c r="AB56" s="401"/>
      <c r="AC56" s="402"/>
      <c r="AD56" s="401"/>
      <c r="AE56" s="402"/>
      <c r="AF56" s="401"/>
      <c r="AG56" s="402"/>
      <c r="AH56" s="401"/>
      <c r="AI56" s="402"/>
      <c r="AJ56" s="401"/>
      <c r="AK56" s="402"/>
      <c r="AL56" s="401"/>
      <c r="AM56" s="402"/>
      <c r="AN56" s="401"/>
      <c r="AO56" s="402"/>
      <c r="AP56" s="403"/>
      <c r="AQ56" s="403"/>
      <c r="AR56" s="403"/>
    </row>
    <row r="57" spans="1:44" s="405" customFormat="1" hidden="1">
      <c r="A57" s="430" t="s">
        <v>87</v>
      </c>
      <c r="B57" s="431" t="s">
        <v>105</v>
      </c>
      <c r="C57" s="432"/>
      <c r="D57" s="433">
        <v>106625</v>
      </c>
      <c r="E57" s="433">
        <v>10</v>
      </c>
      <c r="F57" s="401">
        <v>4050</v>
      </c>
      <c r="G57" s="402">
        <v>4200</v>
      </c>
      <c r="H57" s="401">
        <v>6840</v>
      </c>
      <c r="I57" s="402">
        <v>6990</v>
      </c>
      <c r="J57" s="401"/>
      <c r="K57" s="402"/>
      <c r="L57" s="401"/>
      <c r="M57" s="402"/>
      <c r="N57" s="401"/>
      <c r="O57" s="402"/>
      <c r="P57" s="401"/>
      <c r="Q57" s="402"/>
      <c r="R57" s="401"/>
      <c r="S57" s="402"/>
      <c r="T57" s="401"/>
      <c r="U57" s="402"/>
      <c r="V57" s="401"/>
      <c r="W57" s="402"/>
      <c r="X57" s="401"/>
      <c r="Y57" s="402"/>
      <c r="Z57" s="401"/>
      <c r="AA57" s="402"/>
      <c r="AB57" s="401"/>
      <c r="AC57" s="402"/>
      <c r="AD57" s="401"/>
      <c r="AE57" s="402"/>
      <c r="AF57" s="401"/>
      <c r="AG57" s="402"/>
      <c r="AH57" s="401"/>
      <c r="AI57" s="402"/>
      <c r="AJ57" s="401"/>
      <c r="AK57" s="402"/>
      <c r="AL57" s="401"/>
      <c r="AM57" s="402"/>
      <c r="AN57" s="401"/>
      <c r="AO57" s="402"/>
      <c r="AP57" s="403"/>
      <c r="AQ57" s="403"/>
      <c r="AR57" s="403"/>
    </row>
    <row r="58" spans="1:44" s="405" customFormat="1" hidden="1">
      <c r="A58" s="430" t="s">
        <v>87</v>
      </c>
      <c r="B58" s="431" t="s">
        <v>106</v>
      </c>
      <c r="C58" s="432"/>
      <c r="D58" s="433">
        <v>106795</v>
      </c>
      <c r="E58" s="433">
        <v>10</v>
      </c>
      <c r="F58" s="401">
        <v>3570</v>
      </c>
      <c r="G58" s="402">
        <v>3570</v>
      </c>
      <c r="H58" s="401">
        <v>4410</v>
      </c>
      <c r="I58" s="402">
        <v>4410</v>
      </c>
      <c r="J58" s="401"/>
      <c r="K58" s="402"/>
      <c r="L58" s="401"/>
      <c r="M58" s="402"/>
      <c r="N58" s="401"/>
      <c r="O58" s="402"/>
      <c r="P58" s="401"/>
      <c r="Q58" s="402"/>
      <c r="R58" s="401"/>
      <c r="S58" s="402"/>
      <c r="T58" s="401"/>
      <c r="U58" s="402"/>
      <c r="V58" s="401"/>
      <c r="W58" s="402"/>
      <c r="X58" s="401"/>
      <c r="Y58" s="402"/>
      <c r="Z58" s="401"/>
      <c r="AA58" s="402"/>
      <c r="AB58" s="401"/>
      <c r="AC58" s="402"/>
      <c r="AD58" s="401"/>
      <c r="AE58" s="402"/>
      <c r="AF58" s="401"/>
      <c r="AG58" s="402"/>
      <c r="AH58" s="401"/>
      <c r="AI58" s="402"/>
      <c r="AJ58" s="401"/>
      <c r="AK58" s="402"/>
      <c r="AL58" s="401"/>
      <c r="AM58" s="402"/>
      <c r="AN58" s="401"/>
      <c r="AO58" s="402"/>
      <c r="AP58" s="403"/>
      <c r="AQ58" s="403"/>
      <c r="AR58" s="403"/>
    </row>
    <row r="59" spans="1:44" s="405" customFormat="1" hidden="1">
      <c r="A59" s="433" t="s">
        <v>87</v>
      </c>
      <c r="B59" s="431" t="s">
        <v>107</v>
      </c>
      <c r="C59" s="432"/>
      <c r="D59" s="433">
        <v>106883</v>
      </c>
      <c r="E59" s="433">
        <v>10</v>
      </c>
      <c r="F59" s="401">
        <v>2934</v>
      </c>
      <c r="G59" s="402">
        <v>2840</v>
      </c>
      <c r="H59" s="401">
        <v>3804</v>
      </c>
      <c r="I59" s="402">
        <v>3740</v>
      </c>
      <c r="J59" s="401"/>
      <c r="K59" s="402"/>
      <c r="L59" s="401"/>
      <c r="M59" s="402"/>
      <c r="N59" s="401"/>
      <c r="O59" s="402"/>
      <c r="P59" s="401"/>
      <c r="Q59" s="402"/>
      <c r="R59" s="401"/>
      <c r="S59" s="402"/>
      <c r="T59" s="401"/>
      <c r="U59" s="402"/>
      <c r="V59" s="401"/>
      <c r="W59" s="402"/>
      <c r="X59" s="401"/>
      <c r="Y59" s="402"/>
      <c r="Z59" s="401"/>
      <c r="AA59" s="402"/>
      <c r="AB59" s="401"/>
      <c r="AC59" s="402"/>
      <c r="AD59" s="401"/>
      <c r="AE59" s="402"/>
      <c r="AF59" s="401"/>
      <c r="AG59" s="402"/>
      <c r="AH59" s="401"/>
      <c r="AI59" s="402"/>
      <c r="AJ59" s="401"/>
      <c r="AK59" s="402"/>
      <c r="AL59" s="401"/>
      <c r="AM59" s="402"/>
      <c r="AN59" s="401"/>
      <c r="AO59" s="402"/>
      <c r="AP59" s="403"/>
      <c r="AQ59" s="403"/>
      <c r="AR59" s="403"/>
    </row>
    <row r="60" spans="1:44" s="405" customFormat="1" hidden="1">
      <c r="A60" s="430" t="s">
        <v>87</v>
      </c>
      <c r="B60" s="431" t="s">
        <v>108</v>
      </c>
      <c r="C60" s="432"/>
      <c r="D60" s="433">
        <v>107460</v>
      </c>
      <c r="E60" s="433">
        <v>10</v>
      </c>
      <c r="F60" s="401">
        <v>2940</v>
      </c>
      <c r="G60" s="402">
        <v>3090</v>
      </c>
      <c r="H60" s="401">
        <v>5790</v>
      </c>
      <c r="I60" s="402">
        <v>5940</v>
      </c>
      <c r="J60" s="401"/>
      <c r="K60" s="402"/>
      <c r="L60" s="401"/>
      <c r="M60" s="402"/>
      <c r="N60" s="401"/>
      <c r="O60" s="402"/>
      <c r="P60" s="401"/>
      <c r="Q60" s="402"/>
      <c r="R60" s="401"/>
      <c r="S60" s="402"/>
      <c r="T60" s="401"/>
      <c r="U60" s="402"/>
      <c r="V60" s="401"/>
      <c r="W60" s="402"/>
      <c r="X60" s="401"/>
      <c r="Y60" s="402"/>
      <c r="Z60" s="401"/>
      <c r="AA60" s="402"/>
      <c r="AB60" s="401"/>
      <c r="AC60" s="402"/>
      <c r="AD60" s="401"/>
      <c r="AE60" s="402"/>
      <c r="AF60" s="401"/>
      <c r="AG60" s="402"/>
      <c r="AH60" s="401"/>
      <c r="AI60" s="402"/>
      <c r="AJ60" s="401"/>
      <c r="AK60" s="402"/>
      <c r="AL60" s="401"/>
      <c r="AM60" s="402"/>
      <c r="AN60" s="401"/>
      <c r="AO60" s="402"/>
      <c r="AP60" s="403"/>
      <c r="AQ60" s="403"/>
      <c r="AR60" s="403"/>
    </row>
    <row r="61" spans="1:44" s="405" customFormat="1" hidden="1">
      <c r="A61" s="433" t="s">
        <v>87</v>
      </c>
      <c r="B61" s="431" t="s">
        <v>100</v>
      </c>
      <c r="C61" s="434"/>
      <c r="D61" s="433">
        <v>106980</v>
      </c>
      <c r="E61" s="433">
        <v>10</v>
      </c>
      <c r="F61" s="401">
        <v>4050</v>
      </c>
      <c r="G61" s="402">
        <v>4050</v>
      </c>
      <c r="H61" s="401">
        <v>5730</v>
      </c>
      <c r="I61" s="402">
        <v>5730</v>
      </c>
      <c r="J61" s="401"/>
      <c r="K61" s="402"/>
      <c r="L61" s="401"/>
      <c r="M61" s="402"/>
      <c r="N61" s="401"/>
      <c r="O61" s="402"/>
      <c r="P61" s="401"/>
      <c r="Q61" s="402"/>
      <c r="R61" s="401"/>
      <c r="S61" s="402"/>
      <c r="T61" s="401"/>
      <c r="U61" s="402"/>
      <c r="V61" s="401"/>
      <c r="W61" s="402"/>
      <c r="X61" s="401"/>
      <c r="Y61" s="402"/>
      <c r="Z61" s="401"/>
      <c r="AA61" s="402"/>
      <c r="AB61" s="401"/>
      <c r="AC61" s="402"/>
      <c r="AD61" s="401"/>
      <c r="AE61" s="402"/>
      <c r="AF61" s="401"/>
      <c r="AG61" s="402"/>
      <c r="AH61" s="401"/>
      <c r="AI61" s="402"/>
      <c r="AJ61" s="401"/>
      <c r="AK61" s="402"/>
      <c r="AL61" s="401"/>
      <c r="AM61" s="402"/>
      <c r="AN61" s="401"/>
      <c r="AO61" s="402"/>
      <c r="AP61" s="403"/>
      <c r="AQ61" s="403"/>
      <c r="AR61" s="403"/>
    </row>
    <row r="62" spans="1:44" s="405" customFormat="1" hidden="1">
      <c r="A62" s="430" t="s">
        <v>87</v>
      </c>
      <c r="B62" s="431" t="s">
        <v>98</v>
      </c>
      <c r="C62" s="435" t="s">
        <v>1001</v>
      </c>
      <c r="D62" s="433">
        <v>367459</v>
      </c>
      <c r="E62" s="433">
        <v>8</v>
      </c>
      <c r="F62" s="401">
        <v>3258</v>
      </c>
      <c r="G62" s="402">
        <v>3288</v>
      </c>
      <c r="H62" s="401">
        <v>5508</v>
      </c>
      <c r="I62" s="402">
        <v>5538</v>
      </c>
      <c r="J62" s="401"/>
      <c r="K62" s="402"/>
      <c r="L62" s="401"/>
      <c r="M62" s="402"/>
      <c r="N62" s="401"/>
      <c r="O62" s="402"/>
      <c r="P62" s="401"/>
      <c r="Q62" s="402"/>
      <c r="R62" s="401"/>
      <c r="S62" s="402"/>
      <c r="T62" s="401"/>
      <c r="U62" s="402"/>
      <c r="V62" s="401"/>
      <c r="W62" s="402"/>
      <c r="X62" s="401"/>
      <c r="Y62" s="402"/>
      <c r="Z62" s="401"/>
      <c r="AA62" s="402"/>
      <c r="AB62" s="401"/>
      <c r="AC62" s="402"/>
      <c r="AD62" s="401"/>
      <c r="AE62" s="402"/>
      <c r="AF62" s="401"/>
      <c r="AG62" s="402"/>
      <c r="AH62" s="401"/>
      <c r="AI62" s="402"/>
      <c r="AJ62" s="401"/>
      <c r="AK62" s="402"/>
      <c r="AL62" s="401"/>
      <c r="AM62" s="402"/>
      <c r="AN62" s="401"/>
      <c r="AO62" s="402"/>
      <c r="AP62" s="403"/>
      <c r="AQ62" s="403"/>
      <c r="AR62" s="403"/>
    </row>
    <row r="63" spans="1:44" s="405" customFormat="1" hidden="1">
      <c r="A63" s="430" t="s">
        <v>87</v>
      </c>
      <c r="B63" s="431" t="s">
        <v>109</v>
      </c>
      <c r="C63" s="432"/>
      <c r="D63" s="433">
        <v>107549</v>
      </c>
      <c r="E63" s="433">
        <v>10</v>
      </c>
      <c r="F63" s="401">
        <v>3730</v>
      </c>
      <c r="G63" s="402">
        <v>3730</v>
      </c>
      <c r="H63" s="401">
        <v>6670</v>
      </c>
      <c r="I63" s="402">
        <v>6670</v>
      </c>
      <c r="J63" s="401"/>
      <c r="K63" s="402"/>
      <c r="L63" s="401"/>
      <c r="M63" s="402"/>
      <c r="N63" s="401"/>
      <c r="O63" s="402"/>
      <c r="P63" s="401"/>
      <c r="Q63" s="402"/>
      <c r="R63" s="401"/>
      <c r="S63" s="402"/>
      <c r="T63" s="401"/>
      <c r="U63" s="402"/>
      <c r="V63" s="401"/>
      <c r="W63" s="402"/>
      <c r="X63" s="401"/>
      <c r="Y63" s="402"/>
      <c r="Z63" s="401"/>
      <c r="AA63" s="402"/>
      <c r="AB63" s="401"/>
      <c r="AC63" s="402"/>
      <c r="AD63" s="401"/>
      <c r="AE63" s="402"/>
      <c r="AF63" s="401"/>
      <c r="AG63" s="402"/>
      <c r="AH63" s="401"/>
      <c r="AI63" s="402"/>
      <c r="AJ63" s="401"/>
      <c r="AK63" s="402"/>
      <c r="AL63" s="401"/>
      <c r="AM63" s="402"/>
      <c r="AN63" s="401"/>
      <c r="AO63" s="402"/>
      <c r="AP63" s="403"/>
      <c r="AQ63" s="403"/>
      <c r="AR63" s="403"/>
    </row>
    <row r="64" spans="1:44" s="405" customFormat="1" hidden="1">
      <c r="A64" s="430" t="s">
        <v>87</v>
      </c>
      <c r="B64" s="431" t="s">
        <v>110</v>
      </c>
      <c r="C64" s="432"/>
      <c r="D64" s="433">
        <v>107619</v>
      </c>
      <c r="E64" s="433">
        <v>10</v>
      </c>
      <c r="F64" s="401">
        <v>3020</v>
      </c>
      <c r="G64" s="402">
        <v>3020</v>
      </c>
      <c r="H64" s="401">
        <v>4910</v>
      </c>
      <c r="I64" s="402">
        <v>4910</v>
      </c>
      <c r="J64" s="401"/>
      <c r="K64" s="402"/>
      <c r="L64" s="401"/>
      <c r="M64" s="402"/>
      <c r="N64" s="401"/>
      <c r="O64" s="402"/>
      <c r="P64" s="401"/>
      <c r="Q64" s="402"/>
      <c r="R64" s="401"/>
      <c r="S64" s="402"/>
      <c r="T64" s="401"/>
      <c r="U64" s="402"/>
      <c r="V64" s="401"/>
      <c r="W64" s="402"/>
      <c r="X64" s="401"/>
      <c r="Y64" s="402"/>
      <c r="Z64" s="401"/>
      <c r="AA64" s="402"/>
      <c r="AB64" s="401"/>
      <c r="AC64" s="402"/>
      <c r="AD64" s="401"/>
      <c r="AE64" s="402"/>
      <c r="AF64" s="401"/>
      <c r="AG64" s="402"/>
      <c r="AH64" s="401"/>
      <c r="AI64" s="402"/>
      <c r="AJ64" s="401"/>
      <c r="AK64" s="402"/>
      <c r="AL64" s="401"/>
      <c r="AM64" s="402"/>
      <c r="AN64" s="401"/>
      <c r="AO64" s="402"/>
      <c r="AP64" s="403"/>
      <c r="AQ64" s="403"/>
      <c r="AR64" s="403"/>
    </row>
    <row r="65" spans="1:44" s="405" customFormat="1" hidden="1">
      <c r="A65" s="430" t="s">
        <v>87</v>
      </c>
      <c r="B65" s="431" t="s">
        <v>111</v>
      </c>
      <c r="C65" s="432"/>
      <c r="D65" s="433">
        <v>107974</v>
      </c>
      <c r="E65" s="433">
        <v>10</v>
      </c>
      <c r="F65" s="401">
        <v>3360</v>
      </c>
      <c r="G65" s="402">
        <v>3420</v>
      </c>
      <c r="H65" s="401">
        <v>6000</v>
      </c>
      <c r="I65" s="402">
        <v>6060</v>
      </c>
      <c r="J65" s="401"/>
      <c r="K65" s="402"/>
      <c r="L65" s="401"/>
      <c r="M65" s="402"/>
      <c r="N65" s="401"/>
      <c r="O65" s="402"/>
      <c r="P65" s="401"/>
      <c r="Q65" s="402"/>
      <c r="R65" s="401"/>
      <c r="S65" s="402"/>
      <c r="T65" s="401"/>
      <c r="U65" s="402"/>
      <c r="V65" s="401"/>
      <c r="W65" s="402"/>
      <c r="X65" s="401"/>
      <c r="Y65" s="402"/>
      <c r="Z65" s="401"/>
      <c r="AA65" s="402"/>
      <c r="AB65" s="401"/>
      <c r="AC65" s="402"/>
      <c r="AD65" s="401"/>
      <c r="AE65" s="402"/>
      <c r="AF65" s="401"/>
      <c r="AG65" s="402"/>
      <c r="AH65" s="401"/>
      <c r="AI65" s="402"/>
      <c r="AJ65" s="401"/>
      <c r="AK65" s="402"/>
      <c r="AL65" s="401"/>
      <c r="AM65" s="402"/>
      <c r="AN65" s="401"/>
      <c r="AO65" s="402"/>
      <c r="AP65" s="403"/>
      <c r="AQ65" s="403"/>
      <c r="AR65" s="403"/>
    </row>
    <row r="66" spans="1:44" s="405" customFormat="1" hidden="1">
      <c r="A66" s="433" t="s">
        <v>87</v>
      </c>
      <c r="B66" s="431" t="s">
        <v>113</v>
      </c>
      <c r="C66" s="432"/>
      <c r="D66" s="433">
        <v>107992</v>
      </c>
      <c r="E66" s="433">
        <v>10</v>
      </c>
      <c r="F66" s="401">
        <v>4590</v>
      </c>
      <c r="G66" s="402">
        <v>4770</v>
      </c>
      <c r="H66" s="401">
        <v>6030</v>
      </c>
      <c r="I66" s="402">
        <v>6210</v>
      </c>
      <c r="J66" s="401"/>
      <c r="K66" s="402"/>
      <c r="L66" s="401"/>
      <c r="M66" s="402"/>
      <c r="N66" s="401"/>
      <c r="O66" s="402"/>
      <c r="P66" s="401"/>
      <c r="Q66" s="402"/>
      <c r="R66" s="401"/>
      <c r="S66" s="402"/>
      <c r="T66" s="401"/>
      <c r="U66" s="402"/>
      <c r="V66" s="401"/>
      <c r="W66" s="402"/>
      <c r="X66" s="401"/>
      <c r="Y66" s="402"/>
      <c r="Z66" s="401"/>
      <c r="AA66" s="402"/>
      <c r="AB66" s="401"/>
      <c r="AC66" s="402"/>
      <c r="AD66" s="401"/>
      <c r="AE66" s="402"/>
      <c r="AF66" s="401"/>
      <c r="AG66" s="402"/>
      <c r="AH66" s="401"/>
      <c r="AI66" s="402"/>
      <c r="AJ66" s="401"/>
      <c r="AK66" s="402"/>
      <c r="AL66" s="401"/>
      <c r="AM66" s="402"/>
      <c r="AN66" s="401"/>
      <c r="AO66" s="402"/>
      <c r="AP66" s="403"/>
      <c r="AQ66" s="403"/>
      <c r="AR66" s="403"/>
    </row>
    <row r="67" spans="1:44" s="405" customFormat="1" hidden="1">
      <c r="A67" s="430" t="s">
        <v>87</v>
      </c>
      <c r="B67" s="431" t="s">
        <v>112</v>
      </c>
      <c r="C67" s="432"/>
      <c r="D67" s="433">
        <v>107637</v>
      </c>
      <c r="E67" s="433">
        <v>10</v>
      </c>
      <c r="F67" s="401">
        <v>3850</v>
      </c>
      <c r="G67" s="402">
        <v>3850</v>
      </c>
      <c r="H67" s="401">
        <v>6730</v>
      </c>
      <c r="I67" s="402">
        <v>6730</v>
      </c>
      <c r="J67" s="401"/>
      <c r="K67" s="402"/>
      <c r="L67" s="401"/>
      <c r="M67" s="402"/>
      <c r="N67" s="401"/>
      <c r="O67" s="402"/>
      <c r="P67" s="401"/>
      <c r="Q67" s="402"/>
      <c r="R67" s="401"/>
      <c r="S67" s="402"/>
      <c r="T67" s="401"/>
      <c r="U67" s="402"/>
      <c r="V67" s="401"/>
      <c r="W67" s="402"/>
      <c r="X67" s="401"/>
      <c r="Y67" s="402"/>
      <c r="Z67" s="401"/>
      <c r="AA67" s="402"/>
      <c r="AB67" s="401"/>
      <c r="AC67" s="402"/>
      <c r="AD67" s="401"/>
      <c r="AE67" s="402"/>
      <c r="AF67" s="401"/>
      <c r="AG67" s="402"/>
      <c r="AH67" s="401"/>
      <c r="AI67" s="402"/>
      <c r="AJ67" s="401"/>
      <c r="AK67" s="402"/>
      <c r="AL67" s="401"/>
      <c r="AM67" s="402"/>
      <c r="AN67" s="401"/>
      <c r="AO67" s="402"/>
      <c r="AP67" s="403"/>
      <c r="AQ67" s="403"/>
      <c r="AR67" s="403"/>
    </row>
    <row r="68" spans="1:44" s="405" customFormat="1" hidden="1">
      <c r="A68" s="433" t="s">
        <v>87</v>
      </c>
      <c r="B68" s="431" t="s">
        <v>114</v>
      </c>
      <c r="C68" s="432"/>
      <c r="D68" s="433">
        <v>106999</v>
      </c>
      <c r="E68" s="433">
        <v>10</v>
      </c>
      <c r="F68" s="401">
        <v>3150</v>
      </c>
      <c r="G68" s="402">
        <v>3150</v>
      </c>
      <c r="H68" s="401">
        <v>4290</v>
      </c>
      <c r="I68" s="402">
        <v>4290</v>
      </c>
      <c r="J68" s="401"/>
      <c r="K68" s="402"/>
      <c r="L68" s="401"/>
      <c r="M68" s="402"/>
      <c r="N68" s="401"/>
      <c r="O68" s="402"/>
      <c r="P68" s="401"/>
      <c r="Q68" s="402"/>
      <c r="R68" s="401"/>
      <c r="S68" s="402"/>
      <c r="T68" s="401"/>
      <c r="U68" s="402"/>
      <c r="V68" s="401"/>
      <c r="W68" s="402"/>
      <c r="X68" s="401"/>
      <c r="Y68" s="402"/>
      <c r="Z68" s="401"/>
      <c r="AA68" s="402"/>
      <c r="AB68" s="401"/>
      <c r="AC68" s="402"/>
      <c r="AD68" s="401"/>
      <c r="AE68" s="402"/>
      <c r="AF68" s="401"/>
      <c r="AG68" s="402"/>
      <c r="AH68" s="401"/>
      <c r="AI68" s="402"/>
      <c r="AJ68" s="401"/>
      <c r="AK68" s="402"/>
      <c r="AL68" s="401"/>
      <c r="AM68" s="402"/>
      <c r="AN68" s="401"/>
      <c r="AO68" s="402"/>
      <c r="AP68" s="403"/>
      <c r="AQ68" s="403"/>
      <c r="AR68" s="403"/>
    </row>
    <row r="69" spans="1:44" s="405" customFormat="1" hidden="1">
      <c r="A69" s="430" t="s">
        <v>87</v>
      </c>
      <c r="B69" s="431" t="s">
        <v>630</v>
      </c>
      <c r="C69" s="432"/>
      <c r="D69" s="433">
        <v>107725</v>
      </c>
      <c r="E69" s="433">
        <v>10</v>
      </c>
      <c r="F69" s="401">
        <v>2980</v>
      </c>
      <c r="G69" s="402">
        <v>3100</v>
      </c>
      <c r="H69" s="401">
        <v>4300</v>
      </c>
      <c r="I69" s="402">
        <v>4450</v>
      </c>
      <c r="J69" s="401"/>
      <c r="K69" s="402"/>
      <c r="L69" s="401"/>
      <c r="M69" s="402"/>
      <c r="N69" s="401"/>
      <c r="O69" s="402"/>
      <c r="P69" s="401"/>
      <c r="Q69" s="402"/>
      <c r="R69" s="401"/>
      <c r="S69" s="402"/>
      <c r="T69" s="401"/>
      <c r="U69" s="402"/>
      <c r="V69" s="401"/>
      <c r="W69" s="402"/>
      <c r="X69" s="401"/>
      <c r="Y69" s="402"/>
      <c r="Z69" s="401"/>
      <c r="AA69" s="402"/>
      <c r="AB69" s="401"/>
      <c r="AC69" s="402"/>
      <c r="AD69" s="401"/>
      <c r="AE69" s="402"/>
      <c r="AF69" s="401"/>
      <c r="AG69" s="402"/>
      <c r="AH69" s="401"/>
      <c r="AI69" s="402"/>
      <c r="AJ69" s="401"/>
      <c r="AK69" s="402"/>
      <c r="AL69" s="401"/>
      <c r="AM69" s="402"/>
      <c r="AN69" s="401"/>
      <c r="AO69" s="402"/>
      <c r="AP69" s="403"/>
      <c r="AQ69" s="403"/>
      <c r="AR69" s="403"/>
    </row>
    <row r="70" spans="1:44" s="405" customFormat="1" hidden="1">
      <c r="A70" s="433" t="s">
        <v>87</v>
      </c>
      <c r="B70" s="431" t="s">
        <v>115</v>
      </c>
      <c r="C70" s="432"/>
      <c r="D70" s="433">
        <v>107585</v>
      </c>
      <c r="E70" s="433">
        <v>10</v>
      </c>
      <c r="F70" s="401">
        <v>4020</v>
      </c>
      <c r="G70" s="402">
        <v>4020</v>
      </c>
      <c r="H70" s="401">
        <v>5160</v>
      </c>
      <c r="I70" s="402">
        <v>5160</v>
      </c>
      <c r="J70" s="401"/>
      <c r="K70" s="402"/>
      <c r="L70" s="401"/>
      <c r="M70" s="402"/>
      <c r="N70" s="401"/>
      <c r="O70" s="402"/>
      <c r="P70" s="401"/>
      <c r="Q70" s="402"/>
      <c r="R70" s="401"/>
      <c r="S70" s="402"/>
      <c r="T70" s="401"/>
      <c r="U70" s="402"/>
      <c r="V70" s="401"/>
      <c r="W70" s="402"/>
      <c r="X70" s="401"/>
      <c r="Y70" s="402"/>
      <c r="Z70" s="401"/>
      <c r="AA70" s="402"/>
      <c r="AB70" s="401"/>
      <c r="AC70" s="402"/>
      <c r="AD70" s="401"/>
      <c r="AE70" s="402"/>
      <c r="AF70" s="401"/>
      <c r="AG70" s="402"/>
      <c r="AH70" s="401"/>
      <c r="AI70" s="402"/>
      <c r="AJ70" s="401"/>
      <c r="AK70" s="402"/>
      <c r="AL70" s="401"/>
      <c r="AM70" s="402"/>
      <c r="AN70" s="401"/>
      <c r="AO70" s="402"/>
      <c r="AP70" s="403"/>
      <c r="AQ70" s="403"/>
      <c r="AR70" s="403"/>
    </row>
    <row r="71" spans="1:44" s="405" customFormat="1" hidden="1">
      <c r="A71" s="430" t="s">
        <v>87</v>
      </c>
      <c r="B71" s="431" t="s">
        <v>620</v>
      </c>
      <c r="C71" s="432"/>
      <c r="D71" s="433">
        <v>107743</v>
      </c>
      <c r="E71" s="433">
        <v>10</v>
      </c>
      <c r="F71" s="401">
        <v>3840</v>
      </c>
      <c r="G71" s="402">
        <v>4050</v>
      </c>
      <c r="H71" s="401">
        <v>4560</v>
      </c>
      <c r="I71" s="402">
        <v>4770</v>
      </c>
      <c r="J71" s="401"/>
      <c r="K71" s="402"/>
      <c r="L71" s="401"/>
      <c r="M71" s="402"/>
      <c r="N71" s="401"/>
      <c r="O71" s="402"/>
      <c r="P71" s="401"/>
      <c r="Q71" s="402"/>
      <c r="R71" s="401"/>
      <c r="S71" s="402"/>
      <c r="T71" s="401"/>
      <c r="U71" s="402"/>
      <c r="V71" s="401"/>
      <c r="W71" s="402"/>
      <c r="X71" s="401"/>
      <c r="Y71" s="402"/>
      <c r="Z71" s="401"/>
      <c r="AA71" s="402"/>
      <c r="AB71" s="401"/>
      <c r="AC71" s="402"/>
      <c r="AD71" s="401"/>
      <c r="AE71" s="402"/>
      <c r="AF71" s="401"/>
      <c r="AG71" s="402"/>
      <c r="AH71" s="401"/>
      <c r="AI71" s="402"/>
      <c r="AJ71" s="401"/>
      <c r="AK71" s="402"/>
      <c r="AL71" s="401"/>
      <c r="AM71" s="402"/>
      <c r="AN71" s="401"/>
      <c r="AO71" s="402"/>
      <c r="AP71" s="403"/>
      <c r="AQ71" s="403"/>
      <c r="AR71" s="403"/>
    </row>
    <row r="72" spans="1:44" s="405" customFormat="1" hidden="1">
      <c r="A72" s="433" t="s">
        <v>87</v>
      </c>
      <c r="B72" s="431" t="s">
        <v>619</v>
      </c>
      <c r="C72" s="434"/>
      <c r="D72" s="433">
        <v>107664</v>
      </c>
      <c r="E72" s="433">
        <v>9</v>
      </c>
      <c r="F72" s="401">
        <v>5670</v>
      </c>
      <c r="G72" s="402">
        <v>5670</v>
      </c>
      <c r="H72" s="401">
        <v>6900</v>
      </c>
      <c r="I72" s="402">
        <v>6900</v>
      </c>
      <c r="J72" s="401"/>
      <c r="K72" s="402"/>
      <c r="L72" s="401"/>
      <c r="M72" s="402"/>
      <c r="N72" s="401"/>
      <c r="O72" s="402"/>
      <c r="P72" s="401"/>
      <c r="Q72" s="402"/>
      <c r="R72" s="401"/>
      <c r="S72" s="402"/>
      <c r="T72" s="401"/>
      <c r="U72" s="402"/>
      <c r="V72" s="401"/>
      <c r="W72" s="402"/>
      <c r="X72" s="401"/>
      <c r="Y72" s="402"/>
      <c r="Z72" s="401"/>
      <c r="AA72" s="402"/>
      <c r="AB72" s="401"/>
      <c r="AC72" s="402"/>
      <c r="AD72" s="401"/>
      <c r="AE72" s="402"/>
      <c r="AF72" s="401"/>
      <c r="AG72" s="402"/>
      <c r="AH72" s="401"/>
      <c r="AI72" s="402"/>
      <c r="AJ72" s="401"/>
      <c r="AK72" s="402"/>
      <c r="AL72" s="401"/>
      <c r="AM72" s="402"/>
      <c r="AN72" s="401"/>
      <c r="AO72" s="402"/>
      <c r="AP72" s="403"/>
      <c r="AQ72" s="403"/>
      <c r="AR72" s="403"/>
    </row>
    <row r="73" spans="1:44">
      <c r="A73" s="436" t="s">
        <v>117</v>
      </c>
      <c r="B73" s="437" t="s">
        <v>118</v>
      </c>
      <c r="C73" s="438"/>
      <c r="D73" s="436">
        <v>130943</v>
      </c>
      <c r="E73" s="439">
        <v>1</v>
      </c>
      <c r="F73" s="401">
        <v>14660</v>
      </c>
      <c r="G73" s="402">
        <v>15020</v>
      </c>
      <c r="H73" s="401">
        <v>36090</v>
      </c>
      <c r="I73" s="402">
        <v>36880</v>
      </c>
      <c r="J73" s="401">
        <v>35192</v>
      </c>
      <c r="K73" s="402">
        <v>18128</v>
      </c>
      <c r="L73" s="406">
        <v>35192</v>
      </c>
      <c r="M73" s="402">
        <v>18128</v>
      </c>
      <c r="N73" s="401"/>
      <c r="O73" s="402"/>
      <c r="P73" s="401"/>
      <c r="Q73" s="402"/>
      <c r="R73" s="401"/>
      <c r="S73" s="402"/>
      <c r="T73" s="401"/>
      <c r="U73" s="402"/>
      <c r="V73" s="401"/>
      <c r="W73" s="402"/>
      <c r="X73" s="401"/>
      <c r="Y73" s="402"/>
      <c r="Z73" s="401"/>
      <c r="AA73" s="402"/>
      <c r="AB73" s="401"/>
      <c r="AC73" s="402"/>
      <c r="AD73" s="401"/>
      <c r="AE73" s="402"/>
      <c r="AF73" s="401"/>
      <c r="AG73" s="402"/>
      <c r="AH73" s="401"/>
      <c r="AI73" s="402"/>
      <c r="AJ73" s="401"/>
      <c r="AK73" s="402"/>
      <c r="AL73" s="401"/>
      <c r="AM73" s="402"/>
      <c r="AN73" s="401"/>
      <c r="AO73" s="402"/>
      <c r="AP73" s="53"/>
      <c r="AQ73" s="53"/>
      <c r="AR73" s="53"/>
    </row>
    <row r="74" spans="1:44">
      <c r="A74" s="436" t="s">
        <v>117</v>
      </c>
      <c r="B74" s="437" t="s">
        <v>119</v>
      </c>
      <c r="C74" s="440"/>
      <c r="D74" s="436">
        <v>130934</v>
      </c>
      <c r="E74" s="439">
        <v>3</v>
      </c>
      <c r="F74" s="401">
        <v>8358</v>
      </c>
      <c r="G74" s="402">
        <v>8358</v>
      </c>
      <c r="H74" s="401">
        <v>18280</v>
      </c>
      <c r="I74" s="402">
        <v>18280</v>
      </c>
      <c r="J74" s="401">
        <v>5510</v>
      </c>
      <c r="K74" s="402">
        <v>5510</v>
      </c>
      <c r="L74" s="401">
        <v>11726</v>
      </c>
      <c r="M74" s="402">
        <v>11726</v>
      </c>
      <c r="N74" s="401"/>
      <c r="O74" s="402"/>
      <c r="P74" s="401"/>
      <c r="Q74" s="402"/>
      <c r="R74" s="401"/>
      <c r="S74" s="402"/>
      <c r="T74" s="401"/>
      <c r="U74" s="402"/>
      <c r="V74" s="401"/>
      <c r="W74" s="402"/>
      <c r="X74" s="401"/>
      <c r="Y74" s="402"/>
      <c r="Z74" s="401"/>
      <c r="AA74" s="402"/>
      <c r="AB74" s="401"/>
      <c r="AC74" s="402"/>
      <c r="AD74" s="401"/>
      <c r="AE74" s="402"/>
      <c r="AF74" s="401"/>
      <c r="AG74" s="402"/>
      <c r="AH74" s="401"/>
      <c r="AI74" s="402"/>
      <c r="AJ74" s="401"/>
      <c r="AK74" s="402"/>
      <c r="AL74" s="401"/>
      <c r="AM74" s="402"/>
      <c r="AN74" s="401"/>
      <c r="AO74" s="402"/>
      <c r="AP74" s="53"/>
      <c r="AQ74" s="53"/>
      <c r="AR74" s="53"/>
    </row>
    <row r="75" spans="1:44" hidden="1">
      <c r="A75" s="436" t="s">
        <v>117</v>
      </c>
      <c r="B75" s="441" t="s">
        <v>120</v>
      </c>
      <c r="C75" s="442" t="s">
        <v>1002</v>
      </c>
      <c r="D75" s="443">
        <v>130907</v>
      </c>
      <c r="E75" s="444">
        <v>7</v>
      </c>
      <c r="F75" s="401">
        <v>4945</v>
      </c>
      <c r="G75" s="402">
        <v>4945</v>
      </c>
      <c r="H75" s="401">
        <v>11808</v>
      </c>
      <c r="I75" s="402">
        <v>11808</v>
      </c>
      <c r="J75" s="401"/>
      <c r="K75" s="402"/>
      <c r="L75" s="401"/>
      <c r="M75" s="402"/>
      <c r="N75" s="401"/>
      <c r="O75" s="402"/>
      <c r="P75" s="401"/>
      <c r="Q75" s="402"/>
      <c r="R75" s="401"/>
      <c r="S75" s="402"/>
      <c r="T75" s="401"/>
      <c r="U75" s="402"/>
      <c r="V75" s="401"/>
      <c r="W75" s="402"/>
      <c r="X75" s="401"/>
      <c r="Y75" s="402"/>
      <c r="Z75" s="401"/>
      <c r="AA75" s="402"/>
      <c r="AB75" s="401"/>
      <c r="AC75" s="402"/>
      <c r="AD75" s="401"/>
      <c r="AE75" s="402"/>
      <c r="AF75" s="401"/>
      <c r="AG75" s="402"/>
      <c r="AH75" s="401"/>
      <c r="AI75" s="402"/>
      <c r="AJ75" s="401"/>
      <c r="AK75" s="402"/>
      <c r="AL75" s="401"/>
      <c r="AM75" s="402"/>
      <c r="AN75" s="401"/>
      <c r="AO75" s="402"/>
      <c r="AP75" s="53"/>
      <c r="AQ75" s="53"/>
      <c r="AR75" s="53"/>
    </row>
    <row r="76" spans="1:44" hidden="1">
      <c r="A76" s="204" t="s">
        <v>121</v>
      </c>
      <c r="B76" s="1"/>
      <c r="C76" s="215"/>
      <c r="D76" s="2"/>
      <c r="E76" s="2"/>
      <c r="F76" s="385"/>
      <c r="G76" s="386"/>
      <c r="H76" s="385"/>
      <c r="I76" s="386"/>
      <c r="J76" s="385"/>
      <c r="K76" s="387"/>
      <c r="L76" s="385"/>
      <c r="M76" s="387"/>
      <c r="N76" s="385"/>
      <c r="O76" s="387"/>
      <c r="P76" s="385"/>
      <c r="Q76" s="387"/>
      <c r="R76" s="385"/>
      <c r="S76" s="387"/>
      <c r="T76" s="385"/>
      <c r="U76" s="387"/>
      <c r="V76" s="385"/>
      <c r="W76" s="387"/>
      <c r="X76" s="385"/>
      <c r="Y76" s="387"/>
      <c r="Z76" s="385"/>
      <c r="AA76" s="387"/>
      <c r="AB76" s="385"/>
      <c r="AC76" s="387"/>
      <c r="AD76" s="385"/>
      <c r="AE76" s="387"/>
      <c r="AF76" s="385"/>
      <c r="AG76" s="387"/>
      <c r="AH76" s="385"/>
      <c r="AI76" s="387"/>
      <c r="AJ76" s="385"/>
      <c r="AK76" s="387"/>
      <c r="AL76" s="385"/>
      <c r="AM76" s="387"/>
      <c r="AN76" s="385"/>
      <c r="AO76" s="387"/>
    </row>
    <row r="77" spans="1:44" hidden="1">
      <c r="A77" s="229" t="s">
        <v>121</v>
      </c>
      <c r="B77" s="230" t="s">
        <v>141</v>
      </c>
      <c r="C77" s="202" t="s">
        <v>1003</v>
      </c>
      <c r="D77" s="445">
        <v>132693</v>
      </c>
      <c r="E77" s="446">
        <v>7</v>
      </c>
      <c r="F77" s="390">
        <v>3120</v>
      </c>
      <c r="G77" s="394">
        <v>3120</v>
      </c>
      <c r="H77" s="390">
        <v>12172.8</v>
      </c>
      <c r="I77" s="394">
        <v>12172.8</v>
      </c>
      <c r="J77" s="390"/>
      <c r="K77" s="391"/>
      <c r="L77" s="390"/>
      <c r="M77" s="391"/>
      <c r="N77" s="390"/>
      <c r="O77" s="391"/>
      <c r="P77" s="390"/>
      <c r="Q77" s="391"/>
      <c r="R77" s="390"/>
      <c r="S77" s="391"/>
      <c r="T77" s="390"/>
      <c r="U77" s="391"/>
      <c r="V77" s="390"/>
      <c r="W77" s="391"/>
      <c r="X77" s="390"/>
      <c r="Y77" s="391"/>
      <c r="Z77" s="390"/>
      <c r="AA77" s="391"/>
      <c r="AB77" s="390"/>
      <c r="AC77" s="391"/>
      <c r="AD77" s="390"/>
      <c r="AE77" s="391"/>
      <c r="AF77" s="390"/>
      <c r="AG77" s="391"/>
      <c r="AH77" s="390"/>
      <c r="AI77" s="391"/>
      <c r="AJ77" s="390"/>
      <c r="AK77" s="391"/>
      <c r="AL77" s="390"/>
      <c r="AM77" s="391"/>
      <c r="AN77" s="390"/>
      <c r="AO77" s="391"/>
    </row>
    <row r="78" spans="1:44" hidden="1">
      <c r="A78" s="229" t="s">
        <v>121</v>
      </c>
      <c r="B78" s="230" t="s">
        <v>122</v>
      </c>
      <c r="C78" s="202" t="s">
        <v>1004</v>
      </c>
      <c r="D78" s="445">
        <v>132709</v>
      </c>
      <c r="E78" s="446">
        <v>7</v>
      </c>
      <c r="F78" s="390">
        <v>3357</v>
      </c>
      <c r="G78" s="395">
        <v>3357</v>
      </c>
      <c r="H78" s="390">
        <v>11010</v>
      </c>
      <c r="I78" s="395">
        <v>11010</v>
      </c>
      <c r="J78" s="390"/>
      <c r="K78" s="391"/>
      <c r="L78" s="390"/>
      <c r="M78" s="391"/>
      <c r="N78" s="390"/>
      <c r="O78" s="391"/>
      <c r="P78" s="390"/>
      <c r="Q78" s="391"/>
      <c r="R78" s="390"/>
      <c r="S78" s="391"/>
      <c r="T78" s="390"/>
      <c r="U78" s="391"/>
      <c r="V78" s="390"/>
      <c r="W78" s="391"/>
      <c r="X78" s="390"/>
      <c r="Y78" s="391"/>
      <c r="Z78" s="390"/>
      <c r="AA78" s="391"/>
      <c r="AB78" s="390"/>
      <c r="AC78" s="391"/>
      <c r="AD78" s="390"/>
      <c r="AE78" s="391"/>
      <c r="AF78" s="390"/>
      <c r="AG78" s="391"/>
      <c r="AH78" s="390"/>
      <c r="AI78" s="391"/>
      <c r="AJ78" s="390"/>
      <c r="AK78" s="391"/>
      <c r="AL78" s="390"/>
      <c r="AM78" s="391"/>
      <c r="AN78" s="390"/>
      <c r="AO78" s="391"/>
    </row>
    <row r="79" spans="1:44" hidden="1">
      <c r="A79" s="229" t="s">
        <v>121</v>
      </c>
      <c r="B79" s="230" t="s">
        <v>124</v>
      </c>
      <c r="C79" s="202" t="s">
        <v>1001</v>
      </c>
      <c r="D79" s="445">
        <v>132851</v>
      </c>
      <c r="E79" s="446">
        <v>7</v>
      </c>
      <c r="F79" s="390">
        <v>3387.6</v>
      </c>
      <c r="G79" s="395">
        <v>3387.6</v>
      </c>
      <c r="H79" s="390">
        <v>13146</v>
      </c>
      <c r="I79" s="395">
        <v>13146</v>
      </c>
      <c r="J79" s="390"/>
      <c r="K79" s="391"/>
      <c r="L79" s="390"/>
      <c r="M79" s="391"/>
      <c r="N79" s="390"/>
      <c r="O79" s="391"/>
      <c r="P79" s="390"/>
      <c r="Q79" s="391"/>
      <c r="R79" s="390"/>
      <c r="S79" s="391"/>
      <c r="T79" s="390"/>
      <c r="U79" s="391"/>
      <c r="V79" s="390"/>
      <c r="W79" s="391"/>
      <c r="X79" s="390"/>
      <c r="Y79" s="391"/>
      <c r="Z79" s="390"/>
      <c r="AA79" s="391"/>
      <c r="AB79" s="390"/>
      <c r="AC79" s="391"/>
      <c r="AD79" s="390"/>
      <c r="AE79" s="391"/>
      <c r="AF79" s="390"/>
      <c r="AG79" s="391"/>
      <c r="AH79" s="390"/>
      <c r="AI79" s="391"/>
      <c r="AJ79" s="390"/>
      <c r="AK79" s="391"/>
      <c r="AL79" s="390"/>
      <c r="AM79" s="391"/>
      <c r="AN79" s="390"/>
      <c r="AO79" s="391"/>
    </row>
    <row r="80" spans="1:44" hidden="1">
      <c r="A80" s="229" t="s">
        <v>121</v>
      </c>
      <c r="B80" s="230" t="s">
        <v>123</v>
      </c>
      <c r="C80" s="202" t="s">
        <v>1005</v>
      </c>
      <c r="D80" s="445">
        <v>133021</v>
      </c>
      <c r="E80" s="446">
        <v>7</v>
      </c>
      <c r="F80" s="390">
        <v>3060</v>
      </c>
      <c r="G80" s="395">
        <v>3060</v>
      </c>
      <c r="H80" s="390">
        <v>8890.5</v>
      </c>
      <c r="I80" s="395">
        <v>8890.5</v>
      </c>
      <c r="J80" s="390"/>
      <c r="K80" s="391"/>
      <c r="L80" s="390"/>
      <c r="M80" s="391"/>
      <c r="N80" s="390"/>
      <c r="O80" s="391"/>
      <c r="P80" s="390"/>
      <c r="Q80" s="391"/>
      <c r="R80" s="390"/>
      <c r="S80" s="391"/>
      <c r="T80" s="390"/>
      <c r="U80" s="391"/>
      <c r="V80" s="390"/>
      <c r="W80" s="391"/>
      <c r="X80" s="390"/>
      <c r="Y80" s="391"/>
      <c r="Z80" s="390"/>
      <c r="AA80" s="391"/>
      <c r="AB80" s="390"/>
      <c r="AC80" s="391"/>
      <c r="AD80" s="390"/>
      <c r="AE80" s="391"/>
      <c r="AF80" s="390"/>
      <c r="AG80" s="391"/>
      <c r="AH80" s="390"/>
      <c r="AI80" s="391"/>
      <c r="AJ80" s="390"/>
      <c r="AK80" s="391"/>
      <c r="AL80" s="390"/>
      <c r="AM80" s="391"/>
      <c r="AN80" s="390"/>
      <c r="AO80" s="391"/>
    </row>
    <row r="81" spans="1:41" hidden="1">
      <c r="A81" s="229" t="s">
        <v>121</v>
      </c>
      <c r="B81" s="230" t="s">
        <v>125</v>
      </c>
      <c r="C81" s="202" t="s">
        <v>1003</v>
      </c>
      <c r="D81" s="445">
        <v>133386</v>
      </c>
      <c r="E81" s="446">
        <v>7</v>
      </c>
      <c r="F81" s="390">
        <v>3071.4</v>
      </c>
      <c r="G81" s="395">
        <v>3071.4</v>
      </c>
      <c r="H81" s="390">
        <v>11959.5</v>
      </c>
      <c r="I81" s="395">
        <v>11959.5</v>
      </c>
      <c r="J81" s="390"/>
      <c r="K81" s="391"/>
      <c r="L81" s="390"/>
      <c r="M81" s="391"/>
      <c r="N81" s="390"/>
      <c r="O81" s="391"/>
      <c r="P81" s="390"/>
      <c r="Q81" s="391"/>
      <c r="R81" s="390"/>
      <c r="S81" s="391"/>
      <c r="T81" s="390"/>
      <c r="U81" s="391"/>
      <c r="V81" s="390"/>
      <c r="W81" s="391"/>
      <c r="X81" s="390"/>
      <c r="Y81" s="391"/>
      <c r="Z81" s="390"/>
      <c r="AA81" s="391"/>
      <c r="AB81" s="390"/>
      <c r="AC81" s="391"/>
      <c r="AD81" s="390"/>
      <c r="AE81" s="391"/>
      <c r="AF81" s="390"/>
      <c r="AG81" s="391"/>
      <c r="AH81" s="390"/>
      <c r="AI81" s="391"/>
      <c r="AJ81" s="390"/>
      <c r="AK81" s="391"/>
      <c r="AL81" s="390"/>
      <c r="AM81" s="391"/>
      <c r="AN81" s="390"/>
      <c r="AO81" s="391"/>
    </row>
    <row r="82" spans="1:41" hidden="1">
      <c r="A82" s="229" t="s">
        <v>121</v>
      </c>
      <c r="B82" s="230" t="s">
        <v>126</v>
      </c>
      <c r="C82" s="202" t="s">
        <v>1003</v>
      </c>
      <c r="D82" s="445">
        <v>133508</v>
      </c>
      <c r="E82" s="446">
        <v>7</v>
      </c>
      <c r="F82" s="390">
        <v>3340.8</v>
      </c>
      <c r="G82" s="395">
        <v>3340.8</v>
      </c>
      <c r="H82" s="390">
        <v>12918.9</v>
      </c>
      <c r="I82" s="395">
        <v>12918.9</v>
      </c>
      <c r="J82" s="390"/>
      <c r="K82" s="391"/>
      <c r="L82" s="390"/>
      <c r="M82" s="391"/>
      <c r="N82" s="390"/>
      <c r="O82" s="391"/>
      <c r="P82" s="390"/>
      <c r="Q82" s="391"/>
      <c r="R82" s="390"/>
      <c r="S82" s="391"/>
      <c r="T82" s="390"/>
      <c r="U82" s="391"/>
      <c r="V82" s="390"/>
      <c r="W82" s="391"/>
      <c r="X82" s="390"/>
      <c r="Y82" s="391"/>
      <c r="Z82" s="390"/>
      <c r="AA82" s="391"/>
      <c r="AB82" s="390"/>
      <c r="AC82" s="391"/>
      <c r="AD82" s="390"/>
      <c r="AE82" s="391"/>
      <c r="AF82" s="390"/>
      <c r="AG82" s="391"/>
      <c r="AH82" s="390"/>
      <c r="AI82" s="391"/>
      <c r="AJ82" s="390"/>
      <c r="AK82" s="391"/>
      <c r="AL82" s="390"/>
      <c r="AM82" s="391"/>
      <c r="AN82" s="390"/>
      <c r="AO82" s="391"/>
    </row>
    <row r="83" spans="1:41" hidden="1">
      <c r="A83" s="229" t="s">
        <v>121</v>
      </c>
      <c r="B83" s="230" t="s">
        <v>127</v>
      </c>
      <c r="C83" s="202" t="s">
        <v>1003</v>
      </c>
      <c r="D83" s="445">
        <v>133702</v>
      </c>
      <c r="E83" s="446">
        <v>7</v>
      </c>
      <c r="F83" s="390">
        <v>3146.4</v>
      </c>
      <c r="G83" s="395">
        <v>3146.4</v>
      </c>
      <c r="H83" s="390">
        <v>12038.1</v>
      </c>
      <c r="I83" s="395">
        <v>12038.1</v>
      </c>
      <c r="J83" s="390"/>
      <c r="K83" s="391"/>
      <c r="L83" s="390"/>
      <c r="M83" s="391"/>
      <c r="N83" s="390"/>
      <c r="O83" s="391"/>
      <c r="P83" s="390"/>
      <c r="Q83" s="391"/>
      <c r="R83" s="390"/>
      <c r="S83" s="391"/>
      <c r="T83" s="390"/>
      <c r="U83" s="391"/>
      <c r="V83" s="390"/>
      <c r="W83" s="391"/>
      <c r="X83" s="390"/>
      <c r="Y83" s="391"/>
      <c r="Z83" s="390"/>
      <c r="AA83" s="391"/>
      <c r="AB83" s="390"/>
      <c r="AC83" s="391"/>
      <c r="AD83" s="390"/>
      <c r="AE83" s="391"/>
      <c r="AF83" s="390"/>
      <c r="AG83" s="391"/>
      <c r="AH83" s="390"/>
      <c r="AI83" s="391"/>
      <c r="AJ83" s="390"/>
      <c r="AK83" s="391"/>
      <c r="AL83" s="390"/>
      <c r="AM83" s="391"/>
      <c r="AN83" s="390"/>
      <c r="AO83" s="391"/>
    </row>
    <row r="84" spans="1:41" hidden="1">
      <c r="A84" s="229" t="s">
        <v>121</v>
      </c>
      <c r="B84" s="230" t="s">
        <v>632</v>
      </c>
      <c r="C84" s="202"/>
      <c r="D84" s="445">
        <v>133960</v>
      </c>
      <c r="E84" s="446">
        <v>10</v>
      </c>
      <c r="F84" s="390">
        <v>3276.6</v>
      </c>
      <c r="G84" s="395">
        <v>3276.6</v>
      </c>
      <c r="H84" s="390">
        <v>13161.9</v>
      </c>
      <c r="I84" s="395">
        <v>13161.9</v>
      </c>
      <c r="J84" s="390"/>
      <c r="K84" s="391"/>
      <c r="L84" s="390"/>
      <c r="M84" s="391"/>
      <c r="N84" s="390"/>
      <c r="O84" s="391"/>
      <c r="P84" s="390"/>
      <c r="Q84" s="391"/>
      <c r="R84" s="390"/>
      <c r="S84" s="391"/>
      <c r="T84" s="390"/>
      <c r="U84" s="391"/>
      <c r="V84" s="390"/>
      <c r="W84" s="391"/>
      <c r="X84" s="390"/>
      <c r="Y84" s="391"/>
      <c r="Z84" s="390"/>
      <c r="AA84" s="391"/>
      <c r="AB84" s="390"/>
      <c r="AC84" s="391"/>
      <c r="AD84" s="390"/>
      <c r="AE84" s="391"/>
      <c r="AF84" s="390"/>
      <c r="AG84" s="391"/>
      <c r="AH84" s="390"/>
      <c r="AI84" s="391"/>
      <c r="AJ84" s="390"/>
      <c r="AK84" s="391"/>
      <c r="AL84" s="390"/>
      <c r="AM84" s="391"/>
      <c r="AN84" s="390"/>
      <c r="AO84" s="391"/>
    </row>
    <row r="85" spans="1:41" hidden="1">
      <c r="A85" s="229" t="s">
        <v>121</v>
      </c>
      <c r="B85" s="230" t="s">
        <v>128</v>
      </c>
      <c r="C85" s="202" t="s">
        <v>1001</v>
      </c>
      <c r="D85" s="445">
        <v>134343</v>
      </c>
      <c r="E85" s="446">
        <v>7</v>
      </c>
      <c r="F85" s="390">
        <v>2844</v>
      </c>
      <c r="G85" s="395">
        <v>2844</v>
      </c>
      <c r="H85" s="390">
        <v>10672.8</v>
      </c>
      <c r="I85" s="395">
        <v>10672.8</v>
      </c>
      <c r="J85" s="390"/>
      <c r="K85" s="391"/>
      <c r="L85" s="390"/>
      <c r="M85" s="391"/>
      <c r="N85" s="390"/>
      <c r="O85" s="391"/>
      <c r="P85" s="390"/>
      <c r="Q85" s="391"/>
      <c r="R85" s="390"/>
      <c r="S85" s="391"/>
      <c r="T85" s="390"/>
      <c r="U85" s="391"/>
      <c r="V85" s="390"/>
      <c r="W85" s="391"/>
      <c r="X85" s="390"/>
      <c r="Y85" s="391"/>
      <c r="Z85" s="390"/>
      <c r="AA85" s="391"/>
      <c r="AB85" s="390"/>
      <c r="AC85" s="391"/>
      <c r="AD85" s="390"/>
      <c r="AE85" s="391"/>
      <c r="AF85" s="390"/>
      <c r="AG85" s="391"/>
      <c r="AH85" s="390"/>
      <c r="AI85" s="391"/>
      <c r="AJ85" s="390"/>
      <c r="AK85" s="391"/>
      <c r="AL85" s="390"/>
      <c r="AM85" s="391"/>
      <c r="AN85" s="390"/>
      <c r="AO85" s="391"/>
    </row>
    <row r="86" spans="1:41" hidden="1">
      <c r="A86" s="229" t="s">
        <v>121</v>
      </c>
      <c r="B86" s="230" t="s">
        <v>142</v>
      </c>
      <c r="C86" s="202"/>
      <c r="D86" s="445">
        <v>134495</v>
      </c>
      <c r="E86" s="446">
        <v>8</v>
      </c>
      <c r="F86" s="390">
        <v>3115.5</v>
      </c>
      <c r="G86" s="395">
        <v>3115.5</v>
      </c>
      <c r="H86" s="390">
        <v>11372.1</v>
      </c>
      <c r="I86" s="395">
        <v>11372.1</v>
      </c>
      <c r="J86" s="390"/>
      <c r="K86" s="391"/>
      <c r="L86" s="390"/>
      <c r="M86" s="391"/>
      <c r="N86" s="390"/>
      <c r="O86" s="391"/>
      <c r="P86" s="390"/>
      <c r="Q86" s="391"/>
      <c r="R86" s="390"/>
      <c r="S86" s="391"/>
      <c r="T86" s="390"/>
      <c r="U86" s="391"/>
      <c r="V86" s="390"/>
      <c r="W86" s="391"/>
      <c r="X86" s="390"/>
      <c r="Y86" s="391"/>
      <c r="Z86" s="390"/>
      <c r="AA86" s="391"/>
      <c r="AB86" s="390"/>
      <c r="AC86" s="391"/>
      <c r="AD86" s="390"/>
      <c r="AE86" s="391"/>
      <c r="AF86" s="390"/>
      <c r="AG86" s="391"/>
      <c r="AH86" s="390"/>
      <c r="AI86" s="391"/>
      <c r="AJ86" s="390"/>
      <c r="AK86" s="391"/>
      <c r="AL86" s="390"/>
      <c r="AM86" s="391"/>
      <c r="AN86" s="390"/>
      <c r="AO86" s="391"/>
    </row>
    <row r="87" spans="1:41" hidden="1">
      <c r="A87" s="229" t="s">
        <v>121</v>
      </c>
      <c r="B87" s="230" t="s">
        <v>129</v>
      </c>
      <c r="C87" s="202" t="s">
        <v>1003</v>
      </c>
      <c r="D87" s="445">
        <v>134608</v>
      </c>
      <c r="E87" s="446">
        <v>7</v>
      </c>
      <c r="F87" s="390">
        <v>3114.9</v>
      </c>
      <c r="G87" s="395">
        <v>3114.9</v>
      </c>
      <c r="H87" s="390">
        <v>11714.7</v>
      </c>
      <c r="I87" s="395">
        <v>11714.7</v>
      </c>
      <c r="J87" s="390"/>
      <c r="K87" s="391"/>
      <c r="L87" s="390"/>
      <c r="M87" s="391"/>
      <c r="N87" s="390"/>
      <c r="O87" s="391"/>
      <c r="P87" s="390"/>
      <c r="Q87" s="391"/>
      <c r="R87" s="390"/>
      <c r="S87" s="391"/>
      <c r="T87" s="390"/>
      <c r="U87" s="391"/>
      <c r="V87" s="390"/>
      <c r="W87" s="391"/>
      <c r="X87" s="390"/>
      <c r="Y87" s="391"/>
      <c r="Z87" s="390"/>
      <c r="AA87" s="391"/>
      <c r="AB87" s="390"/>
      <c r="AC87" s="391"/>
      <c r="AD87" s="390"/>
      <c r="AE87" s="391"/>
      <c r="AF87" s="390"/>
      <c r="AG87" s="391"/>
      <c r="AH87" s="390"/>
      <c r="AI87" s="391"/>
      <c r="AJ87" s="390"/>
      <c r="AK87" s="391"/>
      <c r="AL87" s="390"/>
      <c r="AM87" s="391"/>
      <c r="AN87" s="390"/>
      <c r="AO87" s="391"/>
    </row>
    <row r="88" spans="1:41" hidden="1">
      <c r="A88" s="229" t="s">
        <v>121</v>
      </c>
      <c r="B88" s="230" t="s">
        <v>145</v>
      </c>
      <c r="C88" s="202" t="s">
        <v>1001</v>
      </c>
      <c r="D88" s="445">
        <v>135160</v>
      </c>
      <c r="E88" s="446">
        <v>7</v>
      </c>
      <c r="F88" s="390">
        <v>3069.6</v>
      </c>
      <c r="G88" s="395">
        <v>3069.6</v>
      </c>
      <c r="H88" s="390">
        <v>11717.1</v>
      </c>
      <c r="I88" s="395">
        <v>11717.1</v>
      </c>
      <c r="J88" s="390"/>
      <c r="K88" s="391"/>
      <c r="L88" s="390"/>
      <c r="M88" s="391"/>
      <c r="N88" s="390"/>
      <c r="O88" s="391"/>
      <c r="P88" s="390"/>
      <c r="Q88" s="391"/>
      <c r="R88" s="390"/>
      <c r="S88" s="391"/>
      <c r="T88" s="390"/>
      <c r="U88" s="391"/>
      <c r="V88" s="390"/>
      <c r="W88" s="391"/>
      <c r="X88" s="390"/>
      <c r="Y88" s="391"/>
      <c r="Z88" s="390"/>
      <c r="AA88" s="391"/>
      <c r="AB88" s="390"/>
      <c r="AC88" s="391"/>
      <c r="AD88" s="390"/>
      <c r="AE88" s="391"/>
      <c r="AF88" s="390"/>
      <c r="AG88" s="391"/>
      <c r="AH88" s="390"/>
      <c r="AI88" s="391"/>
      <c r="AJ88" s="390"/>
      <c r="AK88" s="391"/>
      <c r="AL88" s="390"/>
      <c r="AM88" s="391"/>
      <c r="AN88" s="390"/>
      <c r="AO88" s="391"/>
    </row>
    <row r="89" spans="1:41" hidden="1">
      <c r="A89" s="229" t="s">
        <v>121</v>
      </c>
      <c r="B89" s="230" t="s">
        <v>146</v>
      </c>
      <c r="C89" s="202" t="s">
        <v>1001</v>
      </c>
      <c r="D89" s="445">
        <v>135188</v>
      </c>
      <c r="E89" s="446">
        <v>7</v>
      </c>
      <c r="F89" s="390">
        <v>3231.9</v>
      </c>
      <c r="G89" s="395">
        <v>3291.9</v>
      </c>
      <c r="H89" s="390">
        <v>13336.2</v>
      </c>
      <c r="I89" s="395">
        <v>13276.2</v>
      </c>
      <c r="J89" s="390"/>
      <c r="K89" s="391"/>
      <c r="L89" s="390"/>
      <c r="M89" s="391"/>
      <c r="N89" s="390"/>
      <c r="O89" s="391"/>
      <c r="P89" s="390"/>
      <c r="Q89" s="391"/>
      <c r="R89" s="390"/>
      <c r="S89" s="391"/>
      <c r="T89" s="390"/>
      <c r="U89" s="391"/>
      <c r="V89" s="390"/>
      <c r="W89" s="391"/>
      <c r="X89" s="390"/>
      <c r="Y89" s="391"/>
      <c r="Z89" s="390"/>
      <c r="AA89" s="391"/>
      <c r="AB89" s="390"/>
      <c r="AC89" s="391"/>
      <c r="AD89" s="390"/>
      <c r="AE89" s="391"/>
      <c r="AF89" s="390"/>
      <c r="AG89" s="391"/>
      <c r="AH89" s="390"/>
      <c r="AI89" s="391"/>
      <c r="AJ89" s="390"/>
      <c r="AK89" s="391"/>
      <c r="AL89" s="390"/>
      <c r="AM89" s="391"/>
      <c r="AN89" s="390"/>
      <c r="AO89" s="391"/>
    </row>
    <row r="90" spans="1:41" hidden="1">
      <c r="A90" s="229" t="s">
        <v>121</v>
      </c>
      <c r="B90" s="230" t="s">
        <v>139</v>
      </c>
      <c r="C90" s="202" t="s">
        <v>1003</v>
      </c>
      <c r="D90" s="445">
        <v>135391</v>
      </c>
      <c r="E90" s="446">
        <v>7</v>
      </c>
      <c r="F90" s="390">
        <v>3074.4</v>
      </c>
      <c r="G90" s="395">
        <v>3074.4</v>
      </c>
      <c r="H90" s="390">
        <v>11595.6</v>
      </c>
      <c r="I90" s="395">
        <v>11595.6</v>
      </c>
      <c r="J90" s="390"/>
      <c r="K90" s="391"/>
      <c r="L90" s="390"/>
      <c r="M90" s="391"/>
      <c r="N90" s="390"/>
      <c r="O90" s="391"/>
      <c r="P90" s="390"/>
      <c r="Q90" s="391"/>
      <c r="R90" s="390"/>
      <c r="S90" s="391"/>
      <c r="T90" s="390"/>
      <c r="U90" s="391"/>
      <c r="V90" s="390"/>
      <c r="W90" s="391"/>
      <c r="X90" s="390"/>
      <c r="Y90" s="391"/>
      <c r="Z90" s="390"/>
      <c r="AA90" s="391"/>
      <c r="AB90" s="390"/>
      <c r="AC90" s="391"/>
      <c r="AD90" s="390"/>
      <c r="AE90" s="391"/>
      <c r="AF90" s="390"/>
      <c r="AG90" s="391"/>
      <c r="AH90" s="390"/>
      <c r="AI90" s="391"/>
      <c r="AJ90" s="390"/>
      <c r="AK90" s="391"/>
      <c r="AL90" s="390"/>
      <c r="AM90" s="391"/>
      <c r="AN90" s="390"/>
      <c r="AO90" s="391"/>
    </row>
    <row r="91" spans="1:41" hidden="1">
      <c r="A91" s="229" t="s">
        <v>121</v>
      </c>
      <c r="B91" s="230" t="s">
        <v>130</v>
      </c>
      <c r="C91" s="202" t="s">
        <v>1003</v>
      </c>
      <c r="D91" s="445">
        <v>135717</v>
      </c>
      <c r="E91" s="446">
        <v>7</v>
      </c>
      <c r="F91" s="390">
        <v>3456.6</v>
      </c>
      <c r="G91" s="395">
        <v>3456.6</v>
      </c>
      <c r="H91" s="390">
        <v>11985.3</v>
      </c>
      <c r="I91" s="395">
        <v>11985.3</v>
      </c>
      <c r="J91" s="390"/>
      <c r="K91" s="391"/>
      <c r="L91" s="390"/>
      <c r="M91" s="391"/>
      <c r="N91" s="390"/>
      <c r="O91" s="391"/>
      <c r="P91" s="390"/>
      <c r="Q91" s="391"/>
      <c r="R91" s="390"/>
      <c r="S91" s="391"/>
      <c r="T91" s="390"/>
      <c r="U91" s="391"/>
      <c r="V91" s="390"/>
      <c r="W91" s="391"/>
      <c r="X91" s="390"/>
      <c r="Y91" s="391"/>
      <c r="Z91" s="390"/>
      <c r="AA91" s="391"/>
      <c r="AB91" s="390"/>
      <c r="AC91" s="391"/>
      <c r="AD91" s="390"/>
      <c r="AE91" s="391"/>
      <c r="AF91" s="390"/>
      <c r="AG91" s="391"/>
      <c r="AH91" s="390"/>
      <c r="AI91" s="391"/>
      <c r="AJ91" s="390"/>
      <c r="AK91" s="391"/>
      <c r="AL91" s="390"/>
      <c r="AM91" s="391"/>
      <c r="AN91" s="390"/>
      <c r="AO91" s="391"/>
    </row>
    <row r="92" spans="1:41" hidden="1">
      <c r="A92" s="229" t="s">
        <v>121</v>
      </c>
      <c r="B92" s="230" t="s">
        <v>634</v>
      </c>
      <c r="C92" s="202"/>
      <c r="D92" s="445">
        <v>136145</v>
      </c>
      <c r="E92" s="446">
        <v>10</v>
      </c>
      <c r="F92" s="390">
        <v>2994</v>
      </c>
      <c r="G92" s="395">
        <v>2553</v>
      </c>
      <c r="H92" s="390">
        <v>11889</v>
      </c>
      <c r="I92" s="395">
        <v>9984</v>
      </c>
      <c r="J92" s="390"/>
      <c r="K92" s="391"/>
      <c r="L92" s="390"/>
      <c r="M92" s="391"/>
      <c r="N92" s="390"/>
      <c r="O92" s="391"/>
      <c r="P92" s="390"/>
      <c r="Q92" s="391"/>
      <c r="R92" s="390"/>
      <c r="S92" s="391"/>
      <c r="T92" s="390"/>
      <c r="U92" s="391"/>
      <c r="V92" s="390"/>
      <c r="W92" s="391"/>
      <c r="X92" s="390"/>
      <c r="Y92" s="391"/>
      <c r="Z92" s="390"/>
      <c r="AA92" s="391"/>
      <c r="AB92" s="390"/>
      <c r="AC92" s="391"/>
      <c r="AD92" s="390"/>
      <c r="AE92" s="391"/>
      <c r="AF92" s="390"/>
      <c r="AG92" s="391"/>
      <c r="AH92" s="390"/>
      <c r="AI92" s="391"/>
      <c r="AJ92" s="390"/>
      <c r="AK92" s="391"/>
      <c r="AL92" s="390"/>
      <c r="AM92" s="391"/>
      <c r="AN92" s="390"/>
      <c r="AO92" s="391"/>
    </row>
    <row r="93" spans="1:41" hidden="1">
      <c r="A93" s="234" t="s">
        <v>121</v>
      </c>
      <c r="B93" s="230" t="s">
        <v>131</v>
      </c>
      <c r="C93" s="202" t="s">
        <v>1001</v>
      </c>
      <c r="D93" s="445">
        <v>136233</v>
      </c>
      <c r="E93" s="446">
        <v>7</v>
      </c>
      <c r="F93" s="390">
        <v>3120.3</v>
      </c>
      <c r="G93" s="395">
        <v>3120.3</v>
      </c>
      <c r="H93" s="390">
        <v>11940.6</v>
      </c>
      <c r="I93" s="395">
        <v>11940.6</v>
      </c>
      <c r="J93" s="390"/>
      <c r="K93" s="391"/>
      <c r="L93" s="390"/>
      <c r="M93" s="391"/>
      <c r="N93" s="390"/>
      <c r="O93" s="391"/>
      <c r="P93" s="390"/>
      <c r="Q93" s="391"/>
      <c r="R93" s="390"/>
      <c r="S93" s="391"/>
      <c r="T93" s="390"/>
      <c r="U93" s="391"/>
      <c r="V93" s="390"/>
      <c r="W93" s="391"/>
      <c r="X93" s="390"/>
      <c r="Y93" s="391"/>
      <c r="Z93" s="390"/>
      <c r="AA93" s="391"/>
      <c r="AB93" s="390"/>
      <c r="AC93" s="391"/>
      <c r="AD93" s="390"/>
      <c r="AE93" s="391"/>
      <c r="AF93" s="390"/>
      <c r="AG93" s="391"/>
      <c r="AH93" s="390"/>
      <c r="AI93" s="391"/>
      <c r="AJ93" s="390"/>
      <c r="AK93" s="391"/>
      <c r="AL93" s="390"/>
      <c r="AM93" s="391"/>
      <c r="AN93" s="390"/>
      <c r="AO93" s="391"/>
    </row>
    <row r="94" spans="1:41" hidden="1">
      <c r="A94" s="234" t="s">
        <v>121</v>
      </c>
      <c r="B94" s="230" t="s">
        <v>132</v>
      </c>
      <c r="C94" s="202" t="s">
        <v>1003</v>
      </c>
      <c r="D94" s="445">
        <v>136358</v>
      </c>
      <c r="E94" s="446">
        <v>7</v>
      </c>
      <c r="F94" s="390">
        <v>3030</v>
      </c>
      <c r="G94" s="395">
        <v>3030</v>
      </c>
      <c r="H94" s="390">
        <v>10890</v>
      </c>
      <c r="I94" s="395">
        <v>10890</v>
      </c>
      <c r="J94" s="390"/>
      <c r="K94" s="391"/>
      <c r="L94" s="390"/>
      <c r="M94" s="391"/>
      <c r="N94" s="390"/>
      <c r="O94" s="391"/>
      <c r="P94" s="390"/>
      <c r="Q94" s="391"/>
      <c r="R94" s="390"/>
      <c r="S94" s="391"/>
      <c r="T94" s="390"/>
      <c r="U94" s="391"/>
      <c r="V94" s="390"/>
      <c r="W94" s="391"/>
      <c r="X94" s="390"/>
      <c r="Y94" s="391"/>
      <c r="Z94" s="390"/>
      <c r="AA94" s="391"/>
      <c r="AB94" s="390"/>
      <c r="AC94" s="391"/>
      <c r="AD94" s="390"/>
      <c r="AE94" s="391"/>
      <c r="AF94" s="390"/>
      <c r="AG94" s="391"/>
      <c r="AH94" s="390"/>
      <c r="AI94" s="391"/>
      <c r="AJ94" s="390"/>
      <c r="AK94" s="391"/>
      <c r="AL94" s="390"/>
      <c r="AM94" s="391"/>
      <c r="AN94" s="390"/>
      <c r="AO94" s="391"/>
    </row>
    <row r="95" spans="1:41" hidden="1">
      <c r="A95" s="234" t="s">
        <v>121</v>
      </c>
      <c r="B95" s="230" t="s">
        <v>143</v>
      </c>
      <c r="C95" s="202" t="s">
        <v>1003</v>
      </c>
      <c r="D95" s="445">
        <v>136400</v>
      </c>
      <c r="E95" s="446">
        <v>7</v>
      </c>
      <c r="F95" s="390">
        <v>3155.4</v>
      </c>
      <c r="G95" s="395">
        <v>3155.4</v>
      </c>
      <c r="H95" s="390">
        <v>12031.5</v>
      </c>
      <c r="I95" s="395">
        <v>12031.5</v>
      </c>
      <c r="J95" s="390"/>
      <c r="K95" s="391"/>
      <c r="L95" s="390"/>
      <c r="M95" s="391"/>
      <c r="N95" s="390"/>
      <c r="O95" s="391"/>
      <c r="P95" s="390"/>
      <c r="Q95" s="391"/>
      <c r="R95" s="390"/>
      <c r="S95" s="391"/>
      <c r="T95" s="390"/>
      <c r="U95" s="391"/>
      <c r="V95" s="390"/>
      <c r="W95" s="391"/>
      <c r="X95" s="390"/>
      <c r="Y95" s="391"/>
      <c r="Z95" s="390"/>
      <c r="AA95" s="391"/>
      <c r="AB95" s="390"/>
      <c r="AC95" s="391"/>
      <c r="AD95" s="390"/>
      <c r="AE95" s="391"/>
      <c r="AF95" s="390"/>
      <c r="AG95" s="391"/>
      <c r="AH95" s="390"/>
      <c r="AI95" s="391"/>
      <c r="AJ95" s="390"/>
      <c r="AK95" s="391"/>
      <c r="AL95" s="390"/>
      <c r="AM95" s="391"/>
      <c r="AN95" s="390"/>
      <c r="AO95" s="391"/>
    </row>
    <row r="96" spans="1:41" hidden="1">
      <c r="A96" s="235" t="s">
        <v>121</v>
      </c>
      <c r="B96" s="230" t="s">
        <v>133</v>
      </c>
      <c r="C96" s="202" t="s">
        <v>1003</v>
      </c>
      <c r="D96" s="445">
        <v>136473</v>
      </c>
      <c r="E96" s="446">
        <v>7</v>
      </c>
      <c r="F96" s="390">
        <v>3137.4</v>
      </c>
      <c r="G96" s="395">
        <v>3137.4</v>
      </c>
      <c r="H96" s="390">
        <v>12592.8</v>
      </c>
      <c r="I96" s="395">
        <v>12592.8</v>
      </c>
      <c r="J96" s="390"/>
      <c r="K96" s="391"/>
      <c r="L96" s="390"/>
      <c r="M96" s="391"/>
      <c r="N96" s="390"/>
      <c r="O96" s="391"/>
      <c r="P96" s="390"/>
      <c r="Q96" s="391"/>
      <c r="R96" s="390"/>
      <c r="S96" s="391"/>
      <c r="T96" s="390"/>
      <c r="U96" s="391"/>
      <c r="V96" s="390"/>
      <c r="W96" s="391"/>
      <c r="X96" s="390"/>
      <c r="Y96" s="391"/>
      <c r="Z96" s="390"/>
      <c r="AA96" s="391"/>
      <c r="AB96" s="390"/>
      <c r="AC96" s="391"/>
      <c r="AD96" s="390"/>
      <c r="AE96" s="391"/>
      <c r="AF96" s="390"/>
      <c r="AG96" s="391"/>
      <c r="AH96" s="390"/>
      <c r="AI96" s="391"/>
      <c r="AJ96" s="390"/>
      <c r="AK96" s="391"/>
      <c r="AL96" s="390"/>
      <c r="AM96" s="391"/>
      <c r="AN96" s="390"/>
      <c r="AO96" s="391"/>
    </row>
    <row r="97" spans="1:44" hidden="1">
      <c r="A97" s="235" t="s">
        <v>121</v>
      </c>
      <c r="B97" s="230" t="s">
        <v>134</v>
      </c>
      <c r="C97" s="202" t="s">
        <v>1003</v>
      </c>
      <c r="D97" s="445">
        <v>136516</v>
      </c>
      <c r="E97" s="446">
        <v>7</v>
      </c>
      <c r="F97" s="390">
        <v>3336.6</v>
      </c>
      <c r="G97" s="395">
        <v>3336.6</v>
      </c>
      <c r="H97" s="390">
        <v>12241.8</v>
      </c>
      <c r="I97" s="395">
        <v>12241.8</v>
      </c>
      <c r="J97" s="390"/>
      <c r="K97" s="391"/>
      <c r="L97" s="390"/>
      <c r="M97" s="391"/>
      <c r="N97" s="390"/>
      <c r="O97" s="391"/>
      <c r="P97" s="390"/>
      <c r="Q97" s="391"/>
      <c r="R97" s="390"/>
      <c r="S97" s="391"/>
      <c r="T97" s="390"/>
      <c r="U97" s="391"/>
      <c r="V97" s="390"/>
      <c r="W97" s="391"/>
      <c r="X97" s="390"/>
      <c r="Y97" s="391"/>
      <c r="Z97" s="390"/>
      <c r="AA97" s="391"/>
      <c r="AB97" s="390"/>
      <c r="AC97" s="391"/>
      <c r="AD97" s="390"/>
      <c r="AE97" s="391"/>
      <c r="AF97" s="390"/>
      <c r="AG97" s="391"/>
      <c r="AH97" s="390"/>
      <c r="AI97" s="391"/>
      <c r="AJ97" s="390"/>
      <c r="AK97" s="391"/>
      <c r="AL97" s="390"/>
      <c r="AM97" s="391"/>
      <c r="AN97" s="390"/>
      <c r="AO97" s="391"/>
    </row>
    <row r="98" spans="1:44" hidden="1">
      <c r="A98" s="235" t="s">
        <v>121</v>
      </c>
      <c r="B98" s="230" t="s">
        <v>137</v>
      </c>
      <c r="C98" s="202" t="s">
        <v>1001</v>
      </c>
      <c r="D98" s="445">
        <v>137281</v>
      </c>
      <c r="E98" s="446">
        <v>7</v>
      </c>
      <c r="F98" s="390">
        <v>3180</v>
      </c>
      <c r="G98" s="395">
        <v>3180</v>
      </c>
      <c r="H98" s="390">
        <v>11608.2</v>
      </c>
      <c r="I98" s="395">
        <v>11608.2</v>
      </c>
      <c r="J98" s="390"/>
      <c r="K98" s="391"/>
      <c r="L98" s="390"/>
      <c r="M98" s="391"/>
      <c r="N98" s="390"/>
      <c r="O98" s="391"/>
      <c r="P98" s="390"/>
      <c r="Q98" s="391"/>
      <c r="R98" s="390"/>
      <c r="S98" s="391"/>
      <c r="T98" s="390"/>
      <c r="U98" s="391"/>
      <c r="V98" s="390"/>
      <c r="W98" s="391"/>
      <c r="X98" s="390"/>
      <c r="Y98" s="391"/>
      <c r="Z98" s="390"/>
      <c r="AA98" s="391"/>
      <c r="AB98" s="390"/>
      <c r="AC98" s="391"/>
      <c r="AD98" s="390"/>
      <c r="AE98" s="391"/>
      <c r="AF98" s="390"/>
      <c r="AG98" s="391"/>
      <c r="AH98" s="390"/>
      <c r="AI98" s="391"/>
      <c r="AJ98" s="390"/>
      <c r="AK98" s="391"/>
      <c r="AL98" s="390"/>
      <c r="AM98" s="391"/>
      <c r="AN98" s="390"/>
      <c r="AO98" s="391"/>
    </row>
    <row r="99" spans="1:44" hidden="1">
      <c r="A99" s="235" t="s">
        <v>121</v>
      </c>
      <c r="B99" s="230" t="s">
        <v>138</v>
      </c>
      <c r="C99" s="202" t="s">
        <v>1003</v>
      </c>
      <c r="D99" s="445">
        <v>137078</v>
      </c>
      <c r="E99" s="446">
        <v>7</v>
      </c>
      <c r="F99" s="390">
        <v>3352.5</v>
      </c>
      <c r="G99" s="395">
        <v>3352.5</v>
      </c>
      <c r="H99" s="390">
        <v>11607</v>
      </c>
      <c r="I99" s="395">
        <v>11607</v>
      </c>
      <c r="J99" s="390"/>
      <c r="K99" s="391"/>
      <c r="L99" s="390"/>
      <c r="M99" s="391"/>
      <c r="N99" s="390"/>
      <c r="O99" s="391"/>
      <c r="P99" s="390"/>
      <c r="Q99" s="391"/>
      <c r="R99" s="390"/>
      <c r="S99" s="391"/>
      <c r="T99" s="390"/>
      <c r="U99" s="391"/>
      <c r="V99" s="390"/>
      <c r="W99" s="391"/>
      <c r="X99" s="390"/>
      <c r="Y99" s="391"/>
      <c r="Z99" s="390"/>
      <c r="AA99" s="391"/>
      <c r="AB99" s="390"/>
      <c r="AC99" s="391"/>
      <c r="AD99" s="390"/>
      <c r="AE99" s="391"/>
      <c r="AF99" s="390"/>
      <c r="AG99" s="391"/>
      <c r="AH99" s="390"/>
      <c r="AI99" s="391"/>
      <c r="AJ99" s="390"/>
      <c r="AK99" s="391"/>
      <c r="AL99" s="390"/>
      <c r="AM99" s="391"/>
      <c r="AN99" s="390"/>
      <c r="AO99" s="391"/>
    </row>
    <row r="100" spans="1:44" hidden="1">
      <c r="A100" s="229" t="s">
        <v>121</v>
      </c>
      <c r="B100" s="230" t="s">
        <v>135</v>
      </c>
      <c r="C100" s="202" t="s">
        <v>1003</v>
      </c>
      <c r="D100" s="445">
        <v>137096</v>
      </c>
      <c r="E100" s="446">
        <v>7</v>
      </c>
      <c r="F100" s="390">
        <v>3053.1</v>
      </c>
      <c r="G100" s="395">
        <v>3053.1</v>
      </c>
      <c r="H100" s="390">
        <v>11337</v>
      </c>
      <c r="I100" s="395">
        <v>11337</v>
      </c>
      <c r="J100" s="390"/>
      <c r="K100" s="391"/>
      <c r="L100" s="390"/>
      <c r="M100" s="391"/>
      <c r="N100" s="390"/>
      <c r="O100" s="391"/>
      <c r="P100" s="390"/>
      <c r="Q100" s="391"/>
      <c r="R100" s="390"/>
      <c r="S100" s="391"/>
      <c r="T100" s="390"/>
      <c r="U100" s="391"/>
      <c r="V100" s="390"/>
      <c r="W100" s="391"/>
      <c r="X100" s="390"/>
      <c r="Y100" s="391"/>
      <c r="Z100" s="390"/>
      <c r="AA100" s="391"/>
      <c r="AB100" s="390"/>
      <c r="AC100" s="391"/>
      <c r="AD100" s="390"/>
      <c r="AE100" s="391"/>
      <c r="AF100" s="390"/>
      <c r="AG100" s="391"/>
      <c r="AH100" s="390"/>
      <c r="AI100" s="391"/>
      <c r="AJ100" s="390"/>
      <c r="AK100" s="391"/>
      <c r="AL100" s="390"/>
      <c r="AM100" s="391"/>
      <c r="AN100" s="390"/>
      <c r="AO100" s="391"/>
    </row>
    <row r="101" spans="1:44" hidden="1">
      <c r="A101" s="235" t="s">
        <v>121</v>
      </c>
      <c r="B101" s="230" t="s">
        <v>136</v>
      </c>
      <c r="C101" s="202" t="s">
        <v>1003</v>
      </c>
      <c r="D101" s="445">
        <v>137209</v>
      </c>
      <c r="E101" s="446">
        <v>7</v>
      </c>
      <c r="F101" s="390">
        <v>3122.4</v>
      </c>
      <c r="G101" s="395">
        <v>3122.4</v>
      </c>
      <c r="H101" s="390">
        <v>11447.1</v>
      </c>
      <c r="I101" s="395">
        <v>11447.1</v>
      </c>
      <c r="J101" s="390"/>
      <c r="K101" s="391"/>
      <c r="L101" s="390"/>
      <c r="M101" s="391"/>
      <c r="N101" s="390"/>
      <c r="O101" s="391"/>
      <c r="P101" s="390"/>
      <c r="Q101" s="391"/>
      <c r="R101" s="390"/>
      <c r="S101" s="391"/>
      <c r="T101" s="390"/>
      <c r="U101" s="391"/>
      <c r="V101" s="390"/>
      <c r="W101" s="391"/>
      <c r="X101" s="390"/>
      <c r="Y101" s="391"/>
      <c r="Z101" s="390"/>
      <c r="AA101" s="391"/>
      <c r="AB101" s="390"/>
      <c r="AC101" s="391"/>
      <c r="AD101" s="390"/>
      <c r="AE101" s="391"/>
      <c r="AF101" s="390"/>
      <c r="AG101" s="391"/>
      <c r="AH101" s="390"/>
      <c r="AI101" s="391"/>
      <c r="AJ101" s="390"/>
      <c r="AK101" s="391"/>
      <c r="AL101" s="390"/>
      <c r="AM101" s="391"/>
      <c r="AN101" s="390"/>
      <c r="AO101" s="391"/>
    </row>
    <row r="102" spans="1:44" hidden="1">
      <c r="A102" s="235" t="s">
        <v>121</v>
      </c>
      <c r="B102" s="230" t="s">
        <v>147</v>
      </c>
      <c r="C102" s="202" t="s">
        <v>1001</v>
      </c>
      <c r="D102" s="445">
        <v>137315</v>
      </c>
      <c r="E102" s="446">
        <v>7</v>
      </c>
      <c r="F102" s="390">
        <v>3135.6</v>
      </c>
      <c r="G102" s="395">
        <v>3135.6</v>
      </c>
      <c r="H102" s="390">
        <v>11829.3</v>
      </c>
      <c r="I102" s="395">
        <v>11829.3</v>
      </c>
      <c r="J102" s="390"/>
      <c r="K102" s="391"/>
      <c r="L102" s="390"/>
      <c r="M102" s="391"/>
      <c r="N102" s="390"/>
      <c r="O102" s="391"/>
      <c r="P102" s="390"/>
      <c r="Q102" s="391"/>
      <c r="R102" s="390"/>
      <c r="S102" s="391"/>
      <c r="T102" s="390"/>
      <c r="U102" s="391"/>
      <c r="V102" s="390"/>
      <c r="W102" s="391"/>
      <c r="X102" s="390"/>
      <c r="Y102" s="391"/>
      <c r="Z102" s="390"/>
      <c r="AA102" s="391"/>
      <c r="AB102" s="390"/>
      <c r="AC102" s="391"/>
      <c r="AD102" s="390"/>
      <c r="AE102" s="391"/>
      <c r="AF102" s="390"/>
      <c r="AG102" s="391"/>
      <c r="AH102" s="390"/>
      <c r="AI102" s="391"/>
      <c r="AJ102" s="390"/>
      <c r="AK102" s="391"/>
      <c r="AL102" s="390"/>
      <c r="AM102" s="391"/>
      <c r="AN102" s="390"/>
      <c r="AO102" s="391"/>
    </row>
    <row r="103" spans="1:44" hidden="1">
      <c r="A103" s="229" t="s">
        <v>121</v>
      </c>
      <c r="B103" s="230" t="s">
        <v>144</v>
      </c>
      <c r="C103" s="202"/>
      <c r="D103" s="445">
        <v>137759</v>
      </c>
      <c r="E103" s="446">
        <v>8</v>
      </c>
      <c r="F103" s="390">
        <v>3024.9</v>
      </c>
      <c r="G103" s="395">
        <v>3024.9</v>
      </c>
      <c r="H103" s="390">
        <v>11618.1</v>
      </c>
      <c r="I103" s="395">
        <v>11618.1</v>
      </c>
      <c r="J103" s="390"/>
      <c r="K103" s="391"/>
      <c r="L103" s="390"/>
      <c r="M103" s="391"/>
      <c r="N103" s="390"/>
      <c r="O103" s="391"/>
      <c r="P103" s="390"/>
      <c r="Q103" s="391"/>
      <c r="R103" s="390"/>
      <c r="S103" s="391"/>
      <c r="T103" s="390"/>
      <c r="U103" s="391"/>
      <c r="V103" s="390"/>
      <c r="W103" s="391"/>
      <c r="X103" s="390"/>
      <c r="Y103" s="391"/>
      <c r="Z103" s="390"/>
      <c r="AA103" s="391"/>
      <c r="AB103" s="390"/>
      <c r="AC103" s="391"/>
      <c r="AD103" s="390"/>
      <c r="AE103" s="391"/>
      <c r="AF103" s="390"/>
      <c r="AG103" s="391"/>
      <c r="AH103" s="390"/>
      <c r="AI103" s="391"/>
      <c r="AJ103" s="390"/>
      <c r="AK103" s="391"/>
      <c r="AL103" s="390"/>
      <c r="AM103" s="391"/>
      <c r="AN103" s="390"/>
      <c r="AO103" s="391"/>
    </row>
    <row r="104" spans="1:44" customFormat="1" ht="13.9" hidden="1" customHeight="1" thickBot="1">
      <c r="A104" s="235" t="s">
        <v>121</v>
      </c>
      <c r="B104" s="230" t="s">
        <v>140</v>
      </c>
      <c r="C104" s="202" t="s">
        <v>1003</v>
      </c>
      <c r="D104" s="445">
        <v>138187</v>
      </c>
      <c r="E104" s="446">
        <v>7</v>
      </c>
      <c r="F104" s="390">
        <v>3091.8</v>
      </c>
      <c r="G104" s="396">
        <v>3091.8</v>
      </c>
      <c r="H104" s="390">
        <v>11728.8</v>
      </c>
      <c r="I104" s="396">
        <v>11728.8</v>
      </c>
      <c r="J104" s="390"/>
      <c r="K104" s="391"/>
      <c r="L104" s="390"/>
      <c r="M104" s="391"/>
      <c r="N104" s="390"/>
      <c r="O104" s="391"/>
      <c r="P104" s="390"/>
      <c r="Q104" s="391"/>
      <c r="R104" s="390"/>
      <c r="S104" s="391"/>
      <c r="T104" s="390"/>
      <c r="U104" s="391"/>
      <c r="V104" s="390"/>
      <c r="W104" s="391"/>
      <c r="X104" s="390"/>
      <c r="Y104" s="391"/>
      <c r="Z104" s="390"/>
      <c r="AA104" s="391"/>
      <c r="AB104" s="390"/>
      <c r="AC104" s="391"/>
      <c r="AD104" s="390"/>
      <c r="AE104" s="391"/>
      <c r="AF104" s="390"/>
      <c r="AG104" s="391"/>
      <c r="AH104" s="390"/>
      <c r="AI104" s="391"/>
      <c r="AJ104" s="390"/>
      <c r="AK104" s="391"/>
      <c r="AL104" s="390"/>
      <c r="AM104" s="391"/>
      <c r="AN104" s="390"/>
      <c r="AO104" s="391"/>
    </row>
    <row r="105" spans="1:44">
      <c r="A105" s="236" t="s">
        <v>148</v>
      </c>
      <c r="B105" s="237" t="s">
        <v>149</v>
      </c>
      <c r="C105" s="447"/>
      <c r="D105" s="448">
        <v>139940</v>
      </c>
      <c r="E105" s="358">
        <v>1</v>
      </c>
      <c r="F105" s="401">
        <v>11076</v>
      </c>
      <c r="G105" s="402">
        <v>11076</v>
      </c>
      <c r="H105" s="401">
        <v>30114</v>
      </c>
      <c r="I105" s="402">
        <v>30114</v>
      </c>
      <c r="J105" s="401">
        <v>11680</v>
      </c>
      <c r="K105" s="402">
        <v>11680</v>
      </c>
      <c r="L105" s="401">
        <v>32344</v>
      </c>
      <c r="M105" s="402">
        <v>32344</v>
      </c>
      <c r="N105" s="401">
        <v>17896</v>
      </c>
      <c r="O105" s="402">
        <v>20024</v>
      </c>
      <c r="P105" s="401">
        <v>37504</v>
      </c>
      <c r="Q105" s="402">
        <v>39592</v>
      </c>
      <c r="R105" s="401"/>
      <c r="S105" s="402"/>
      <c r="T105" s="401"/>
      <c r="U105" s="402"/>
      <c r="V105" s="401"/>
      <c r="W105" s="402"/>
      <c r="X105" s="401"/>
      <c r="Y105" s="402"/>
      <c r="Z105" s="401"/>
      <c r="AA105" s="402"/>
      <c r="AB105" s="401"/>
      <c r="AC105" s="402"/>
      <c r="AD105" s="401"/>
      <c r="AE105" s="402"/>
      <c r="AF105" s="401"/>
      <c r="AG105" s="402"/>
      <c r="AH105" s="401"/>
      <c r="AI105" s="402"/>
      <c r="AJ105" s="401"/>
      <c r="AK105" s="402"/>
      <c r="AL105" s="401"/>
      <c r="AM105" s="402"/>
      <c r="AN105" s="401"/>
      <c r="AO105" s="402"/>
      <c r="AP105" s="53"/>
      <c r="AQ105" s="53"/>
      <c r="AR105" s="53"/>
    </row>
    <row r="106" spans="1:44">
      <c r="A106" s="236" t="s">
        <v>148</v>
      </c>
      <c r="B106" s="237" t="s">
        <v>150</v>
      </c>
      <c r="C106" s="447"/>
      <c r="D106" s="448">
        <v>139959</v>
      </c>
      <c r="E106" s="358">
        <v>1</v>
      </c>
      <c r="F106" s="401">
        <v>12080</v>
      </c>
      <c r="G106" s="402">
        <v>12080</v>
      </c>
      <c r="H106" s="401">
        <v>31120</v>
      </c>
      <c r="I106" s="402">
        <v>31120</v>
      </c>
      <c r="J106" s="401">
        <v>11168</v>
      </c>
      <c r="K106" s="402">
        <v>11168</v>
      </c>
      <c r="L106" s="401">
        <v>27476</v>
      </c>
      <c r="M106" s="402">
        <v>27476</v>
      </c>
      <c r="N106" s="401">
        <v>19894</v>
      </c>
      <c r="O106" s="402">
        <v>22184</v>
      </c>
      <c r="P106" s="401">
        <v>38652</v>
      </c>
      <c r="Q106" s="402">
        <v>40942</v>
      </c>
      <c r="R106" s="401"/>
      <c r="S106" s="402"/>
      <c r="T106" s="401"/>
      <c r="U106" s="402"/>
      <c r="V106" s="401"/>
      <c r="W106" s="402"/>
      <c r="X106" s="401"/>
      <c r="Y106" s="402"/>
      <c r="Z106" s="401">
        <v>18926</v>
      </c>
      <c r="AA106" s="402">
        <v>20892</v>
      </c>
      <c r="AB106" s="401">
        <v>39634</v>
      </c>
      <c r="AC106" s="402">
        <v>41600</v>
      </c>
      <c r="AD106" s="401"/>
      <c r="AE106" s="402"/>
      <c r="AF106" s="401"/>
      <c r="AG106" s="402"/>
      <c r="AH106" s="401"/>
      <c r="AI106" s="402"/>
      <c r="AJ106" s="401"/>
      <c r="AK106" s="402"/>
      <c r="AL106" s="401">
        <v>19804</v>
      </c>
      <c r="AM106" s="402">
        <v>21770</v>
      </c>
      <c r="AN106" s="401">
        <v>49466</v>
      </c>
      <c r="AO106" s="402">
        <v>51432</v>
      </c>
      <c r="AP106" s="53"/>
      <c r="AQ106" s="53"/>
      <c r="AR106" s="53"/>
    </row>
    <row r="107" spans="1:44">
      <c r="A107" s="236" t="s">
        <v>148</v>
      </c>
      <c r="B107" s="237" t="s">
        <v>151</v>
      </c>
      <c r="C107" s="447"/>
      <c r="D107" s="448">
        <v>139755</v>
      </c>
      <c r="E107" s="358">
        <v>2</v>
      </c>
      <c r="F107" s="401">
        <v>12852</v>
      </c>
      <c r="G107" s="402">
        <v>12852</v>
      </c>
      <c r="H107" s="401">
        <v>33964</v>
      </c>
      <c r="I107" s="402">
        <v>33964</v>
      </c>
      <c r="J107" s="401">
        <v>16258</v>
      </c>
      <c r="K107" s="402">
        <v>17346</v>
      </c>
      <c r="L107" s="401">
        <v>31334</v>
      </c>
      <c r="M107" s="402">
        <v>32422</v>
      </c>
      <c r="N107" s="401"/>
      <c r="O107" s="402"/>
      <c r="P107" s="401"/>
      <c r="Q107" s="402"/>
      <c r="R107" s="401"/>
      <c r="S107" s="402"/>
      <c r="T107" s="401"/>
      <c r="U107" s="402"/>
      <c r="V107" s="401"/>
      <c r="W107" s="402"/>
      <c r="X107" s="401"/>
      <c r="Y107" s="402"/>
      <c r="Z107" s="401"/>
      <c r="AA107" s="402"/>
      <c r="AB107" s="401"/>
      <c r="AC107" s="402"/>
      <c r="AD107" s="401"/>
      <c r="AE107" s="402"/>
      <c r="AF107" s="401"/>
      <c r="AG107" s="402"/>
      <c r="AH107" s="401"/>
      <c r="AI107" s="402"/>
      <c r="AJ107" s="401"/>
      <c r="AK107" s="402"/>
      <c r="AL107" s="401"/>
      <c r="AM107" s="402"/>
      <c r="AN107" s="401"/>
      <c r="AO107" s="402"/>
      <c r="AP107" s="53"/>
      <c r="AQ107" s="53"/>
      <c r="AR107" s="53"/>
    </row>
    <row r="108" spans="1:44">
      <c r="A108" s="236" t="s">
        <v>148</v>
      </c>
      <c r="B108" s="237" t="s">
        <v>152</v>
      </c>
      <c r="C108" s="449"/>
      <c r="D108" s="448">
        <v>139931</v>
      </c>
      <c r="E108" s="358">
        <v>3</v>
      </c>
      <c r="F108" s="401">
        <v>7578</v>
      </c>
      <c r="G108" s="402">
        <v>7578</v>
      </c>
      <c r="H108" s="401">
        <v>21396</v>
      </c>
      <c r="I108" s="402">
        <v>21396</v>
      </c>
      <c r="J108" s="401">
        <v>8750</v>
      </c>
      <c r="K108" s="402">
        <v>8750</v>
      </c>
      <c r="L108" s="401">
        <v>28632</v>
      </c>
      <c r="M108" s="402">
        <v>28632</v>
      </c>
      <c r="N108" s="401"/>
      <c r="O108" s="402"/>
      <c r="P108" s="401"/>
      <c r="Q108" s="402"/>
      <c r="R108" s="401"/>
      <c r="S108" s="402"/>
      <c r="T108" s="401"/>
      <c r="U108" s="402"/>
      <c r="V108" s="401"/>
      <c r="W108" s="402"/>
      <c r="X108" s="401"/>
      <c r="Y108" s="402"/>
      <c r="Z108" s="401"/>
      <c r="AA108" s="402"/>
      <c r="AB108" s="401"/>
      <c r="AC108" s="402"/>
      <c r="AD108" s="401"/>
      <c r="AE108" s="402"/>
      <c r="AF108" s="401"/>
      <c r="AG108" s="402"/>
      <c r="AH108" s="401"/>
      <c r="AI108" s="402"/>
      <c r="AJ108" s="401"/>
      <c r="AK108" s="402"/>
      <c r="AL108" s="401"/>
      <c r="AM108" s="402"/>
      <c r="AN108" s="401"/>
      <c r="AO108" s="402"/>
      <c r="AP108" s="53"/>
      <c r="AQ108" s="53"/>
      <c r="AR108" s="53"/>
    </row>
    <row r="109" spans="1:44">
      <c r="A109" s="236" t="s">
        <v>148</v>
      </c>
      <c r="B109" s="237" t="s">
        <v>153</v>
      </c>
      <c r="C109" s="449"/>
      <c r="D109" s="448">
        <v>486840</v>
      </c>
      <c r="E109" s="358">
        <v>3</v>
      </c>
      <c r="F109" s="401">
        <v>7548</v>
      </c>
      <c r="G109" s="402">
        <v>7548</v>
      </c>
      <c r="H109" s="401">
        <v>21616</v>
      </c>
      <c r="I109" s="402">
        <v>21616</v>
      </c>
      <c r="J109" s="401">
        <v>9076</v>
      </c>
      <c r="K109" s="402">
        <v>9076</v>
      </c>
      <c r="L109" s="401">
        <v>27570</v>
      </c>
      <c r="M109" s="402">
        <v>27570</v>
      </c>
      <c r="N109" s="401"/>
      <c r="O109" s="402"/>
      <c r="P109" s="401"/>
      <c r="Q109" s="402"/>
      <c r="R109" s="401"/>
      <c r="S109" s="402"/>
      <c r="T109" s="401"/>
      <c r="U109" s="402"/>
      <c r="V109" s="401"/>
      <c r="W109" s="402"/>
      <c r="X109" s="401"/>
      <c r="Y109" s="402"/>
      <c r="Z109" s="401"/>
      <c r="AA109" s="402"/>
      <c r="AB109" s="401"/>
      <c r="AC109" s="402"/>
      <c r="AD109" s="401"/>
      <c r="AE109" s="402"/>
      <c r="AF109" s="401"/>
      <c r="AG109" s="402"/>
      <c r="AH109" s="401"/>
      <c r="AI109" s="402"/>
      <c r="AJ109" s="401"/>
      <c r="AK109" s="402"/>
      <c r="AL109" s="401"/>
      <c r="AM109" s="402"/>
      <c r="AN109" s="401"/>
      <c r="AO109" s="402"/>
      <c r="AP109" s="53"/>
      <c r="AQ109" s="53"/>
      <c r="AR109" s="53"/>
    </row>
    <row r="110" spans="1:44">
      <c r="A110" s="236" t="s">
        <v>148</v>
      </c>
      <c r="B110" s="237" t="s">
        <v>154</v>
      </c>
      <c r="C110" s="447"/>
      <c r="D110" s="448">
        <v>141334</v>
      </c>
      <c r="E110" s="358">
        <v>3</v>
      </c>
      <c r="F110" s="401">
        <v>7614</v>
      </c>
      <c r="G110" s="402">
        <v>7614</v>
      </c>
      <c r="H110" s="401">
        <v>21432</v>
      </c>
      <c r="I110" s="402">
        <v>21432</v>
      </c>
      <c r="J110" s="401">
        <v>7934</v>
      </c>
      <c r="K110" s="402">
        <v>7934</v>
      </c>
      <c r="L110" s="401">
        <v>24588</v>
      </c>
      <c r="M110" s="402">
        <v>24588</v>
      </c>
      <c r="N110" s="401"/>
      <c r="O110" s="402"/>
      <c r="P110" s="401"/>
      <c r="Q110" s="402"/>
      <c r="R110" s="401"/>
      <c r="S110" s="402"/>
      <c r="T110" s="401"/>
      <c r="U110" s="402"/>
      <c r="V110" s="401"/>
      <c r="W110" s="402"/>
      <c r="X110" s="401"/>
      <c r="Y110" s="402"/>
      <c r="Z110" s="401"/>
      <c r="AA110" s="402"/>
      <c r="AB110" s="401"/>
      <c r="AC110" s="402"/>
      <c r="AD110" s="401"/>
      <c r="AE110" s="402"/>
      <c r="AF110" s="401"/>
      <c r="AG110" s="402"/>
      <c r="AH110" s="401"/>
      <c r="AI110" s="402"/>
      <c r="AJ110" s="401"/>
      <c r="AK110" s="402"/>
      <c r="AL110" s="401"/>
      <c r="AM110" s="402"/>
      <c r="AN110" s="401"/>
      <c r="AO110" s="402"/>
      <c r="AP110" s="53"/>
      <c r="AQ110" s="53"/>
      <c r="AR110" s="53"/>
    </row>
    <row r="111" spans="1:44">
      <c r="A111" s="236" t="s">
        <v>148</v>
      </c>
      <c r="B111" s="237" t="s">
        <v>155</v>
      </c>
      <c r="C111" s="447"/>
      <c r="D111" s="448">
        <v>141264</v>
      </c>
      <c r="E111" s="358">
        <v>3</v>
      </c>
      <c r="F111" s="401">
        <v>7676</v>
      </c>
      <c r="G111" s="402">
        <v>7676</v>
      </c>
      <c r="H111" s="401">
        <v>21494</v>
      </c>
      <c r="I111" s="402">
        <v>21494</v>
      </c>
      <c r="J111" s="401">
        <v>8296</v>
      </c>
      <c r="K111" s="402">
        <v>8296</v>
      </c>
      <c r="L111" s="401">
        <v>24168</v>
      </c>
      <c r="M111" s="402">
        <v>24168</v>
      </c>
      <c r="N111" s="401"/>
      <c r="O111" s="402"/>
      <c r="P111" s="401"/>
      <c r="Q111" s="402"/>
      <c r="R111" s="401"/>
      <c r="S111" s="402"/>
      <c r="T111" s="401"/>
      <c r="U111" s="402"/>
      <c r="V111" s="401"/>
      <c r="W111" s="402"/>
      <c r="X111" s="401"/>
      <c r="Y111" s="402"/>
      <c r="Z111" s="401"/>
      <c r="AA111" s="402"/>
      <c r="AB111" s="401"/>
      <c r="AC111" s="402"/>
      <c r="AD111" s="401"/>
      <c r="AE111" s="402"/>
      <c r="AF111" s="401"/>
      <c r="AG111" s="402"/>
      <c r="AH111" s="401"/>
      <c r="AI111" s="402"/>
      <c r="AJ111" s="401"/>
      <c r="AK111" s="402"/>
      <c r="AL111" s="401"/>
      <c r="AM111" s="402"/>
      <c r="AN111" s="401"/>
      <c r="AO111" s="402"/>
      <c r="AP111" s="53"/>
      <c r="AQ111" s="53"/>
      <c r="AR111" s="53"/>
    </row>
    <row r="112" spans="1:44">
      <c r="A112" s="236" t="s">
        <v>148</v>
      </c>
      <c r="B112" s="237" t="s">
        <v>156</v>
      </c>
      <c r="C112" s="447"/>
      <c r="D112" s="448">
        <v>138716</v>
      </c>
      <c r="E112" s="358">
        <v>4</v>
      </c>
      <c r="F112" s="401">
        <v>6950</v>
      </c>
      <c r="G112" s="402">
        <v>6950</v>
      </c>
      <c r="H112" s="401">
        <v>20352</v>
      </c>
      <c r="I112" s="402">
        <v>20352</v>
      </c>
      <c r="J112" s="401">
        <v>6444</v>
      </c>
      <c r="K112" s="402">
        <v>6444</v>
      </c>
      <c r="L112" s="401">
        <v>20158</v>
      </c>
      <c r="M112" s="402">
        <v>20158</v>
      </c>
      <c r="N112" s="401"/>
      <c r="O112" s="402"/>
      <c r="P112" s="401"/>
      <c r="Q112" s="402"/>
      <c r="R112" s="401"/>
      <c r="S112" s="402"/>
      <c r="T112" s="401"/>
      <c r="U112" s="402"/>
      <c r="V112" s="401"/>
      <c r="W112" s="402"/>
      <c r="X112" s="401"/>
      <c r="Y112" s="402"/>
      <c r="Z112" s="401"/>
      <c r="AA112" s="402"/>
      <c r="AB112" s="401"/>
      <c r="AC112" s="402"/>
      <c r="AD112" s="401"/>
      <c r="AE112" s="402"/>
      <c r="AF112" s="401"/>
      <c r="AG112" s="402"/>
      <c r="AH112" s="401"/>
      <c r="AI112" s="402"/>
      <c r="AJ112" s="401"/>
      <c r="AK112" s="402"/>
      <c r="AL112" s="401"/>
      <c r="AM112" s="402"/>
      <c r="AN112" s="401"/>
      <c r="AO112" s="402"/>
      <c r="AP112" s="53"/>
      <c r="AQ112" s="53"/>
      <c r="AR112" s="53"/>
    </row>
    <row r="113" spans="1:44">
      <c r="A113" s="236" t="s">
        <v>148</v>
      </c>
      <c r="B113" s="241" t="s">
        <v>621</v>
      </c>
      <c r="C113" s="449"/>
      <c r="D113" s="448">
        <v>482149</v>
      </c>
      <c r="E113" s="358">
        <v>4</v>
      </c>
      <c r="F113" s="401">
        <v>10994</v>
      </c>
      <c r="G113" s="402">
        <v>10994</v>
      </c>
      <c r="H113" s="401">
        <v>30508</v>
      </c>
      <c r="I113" s="402">
        <v>30508</v>
      </c>
      <c r="J113" s="401">
        <v>7634</v>
      </c>
      <c r="K113" s="402">
        <v>7634</v>
      </c>
      <c r="L113" s="401">
        <v>20902</v>
      </c>
      <c r="M113" s="402">
        <v>20902</v>
      </c>
      <c r="N113" s="401"/>
      <c r="O113" s="402"/>
      <c r="P113" s="401"/>
      <c r="Q113" s="402"/>
      <c r="R113" s="401">
        <v>31056</v>
      </c>
      <c r="S113" s="402">
        <v>33186</v>
      </c>
      <c r="T113" s="401">
        <v>59980</v>
      </c>
      <c r="U113" s="402">
        <v>62110</v>
      </c>
      <c r="V113" s="401">
        <v>27674</v>
      </c>
      <c r="W113" s="402">
        <v>30604</v>
      </c>
      <c r="X113" s="401">
        <v>64940</v>
      </c>
      <c r="Y113" s="402">
        <v>69038</v>
      </c>
      <c r="Z113" s="401"/>
      <c r="AA113" s="402"/>
      <c r="AB113" s="401"/>
      <c r="AC113" s="402"/>
      <c r="AD113" s="401"/>
      <c r="AE113" s="402"/>
      <c r="AF113" s="401"/>
      <c r="AG113" s="402"/>
      <c r="AH113" s="401"/>
      <c r="AI113" s="402"/>
      <c r="AJ113" s="401"/>
      <c r="AK113" s="402"/>
      <c r="AL113" s="401"/>
      <c r="AM113" s="402"/>
      <c r="AN113" s="401"/>
      <c r="AO113" s="402"/>
      <c r="AP113" s="53"/>
      <c r="AQ113" s="53"/>
      <c r="AR113" s="53"/>
    </row>
    <row r="114" spans="1:44">
      <c r="A114" s="236" t="s">
        <v>148</v>
      </c>
      <c r="B114" s="237" t="s">
        <v>157</v>
      </c>
      <c r="C114" s="407"/>
      <c r="D114" s="448">
        <v>139311</v>
      </c>
      <c r="E114" s="358">
        <v>4</v>
      </c>
      <c r="F114" s="401">
        <v>6584</v>
      </c>
      <c r="G114" s="402">
        <v>6584</v>
      </c>
      <c r="H114" s="401">
        <v>19986</v>
      </c>
      <c r="I114" s="402">
        <v>19986</v>
      </c>
      <c r="J114" s="401">
        <v>6298</v>
      </c>
      <c r="K114" s="402">
        <v>6298</v>
      </c>
      <c r="L114" s="401">
        <v>19060</v>
      </c>
      <c r="M114" s="402">
        <v>19060</v>
      </c>
      <c r="N114" s="401"/>
      <c r="O114" s="402"/>
      <c r="P114" s="401"/>
      <c r="Q114" s="402"/>
      <c r="R114" s="401"/>
      <c r="S114" s="402"/>
      <c r="T114" s="401"/>
      <c r="U114" s="402"/>
      <c r="V114" s="401"/>
      <c r="W114" s="402"/>
      <c r="X114" s="401"/>
      <c r="Y114" s="402"/>
      <c r="Z114" s="401"/>
      <c r="AA114" s="402"/>
      <c r="AB114" s="401"/>
      <c r="AC114" s="402"/>
      <c r="AD114" s="401"/>
      <c r="AE114" s="402"/>
      <c r="AF114" s="401"/>
      <c r="AG114" s="402"/>
      <c r="AH114" s="401"/>
      <c r="AI114" s="402"/>
      <c r="AJ114" s="401"/>
      <c r="AK114" s="402"/>
      <c r="AL114" s="401"/>
      <c r="AM114" s="402"/>
      <c r="AN114" s="401"/>
      <c r="AO114" s="402"/>
      <c r="AP114" s="53"/>
      <c r="AQ114" s="53"/>
      <c r="AR114" s="53"/>
    </row>
    <row r="115" spans="1:44">
      <c r="A115" s="236" t="s">
        <v>148</v>
      </c>
      <c r="B115" s="237" t="s">
        <v>158</v>
      </c>
      <c r="C115" s="449" t="s">
        <v>1006</v>
      </c>
      <c r="D115" s="448">
        <v>139366</v>
      </c>
      <c r="E115" s="358">
        <v>4</v>
      </c>
      <c r="F115" s="401">
        <v>7334</v>
      </c>
      <c r="G115" s="402">
        <v>7334</v>
      </c>
      <c r="H115" s="401">
        <v>21152</v>
      </c>
      <c r="I115" s="402">
        <v>21152</v>
      </c>
      <c r="J115" s="401">
        <v>6892</v>
      </c>
      <c r="K115" s="402">
        <v>6892</v>
      </c>
      <c r="L115" s="401">
        <v>21472</v>
      </c>
      <c r="M115" s="402">
        <v>21472</v>
      </c>
      <c r="N115" s="401"/>
      <c r="O115" s="402"/>
      <c r="P115" s="401"/>
      <c r="Q115" s="402"/>
      <c r="R115" s="401"/>
      <c r="S115" s="402"/>
      <c r="T115" s="401"/>
      <c r="U115" s="402"/>
      <c r="V115" s="401"/>
      <c r="W115" s="402"/>
      <c r="X115" s="401"/>
      <c r="Y115" s="402"/>
      <c r="Z115" s="401"/>
      <c r="AA115" s="402"/>
      <c r="AB115" s="401"/>
      <c r="AC115" s="402"/>
      <c r="AD115" s="401"/>
      <c r="AE115" s="402"/>
      <c r="AF115" s="401"/>
      <c r="AG115" s="402"/>
      <c r="AH115" s="401"/>
      <c r="AI115" s="402"/>
      <c r="AJ115" s="401"/>
      <c r="AK115" s="402"/>
      <c r="AL115" s="401"/>
      <c r="AM115" s="402"/>
      <c r="AN115" s="401"/>
      <c r="AO115" s="402"/>
      <c r="AP115" s="53"/>
      <c r="AQ115" s="53"/>
      <c r="AR115" s="53"/>
    </row>
    <row r="116" spans="1:44">
      <c r="A116" s="236" t="s">
        <v>148</v>
      </c>
      <c r="B116" s="237" t="s">
        <v>159</v>
      </c>
      <c r="C116" s="450"/>
      <c r="D116" s="448">
        <v>139719</v>
      </c>
      <c r="E116" s="358">
        <v>5</v>
      </c>
      <c r="F116" s="401">
        <v>6848</v>
      </c>
      <c r="G116" s="402">
        <v>6848</v>
      </c>
      <c r="H116" s="401">
        <v>20250</v>
      </c>
      <c r="I116" s="402">
        <v>20250</v>
      </c>
      <c r="J116" s="401">
        <v>6100</v>
      </c>
      <c r="K116" s="402">
        <v>6100</v>
      </c>
      <c r="L116" s="401">
        <v>17880</v>
      </c>
      <c r="M116" s="402">
        <v>17880</v>
      </c>
      <c r="N116" s="401"/>
      <c r="O116" s="402"/>
      <c r="P116" s="401"/>
      <c r="Q116" s="402"/>
      <c r="R116" s="401"/>
      <c r="S116" s="402"/>
      <c r="T116" s="401"/>
      <c r="U116" s="402"/>
      <c r="V116" s="401"/>
      <c r="W116" s="402"/>
      <c r="X116" s="401"/>
      <c r="Y116" s="402"/>
      <c r="Z116" s="401"/>
      <c r="AA116" s="402"/>
      <c r="AB116" s="401"/>
      <c r="AC116" s="402"/>
      <c r="AD116" s="401"/>
      <c r="AE116" s="402"/>
      <c r="AF116" s="401"/>
      <c r="AG116" s="402"/>
      <c r="AH116" s="401"/>
      <c r="AI116" s="402"/>
      <c r="AJ116" s="401"/>
      <c r="AK116" s="402"/>
      <c r="AL116" s="401"/>
      <c r="AM116" s="402"/>
      <c r="AN116" s="401"/>
      <c r="AO116" s="402"/>
      <c r="AP116" s="53"/>
      <c r="AQ116" s="53"/>
      <c r="AR116" s="53"/>
    </row>
    <row r="117" spans="1:44">
      <c r="A117" s="236" t="s">
        <v>148</v>
      </c>
      <c r="B117" s="237" t="s">
        <v>160</v>
      </c>
      <c r="C117" s="447"/>
      <c r="D117" s="448">
        <v>139861</v>
      </c>
      <c r="E117" s="358">
        <v>4</v>
      </c>
      <c r="F117" s="401">
        <v>9524</v>
      </c>
      <c r="G117" s="402">
        <v>9524</v>
      </c>
      <c r="H117" s="401">
        <v>28704</v>
      </c>
      <c r="I117" s="402">
        <v>28704</v>
      </c>
      <c r="J117" s="401">
        <v>9066</v>
      </c>
      <c r="K117" s="402">
        <v>9066</v>
      </c>
      <c r="L117" s="401">
        <v>27140</v>
      </c>
      <c r="M117" s="402">
        <v>27140</v>
      </c>
      <c r="N117" s="401"/>
      <c r="O117" s="402"/>
      <c r="P117" s="401"/>
      <c r="Q117" s="402"/>
      <c r="R117" s="401"/>
      <c r="S117" s="402"/>
      <c r="T117" s="401"/>
      <c r="U117" s="402"/>
      <c r="V117" s="401"/>
      <c r="W117" s="402"/>
      <c r="X117" s="401"/>
      <c r="Y117" s="402"/>
      <c r="Z117" s="401"/>
      <c r="AA117" s="402"/>
      <c r="AB117" s="401"/>
      <c r="AC117" s="402"/>
      <c r="AD117" s="401"/>
      <c r="AE117" s="402"/>
      <c r="AF117" s="401"/>
      <c r="AG117" s="402"/>
      <c r="AH117" s="401"/>
      <c r="AI117" s="402"/>
      <c r="AJ117" s="401"/>
      <c r="AK117" s="402"/>
      <c r="AL117" s="401"/>
      <c r="AM117" s="402"/>
      <c r="AN117" s="401"/>
      <c r="AO117" s="402"/>
      <c r="AP117" s="53"/>
      <c r="AQ117" s="53"/>
      <c r="AR117" s="53"/>
    </row>
    <row r="118" spans="1:44">
      <c r="A118" s="236" t="s">
        <v>148</v>
      </c>
      <c r="B118" s="237" t="s">
        <v>162</v>
      </c>
      <c r="C118" s="449"/>
      <c r="D118" s="448">
        <v>139764</v>
      </c>
      <c r="E118" s="358">
        <v>4</v>
      </c>
      <c r="F118" s="401">
        <v>6480</v>
      </c>
      <c r="G118" s="402">
        <v>6480</v>
      </c>
      <c r="H118" s="401">
        <v>19882</v>
      </c>
      <c r="I118" s="402">
        <v>19882</v>
      </c>
      <c r="J118" s="401">
        <v>6044</v>
      </c>
      <c r="K118" s="402">
        <v>6044</v>
      </c>
      <c r="L118" s="401">
        <v>19808</v>
      </c>
      <c r="M118" s="402">
        <v>19808</v>
      </c>
      <c r="N118" s="401"/>
      <c r="O118" s="402"/>
      <c r="P118" s="401"/>
      <c r="Q118" s="402"/>
      <c r="R118" s="401"/>
      <c r="S118" s="402"/>
      <c r="T118" s="401"/>
      <c r="U118" s="402"/>
      <c r="V118" s="401"/>
      <c r="W118" s="402"/>
      <c r="X118" s="401"/>
      <c r="Y118" s="402"/>
      <c r="Z118" s="401"/>
      <c r="AA118" s="402"/>
      <c r="AB118" s="401"/>
      <c r="AC118" s="402"/>
      <c r="AD118" s="401"/>
      <c r="AE118" s="402"/>
      <c r="AF118" s="401"/>
      <c r="AG118" s="402"/>
      <c r="AH118" s="401"/>
      <c r="AI118" s="402"/>
      <c r="AJ118" s="401"/>
      <c r="AK118" s="402"/>
      <c r="AL118" s="401"/>
      <c r="AM118" s="402"/>
      <c r="AN118" s="401"/>
      <c r="AO118" s="402"/>
      <c r="AP118" s="53"/>
      <c r="AQ118" s="53"/>
      <c r="AR118" s="53"/>
    </row>
    <row r="119" spans="1:44">
      <c r="A119" s="236" t="s">
        <v>148</v>
      </c>
      <c r="B119" s="237" t="s">
        <v>161</v>
      </c>
      <c r="C119" s="447"/>
      <c r="D119" s="448">
        <v>482680</v>
      </c>
      <c r="E119" s="358">
        <v>4</v>
      </c>
      <c r="F119" s="401">
        <v>7462</v>
      </c>
      <c r="G119" s="402">
        <v>7462</v>
      </c>
      <c r="H119" s="401">
        <v>21620</v>
      </c>
      <c r="I119" s="402">
        <v>21620</v>
      </c>
      <c r="J119" s="401">
        <v>7374</v>
      </c>
      <c r="K119" s="402">
        <v>7374</v>
      </c>
      <c r="L119" s="401">
        <v>23834</v>
      </c>
      <c r="M119" s="402">
        <v>23834</v>
      </c>
      <c r="N119" s="401"/>
      <c r="O119" s="402"/>
      <c r="P119" s="401"/>
      <c r="Q119" s="402"/>
      <c r="R119" s="401"/>
      <c r="S119" s="402"/>
      <c r="T119" s="401"/>
      <c r="U119" s="402"/>
      <c r="V119" s="401"/>
      <c r="W119" s="402"/>
      <c r="X119" s="401"/>
      <c r="Y119" s="402"/>
      <c r="Z119" s="401"/>
      <c r="AA119" s="402"/>
      <c r="AB119" s="401"/>
      <c r="AC119" s="402"/>
      <c r="AD119" s="401"/>
      <c r="AE119" s="402"/>
      <c r="AF119" s="401"/>
      <c r="AG119" s="402"/>
      <c r="AH119" s="401"/>
      <c r="AI119" s="402"/>
      <c r="AJ119" s="401"/>
      <c r="AK119" s="402"/>
      <c r="AL119" s="401"/>
      <c r="AM119" s="402"/>
      <c r="AN119" s="401"/>
      <c r="AO119" s="402"/>
      <c r="AP119" s="53"/>
      <c r="AQ119" s="53"/>
      <c r="AR119" s="53"/>
    </row>
    <row r="120" spans="1:44">
      <c r="A120" s="236" t="s">
        <v>148</v>
      </c>
      <c r="B120" s="237" t="s">
        <v>163</v>
      </c>
      <c r="C120" s="449"/>
      <c r="D120" s="448">
        <v>140960</v>
      </c>
      <c r="E120" s="358">
        <v>5</v>
      </c>
      <c r="F120" s="401">
        <v>6918</v>
      </c>
      <c r="G120" s="402">
        <v>6918</v>
      </c>
      <c r="H120" s="401">
        <v>20320</v>
      </c>
      <c r="I120" s="402">
        <v>20320</v>
      </c>
      <c r="J120" s="401">
        <v>6524</v>
      </c>
      <c r="K120" s="402">
        <v>6526</v>
      </c>
      <c r="L120" s="401">
        <v>19256</v>
      </c>
      <c r="M120" s="402">
        <v>19256</v>
      </c>
      <c r="N120" s="401"/>
      <c r="O120" s="402"/>
      <c r="P120" s="401"/>
      <c r="Q120" s="402"/>
      <c r="R120" s="401"/>
      <c r="S120" s="402"/>
      <c r="T120" s="401"/>
      <c r="U120" s="402"/>
      <c r="V120" s="401"/>
      <c r="W120" s="402"/>
      <c r="X120" s="401"/>
      <c r="Y120" s="402"/>
      <c r="Z120" s="401"/>
      <c r="AA120" s="402"/>
      <c r="AB120" s="401"/>
      <c r="AC120" s="402"/>
      <c r="AD120" s="401"/>
      <c r="AE120" s="402"/>
      <c r="AF120" s="401"/>
      <c r="AG120" s="402"/>
      <c r="AH120" s="401"/>
      <c r="AI120" s="402"/>
      <c r="AJ120" s="401"/>
      <c r="AK120" s="402"/>
      <c r="AL120" s="401"/>
      <c r="AM120" s="402"/>
      <c r="AN120" s="401"/>
      <c r="AO120" s="402"/>
      <c r="AP120" s="53"/>
      <c r="AQ120" s="53"/>
      <c r="AR120" s="53"/>
    </row>
    <row r="121" spans="1:44">
      <c r="A121" s="236" t="s">
        <v>148</v>
      </c>
      <c r="B121" s="237" t="s">
        <v>168</v>
      </c>
      <c r="C121" s="407"/>
      <c r="D121" s="448">
        <v>139250</v>
      </c>
      <c r="E121" s="451">
        <v>6</v>
      </c>
      <c r="F121" s="401">
        <v>4574</v>
      </c>
      <c r="G121" s="402">
        <v>4574</v>
      </c>
      <c r="H121" s="401">
        <v>13206</v>
      </c>
      <c r="I121" s="402">
        <v>13206</v>
      </c>
      <c r="J121" s="401"/>
      <c r="K121" s="402"/>
      <c r="L121" s="401"/>
      <c r="M121" s="402"/>
      <c r="N121" s="401"/>
      <c r="O121" s="402"/>
      <c r="P121" s="401"/>
      <c r="Q121" s="402"/>
      <c r="R121" s="401"/>
      <c r="S121" s="402"/>
      <c r="T121" s="401"/>
      <c r="U121" s="402"/>
      <c r="V121" s="401"/>
      <c r="W121" s="402"/>
      <c r="X121" s="401"/>
      <c r="Y121" s="402"/>
      <c r="Z121" s="401"/>
      <c r="AA121" s="402"/>
      <c r="AB121" s="401"/>
      <c r="AC121" s="402"/>
      <c r="AD121" s="401"/>
      <c r="AE121" s="402"/>
      <c r="AF121" s="401"/>
      <c r="AG121" s="402"/>
      <c r="AH121" s="401"/>
      <c r="AI121" s="402"/>
      <c r="AJ121" s="401"/>
      <c r="AK121" s="402"/>
      <c r="AL121" s="401"/>
      <c r="AM121" s="402"/>
      <c r="AN121" s="401"/>
      <c r="AO121" s="402"/>
      <c r="AP121" s="53"/>
      <c r="AQ121" s="53"/>
      <c r="AR121" s="53"/>
    </row>
    <row r="122" spans="1:44">
      <c r="A122" s="236" t="s">
        <v>148</v>
      </c>
      <c r="B122" s="237" t="s">
        <v>164</v>
      </c>
      <c r="C122" s="407"/>
      <c r="D122" s="448">
        <v>139463</v>
      </c>
      <c r="E122" s="451">
        <v>6</v>
      </c>
      <c r="F122" s="401">
        <v>4324</v>
      </c>
      <c r="G122" s="402">
        <v>4324</v>
      </c>
      <c r="H122" s="401">
        <v>12956</v>
      </c>
      <c r="I122" s="402">
        <v>12956</v>
      </c>
      <c r="J122" s="401"/>
      <c r="K122" s="402"/>
      <c r="L122" s="401"/>
      <c r="M122" s="402"/>
      <c r="N122" s="401"/>
      <c r="O122" s="402"/>
      <c r="P122" s="401"/>
      <c r="Q122" s="402"/>
      <c r="R122" s="401"/>
      <c r="S122" s="402"/>
      <c r="T122" s="401"/>
      <c r="U122" s="402"/>
      <c r="V122" s="401"/>
      <c r="W122" s="402"/>
      <c r="X122" s="401"/>
      <c r="Y122" s="402"/>
      <c r="Z122" s="401"/>
      <c r="AA122" s="402"/>
      <c r="AB122" s="401"/>
      <c r="AC122" s="402"/>
      <c r="AD122" s="401"/>
      <c r="AE122" s="402"/>
      <c r="AF122" s="401"/>
      <c r="AG122" s="402"/>
      <c r="AH122" s="401"/>
      <c r="AI122" s="402"/>
      <c r="AJ122" s="401"/>
      <c r="AK122" s="402"/>
      <c r="AL122" s="401"/>
      <c r="AM122" s="402"/>
      <c r="AN122" s="401"/>
      <c r="AO122" s="402"/>
      <c r="AP122" s="53"/>
      <c r="AQ122" s="53"/>
      <c r="AR122" s="53"/>
    </row>
    <row r="123" spans="1:44">
      <c r="A123" s="236" t="s">
        <v>148</v>
      </c>
      <c r="B123" s="237" t="s">
        <v>165</v>
      </c>
      <c r="C123" s="407"/>
      <c r="D123" s="448">
        <v>447689</v>
      </c>
      <c r="E123" s="358">
        <v>6</v>
      </c>
      <c r="F123" s="401">
        <v>5752</v>
      </c>
      <c r="G123" s="402">
        <v>5752</v>
      </c>
      <c r="H123" s="401">
        <v>16734</v>
      </c>
      <c r="I123" s="402">
        <v>16734</v>
      </c>
      <c r="J123" s="401"/>
      <c r="K123" s="402"/>
      <c r="L123" s="401"/>
      <c r="M123" s="402"/>
      <c r="N123" s="401"/>
      <c r="O123" s="402"/>
      <c r="P123" s="401"/>
      <c r="Q123" s="402"/>
      <c r="R123" s="401"/>
      <c r="S123" s="402"/>
      <c r="T123" s="401"/>
      <c r="U123" s="402"/>
      <c r="V123" s="401"/>
      <c r="W123" s="402"/>
      <c r="X123" s="401"/>
      <c r="Y123" s="402"/>
      <c r="Z123" s="401"/>
      <c r="AA123" s="402"/>
      <c r="AB123" s="401"/>
      <c r="AC123" s="402"/>
      <c r="AD123" s="401"/>
      <c r="AE123" s="402"/>
      <c r="AF123" s="401"/>
      <c r="AG123" s="402"/>
      <c r="AH123" s="401"/>
      <c r="AI123" s="402"/>
      <c r="AJ123" s="401"/>
      <c r="AK123" s="402"/>
      <c r="AL123" s="401"/>
      <c r="AM123" s="402"/>
      <c r="AN123" s="401"/>
      <c r="AO123" s="402"/>
      <c r="AP123" s="53"/>
      <c r="AQ123" s="53"/>
      <c r="AR123" s="53"/>
    </row>
    <row r="124" spans="1:44">
      <c r="A124" s="236" t="s">
        <v>148</v>
      </c>
      <c r="B124" s="237" t="s">
        <v>166</v>
      </c>
      <c r="C124" s="452" t="s">
        <v>1007</v>
      </c>
      <c r="D124" s="448">
        <v>482158</v>
      </c>
      <c r="E124" s="358">
        <v>5</v>
      </c>
      <c r="F124" s="401">
        <v>4742</v>
      </c>
      <c r="G124" s="402">
        <v>4742</v>
      </c>
      <c r="H124" s="401">
        <v>13926</v>
      </c>
      <c r="I124" s="402">
        <v>13926</v>
      </c>
      <c r="J124" s="401">
        <v>6106</v>
      </c>
      <c r="K124" s="402">
        <v>6106</v>
      </c>
      <c r="L124" s="401">
        <v>17978</v>
      </c>
      <c r="M124" s="402">
        <v>17978</v>
      </c>
      <c r="N124" s="401"/>
      <c r="O124" s="402"/>
      <c r="P124" s="401"/>
      <c r="Q124" s="402"/>
      <c r="R124" s="401"/>
      <c r="S124" s="402"/>
      <c r="T124" s="401"/>
      <c r="U124" s="402"/>
      <c r="V124" s="401"/>
      <c r="W124" s="402"/>
      <c r="X124" s="401"/>
      <c r="Y124" s="402"/>
      <c r="Z124" s="401"/>
      <c r="AA124" s="402"/>
      <c r="AB124" s="401"/>
      <c r="AC124" s="402"/>
      <c r="AD124" s="401"/>
      <c r="AE124" s="402"/>
      <c r="AF124" s="401"/>
      <c r="AG124" s="402"/>
      <c r="AH124" s="401"/>
      <c r="AI124" s="402"/>
      <c r="AJ124" s="401"/>
      <c r="AK124" s="402"/>
      <c r="AL124" s="401"/>
      <c r="AM124" s="402"/>
      <c r="AN124" s="401"/>
      <c r="AO124" s="402"/>
      <c r="AP124" s="53"/>
      <c r="AQ124" s="53"/>
      <c r="AR124" s="53"/>
    </row>
    <row r="125" spans="1:44">
      <c r="A125" s="236" t="s">
        <v>148</v>
      </c>
      <c r="B125" s="237" t="s">
        <v>167</v>
      </c>
      <c r="C125" s="407"/>
      <c r="D125" s="448">
        <v>138558</v>
      </c>
      <c r="E125" s="451">
        <v>6</v>
      </c>
      <c r="F125" s="401">
        <v>4206</v>
      </c>
      <c r="G125" s="402">
        <v>4206</v>
      </c>
      <c r="H125" s="401">
        <v>12838</v>
      </c>
      <c r="I125" s="402">
        <v>12838</v>
      </c>
      <c r="J125" s="401"/>
      <c r="K125" s="402"/>
      <c r="L125" s="401"/>
      <c r="M125" s="402"/>
      <c r="N125" s="401"/>
      <c r="O125" s="402"/>
      <c r="P125" s="401"/>
      <c r="Q125" s="402"/>
      <c r="R125" s="401"/>
      <c r="S125" s="402"/>
      <c r="T125" s="401"/>
      <c r="U125" s="402"/>
      <c r="V125" s="401"/>
      <c r="W125" s="402"/>
      <c r="X125" s="401"/>
      <c r="Y125" s="402"/>
      <c r="Z125" s="401"/>
      <c r="AA125" s="402"/>
      <c r="AB125" s="401"/>
      <c r="AC125" s="402"/>
      <c r="AD125" s="401"/>
      <c r="AE125" s="402"/>
      <c r="AF125" s="401"/>
      <c r="AG125" s="402"/>
      <c r="AH125" s="401"/>
      <c r="AI125" s="402"/>
      <c r="AJ125" s="401"/>
      <c r="AK125" s="402"/>
      <c r="AL125" s="401"/>
      <c r="AM125" s="402"/>
      <c r="AN125" s="401"/>
      <c r="AO125" s="402"/>
      <c r="AP125" s="53"/>
      <c r="AQ125" s="53"/>
      <c r="AR125" s="53"/>
    </row>
    <row r="126" spans="1:44" hidden="1">
      <c r="A126" s="236" t="s">
        <v>148</v>
      </c>
      <c r="B126" s="237" t="s">
        <v>171</v>
      </c>
      <c r="C126" s="450"/>
      <c r="D126" s="448">
        <v>138901</v>
      </c>
      <c r="E126" s="451">
        <v>7</v>
      </c>
      <c r="F126" s="401">
        <v>4112</v>
      </c>
      <c r="G126" s="402">
        <v>4112</v>
      </c>
      <c r="H126" s="401">
        <v>12394</v>
      </c>
      <c r="I126" s="402">
        <v>12394</v>
      </c>
      <c r="J126" s="401"/>
      <c r="K126" s="402"/>
      <c r="L126" s="401"/>
      <c r="M126" s="402"/>
      <c r="N126" s="401"/>
      <c r="O126" s="402"/>
      <c r="P126" s="401"/>
      <c r="Q126" s="402"/>
      <c r="R126" s="401"/>
      <c r="S126" s="402"/>
      <c r="T126" s="401"/>
      <c r="U126" s="402"/>
      <c r="V126" s="401"/>
      <c r="W126" s="402"/>
      <c r="X126" s="401"/>
      <c r="Y126" s="402"/>
      <c r="Z126" s="401"/>
      <c r="AA126" s="402"/>
      <c r="AB126" s="401"/>
      <c r="AC126" s="402"/>
      <c r="AD126" s="401"/>
      <c r="AE126" s="402"/>
      <c r="AF126" s="401"/>
      <c r="AG126" s="402"/>
      <c r="AH126" s="401"/>
      <c r="AI126" s="402"/>
      <c r="AJ126" s="401"/>
      <c r="AK126" s="402"/>
      <c r="AL126" s="401"/>
      <c r="AM126" s="402"/>
      <c r="AN126" s="401"/>
      <c r="AO126" s="402"/>
      <c r="AP126" s="53"/>
      <c r="AQ126" s="53"/>
      <c r="AR126" s="53"/>
    </row>
    <row r="127" spans="1:44" hidden="1">
      <c r="A127" s="236" t="s">
        <v>148</v>
      </c>
      <c r="B127" s="237" t="s">
        <v>172</v>
      </c>
      <c r="C127" s="407"/>
      <c r="D127" s="448">
        <v>139621</v>
      </c>
      <c r="E127" s="451">
        <v>7</v>
      </c>
      <c r="F127" s="401">
        <v>3806</v>
      </c>
      <c r="G127" s="402">
        <v>3806</v>
      </c>
      <c r="H127" s="401">
        <v>11746</v>
      </c>
      <c r="I127" s="402">
        <v>11746</v>
      </c>
      <c r="J127" s="401"/>
      <c r="K127" s="402"/>
      <c r="L127" s="401"/>
      <c r="M127" s="402"/>
      <c r="N127" s="401"/>
      <c r="O127" s="402"/>
      <c r="P127" s="401"/>
      <c r="Q127" s="402"/>
      <c r="R127" s="401"/>
      <c r="S127" s="402"/>
      <c r="T127" s="401"/>
      <c r="U127" s="402"/>
      <c r="V127" s="401"/>
      <c r="W127" s="402"/>
      <c r="X127" s="401"/>
      <c r="Y127" s="402"/>
      <c r="Z127" s="401"/>
      <c r="AA127" s="402"/>
      <c r="AB127" s="401"/>
      <c r="AC127" s="402"/>
      <c r="AD127" s="401"/>
      <c r="AE127" s="402"/>
      <c r="AF127" s="401"/>
      <c r="AG127" s="402"/>
      <c r="AH127" s="401"/>
      <c r="AI127" s="402"/>
      <c r="AJ127" s="401"/>
      <c r="AK127" s="402"/>
      <c r="AL127" s="401"/>
      <c r="AM127" s="402"/>
      <c r="AN127" s="401"/>
      <c r="AO127" s="402"/>
      <c r="AP127" s="53"/>
      <c r="AQ127" s="53"/>
      <c r="AR127" s="53"/>
    </row>
    <row r="128" spans="1:44" hidden="1">
      <c r="A128" s="236" t="s">
        <v>148</v>
      </c>
      <c r="B128" s="237" t="s">
        <v>173</v>
      </c>
      <c r="C128" s="407"/>
      <c r="D128" s="448">
        <v>139700</v>
      </c>
      <c r="E128" s="451">
        <v>7</v>
      </c>
      <c r="F128" s="401">
        <v>3914</v>
      </c>
      <c r="G128" s="402">
        <v>3914</v>
      </c>
      <c r="H128" s="401">
        <v>11854</v>
      </c>
      <c r="I128" s="402">
        <v>11854</v>
      </c>
      <c r="J128" s="401"/>
      <c r="K128" s="402"/>
      <c r="L128" s="401"/>
      <c r="M128" s="402"/>
      <c r="N128" s="401"/>
      <c r="O128" s="402"/>
      <c r="P128" s="401"/>
      <c r="Q128" s="402"/>
      <c r="R128" s="401"/>
      <c r="S128" s="402"/>
      <c r="T128" s="401"/>
      <c r="U128" s="402"/>
      <c r="V128" s="401"/>
      <c r="W128" s="402"/>
      <c r="X128" s="401"/>
      <c r="Y128" s="402"/>
      <c r="Z128" s="401"/>
      <c r="AA128" s="402"/>
      <c r="AB128" s="401"/>
      <c r="AC128" s="402"/>
      <c r="AD128" s="401"/>
      <c r="AE128" s="402"/>
      <c r="AF128" s="401"/>
      <c r="AG128" s="402"/>
      <c r="AH128" s="401"/>
      <c r="AI128" s="402"/>
      <c r="AJ128" s="401"/>
      <c r="AK128" s="402"/>
      <c r="AL128" s="401"/>
      <c r="AM128" s="402"/>
      <c r="AN128" s="401"/>
      <c r="AO128" s="402"/>
      <c r="AP128" s="53"/>
      <c r="AQ128" s="53"/>
      <c r="AR128" s="53"/>
    </row>
    <row r="129" spans="1:44">
      <c r="A129" s="236" t="s">
        <v>148</v>
      </c>
      <c r="B129" s="237" t="s">
        <v>169</v>
      </c>
      <c r="C129" s="407"/>
      <c r="D129" s="448">
        <v>139968</v>
      </c>
      <c r="E129" s="451">
        <v>6</v>
      </c>
      <c r="F129" s="401">
        <v>4430</v>
      </c>
      <c r="G129" s="402">
        <v>4430</v>
      </c>
      <c r="H129" s="401">
        <v>13062</v>
      </c>
      <c r="I129" s="402">
        <v>13062</v>
      </c>
      <c r="J129" s="401"/>
      <c r="K129" s="402"/>
      <c r="L129" s="401"/>
      <c r="M129" s="402"/>
      <c r="N129" s="401"/>
      <c r="O129" s="402"/>
      <c r="P129" s="401"/>
      <c r="Q129" s="402"/>
      <c r="R129" s="401"/>
      <c r="S129" s="402"/>
      <c r="T129" s="401"/>
      <c r="U129" s="402"/>
      <c r="V129" s="401"/>
      <c r="W129" s="402"/>
      <c r="X129" s="401"/>
      <c r="Y129" s="402"/>
      <c r="Z129" s="401"/>
      <c r="AA129" s="402"/>
      <c r="AB129" s="401"/>
      <c r="AC129" s="402"/>
      <c r="AD129" s="401"/>
      <c r="AE129" s="402"/>
      <c r="AF129" s="401"/>
      <c r="AG129" s="402"/>
      <c r="AH129" s="401"/>
      <c r="AI129" s="402"/>
      <c r="AJ129" s="401"/>
      <c r="AK129" s="402"/>
      <c r="AL129" s="401"/>
      <c r="AM129" s="402"/>
      <c r="AN129" s="401"/>
      <c r="AO129" s="402"/>
      <c r="AP129" s="53"/>
      <c r="AQ129" s="53"/>
      <c r="AR129" s="53"/>
    </row>
    <row r="130" spans="1:44" hidden="1">
      <c r="A130" s="236" t="s">
        <v>148</v>
      </c>
      <c r="B130" s="237" t="s">
        <v>174</v>
      </c>
      <c r="C130" s="407"/>
      <c r="D130" s="448">
        <v>482699</v>
      </c>
      <c r="E130" s="451">
        <v>7</v>
      </c>
      <c r="F130" s="401">
        <v>3880</v>
      </c>
      <c r="G130" s="402">
        <v>3880</v>
      </c>
      <c r="H130" s="401">
        <v>11820</v>
      </c>
      <c r="I130" s="402">
        <v>11820</v>
      </c>
      <c r="J130" s="401"/>
      <c r="K130" s="402"/>
      <c r="L130" s="401"/>
      <c r="M130" s="402"/>
      <c r="N130" s="401"/>
      <c r="O130" s="402"/>
      <c r="P130" s="401"/>
      <c r="Q130" s="402"/>
      <c r="R130" s="401"/>
      <c r="S130" s="402"/>
      <c r="T130" s="401"/>
      <c r="U130" s="402"/>
      <c r="V130" s="401"/>
      <c r="W130" s="402"/>
      <c r="X130" s="401"/>
      <c r="Y130" s="402"/>
      <c r="Z130" s="401"/>
      <c r="AA130" s="402"/>
      <c r="AB130" s="401"/>
      <c r="AC130" s="402"/>
      <c r="AD130" s="401"/>
      <c r="AE130" s="402"/>
      <c r="AF130" s="401"/>
      <c r="AG130" s="402"/>
      <c r="AH130" s="401"/>
      <c r="AI130" s="402"/>
      <c r="AJ130" s="401"/>
      <c r="AK130" s="402"/>
      <c r="AL130" s="401"/>
      <c r="AM130" s="402"/>
      <c r="AN130" s="401"/>
      <c r="AO130" s="402"/>
      <c r="AP130" s="53"/>
      <c r="AQ130" s="53"/>
      <c r="AR130" s="53"/>
    </row>
    <row r="131" spans="1:44" hidden="1">
      <c r="A131" s="236" t="s">
        <v>148</v>
      </c>
      <c r="B131" s="241" t="s">
        <v>170</v>
      </c>
      <c r="C131" s="407"/>
      <c r="D131" s="448">
        <v>244437</v>
      </c>
      <c r="E131" s="453">
        <v>8</v>
      </c>
      <c r="F131" s="401"/>
      <c r="G131" s="402"/>
      <c r="H131" s="401"/>
      <c r="I131" s="402"/>
      <c r="J131" s="401"/>
      <c r="K131" s="402"/>
      <c r="L131" s="401"/>
      <c r="M131" s="402"/>
      <c r="N131" s="401"/>
      <c r="O131" s="402"/>
      <c r="P131" s="401"/>
      <c r="Q131" s="402"/>
      <c r="R131" s="401"/>
      <c r="S131" s="402"/>
      <c r="T131" s="401"/>
      <c r="U131" s="402"/>
      <c r="V131" s="401"/>
      <c r="W131" s="402"/>
      <c r="X131" s="401"/>
      <c r="Y131" s="402"/>
      <c r="Z131" s="401"/>
      <c r="AA131" s="402"/>
      <c r="AB131" s="401"/>
      <c r="AC131" s="402"/>
      <c r="AD131" s="401"/>
      <c r="AE131" s="402"/>
      <c r="AF131" s="401"/>
      <c r="AG131" s="402"/>
      <c r="AH131" s="401"/>
      <c r="AI131" s="402"/>
      <c r="AJ131" s="401"/>
      <c r="AK131" s="402"/>
      <c r="AL131" s="401"/>
      <c r="AM131" s="402"/>
      <c r="AN131" s="401"/>
      <c r="AO131" s="402"/>
      <c r="AP131" s="53"/>
      <c r="AQ131" s="53"/>
      <c r="AR131" s="53"/>
    </row>
    <row r="132" spans="1:44" hidden="1">
      <c r="A132" s="244" t="s">
        <v>148</v>
      </c>
      <c r="B132" s="217" t="s">
        <v>175</v>
      </c>
      <c r="C132" s="428"/>
      <c r="D132" s="454">
        <v>138682</v>
      </c>
      <c r="E132" s="455">
        <v>12</v>
      </c>
      <c r="F132" s="401">
        <v>3596</v>
      </c>
      <c r="G132" s="402">
        <v>3596</v>
      </c>
      <c r="H132" s="401">
        <v>6596</v>
      </c>
      <c r="I132" s="402">
        <v>6596</v>
      </c>
      <c r="J132" s="401"/>
      <c r="K132" s="402"/>
      <c r="L132" s="401"/>
      <c r="M132" s="402"/>
      <c r="N132" s="401"/>
      <c r="O132" s="402"/>
      <c r="P132" s="401"/>
      <c r="Q132" s="402"/>
      <c r="R132" s="401"/>
      <c r="S132" s="402"/>
      <c r="T132" s="401"/>
      <c r="U132" s="402"/>
      <c r="V132" s="401"/>
      <c r="W132" s="402"/>
      <c r="X132" s="401"/>
      <c r="Y132" s="402"/>
      <c r="Z132" s="401"/>
      <c r="AA132" s="402"/>
      <c r="AB132" s="401"/>
      <c r="AC132" s="402"/>
      <c r="AD132" s="401"/>
      <c r="AE132" s="402"/>
      <c r="AF132" s="401"/>
      <c r="AG132" s="402"/>
      <c r="AH132" s="401"/>
      <c r="AI132" s="402"/>
      <c r="AJ132" s="401"/>
      <c r="AK132" s="402"/>
      <c r="AL132" s="401"/>
      <c r="AM132" s="402"/>
      <c r="AN132" s="401"/>
      <c r="AO132" s="402"/>
      <c r="AP132" s="53"/>
      <c r="AQ132" s="53"/>
      <c r="AR132" s="53"/>
    </row>
    <row r="133" spans="1:44" hidden="1">
      <c r="A133" s="244" t="s">
        <v>148</v>
      </c>
      <c r="B133" s="217" t="s">
        <v>176</v>
      </c>
      <c r="C133" s="428"/>
      <c r="D133" s="454">
        <v>246813</v>
      </c>
      <c r="E133" s="455">
        <v>12</v>
      </c>
      <c r="F133" s="401">
        <v>3662</v>
      </c>
      <c r="G133" s="402">
        <v>3662</v>
      </c>
      <c r="H133" s="401">
        <v>6662</v>
      </c>
      <c r="I133" s="402">
        <v>6662</v>
      </c>
      <c r="J133" s="401"/>
      <c r="K133" s="402"/>
      <c r="L133" s="401"/>
      <c r="M133" s="402"/>
      <c r="N133" s="401"/>
      <c r="O133" s="402"/>
      <c r="P133" s="401"/>
      <c r="Q133" s="402"/>
      <c r="R133" s="401"/>
      <c r="S133" s="402"/>
      <c r="T133" s="401"/>
      <c r="U133" s="402"/>
      <c r="V133" s="401"/>
      <c r="W133" s="402"/>
      <c r="X133" s="401"/>
      <c r="Y133" s="402"/>
      <c r="Z133" s="401"/>
      <c r="AA133" s="402"/>
      <c r="AB133" s="401"/>
      <c r="AC133" s="402"/>
      <c r="AD133" s="401"/>
      <c r="AE133" s="402"/>
      <c r="AF133" s="401"/>
      <c r="AG133" s="402"/>
      <c r="AH133" s="401"/>
      <c r="AI133" s="402"/>
      <c r="AJ133" s="401"/>
      <c r="AK133" s="402"/>
      <c r="AL133" s="401"/>
      <c r="AM133" s="402"/>
      <c r="AN133" s="401"/>
      <c r="AO133" s="402"/>
      <c r="AP133" s="53"/>
      <c r="AQ133" s="53"/>
      <c r="AR133" s="53"/>
    </row>
    <row r="134" spans="1:44" hidden="1">
      <c r="A134" s="244" t="s">
        <v>148</v>
      </c>
      <c r="B134" s="217" t="s">
        <v>177</v>
      </c>
      <c r="C134" s="428"/>
      <c r="D134" s="454">
        <v>138840</v>
      </c>
      <c r="E134" s="455">
        <v>12</v>
      </c>
      <c r="F134" s="401">
        <v>3684</v>
      </c>
      <c r="G134" s="402">
        <v>3764</v>
      </c>
      <c r="H134" s="401">
        <v>6684</v>
      </c>
      <c r="I134" s="402">
        <v>6764</v>
      </c>
      <c r="J134" s="401"/>
      <c r="K134" s="402"/>
      <c r="L134" s="401"/>
      <c r="M134" s="402"/>
      <c r="N134" s="401"/>
      <c r="O134" s="402"/>
      <c r="P134" s="401"/>
      <c r="Q134" s="402"/>
      <c r="R134" s="401"/>
      <c r="S134" s="402"/>
      <c r="T134" s="401"/>
      <c r="U134" s="402"/>
      <c r="V134" s="401"/>
      <c r="W134" s="402"/>
      <c r="X134" s="401"/>
      <c r="Y134" s="402"/>
      <c r="Z134" s="401"/>
      <c r="AA134" s="402"/>
      <c r="AB134" s="401"/>
      <c r="AC134" s="402"/>
      <c r="AD134" s="401"/>
      <c r="AE134" s="402"/>
      <c r="AF134" s="401"/>
      <c r="AG134" s="402"/>
      <c r="AH134" s="401"/>
      <c r="AI134" s="402"/>
      <c r="AJ134" s="401"/>
      <c r="AK134" s="402"/>
      <c r="AL134" s="401"/>
      <c r="AM134" s="402"/>
      <c r="AN134" s="401"/>
      <c r="AO134" s="402"/>
      <c r="AP134" s="53"/>
      <c r="AQ134" s="53"/>
      <c r="AR134" s="53"/>
    </row>
    <row r="135" spans="1:44" s="179" customFormat="1" ht="12.6" hidden="1" customHeight="1">
      <c r="A135" s="244" t="s">
        <v>148</v>
      </c>
      <c r="B135" s="217" t="s">
        <v>178</v>
      </c>
      <c r="C135" s="456"/>
      <c r="D135" s="454">
        <v>138956</v>
      </c>
      <c r="E135" s="455">
        <v>12</v>
      </c>
      <c r="F135" s="401">
        <v>3832</v>
      </c>
      <c r="G135" s="402">
        <v>3832</v>
      </c>
      <c r="H135" s="401">
        <v>6832</v>
      </c>
      <c r="I135" s="402">
        <v>6832</v>
      </c>
      <c r="J135" s="401"/>
      <c r="K135" s="402"/>
      <c r="L135" s="401"/>
      <c r="M135" s="402"/>
      <c r="N135" s="401"/>
      <c r="O135" s="402"/>
      <c r="P135" s="401"/>
      <c r="Q135" s="402"/>
      <c r="R135" s="401"/>
      <c r="S135" s="402"/>
      <c r="T135" s="401"/>
      <c r="U135" s="402"/>
      <c r="V135" s="401"/>
      <c r="W135" s="402"/>
      <c r="X135" s="401"/>
      <c r="Y135" s="402"/>
      <c r="Z135" s="401"/>
      <c r="AA135" s="402"/>
      <c r="AB135" s="401"/>
      <c r="AC135" s="402"/>
      <c r="AD135" s="401"/>
      <c r="AE135" s="402"/>
      <c r="AF135" s="401"/>
      <c r="AG135" s="402"/>
      <c r="AH135" s="401"/>
      <c r="AI135" s="402"/>
      <c r="AJ135" s="401"/>
      <c r="AK135" s="402"/>
      <c r="AL135" s="401"/>
      <c r="AM135" s="402"/>
      <c r="AN135" s="401"/>
      <c r="AO135" s="402"/>
      <c r="AP135" s="53"/>
      <c r="AQ135" s="53"/>
      <c r="AR135" s="53"/>
    </row>
    <row r="136" spans="1:44" s="179" customFormat="1" ht="12.6" hidden="1" customHeight="1">
      <c r="A136" s="244" t="s">
        <v>148</v>
      </c>
      <c r="B136" s="217" t="s">
        <v>179</v>
      </c>
      <c r="C136" s="456"/>
      <c r="D136" s="454">
        <v>483045</v>
      </c>
      <c r="E136" s="455">
        <v>12</v>
      </c>
      <c r="F136" s="401">
        <v>3642</v>
      </c>
      <c r="G136" s="402">
        <v>3642</v>
      </c>
      <c r="H136" s="401">
        <v>6642</v>
      </c>
      <c r="I136" s="402">
        <v>6642</v>
      </c>
      <c r="J136" s="401"/>
      <c r="K136" s="402"/>
      <c r="L136" s="401"/>
      <c r="M136" s="402"/>
      <c r="N136" s="401"/>
      <c r="O136" s="402"/>
      <c r="P136" s="401"/>
      <c r="Q136" s="402"/>
      <c r="R136" s="401"/>
      <c r="S136" s="402"/>
      <c r="T136" s="401"/>
      <c r="U136" s="402"/>
      <c r="V136" s="401"/>
      <c r="W136" s="402"/>
      <c r="X136" s="401"/>
      <c r="Y136" s="402"/>
      <c r="Z136" s="401"/>
      <c r="AA136" s="402"/>
      <c r="AB136" s="401"/>
      <c r="AC136" s="402"/>
      <c r="AD136" s="401"/>
      <c r="AE136" s="402"/>
      <c r="AF136" s="401"/>
      <c r="AG136" s="402"/>
      <c r="AH136" s="401"/>
      <c r="AI136" s="402"/>
      <c r="AJ136" s="401"/>
      <c r="AK136" s="402"/>
      <c r="AL136" s="401"/>
      <c r="AM136" s="402"/>
      <c r="AN136" s="401"/>
      <c r="AO136" s="402"/>
      <c r="AP136" s="53"/>
      <c r="AQ136" s="53"/>
      <c r="AR136" s="53"/>
    </row>
    <row r="137" spans="1:44" s="179" customFormat="1" ht="12.6" hidden="1" customHeight="1">
      <c r="A137" s="244" t="s">
        <v>148</v>
      </c>
      <c r="B137" s="217" t="s">
        <v>180</v>
      </c>
      <c r="C137" s="456"/>
      <c r="D137" s="454">
        <v>140331</v>
      </c>
      <c r="E137" s="455">
        <v>12</v>
      </c>
      <c r="F137" s="401">
        <v>3720</v>
      </c>
      <c r="G137" s="402">
        <v>3802</v>
      </c>
      <c r="H137" s="401">
        <v>6720</v>
      </c>
      <c r="I137" s="402">
        <v>6802</v>
      </c>
      <c r="J137" s="401"/>
      <c r="K137" s="402"/>
      <c r="L137" s="401"/>
      <c r="M137" s="402"/>
      <c r="N137" s="401"/>
      <c r="O137" s="402"/>
      <c r="P137" s="401"/>
      <c r="Q137" s="402"/>
      <c r="R137" s="401"/>
      <c r="S137" s="402"/>
      <c r="T137" s="401"/>
      <c r="U137" s="402"/>
      <c r="V137" s="401"/>
      <c r="W137" s="402"/>
      <c r="X137" s="401"/>
      <c r="Y137" s="402"/>
      <c r="Z137" s="401"/>
      <c r="AA137" s="402"/>
      <c r="AB137" s="401"/>
      <c r="AC137" s="402"/>
      <c r="AD137" s="401"/>
      <c r="AE137" s="402"/>
      <c r="AF137" s="401"/>
      <c r="AG137" s="402"/>
      <c r="AH137" s="401"/>
      <c r="AI137" s="402"/>
      <c r="AJ137" s="401"/>
      <c r="AK137" s="402"/>
      <c r="AL137" s="401"/>
      <c r="AM137" s="402"/>
      <c r="AN137" s="401"/>
      <c r="AO137" s="402"/>
      <c r="AP137" s="53"/>
      <c r="AQ137" s="53"/>
      <c r="AR137" s="53"/>
    </row>
    <row r="138" spans="1:44" s="179" customFormat="1" ht="12.6" hidden="1" customHeight="1">
      <c r="A138" s="244" t="s">
        <v>148</v>
      </c>
      <c r="B138" s="245" t="s">
        <v>181</v>
      </c>
      <c r="C138" s="456"/>
      <c r="D138" s="454">
        <v>485458</v>
      </c>
      <c r="E138" s="455">
        <v>12</v>
      </c>
      <c r="F138" s="401">
        <v>3612</v>
      </c>
      <c r="G138" s="402">
        <v>3612</v>
      </c>
      <c r="H138" s="401">
        <v>6612</v>
      </c>
      <c r="I138" s="402">
        <v>6612</v>
      </c>
      <c r="J138" s="401"/>
      <c r="K138" s="402"/>
      <c r="L138" s="401"/>
      <c r="M138" s="402"/>
      <c r="N138" s="401"/>
      <c r="O138" s="402"/>
      <c r="P138" s="401"/>
      <c r="Q138" s="402"/>
      <c r="R138" s="401"/>
      <c r="S138" s="402"/>
      <c r="T138" s="401"/>
      <c r="U138" s="402"/>
      <c r="V138" s="401"/>
      <c r="W138" s="402"/>
      <c r="X138" s="401"/>
      <c r="Y138" s="402"/>
      <c r="Z138" s="401"/>
      <c r="AA138" s="402"/>
      <c r="AB138" s="401"/>
      <c r="AC138" s="402"/>
      <c r="AD138" s="401"/>
      <c r="AE138" s="402"/>
      <c r="AF138" s="401"/>
      <c r="AG138" s="402"/>
      <c r="AH138" s="401"/>
      <c r="AI138" s="402"/>
      <c r="AJ138" s="401"/>
      <c r="AK138" s="402"/>
      <c r="AL138" s="401"/>
      <c r="AM138" s="402"/>
      <c r="AN138" s="401"/>
      <c r="AO138" s="402"/>
      <c r="AP138" s="53"/>
      <c r="AQ138" s="53"/>
      <c r="AR138" s="53"/>
    </row>
    <row r="139" spans="1:44" s="179" customFormat="1" ht="12.6" hidden="1" customHeight="1">
      <c r="A139" s="244" t="s">
        <v>148</v>
      </c>
      <c r="B139" s="217" t="s">
        <v>182</v>
      </c>
      <c r="C139" s="456"/>
      <c r="D139" s="454">
        <v>139357</v>
      </c>
      <c r="E139" s="455">
        <v>12</v>
      </c>
      <c r="F139" s="401">
        <v>3642</v>
      </c>
      <c r="G139" s="402">
        <v>3642</v>
      </c>
      <c r="H139" s="401">
        <v>6642</v>
      </c>
      <c r="I139" s="402">
        <v>6642</v>
      </c>
      <c r="J139" s="401"/>
      <c r="K139" s="402"/>
      <c r="L139" s="401"/>
      <c r="M139" s="402"/>
      <c r="N139" s="401"/>
      <c r="O139" s="402"/>
      <c r="P139" s="401"/>
      <c r="Q139" s="402"/>
      <c r="R139" s="401"/>
      <c r="S139" s="402"/>
      <c r="T139" s="401"/>
      <c r="U139" s="402"/>
      <c r="V139" s="401"/>
      <c r="W139" s="402"/>
      <c r="X139" s="401"/>
      <c r="Y139" s="402"/>
      <c r="Z139" s="401"/>
      <c r="AA139" s="402"/>
      <c r="AB139" s="401"/>
      <c r="AC139" s="402"/>
      <c r="AD139" s="401"/>
      <c r="AE139" s="402"/>
      <c r="AF139" s="401"/>
      <c r="AG139" s="402"/>
      <c r="AH139" s="401"/>
      <c r="AI139" s="402"/>
      <c r="AJ139" s="401"/>
      <c r="AK139" s="402"/>
      <c r="AL139" s="401"/>
      <c r="AM139" s="402"/>
      <c r="AN139" s="401"/>
      <c r="AO139" s="402"/>
      <c r="AP139" s="53"/>
      <c r="AQ139" s="53"/>
      <c r="AR139" s="53"/>
    </row>
    <row r="140" spans="1:44" s="179" customFormat="1" ht="12.6" hidden="1" customHeight="1">
      <c r="A140" s="244" t="s">
        <v>148</v>
      </c>
      <c r="B140" s="217" t="s">
        <v>183</v>
      </c>
      <c r="C140" s="456"/>
      <c r="D140" s="454">
        <v>139384</v>
      </c>
      <c r="E140" s="455">
        <v>12</v>
      </c>
      <c r="F140" s="401">
        <v>3662</v>
      </c>
      <c r="G140" s="402">
        <v>3662</v>
      </c>
      <c r="H140" s="401">
        <v>6662</v>
      </c>
      <c r="I140" s="402">
        <v>6662</v>
      </c>
      <c r="J140" s="401"/>
      <c r="K140" s="402"/>
      <c r="L140" s="401"/>
      <c r="M140" s="402"/>
      <c r="N140" s="401"/>
      <c r="O140" s="402"/>
      <c r="P140" s="401"/>
      <c r="Q140" s="402"/>
      <c r="R140" s="401"/>
      <c r="S140" s="402"/>
      <c r="T140" s="401"/>
      <c r="U140" s="402"/>
      <c r="V140" s="401"/>
      <c r="W140" s="402"/>
      <c r="X140" s="401"/>
      <c r="Y140" s="402"/>
      <c r="Z140" s="401"/>
      <c r="AA140" s="402"/>
      <c r="AB140" s="401"/>
      <c r="AC140" s="402"/>
      <c r="AD140" s="401"/>
      <c r="AE140" s="402"/>
      <c r="AF140" s="401"/>
      <c r="AG140" s="402"/>
      <c r="AH140" s="401"/>
      <c r="AI140" s="402"/>
      <c r="AJ140" s="401"/>
      <c r="AK140" s="402"/>
      <c r="AL140" s="401"/>
      <c r="AM140" s="402"/>
      <c r="AN140" s="401"/>
      <c r="AO140" s="402"/>
      <c r="AP140" s="53"/>
      <c r="AQ140" s="53"/>
      <c r="AR140" s="53"/>
    </row>
    <row r="141" spans="1:44" s="179" customFormat="1" ht="12.6" hidden="1" customHeight="1">
      <c r="A141" s="244" t="s">
        <v>148</v>
      </c>
      <c r="B141" s="217" t="s">
        <v>184</v>
      </c>
      <c r="C141" s="456"/>
      <c r="D141" s="454">
        <v>244446</v>
      </c>
      <c r="E141" s="455">
        <v>12</v>
      </c>
      <c r="F141" s="401">
        <v>3778</v>
      </c>
      <c r="G141" s="402">
        <v>3778</v>
      </c>
      <c r="H141" s="401">
        <v>6778</v>
      </c>
      <c r="I141" s="402">
        <v>6778</v>
      </c>
      <c r="J141" s="401"/>
      <c r="K141" s="402"/>
      <c r="L141" s="401"/>
      <c r="M141" s="402"/>
      <c r="N141" s="401"/>
      <c r="O141" s="402"/>
      <c r="P141" s="401"/>
      <c r="Q141" s="402"/>
      <c r="R141" s="401"/>
      <c r="S141" s="402"/>
      <c r="T141" s="401"/>
      <c r="U141" s="402"/>
      <c r="V141" s="401"/>
      <c r="W141" s="402"/>
      <c r="X141" s="401"/>
      <c r="Y141" s="402"/>
      <c r="Z141" s="401"/>
      <c r="AA141" s="402"/>
      <c r="AB141" s="401"/>
      <c r="AC141" s="402"/>
      <c r="AD141" s="401"/>
      <c r="AE141" s="402"/>
      <c r="AF141" s="401"/>
      <c r="AG141" s="402"/>
      <c r="AH141" s="401"/>
      <c r="AI141" s="402"/>
      <c r="AJ141" s="401"/>
      <c r="AK141" s="402"/>
      <c r="AL141" s="401"/>
      <c r="AM141" s="402"/>
      <c r="AN141" s="401"/>
      <c r="AO141" s="402"/>
      <c r="AP141" s="53"/>
      <c r="AQ141" s="53"/>
      <c r="AR141" s="53"/>
    </row>
    <row r="142" spans="1:44" s="179" customFormat="1" ht="12.6" hidden="1" customHeight="1">
      <c r="A142" s="244" t="s">
        <v>148</v>
      </c>
      <c r="B142" s="217" t="s">
        <v>185</v>
      </c>
      <c r="C142" s="456"/>
      <c r="D142" s="454">
        <v>140012</v>
      </c>
      <c r="E142" s="455">
        <v>12</v>
      </c>
      <c r="F142" s="401">
        <v>3836</v>
      </c>
      <c r="G142" s="402">
        <v>3836</v>
      </c>
      <c r="H142" s="401">
        <v>6836</v>
      </c>
      <c r="I142" s="402">
        <v>6836</v>
      </c>
      <c r="J142" s="401"/>
      <c r="K142" s="402"/>
      <c r="L142" s="401"/>
      <c r="M142" s="402"/>
      <c r="N142" s="401"/>
      <c r="O142" s="402"/>
      <c r="P142" s="401"/>
      <c r="Q142" s="402"/>
      <c r="R142" s="401"/>
      <c r="S142" s="402"/>
      <c r="T142" s="401"/>
      <c r="U142" s="402"/>
      <c r="V142" s="401"/>
      <c r="W142" s="402"/>
      <c r="X142" s="401"/>
      <c r="Y142" s="402"/>
      <c r="Z142" s="401"/>
      <c r="AA142" s="402"/>
      <c r="AB142" s="401"/>
      <c r="AC142" s="402"/>
      <c r="AD142" s="401"/>
      <c r="AE142" s="402"/>
      <c r="AF142" s="401"/>
      <c r="AG142" s="402"/>
      <c r="AH142" s="401"/>
      <c r="AI142" s="402"/>
      <c r="AJ142" s="401"/>
      <c r="AK142" s="402"/>
      <c r="AL142" s="401"/>
      <c r="AM142" s="402"/>
      <c r="AN142" s="401"/>
      <c r="AO142" s="402"/>
      <c r="AP142" s="53"/>
      <c r="AQ142" s="53"/>
      <c r="AR142" s="53"/>
    </row>
    <row r="143" spans="1:44" s="179" customFormat="1" ht="12.6" hidden="1" customHeight="1">
      <c r="A143" s="244" t="s">
        <v>148</v>
      </c>
      <c r="B143" s="217" t="s">
        <v>186</v>
      </c>
      <c r="C143" s="456"/>
      <c r="D143" s="454">
        <v>140243</v>
      </c>
      <c r="E143" s="455">
        <v>12</v>
      </c>
      <c r="F143" s="401">
        <v>3666</v>
      </c>
      <c r="G143" s="402">
        <v>3666</v>
      </c>
      <c r="H143" s="401">
        <v>6666</v>
      </c>
      <c r="I143" s="402">
        <v>6666</v>
      </c>
      <c r="J143" s="401"/>
      <c r="K143" s="402"/>
      <c r="L143" s="401"/>
      <c r="M143" s="402"/>
      <c r="N143" s="401"/>
      <c r="O143" s="402"/>
      <c r="P143" s="401"/>
      <c r="Q143" s="402"/>
      <c r="R143" s="401"/>
      <c r="S143" s="402"/>
      <c r="T143" s="401"/>
      <c r="U143" s="402"/>
      <c r="V143" s="401"/>
      <c r="W143" s="402"/>
      <c r="X143" s="401"/>
      <c r="Y143" s="402"/>
      <c r="Z143" s="401"/>
      <c r="AA143" s="402"/>
      <c r="AB143" s="401"/>
      <c r="AC143" s="402"/>
      <c r="AD143" s="401"/>
      <c r="AE143" s="402"/>
      <c r="AF143" s="401"/>
      <c r="AG143" s="402"/>
      <c r="AH143" s="401"/>
      <c r="AI143" s="402"/>
      <c r="AJ143" s="401"/>
      <c r="AK143" s="402"/>
      <c r="AL143" s="401"/>
      <c r="AM143" s="402"/>
      <c r="AN143" s="401"/>
      <c r="AO143" s="402"/>
      <c r="AP143" s="53"/>
      <c r="AQ143" s="53"/>
      <c r="AR143" s="53"/>
    </row>
    <row r="144" spans="1:44" s="179" customFormat="1" ht="12.6" hidden="1" customHeight="1">
      <c r="A144" s="244" t="s">
        <v>148</v>
      </c>
      <c r="B144" s="217" t="s">
        <v>187</v>
      </c>
      <c r="C144" s="456"/>
      <c r="D144" s="454">
        <v>140678</v>
      </c>
      <c r="E144" s="455">
        <v>12</v>
      </c>
      <c r="F144" s="401">
        <v>3622</v>
      </c>
      <c r="G144" s="402">
        <v>3622</v>
      </c>
      <c r="H144" s="401">
        <v>6622</v>
      </c>
      <c r="I144" s="402">
        <v>6622</v>
      </c>
      <c r="J144" s="401"/>
      <c r="K144" s="402"/>
      <c r="L144" s="401"/>
      <c r="M144" s="402"/>
      <c r="N144" s="401"/>
      <c r="O144" s="402"/>
      <c r="P144" s="401"/>
      <c r="Q144" s="402"/>
      <c r="R144" s="401"/>
      <c r="S144" s="402"/>
      <c r="T144" s="401"/>
      <c r="U144" s="402"/>
      <c r="V144" s="401"/>
      <c r="W144" s="402"/>
      <c r="X144" s="401"/>
      <c r="Y144" s="402"/>
      <c r="Z144" s="401"/>
      <c r="AA144" s="402"/>
      <c r="AB144" s="401"/>
      <c r="AC144" s="402"/>
      <c r="AD144" s="401"/>
      <c r="AE144" s="402"/>
      <c r="AF144" s="401"/>
      <c r="AG144" s="402"/>
      <c r="AH144" s="401"/>
      <c r="AI144" s="402"/>
      <c r="AJ144" s="401"/>
      <c r="AK144" s="402"/>
      <c r="AL144" s="401"/>
      <c r="AM144" s="402"/>
      <c r="AN144" s="401"/>
      <c r="AO144" s="402"/>
      <c r="AP144" s="53"/>
      <c r="AQ144" s="53"/>
      <c r="AR144" s="53"/>
    </row>
    <row r="145" spans="1:44" hidden="1">
      <c r="A145" s="244" t="s">
        <v>148</v>
      </c>
      <c r="B145" s="217" t="s">
        <v>188</v>
      </c>
      <c r="C145" s="428"/>
      <c r="D145" s="454">
        <v>420431</v>
      </c>
      <c r="E145" s="455">
        <v>12</v>
      </c>
      <c r="F145" s="401">
        <v>3672</v>
      </c>
      <c r="G145" s="402">
        <v>3672</v>
      </c>
      <c r="H145" s="401">
        <v>6672</v>
      </c>
      <c r="I145" s="402">
        <v>6672</v>
      </c>
      <c r="J145" s="401"/>
      <c r="K145" s="402"/>
      <c r="L145" s="401"/>
      <c r="M145" s="402"/>
      <c r="N145" s="401"/>
      <c r="O145" s="402"/>
      <c r="P145" s="401"/>
      <c r="Q145" s="402"/>
      <c r="R145" s="401"/>
      <c r="S145" s="402"/>
      <c r="T145" s="401"/>
      <c r="U145" s="402"/>
      <c r="V145" s="401"/>
      <c r="W145" s="402"/>
      <c r="X145" s="401"/>
      <c r="Y145" s="402"/>
      <c r="Z145" s="401"/>
      <c r="AA145" s="402"/>
      <c r="AB145" s="401"/>
      <c r="AC145" s="402"/>
      <c r="AD145" s="401"/>
      <c r="AE145" s="402"/>
      <c r="AF145" s="401"/>
      <c r="AG145" s="402"/>
      <c r="AH145" s="401"/>
      <c r="AI145" s="402"/>
      <c r="AJ145" s="401"/>
      <c r="AK145" s="402"/>
      <c r="AL145" s="401"/>
      <c r="AM145" s="402"/>
      <c r="AN145" s="401"/>
      <c r="AO145" s="402"/>
      <c r="AP145" s="53"/>
      <c r="AQ145" s="53"/>
      <c r="AR145" s="53"/>
    </row>
    <row r="146" spans="1:44" s="179" customFormat="1" ht="12.6" hidden="1" customHeight="1">
      <c r="A146" s="244" t="s">
        <v>148</v>
      </c>
      <c r="B146" s="217" t="s">
        <v>189</v>
      </c>
      <c r="C146" s="456"/>
      <c r="D146" s="454">
        <v>366465</v>
      </c>
      <c r="E146" s="455">
        <v>12</v>
      </c>
      <c r="F146" s="401">
        <v>3740</v>
      </c>
      <c r="G146" s="402">
        <v>3740</v>
      </c>
      <c r="H146" s="401">
        <v>6740</v>
      </c>
      <c r="I146" s="402">
        <v>6740</v>
      </c>
      <c r="J146" s="401"/>
      <c r="K146" s="402"/>
      <c r="L146" s="401"/>
      <c r="M146" s="402"/>
      <c r="N146" s="401"/>
      <c r="O146" s="402"/>
      <c r="P146" s="401"/>
      <c r="Q146" s="402"/>
      <c r="R146" s="401"/>
      <c r="S146" s="402"/>
      <c r="T146" s="401"/>
      <c r="U146" s="402"/>
      <c r="V146" s="401"/>
      <c r="W146" s="402"/>
      <c r="X146" s="401"/>
      <c r="Y146" s="402"/>
      <c r="Z146" s="401"/>
      <c r="AA146" s="402"/>
      <c r="AB146" s="401"/>
      <c r="AC146" s="402"/>
      <c r="AD146" s="401"/>
      <c r="AE146" s="402"/>
      <c r="AF146" s="401"/>
      <c r="AG146" s="402"/>
      <c r="AH146" s="401"/>
      <c r="AI146" s="402"/>
      <c r="AJ146" s="401"/>
      <c r="AK146" s="402"/>
      <c r="AL146" s="401"/>
      <c r="AM146" s="402"/>
      <c r="AN146" s="401"/>
      <c r="AO146" s="402"/>
      <c r="AP146" s="53"/>
      <c r="AQ146" s="53"/>
      <c r="AR146" s="53"/>
    </row>
    <row r="147" spans="1:44" s="179" customFormat="1" ht="12.6" hidden="1" customHeight="1">
      <c r="A147" s="244" t="s">
        <v>148</v>
      </c>
      <c r="B147" s="217" t="s">
        <v>190</v>
      </c>
      <c r="C147" s="456"/>
      <c r="D147" s="454">
        <v>140942</v>
      </c>
      <c r="E147" s="455">
        <v>12</v>
      </c>
      <c r="F147" s="401">
        <v>3642</v>
      </c>
      <c r="G147" s="402">
        <v>3642</v>
      </c>
      <c r="H147" s="401">
        <v>6642</v>
      </c>
      <c r="I147" s="402">
        <v>6642</v>
      </c>
      <c r="J147" s="401"/>
      <c r="K147" s="402"/>
      <c r="L147" s="401"/>
      <c r="M147" s="402"/>
      <c r="N147" s="401"/>
      <c r="O147" s="402"/>
      <c r="P147" s="401"/>
      <c r="Q147" s="402"/>
      <c r="R147" s="401"/>
      <c r="S147" s="402"/>
      <c r="T147" s="401"/>
      <c r="U147" s="402"/>
      <c r="V147" s="401"/>
      <c r="W147" s="402"/>
      <c r="X147" s="401"/>
      <c r="Y147" s="402"/>
      <c r="Z147" s="401"/>
      <c r="AA147" s="402"/>
      <c r="AB147" s="401"/>
      <c r="AC147" s="402"/>
      <c r="AD147" s="401"/>
      <c r="AE147" s="402"/>
      <c r="AF147" s="401"/>
      <c r="AG147" s="402"/>
      <c r="AH147" s="401"/>
      <c r="AI147" s="402"/>
      <c r="AJ147" s="401"/>
      <c r="AK147" s="402"/>
      <c r="AL147" s="401"/>
      <c r="AM147" s="402"/>
      <c r="AN147" s="401"/>
      <c r="AO147" s="402"/>
      <c r="AP147" s="53"/>
      <c r="AQ147" s="53"/>
      <c r="AR147" s="53"/>
    </row>
    <row r="148" spans="1:44" s="179" customFormat="1" ht="12.6" hidden="1" customHeight="1">
      <c r="A148" s="244" t="s">
        <v>148</v>
      </c>
      <c r="B148" s="217" t="s">
        <v>191</v>
      </c>
      <c r="C148" s="456"/>
      <c r="D148" s="454">
        <v>141006</v>
      </c>
      <c r="E148" s="455">
        <v>12</v>
      </c>
      <c r="F148" s="401">
        <v>3662</v>
      </c>
      <c r="G148" s="402">
        <v>3692</v>
      </c>
      <c r="H148" s="401">
        <v>6662</v>
      </c>
      <c r="I148" s="402">
        <v>6692</v>
      </c>
      <c r="J148" s="401"/>
      <c r="K148" s="402"/>
      <c r="L148" s="401"/>
      <c r="M148" s="402"/>
      <c r="N148" s="401"/>
      <c r="O148" s="402"/>
      <c r="P148" s="401"/>
      <c r="Q148" s="402"/>
      <c r="R148" s="401"/>
      <c r="S148" s="402"/>
      <c r="T148" s="401"/>
      <c r="U148" s="402"/>
      <c r="V148" s="401"/>
      <c r="W148" s="402"/>
      <c r="X148" s="401"/>
      <c r="Y148" s="402"/>
      <c r="Z148" s="401"/>
      <c r="AA148" s="402"/>
      <c r="AB148" s="401"/>
      <c r="AC148" s="402"/>
      <c r="AD148" s="401"/>
      <c r="AE148" s="402"/>
      <c r="AF148" s="401"/>
      <c r="AG148" s="402"/>
      <c r="AH148" s="401"/>
      <c r="AI148" s="402"/>
      <c r="AJ148" s="401"/>
      <c r="AK148" s="402"/>
      <c r="AL148" s="401"/>
      <c r="AM148" s="402"/>
      <c r="AN148" s="401"/>
      <c r="AO148" s="402"/>
      <c r="AP148" s="53"/>
      <c r="AQ148" s="53"/>
      <c r="AR148" s="53"/>
    </row>
    <row r="149" spans="1:44" s="179" customFormat="1" ht="12.6" hidden="1" customHeight="1">
      <c r="A149" s="244" t="s">
        <v>148</v>
      </c>
      <c r="B149" s="217" t="s">
        <v>192</v>
      </c>
      <c r="C149" s="342" t="s">
        <v>1008</v>
      </c>
      <c r="D149" s="454">
        <v>368911</v>
      </c>
      <c r="E149" s="455">
        <v>12</v>
      </c>
      <c r="F149" s="401">
        <v>3727</v>
      </c>
      <c r="G149" s="402">
        <v>3727</v>
      </c>
      <c r="H149" s="401">
        <v>6727</v>
      </c>
      <c r="I149" s="402">
        <v>6727</v>
      </c>
      <c r="J149" s="401"/>
      <c r="K149" s="402"/>
      <c r="L149" s="401"/>
      <c r="M149" s="402"/>
      <c r="N149" s="401"/>
      <c r="O149" s="402"/>
      <c r="P149" s="401"/>
      <c r="Q149" s="402"/>
      <c r="R149" s="401"/>
      <c r="S149" s="402"/>
      <c r="T149" s="401"/>
      <c r="U149" s="402"/>
      <c r="V149" s="401"/>
      <c r="W149" s="402"/>
      <c r="X149" s="401"/>
      <c r="Y149" s="402"/>
      <c r="Z149" s="401"/>
      <c r="AA149" s="402"/>
      <c r="AB149" s="401"/>
      <c r="AC149" s="402"/>
      <c r="AD149" s="401"/>
      <c r="AE149" s="402"/>
      <c r="AF149" s="401"/>
      <c r="AG149" s="402"/>
      <c r="AH149" s="401"/>
      <c r="AI149" s="402"/>
      <c r="AJ149" s="401"/>
      <c r="AK149" s="402"/>
      <c r="AL149" s="401"/>
      <c r="AM149" s="402"/>
      <c r="AN149" s="401"/>
      <c r="AO149" s="402"/>
      <c r="AP149" s="53"/>
      <c r="AQ149" s="53"/>
      <c r="AR149" s="53"/>
    </row>
    <row r="150" spans="1:44" s="179" customFormat="1" ht="12.6" hidden="1" customHeight="1">
      <c r="A150" s="244" t="s">
        <v>148</v>
      </c>
      <c r="B150" s="217" t="s">
        <v>193</v>
      </c>
      <c r="C150" s="456"/>
      <c r="D150" s="454">
        <v>139986</v>
      </c>
      <c r="E150" s="455">
        <v>12</v>
      </c>
      <c r="F150" s="401">
        <v>3726</v>
      </c>
      <c r="G150" s="402">
        <v>3726</v>
      </c>
      <c r="H150" s="401">
        <v>6726</v>
      </c>
      <c r="I150" s="402">
        <v>6726</v>
      </c>
      <c r="J150" s="401"/>
      <c r="K150" s="402"/>
      <c r="L150" s="401"/>
      <c r="M150" s="402"/>
      <c r="N150" s="401"/>
      <c r="O150" s="402"/>
      <c r="P150" s="401"/>
      <c r="Q150" s="402"/>
      <c r="R150" s="401"/>
      <c r="S150" s="402"/>
      <c r="T150" s="401"/>
      <c r="U150" s="402"/>
      <c r="V150" s="401"/>
      <c r="W150" s="402"/>
      <c r="X150" s="401"/>
      <c r="Y150" s="402"/>
      <c r="Z150" s="401"/>
      <c r="AA150" s="402"/>
      <c r="AB150" s="401"/>
      <c r="AC150" s="402"/>
      <c r="AD150" s="401"/>
      <c r="AE150" s="402"/>
      <c r="AF150" s="401"/>
      <c r="AG150" s="402"/>
      <c r="AH150" s="401"/>
      <c r="AI150" s="402"/>
      <c r="AJ150" s="401"/>
      <c r="AK150" s="402"/>
      <c r="AL150" s="401"/>
      <c r="AM150" s="402"/>
      <c r="AN150" s="401"/>
      <c r="AO150" s="402"/>
      <c r="AP150" s="53"/>
      <c r="AQ150" s="53"/>
      <c r="AR150" s="53"/>
    </row>
    <row r="151" spans="1:44" s="179" customFormat="1" ht="12.6" hidden="1" customHeight="1">
      <c r="A151" s="244" t="s">
        <v>148</v>
      </c>
      <c r="B151" s="245" t="s">
        <v>194</v>
      </c>
      <c r="C151" s="456"/>
      <c r="D151" s="454">
        <v>487162</v>
      </c>
      <c r="E151" s="455">
        <v>12</v>
      </c>
      <c r="F151" s="401">
        <v>3602</v>
      </c>
      <c r="G151" s="402">
        <v>3602</v>
      </c>
      <c r="H151" s="401">
        <v>6602</v>
      </c>
      <c r="I151" s="402">
        <v>6602</v>
      </c>
      <c r="J151" s="401"/>
      <c r="K151" s="402"/>
      <c r="L151" s="401"/>
      <c r="M151" s="402"/>
      <c r="N151" s="401"/>
      <c r="O151" s="402"/>
      <c r="P151" s="401"/>
      <c r="Q151" s="402"/>
      <c r="R151" s="401"/>
      <c r="S151" s="402"/>
      <c r="T151" s="401"/>
      <c r="U151" s="402"/>
      <c r="V151" s="401"/>
      <c r="W151" s="402"/>
      <c r="X151" s="401"/>
      <c r="Y151" s="402"/>
      <c r="Z151" s="401"/>
      <c r="AA151" s="402"/>
      <c r="AB151" s="401"/>
      <c r="AC151" s="402"/>
      <c r="AD151" s="401"/>
      <c r="AE151" s="402"/>
      <c r="AF151" s="401"/>
      <c r="AG151" s="402"/>
      <c r="AH151" s="401"/>
      <c r="AI151" s="402"/>
      <c r="AJ151" s="401"/>
      <c r="AK151" s="402"/>
      <c r="AL151" s="401"/>
      <c r="AM151" s="402"/>
      <c r="AN151" s="401"/>
      <c r="AO151" s="402"/>
      <c r="AP151" s="53"/>
      <c r="AQ151" s="53"/>
      <c r="AR151" s="53"/>
    </row>
    <row r="152" spans="1:44" s="179" customFormat="1" ht="12.6" hidden="1" customHeight="1">
      <c r="A152" s="244" t="s">
        <v>148</v>
      </c>
      <c r="B152" s="217" t="s">
        <v>195</v>
      </c>
      <c r="C152" s="456"/>
      <c r="D152" s="454">
        <v>139278</v>
      </c>
      <c r="E152" s="455">
        <v>12</v>
      </c>
      <c r="F152" s="401">
        <v>3652</v>
      </c>
      <c r="G152" s="402">
        <v>3652</v>
      </c>
      <c r="H152" s="401">
        <v>6652</v>
      </c>
      <c r="I152" s="402">
        <v>6652</v>
      </c>
      <c r="J152" s="401"/>
      <c r="K152" s="402"/>
      <c r="L152" s="401"/>
      <c r="M152" s="402"/>
      <c r="N152" s="401"/>
      <c r="O152" s="402"/>
      <c r="P152" s="401"/>
      <c r="Q152" s="402"/>
      <c r="R152" s="401"/>
      <c r="S152" s="402"/>
      <c r="T152" s="401"/>
      <c r="U152" s="402"/>
      <c r="V152" s="401"/>
      <c r="W152" s="402"/>
      <c r="X152" s="401"/>
      <c r="Y152" s="402"/>
      <c r="Z152" s="401"/>
      <c r="AA152" s="402"/>
      <c r="AB152" s="401"/>
      <c r="AC152" s="402"/>
      <c r="AD152" s="401"/>
      <c r="AE152" s="402"/>
      <c r="AF152" s="401"/>
      <c r="AG152" s="402"/>
      <c r="AH152" s="401"/>
      <c r="AI152" s="402"/>
      <c r="AJ152" s="401"/>
      <c r="AK152" s="402"/>
      <c r="AL152" s="401"/>
      <c r="AM152" s="402"/>
      <c r="AN152" s="401"/>
      <c r="AO152" s="402"/>
      <c r="AP152" s="53"/>
      <c r="AQ152" s="53"/>
      <c r="AR152" s="53"/>
    </row>
    <row r="153" spans="1:44" s="179" customFormat="1" ht="12.6" hidden="1" customHeight="1">
      <c r="A153" s="244" t="s">
        <v>148</v>
      </c>
      <c r="B153" s="217" t="s">
        <v>196</v>
      </c>
      <c r="C153" s="456"/>
      <c r="D153" s="454">
        <v>141255</v>
      </c>
      <c r="E153" s="455">
        <v>12</v>
      </c>
      <c r="F153" s="401">
        <v>3752</v>
      </c>
      <c r="G153" s="402">
        <v>3752</v>
      </c>
      <c r="H153" s="401">
        <v>6752</v>
      </c>
      <c r="I153" s="402">
        <v>6752</v>
      </c>
      <c r="J153" s="401"/>
      <c r="K153" s="402"/>
      <c r="L153" s="401"/>
      <c r="M153" s="402"/>
      <c r="N153" s="401"/>
      <c r="O153" s="402"/>
      <c r="P153" s="401"/>
      <c r="Q153" s="402"/>
      <c r="R153" s="401"/>
      <c r="S153" s="402"/>
      <c r="T153" s="401"/>
      <c r="U153" s="402"/>
      <c r="V153" s="401"/>
      <c r="W153" s="402"/>
      <c r="X153" s="401"/>
      <c r="Y153" s="402"/>
      <c r="Z153" s="401"/>
      <c r="AA153" s="402"/>
      <c r="AB153" s="401"/>
      <c r="AC153" s="402"/>
      <c r="AD153" s="401"/>
      <c r="AE153" s="402"/>
      <c r="AF153" s="401"/>
      <c r="AG153" s="402"/>
      <c r="AH153" s="401"/>
      <c r="AI153" s="402"/>
      <c r="AJ153" s="401"/>
      <c r="AK153" s="402"/>
      <c r="AL153" s="401"/>
      <c r="AM153" s="402"/>
      <c r="AN153" s="401"/>
      <c r="AO153" s="402"/>
      <c r="AP153" s="53"/>
      <c r="AQ153" s="53"/>
      <c r="AR153" s="53"/>
    </row>
    <row r="154" spans="1:44">
      <c r="A154" s="222" t="s">
        <v>197</v>
      </c>
      <c r="B154" s="220" t="s">
        <v>198</v>
      </c>
      <c r="C154" s="221"/>
      <c r="D154" s="222">
        <v>157085</v>
      </c>
      <c r="E154" s="222">
        <v>1</v>
      </c>
      <c r="F154" s="401">
        <v>12484</v>
      </c>
      <c r="G154" s="402">
        <v>12610</v>
      </c>
      <c r="H154" s="401">
        <v>31294</v>
      </c>
      <c r="I154" s="402">
        <v>31608</v>
      </c>
      <c r="J154" s="401">
        <v>13538</v>
      </c>
      <c r="K154" s="402">
        <v>13674</v>
      </c>
      <c r="L154" s="401">
        <v>33216</v>
      </c>
      <c r="M154" s="402">
        <v>33548</v>
      </c>
      <c r="N154" s="401">
        <v>24969</v>
      </c>
      <c r="O154" s="402">
        <v>25218</v>
      </c>
      <c r="P154" s="401">
        <v>51360</v>
      </c>
      <c r="Q154" s="402">
        <v>51374</v>
      </c>
      <c r="R154" s="401">
        <v>40462</v>
      </c>
      <c r="S154" s="402">
        <v>40866</v>
      </c>
      <c r="T154" s="401">
        <v>73854</v>
      </c>
      <c r="U154" s="402">
        <v>74592</v>
      </c>
      <c r="V154" s="401">
        <v>35582</v>
      </c>
      <c r="W154" s="402">
        <v>35937</v>
      </c>
      <c r="X154" s="401">
        <v>76684</v>
      </c>
      <c r="Y154" s="402">
        <v>77450</v>
      </c>
      <c r="Z154" s="401">
        <v>28662</v>
      </c>
      <c r="AA154" s="402">
        <v>28907</v>
      </c>
      <c r="AB154" s="401">
        <v>53686</v>
      </c>
      <c r="AC154" s="402">
        <v>54222</v>
      </c>
      <c r="AD154" s="401"/>
      <c r="AE154" s="402"/>
      <c r="AF154" s="401"/>
      <c r="AG154" s="402"/>
      <c r="AH154" s="401"/>
      <c r="AI154" s="402"/>
      <c r="AJ154" s="401"/>
      <c r="AK154" s="402"/>
      <c r="AL154" s="401"/>
      <c r="AM154" s="402"/>
      <c r="AN154" s="401"/>
      <c r="AO154" s="402"/>
      <c r="AP154" s="53"/>
      <c r="AQ154" s="53"/>
      <c r="AR154" s="53"/>
    </row>
    <row r="155" spans="1:44">
      <c r="A155" s="222" t="s">
        <v>197</v>
      </c>
      <c r="B155" s="220" t="s">
        <v>199</v>
      </c>
      <c r="C155" s="221"/>
      <c r="D155" s="222">
        <v>157289</v>
      </c>
      <c r="E155" s="222">
        <v>1</v>
      </c>
      <c r="F155" s="401">
        <v>12162</v>
      </c>
      <c r="G155" s="402">
        <v>12370</v>
      </c>
      <c r="H155" s="401">
        <v>28508</v>
      </c>
      <c r="I155" s="402">
        <v>28716</v>
      </c>
      <c r="J155" s="401">
        <v>13456</v>
      </c>
      <c r="K155" s="402">
        <v>13720</v>
      </c>
      <c r="L155" s="401">
        <v>27570</v>
      </c>
      <c r="M155" s="402">
        <v>27834</v>
      </c>
      <c r="N155" s="401">
        <v>23302</v>
      </c>
      <c r="O155" s="402">
        <v>23798</v>
      </c>
      <c r="P155" s="401">
        <v>28302</v>
      </c>
      <c r="Q155" s="402">
        <v>28948</v>
      </c>
      <c r="R155" s="401">
        <v>41974</v>
      </c>
      <c r="S155" s="402">
        <v>42610</v>
      </c>
      <c r="T155" s="401">
        <v>63726</v>
      </c>
      <c r="U155" s="402">
        <v>64798</v>
      </c>
      <c r="V155" s="401">
        <v>35738</v>
      </c>
      <c r="W155" s="402">
        <v>36242</v>
      </c>
      <c r="X155" s="401">
        <v>74324</v>
      </c>
      <c r="Y155" s="402">
        <v>75608</v>
      </c>
      <c r="Z155" s="401"/>
      <c r="AA155" s="402"/>
      <c r="AB155" s="401"/>
      <c r="AC155" s="402"/>
      <c r="AD155" s="401"/>
      <c r="AE155" s="402"/>
      <c r="AF155" s="401"/>
      <c r="AG155" s="402"/>
      <c r="AH155" s="401"/>
      <c r="AI155" s="402"/>
      <c r="AJ155" s="401"/>
      <c r="AK155" s="402"/>
      <c r="AL155" s="401"/>
      <c r="AM155" s="402"/>
      <c r="AN155" s="401"/>
      <c r="AO155" s="402"/>
      <c r="AP155" s="53"/>
      <c r="AQ155" s="53"/>
      <c r="AR155" s="53"/>
    </row>
    <row r="156" spans="1:44">
      <c r="A156" s="222" t="s">
        <v>197</v>
      </c>
      <c r="B156" s="220" t="s">
        <v>200</v>
      </c>
      <c r="C156" s="221"/>
      <c r="D156" s="222">
        <v>156620</v>
      </c>
      <c r="E156" s="222">
        <v>3</v>
      </c>
      <c r="F156" s="401">
        <v>9866</v>
      </c>
      <c r="G156" s="402">
        <v>10052</v>
      </c>
      <c r="H156" s="401">
        <v>19938</v>
      </c>
      <c r="I156" s="402">
        <v>20324</v>
      </c>
      <c r="J156" s="401">
        <v>13740</v>
      </c>
      <c r="K156" s="402">
        <v>13740</v>
      </c>
      <c r="L156" s="401">
        <v>18540</v>
      </c>
      <c r="M156" s="402">
        <v>18540</v>
      </c>
      <c r="N156" s="401"/>
      <c r="O156" s="402"/>
      <c r="P156" s="401"/>
      <c r="Q156" s="402"/>
      <c r="R156" s="401"/>
      <c r="S156" s="402"/>
      <c r="T156" s="401"/>
      <c r="U156" s="402"/>
      <c r="V156" s="401"/>
      <c r="W156" s="402"/>
      <c r="X156" s="401"/>
      <c r="Y156" s="402"/>
      <c r="Z156" s="401"/>
      <c r="AA156" s="402"/>
      <c r="AB156" s="401"/>
      <c r="AC156" s="402"/>
      <c r="AD156" s="401"/>
      <c r="AE156" s="402"/>
      <c r="AF156" s="401"/>
      <c r="AG156" s="402"/>
      <c r="AH156" s="401"/>
      <c r="AI156" s="402"/>
      <c r="AJ156" s="401"/>
      <c r="AK156" s="402"/>
      <c r="AL156" s="401"/>
      <c r="AM156" s="402"/>
      <c r="AN156" s="401"/>
      <c r="AO156" s="402"/>
      <c r="AP156" s="53"/>
      <c r="AQ156" s="53"/>
      <c r="AR156" s="53"/>
    </row>
    <row r="157" spans="1:44">
      <c r="A157" s="222" t="s">
        <v>197</v>
      </c>
      <c r="B157" s="220" t="s">
        <v>201</v>
      </c>
      <c r="C157" s="221"/>
      <c r="D157" s="222">
        <v>157386</v>
      </c>
      <c r="E157" s="222">
        <v>3</v>
      </c>
      <c r="F157" s="401">
        <v>9290</v>
      </c>
      <c r="G157" s="402">
        <v>9462</v>
      </c>
      <c r="H157" s="401">
        <v>13876</v>
      </c>
      <c r="I157" s="402">
        <v>14106</v>
      </c>
      <c r="J157" s="401">
        <v>14016</v>
      </c>
      <c r="K157" s="402">
        <v>14088</v>
      </c>
      <c r="L157" s="406">
        <v>14016</v>
      </c>
      <c r="M157" s="402">
        <v>14088</v>
      </c>
      <c r="N157" s="401"/>
      <c r="O157" s="402"/>
      <c r="P157" s="401"/>
      <c r="Q157" s="402"/>
      <c r="R157" s="401"/>
      <c r="S157" s="402"/>
      <c r="T157" s="401"/>
      <c r="U157" s="402"/>
      <c r="V157" s="401"/>
      <c r="W157" s="402"/>
      <c r="X157" s="401"/>
      <c r="Y157" s="402"/>
      <c r="Z157" s="401"/>
      <c r="AA157" s="402"/>
      <c r="AB157" s="401"/>
      <c r="AC157" s="402"/>
      <c r="AD157" s="401"/>
      <c r="AE157" s="402"/>
      <c r="AF157" s="401"/>
      <c r="AG157" s="402"/>
      <c r="AH157" s="401"/>
      <c r="AI157" s="402"/>
      <c r="AJ157" s="401"/>
      <c r="AK157" s="402"/>
      <c r="AL157" s="401"/>
      <c r="AM157" s="402"/>
      <c r="AN157" s="401"/>
      <c r="AO157" s="402"/>
      <c r="AP157" s="53"/>
      <c r="AQ157" s="53"/>
      <c r="AR157" s="53"/>
    </row>
    <row r="158" spans="1:44">
      <c r="A158" s="222" t="s">
        <v>197</v>
      </c>
      <c r="B158" s="220" t="s">
        <v>202</v>
      </c>
      <c r="C158" s="221"/>
      <c r="D158" s="222">
        <v>157401</v>
      </c>
      <c r="E158" s="222">
        <v>3</v>
      </c>
      <c r="F158" s="401">
        <v>9468</v>
      </c>
      <c r="G158" s="402">
        <v>9552</v>
      </c>
      <c r="H158" s="401">
        <v>18648</v>
      </c>
      <c r="I158" s="402">
        <v>18828</v>
      </c>
      <c r="J158" s="401">
        <v>13296</v>
      </c>
      <c r="K158" s="402">
        <v>13416</v>
      </c>
      <c r="L158" s="401">
        <v>19440</v>
      </c>
      <c r="M158" s="402">
        <v>19632</v>
      </c>
      <c r="N158" s="401"/>
      <c r="O158" s="402"/>
      <c r="P158" s="401"/>
      <c r="Q158" s="402"/>
      <c r="R158" s="401"/>
      <c r="S158" s="402"/>
      <c r="T158" s="401"/>
      <c r="U158" s="402"/>
      <c r="V158" s="401"/>
      <c r="W158" s="402"/>
      <c r="X158" s="401"/>
      <c r="Y158" s="402"/>
      <c r="Z158" s="401"/>
      <c r="AA158" s="402"/>
      <c r="AB158" s="401"/>
      <c r="AC158" s="402"/>
      <c r="AD158" s="401"/>
      <c r="AE158" s="402"/>
      <c r="AF158" s="401"/>
      <c r="AG158" s="402"/>
      <c r="AH158" s="401"/>
      <c r="AI158" s="402"/>
      <c r="AJ158" s="401"/>
      <c r="AK158" s="402"/>
      <c r="AL158" s="401"/>
      <c r="AM158" s="402"/>
      <c r="AN158" s="401"/>
      <c r="AO158" s="402"/>
      <c r="AP158" s="53"/>
      <c r="AQ158" s="53"/>
      <c r="AR158" s="53"/>
    </row>
    <row r="159" spans="1:44">
      <c r="A159" s="222" t="s">
        <v>197</v>
      </c>
      <c r="B159" s="220" t="s">
        <v>203</v>
      </c>
      <c r="C159" s="223"/>
      <c r="D159" s="222">
        <v>157447</v>
      </c>
      <c r="E159" s="247">
        <v>3</v>
      </c>
      <c r="F159" s="401">
        <v>10296</v>
      </c>
      <c r="G159" s="402">
        <v>10396</v>
      </c>
      <c r="H159" s="401">
        <v>20256</v>
      </c>
      <c r="I159" s="402">
        <v>20454</v>
      </c>
      <c r="J159" s="401">
        <v>15096</v>
      </c>
      <c r="K159" s="402">
        <v>13584</v>
      </c>
      <c r="L159" s="401">
        <v>23016</v>
      </c>
      <c r="M159" s="402">
        <v>20664</v>
      </c>
      <c r="N159" s="401">
        <v>22200</v>
      </c>
      <c r="O159" s="402">
        <v>22200</v>
      </c>
      <c r="P159" s="401">
        <v>35910</v>
      </c>
      <c r="Q159" s="402">
        <v>35910</v>
      </c>
      <c r="R159" s="401"/>
      <c r="S159" s="402"/>
      <c r="T159" s="401"/>
      <c r="U159" s="402"/>
      <c r="V159" s="401"/>
      <c r="W159" s="402"/>
      <c r="X159" s="401"/>
      <c r="Y159" s="402"/>
      <c r="Z159" s="401"/>
      <c r="AA159" s="402"/>
      <c r="AB159" s="401"/>
      <c r="AC159" s="402"/>
      <c r="AD159" s="401"/>
      <c r="AE159" s="402"/>
      <c r="AF159" s="401"/>
      <c r="AG159" s="402"/>
      <c r="AH159" s="401"/>
      <c r="AI159" s="402"/>
      <c r="AJ159" s="401"/>
      <c r="AK159" s="402"/>
      <c r="AL159" s="401"/>
      <c r="AM159" s="402"/>
      <c r="AN159" s="401"/>
      <c r="AO159" s="402"/>
      <c r="AP159" s="53"/>
      <c r="AQ159" s="53"/>
      <c r="AR159" s="53"/>
    </row>
    <row r="160" spans="1:44">
      <c r="A160" s="222" t="s">
        <v>197</v>
      </c>
      <c r="B160" s="220" t="s">
        <v>204</v>
      </c>
      <c r="C160" s="221"/>
      <c r="D160" s="222">
        <v>157951</v>
      </c>
      <c r="E160" s="222">
        <v>3</v>
      </c>
      <c r="F160" s="401">
        <v>10802</v>
      </c>
      <c r="G160" s="402">
        <v>10992</v>
      </c>
      <c r="H160" s="401">
        <v>26496</v>
      </c>
      <c r="I160" s="402">
        <v>27000</v>
      </c>
      <c r="J160" s="401">
        <v>14808</v>
      </c>
      <c r="K160" s="402">
        <v>14808</v>
      </c>
      <c r="L160" s="401">
        <v>22248</v>
      </c>
      <c r="M160" s="402">
        <v>22248</v>
      </c>
      <c r="N160" s="401"/>
      <c r="O160" s="402"/>
      <c r="P160" s="401"/>
      <c r="Q160" s="402"/>
      <c r="R160" s="401"/>
      <c r="S160" s="402"/>
      <c r="T160" s="401"/>
      <c r="U160" s="402"/>
      <c r="V160" s="401"/>
      <c r="W160" s="402"/>
      <c r="X160" s="401"/>
      <c r="Y160" s="402"/>
      <c r="Z160" s="401"/>
      <c r="AA160" s="402"/>
      <c r="AB160" s="401"/>
      <c r="AC160" s="402"/>
      <c r="AD160" s="401"/>
      <c r="AE160" s="402"/>
      <c r="AF160" s="401"/>
      <c r="AG160" s="402"/>
      <c r="AH160" s="401"/>
      <c r="AI160" s="402"/>
      <c r="AJ160" s="401"/>
      <c r="AK160" s="402"/>
      <c r="AL160" s="401"/>
      <c r="AM160" s="402"/>
      <c r="AN160" s="401"/>
      <c r="AO160" s="402"/>
      <c r="AP160" s="53"/>
      <c r="AQ160" s="53"/>
      <c r="AR160" s="53"/>
    </row>
    <row r="161" spans="1:44">
      <c r="A161" s="222" t="s">
        <v>197</v>
      </c>
      <c r="B161" s="220" t="s">
        <v>205</v>
      </c>
      <c r="C161" s="375"/>
      <c r="D161" s="222">
        <v>157058</v>
      </c>
      <c r="E161" s="222">
        <v>4</v>
      </c>
      <c r="F161" s="401">
        <v>8800</v>
      </c>
      <c r="G161" s="402">
        <v>8800</v>
      </c>
      <c r="H161" s="401">
        <v>12650</v>
      </c>
      <c r="I161" s="402">
        <v>12650</v>
      </c>
      <c r="J161" s="401">
        <v>11180</v>
      </c>
      <c r="K161" s="402">
        <v>11180</v>
      </c>
      <c r="L161" s="401">
        <v>16220</v>
      </c>
      <c r="M161" s="402">
        <v>16220</v>
      </c>
      <c r="N161" s="401"/>
      <c r="O161" s="402"/>
      <c r="P161" s="401"/>
      <c r="Q161" s="402"/>
      <c r="R161" s="401"/>
      <c r="S161" s="402"/>
      <c r="T161" s="401"/>
      <c r="U161" s="402"/>
      <c r="V161" s="401"/>
      <c r="W161" s="402"/>
      <c r="X161" s="401"/>
      <c r="Y161" s="402"/>
      <c r="Z161" s="401"/>
      <c r="AA161" s="402"/>
      <c r="AB161" s="401"/>
      <c r="AC161" s="402"/>
      <c r="AD161" s="401"/>
      <c r="AE161" s="402"/>
      <c r="AF161" s="401"/>
      <c r="AG161" s="402"/>
      <c r="AH161" s="401"/>
      <c r="AI161" s="402"/>
      <c r="AJ161" s="401"/>
      <c r="AK161" s="402"/>
      <c r="AL161" s="401"/>
      <c r="AM161" s="402"/>
      <c r="AN161" s="401"/>
      <c r="AO161" s="402"/>
      <c r="AP161" s="53"/>
      <c r="AQ161" s="53"/>
      <c r="AR161" s="53"/>
    </row>
    <row r="162" spans="1:44" hidden="1">
      <c r="A162" s="222" t="s">
        <v>197</v>
      </c>
      <c r="B162" s="220" t="s">
        <v>206</v>
      </c>
      <c r="C162" s="221" t="s">
        <v>659</v>
      </c>
      <c r="D162" s="248">
        <v>156392</v>
      </c>
      <c r="E162" s="222">
        <v>8</v>
      </c>
      <c r="F162" s="401">
        <v>5610</v>
      </c>
      <c r="G162" s="402">
        <v>5610</v>
      </c>
      <c r="H162" s="401">
        <v>19050</v>
      </c>
      <c r="I162" s="402">
        <v>19050</v>
      </c>
      <c r="J162" s="401"/>
      <c r="K162" s="402"/>
      <c r="L162" s="401"/>
      <c r="M162" s="402"/>
      <c r="N162" s="401"/>
      <c r="O162" s="402"/>
      <c r="P162" s="401"/>
      <c r="Q162" s="402"/>
      <c r="R162" s="401"/>
      <c r="S162" s="402"/>
      <c r="T162" s="401"/>
      <c r="U162" s="402"/>
      <c r="V162" s="401"/>
      <c r="W162" s="402"/>
      <c r="X162" s="401"/>
      <c r="Y162" s="402"/>
      <c r="Z162" s="401"/>
      <c r="AA162" s="402"/>
      <c r="AB162" s="401"/>
      <c r="AC162" s="402"/>
      <c r="AD162" s="401"/>
      <c r="AE162" s="402"/>
      <c r="AF162" s="401"/>
      <c r="AG162" s="402"/>
      <c r="AH162" s="401"/>
      <c r="AI162" s="402"/>
      <c r="AJ162" s="401"/>
      <c r="AK162" s="402"/>
      <c r="AL162" s="401"/>
      <c r="AM162" s="402"/>
      <c r="AN162" s="401"/>
      <c r="AO162" s="402"/>
      <c r="AP162" s="53"/>
      <c r="AQ162" s="53"/>
      <c r="AR162" s="53"/>
    </row>
    <row r="163" spans="1:44" hidden="1">
      <c r="A163" s="222" t="s">
        <v>197</v>
      </c>
      <c r="B163" s="220" t="s">
        <v>207</v>
      </c>
      <c r="C163" s="221"/>
      <c r="D163" s="222">
        <v>156921</v>
      </c>
      <c r="E163" s="222">
        <v>8</v>
      </c>
      <c r="F163" s="401">
        <v>5610</v>
      </c>
      <c r="G163" s="402">
        <v>5610</v>
      </c>
      <c r="H163" s="401">
        <v>19050</v>
      </c>
      <c r="I163" s="402">
        <v>19050</v>
      </c>
      <c r="J163" s="401"/>
      <c r="K163" s="402"/>
      <c r="L163" s="401"/>
      <c r="M163" s="402"/>
      <c r="N163" s="401"/>
      <c r="O163" s="402"/>
      <c r="P163" s="401"/>
      <c r="Q163" s="402"/>
      <c r="R163" s="401"/>
      <c r="S163" s="402"/>
      <c r="T163" s="401"/>
      <c r="U163" s="402"/>
      <c r="V163" s="401"/>
      <c r="W163" s="402"/>
      <c r="X163" s="401"/>
      <c r="Y163" s="402"/>
      <c r="Z163" s="401"/>
      <c r="AA163" s="402"/>
      <c r="AB163" s="401"/>
      <c r="AC163" s="402"/>
      <c r="AD163" s="401"/>
      <c r="AE163" s="402"/>
      <c r="AF163" s="401"/>
      <c r="AG163" s="402"/>
      <c r="AH163" s="401"/>
      <c r="AI163" s="402"/>
      <c r="AJ163" s="401"/>
      <c r="AK163" s="402"/>
      <c r="AL163" s="401"/>
      <c r="AM163" s="402"/>
      <c r="AN163" s="401"/>
      <c r="AO163" s="402"/>
      <c r="AP163" s="53"/>
      <c r="AQ163" s="53"/>
      <c r="AR163" s="53"/>
    </row>
    <row r="164" spans="1:44" hidden="1">
      <c r="A164" s="222" t="s">
        <v>197</v>
      </c>
      <c r="B164" s="530" t="s">
        <v>209</v>
      </c>
      <c r="C164" s="529" t="s">
        <v>1032</v>
      </c>
      <c r="D164" s="531">
        <v>157553</v>
      </c>
      <c r="E164" s="531">
        <v>10</v>
      </c>
      <c r="F164" s="401">
        <v>5610</v>
      </c>
      <c r="G164" s="402">
        <v>5610</v>
      </c>
      <c r="H164" s="401">
        <v>19050</v>
      </c>
      <c r="I164" s="402">
        <v>19050</v>
      </c>
      <c r="J164" s="401"/>
      <c r="K164" s="402"/>
      <c r="L164" s="401"/>
      <c r="M164" s="402"/>
      <c r="N164" s="401"/>
      <c r="O164" s="402"/>
      <c r="P164" s="401"/>
      <c r="Q164" s="402"/>
      <c r="R164" s="401"/>
      <c r="S164" s="402"/>
      <c r="T164" s="401"/>
      <c r="U164" s="402"/>
      <c r="V164" s="401"/>
      <c r="W164" s="402"/>
      <c r="X164" s="401"/>
      <c r="Y164" s="402"/>
      <c r="Z164" s="401"/>
      <c r="AA164" s="402"/>
      <c r="AB164" s="401"/>
      <c r="AC164" s="402"/>
      <c r="AD164" s="401"/>
      <c r="AE164" s="402"/>
      <c r="AF164" s="401"/>
      <c r="AG164" s="402"/>
      <c r="AH164" s="401"/>
      <c r="AI164" s="402"/>
      <c r="AJ164" s="401"/>
      <c r="AK164" s="402"/>
      <c r="AL164" s="401"/>
      <c r="AM164" s="402"/>
      <c r="AN164" s="401"/>
      <c r="AO164" s="402"/>
      <c r="AP164" s="53"/>
      <c r="AQ164" s="53"/>
      <c r="AR164" s="53"/>
    </row>
    <row r="165" spans="1:44" hidden="1">
      <c r="A165" s="222" t="s">
        <v>197</v>
      </c>
      <c r="B165" s="220" t="s">
        <v>210</v>
      </c>
      <c r="C165" s="221"/>
      <c r="D165" s="222">
        <v>156648</v>
      </c>
      <c r="E165" s="222">
        <v>9</v>
      </c>
      <c r="F165" s="401">
        <v>5610</v>
      </c>
      <c r="G165" s="402">
        <v>5610</v>
      </c>
      <c r="H165" s="401">
        <v>19050</v>
      </c>
      <c r="I165" s="402">
        <v>19050</v>
      </c>
      <c r="J165" s="401"/>
      <c r="K165" s="402"/>
      <c r="L165" s="401"/>
      <c r="M165" s="402"/>
      <c r="N165" s="401"/>
      <c r="O165" s="402"/>
      <c r="P165" s="401"/>
      <c r="Q165" s="402"/>
      <c r="R165" s="401"/>
      <c r="S165" s="402"/>
      <c r="T165" s="401"/>
      <c r="U165" s="402"/>
      <c r="V165" s="401"/>
      <c r="W165" s="402"/>
      <c r="X165" s="401"/>
      <c r="Y165" s="402"/>
      <c r="Z165" s="401"/>
      <c r="AA165" s="402"/>
      <c r="AB165" s="401"/>
      <c r="AC165" s="402"/>
      <c r="AD165" s="401"/>
      <c r="AE165" s="402"/>
      <c r="AF165" s="401"/>
      <c r="AG165" s="402"/>
      <c r="AH165" s="401"/>
      <c r="AI165" s="402"/>
      <c r="AJ165" s="401"/>
      <c r="AK165" s="402"/>
      <c r="AL165" s="401"/>
      <c r="AM165" s="402"/>
      <c r="AN165" s="401"/>
      <c r="AO165" s="402"/>
      <c r="AP165" s="53"/>
      <c r="AQ165" s="53"/>
      <c r="AR165" s="53"/>
    </row>
    <row r="166" spans="1:44" hidden="1">
      <c r="A166" s="222" t="s">
        <v>197</v>
      </c>
      <c r="B166" s="220" t="s">
        <v>214</v>
      </c>
      <c r="C166" s="221"/>
      <c r="D166" s="222">
        <v>157331</v>
      </c>
      <c r="E166" s="222">
        <v>9</v>
      </c>
      <c r="F166" s="401">
        <v>5610</v>
      </c>
      <c r="G166" s="402">
        <v>5610</v>
      </c>
      <c r="H166" s="401">
        <v>19050</v>
      </c>
      <c r="I166" s="402">
        <v>19050</v>
      </c>
      <c r="J166" s="401"/>
      <c r="K166" s="402"/>
      <c r="L166" s="401"/>
      <c r="M166" s="402"/>
      <c r="N166" s="401"/>
      <c r="O166" s="402"/>
      <c r="P166" s="401"/>
      <c r="Q166" s="402"/>
      <c r="R166" s="401"/>
      <c r="S166" s="402"/>
      <c r="T166" s="401"/>
      <c r="U166" s="402"/>
      <c r="V166" s="401"/>
      <c r="W166" s="402"/>
      <c r="X166" s="401"/>
      <c r="Y166" s="402"/>
      <c r="Z166" s="401"/>
      <c r="AA166" s="402"/>
      <c r="AB166" s="401"/>
      <c r="AC166" s="402"/>
      <c r="AD166" s="401"/>
      <c r="AE166" s="402"/>
      <c r="AF166" s="401"/>
      <c r="AG166" s="402"/>
      <c r="AH166" s="401"/>
      <c r="AI166" s="402"/>
      <c r="AJ166" s="401"/>
      <c r="AK166" s="402"/>
      <c r="AL166" s="401"/>
      <c r="AM166" s="402"/>
      <c r="AN166" s="401"/>
      <c r="AO166" s="402"/>
      <c r="AP166" s="53"/>
      <c r="AQ166" s="53"/>
      <c r="AR166" s="53"/>
    </row>
    <row r="167" spans="1:44" hidden="1">
      <c r="A167" s="222" t="s">
        <v>197</v>
      </c>
      <c r="B167" s="220" t="s">
        <v>215</v>
      </c>
      <c r="C167" s="221"/>
      <c r="D167" s="222">
        <v>247940</v>
      </c>
      <c r="E167" s="222">
        <v>9</v>
      </c>
      <c r="F167" s="401">
        <v>5610</v>
      </c>
      <c r="G167" s="402">
        <v>5610</v>
      </c>
      <c r="H167" s="401">
        <v>19050</v>
      </c>
      <c r="I167" s="402">
        <v>19050</v>
      </c>
      <c r="J167" s="401"/>
      <c r="K167" s="402"/>
      <c r="L167" s="401"/>
      <c r="M167" s="402"/>
      <c r="N167" s="401"/>
      <c r="O167" s="402"/>
      <c r="P167" s="401"/>
      <c r="Q167" s="402"/>
      <c r="R167" s="401"/>
      <c r="S167" s="402"/>
      <c r="T167" s="401"/>
      <c r="U167" s="402"/>
      <c r="V167" s="401"/>
      <c r="W167" s="402"/>
      <c r="X167" s="401"/>
      <c r="Y167" s="402"/>
      <c r="Z167" s="401"/>
      <c r="AA167" s="402"/>
      <c r="AB167" s="401"/>
      <c r="AC167" s="402"/>
      <c r="AD167" s="401"/>
      <c r="AE167" s="402"/>
      <c r="AF167" s="401"/>
      <c r="AG167" s="402"/>
      <c r="AH167" s="401"/>
      <c r="AI167" s="402"/>
      <c r="AJ167" s="401"/>
      <c r="AK167" s="402"/>
      <c r="AL167" s="401"/>
      <c r="AM167" s="402"/>
      <c r="AN167" s="401"/>
      <c r="AO167" s="402"/>
      <c r="AP167" s="53"/>
      <c r="AQ167" s="53"/>
      <c r="AR167" s="53"/>
    </row>
    <row r="168" spans="1:44" hidden="1">
      <c r="A168" s="222" t="s">
        <v>197</v>
      </c>
      <c r="B168" s="220" t="s">
        <v>216</v>
      </c>
      <c r="C168" s="221"/>
      <c r="D168" s="222">
        <v>157711</v>
      </c>
      <c r="E168" s="222">
        <v>9</v>
      </c>
      <c r="F168" s="401">
        <v>5610</v>
      </c>
      <c r="G168" s="402">
        <v>5610</v>
      </c>
      <c r="H168" s="401">
        <v>19050</v>
      </c>
      <c r="I168" s="402">
        <v>19050</v>
      </c>
      <c r="J168" s="401"/>
      <c r="K168" s="402"/>
      <c r="L168" s="401"/>
      <c r="M168" s="402"/>
      <c r="N168" s="401"/>
      <c r="O168" s="402"/>
      <c r="P168" s="401"/>
      <c r="Q168" s="402"/>
      <c r="R168" s="401"/>
      <c r="S168" s="402"/>
      <c r="T168" s="401"/>
      <c r="U168" s="402"/>
      <c r="V168" s="401"/>
      <c r="W168" s="402"/>
      <c r="X168" s="401"/>
      <c r="Y168" s="402"/>
      <c r="Z168" s="401"/>
      <c r="AA168" s="402"/>
      <c r="AB168" s="401"/>
      <c r="AC168" s="402"/>
      <c r="AD168" s="401"/>
      <c r="AE168" s="402"/>
      <c r="AF168" s="401"/>
      <c r="AG168" s="402"/>
      <c r="AH168" s="401"/>
      <c r="AI168" s="402"/>
      <c r="AJ168" s="401"/>
      <c r="AK168" s="402"/>
      <c r="AL168" s="401"/>
      <c r="AM168" s="402"/>
      <c r="AN168" s="401"/>
      <c r="AO168" s="402"/>
      <c r="AP168" s="53"/>
      <c r="AQ168" s="53"/>
      <c r="AR168" s="53"/>
    </row>
    <row r="169" spans="1:44" hidden="1">
      <c r="A169" s="222" t="s">
        <v>197</v>
      </c>
      <c r="B169" s="220" t="s">
        <v>218</v>
      </c>
      <c r="C169" s="221"/>
      <c r="D169" s="222">
        <v>157483</v>
      </c>
      <c r="E169" s="222">
        <v>9</v>
      </c>
      <c r="F169" s="401">
        <v>5610</v>
      </c>
      <c r="G169" s="402">
        <v>5610</v>
      </c>
      <c r="H169" s="401">
        <v>19050</v>
      </c>
      <c r="I169" s="402">
        <v>19050</v>
      </c>
      <c r="J169" s="401"/>
      <c r="K169" s="402"/>
      <c r="L169" s="401"/>
      <c r="M169" s="402"/>
      <c r="N169" s="401"/>
      <c r="O169" s="402"/>
      <c r="P169" s="401"/>
      <c r="Q169" s="402"/>
      <c r="R169" s="401"/>
      <c r="S169" s="402"/>
      <c r="T169" s="401"/>
      <c r="U169" s="402"/>
      <c r="V169" s="401"/>
      <c r="W169" s="402"/>
      <c r="X169" s="401"/>
      <c r="Y169" s="402"/>
      <c r="Z169" s="401"/>
      <c r="AA169" s="402"/>
      <c r="AB169" s="401"/>
      <c r="AC169" s="402"/>
      <c r="AD169" s="401"/>
      <c r="AE169" s="402"/>
      <c r="AF169" s="401"/>
      <c r="AG169" s="402"/>
      <c r="AH169" s="401"/>
      <c r="AI169" s="402"/>
      <c r="AJ169" s="401"/>
      <c r="AK169" s="402"/>
      <c r="AL169" s="401"/>
      <c r="AM169" s="402"/>
      <c r="AN169" s="401"/>
      <c r="AO169" s="402"/>
      <c r="AP169" s="53"/>
      <c r="AQ169" s="53"/>
      <c r="AR169" s="53"/>
    </row>
    <row r="170" spans="1:44" hidden="1">
      <c r="A170" s="222" t="s">
        <v>197</v>
      </c>
      <c r="B170" s="220" t="s">
        <v>208</v>
      </c>
      <c r="C170" s="221"/>
      <c r="D170" s="222">
        <v>156231</v>
      </c>
      <c r="E170" s="247">
        <v>10</v>
      </c>
      <c r="F170" s="401">
        <v>5610</v>
      </c>
      <c r="G170" s="402">
        <v>5610</v>
      </c>
      <c r="H170" s="401">
        <v>19050</v>
      </c>
      <c r="I170" s="402">
        <v>19050</v>
      </c>
      <c r="J170" s="401"/>
      <c r="K170" s="402"/>
      <c r="L170" s="401"/>
      <c r="M170" s="402"/>
      <c r="N170" s="401"/>
      <c r="O170" s="402"/>
      <c r="P170" s="401"/>
      <c r="Q170" s="402"/>
      <c r="R170" s="401"/>
      <c r="S170" s="402"/>
      <c r="T170" s="401"/>
      <c r="U170" s="402"/>
      <c r="V170" s="401"/>
      <c r="W170" s="402"/>
      <c r="X170" s="401"/>
      <c r="Y170" s="402"/>
      <c r="Z170" s="401"/>
      <c r="AA170" s="402"/>
      <c r="AB170" s="401"/>
      <c r="AC170" s="402"/>
      <c r="AD170" s="401"/>
      <c r="AE170" s="402"/>
      <c r="AF170" s="401"/>
      <c r="AG170" s="402"/>
      <c r="AH170" s="401"/>
      <c r="AI170" s="402"/>
      <c r="AJ170" s="401"/>
      <c r="AK170" s="402"/>
      <c r="AL170" s="401"/>
      <c r="AM170" s="402"/>
      <c r="AN170" s="401"/>
      <c r="AO170" s="402"/>
      <c r="AP170" s="53"/>
      <c r="AQ170" s="53"/>
      <c r="AR170" s="53"/>
    </row>
    <row r="171" spans="1:44" hidden="1">
      <c r="A171" s="222" t="s">
        <v>197</v>
      </c>
      <c r="B171" s="220" t="s">
        <v>211</v>
      </c>
      <c r="C171" s="223"/>
      <c r="D171" s="222">
        <v>156790</v>
      </c>
      <c r="E171" s="222">
        <v>10</v>
      </c>
      <c r="F171" s="401">
        <v>5610</v>
      </c>
      <c r="G171" s="402">
        <v>5610</v>
      </c>
      <c r="H171" s="401">
        <v>19050</v>
      </c>
      <c r="I171" s="402">
        <v>19050</v>
      </c>
      <c r="J171" s="401"/>
      <c r="K171" s="402"/>
      <c r="L171" s="401"/>
      <c r="M171" s="402"/>
      <c r="N171" s="401"/>
      <c r="O171" s="402"/>
      <c r="P171" s="401"/>
      <c r="Q171" s="402"/>
      <c r="R171" s="401"/>
      <c r="S171" s="402"/>
      <c r="T171" s="401"/>
      <c r="U171" s="402"/>
      <c r="V171" s="401"/>
      <c r="W171" s="402"/>
      <c r="X171" s="401"/>
      <c r="Y171" s="402"/>
      <c r="Z171" s="401"/>
      <c r="AA171" s="402"/>
      <c r="AB171" s="401"/>
      <c r="AC171" s="402"/>
      <c r="AD171" s="401"/>
      <c r="AE171" s="402"/>
      <c r="AF171" s="401"/>
      <c r="AG171" s="402"/>
      <c r="AH171" s="401"/>
      <c r="AI171" s="402"/>
      <c r="AJ171" s="401"/>
      <c r="AK171" s="402"/>
      <c r="AL171" s="401"/>
      <c r="AM171" s="402"/>
      <c r="AN171" s="401"/>
      <c r="AO171" s="402"/>
      <c r="AP171" s="53"/>
      <c r="AQ171" s="53"/>
      <c r="AR171" s="53"/>
    </row>
    <row r="172" spans="1:44" hidden="1">
      <c r="A172" s="222" t="s">
        <v>197</v>
      </c>
      <c r="B172" s="220" t="s">
        <v>219</v>
      </c>
      <c r="C172" s="221"/>
      <c r="D172" s="222">
        <v>156851</v>
      </c>
      <c r="E172" s="222">
        <v>10</v>
      </c>
      <c r="F172" s="401">
        <v>5610</v>
      </c>
      <c r="G172" s="402">
        <v>5610</v>
      </c>
      <c r="H172" s="401">
        <v>19050</v>
      </c>
      <c r="I172" s="402">
        <v>19050</v>
      </c>
      <c r="J172" s="401"/>
      <c r="K172" s="402"/>
      <c r="L172" s="401"/>
      <c r="M172" s="402"/>
      <c r="N172" s="401"/>
      <c r="O172" s="402"/>
      <c r="P172" s="401"/>
      <c r="Q172" s="402"/>
      <c r="R172" s="401"/>
      <c r="S172" s="402"/>
      <c r="T172" s="401"/>
      <c r="U172" s="402"/>
      <c r="V172" s="401"/>
      <c r="W172" s="402"/>
      <c r="X172" s="401"/>
      <c r="Y172" s="402"/>
      <c r="Z172" s="401"/>
      <c r="AA172" s="402"/>
      <c r="AB172" s="401"/>
      <c r="AC172" s="402"/>
      <c r="AD172" s="401"/>
      <c r="AE172" s="402"/>
      <c r="AF172" s="401"/>
      <c r="AG172" s="402"/>
      <c r="AH172" s="401"/>
      <c r="AI172" s="402"/>
      <c r="AJ172" s="401"/>
      <c r="AK172" s="402"/>
      <c r="AL172" s="401"/>
      <c r="AM172" s="402"/>
      <c r="AN172" s="401"/>
      <c r="AO172" s="402"/>
      <c r="AP172" s="53"/>
      <c r="AQ172" s="53"/>
      <c r="AR172" s="53"/>
    </row>
    <row r="173" spans="1:44" hidden="1">
      <c r="A173" s="222" t="s">
        <v>197</v>
      </c>
      <c r="B173" s="220" t="s">
        <v>212</v>
      </c>
      <c r="C173" s="223"/>
      <c r="D173" s="222">
        <v>156860</v>
      </c>
      <c r="E173" s="222">
        <v>10</v>
      </c>
      <c r="F173" s="401">
        <v>5610</v>
      </c>
      <c r="G173" s="402">
        <v>5610</v>
      </c>
      <c r="H173" s="401">
        <v>19050</v>
      </c>
      <c r="I173" s="402">
        <v>19050</v>
      </c>
      <c r="J173" s="401"/>
      <c r="K173" s="402"/>
      <c r="L173" s="401"/>
      <c r="M173" s="402"/>
      <c r="N173" s="401"/>
      <c r="O173" s="402"/>
      <c r="P173" s="401"/>
      <c r="Q173" s="402"/>
      <c r="R173" s="401"/>
      <c r="S173" s="402"/>
      <c r="T173" s="401"/>
      <c r="U173" s="402"/>
      <c r="V173" s="401"/>
      <c r="W173" s="402"/>
      <c r="X173" s="401"/>
      <c r="Y173" s="402"/>
      <c r="Z173" s="401"/>
      <c r="AA173" s="402"/>
      <c r="AB173" s="401"/>
      <c r="AC173" s="402"/>
      <c r="AD173" s="401"/>
      <c r="AE173" s="402"/>
      <c r="AF173" s="401"/>
      <c r="AG173" s="402"/>
      <c r="AH173" s="401"/>
      <c r="AI173" s="402"/>
      <c r="AJ173" s="401"/>
      <c r="AK173" s="402"/>
      <c r="AL173" s="401"/>
      <c r="AM173" s="402"/>
      <c r="AN173" s="401"/>
      <c r="AO173" s="402"/>
      <c r="AP173" s="53"/>
      <c r="AQ173" s="53"/>
      <c r="AR173" s="53"/>
    </row>
    <row r="174" spans="1:44" hidden="1">
      <c r="A174" s="222" t="s">
        <v>197</v>
      </c>
      <c r="B174" s="220" t="s">
        <v>213</v>
      </c>
      <c r="C174" s="223"/>
      <c r="D174" s="222">
        <v>157304</v>
      </c>
      <c r="E174" s="222">
        <v>10</v>
      </c>
      <c r="F174" s="401">
        <v>5610</v>
      </c>
      <c r="G174" s="402">
        <v>5610</v>
      </c>
      <c r="H174" s="401">
        <v>19050</v>
      </c>
      <c r="I174" s="402">
        <v>19050</v>
      </c>
      <c r="J174" s="401"/>
      <c r="K174" s="402"/>
      <c r="L174" s="401"/>
      <c r="M174" s="402"/>
      <c r="N174" s="401"/>
      <c r="O174" s="402"/>
      <c r="P174" s="401"/>
      <c r="Q174" s="402"/>
      <c r="R174" s="401"/>
      <c r="S174" s="402"/>
      <c r="T174" s="401"/>
      <c r="U174" s="402"/>
      <c r="V174" s="401"/>
      <c r="W174" s="402"/>
      <c r="X174" s="401"/>
      <c r="Y174" s="402"/>
      <c r="Z174" s="401"/>
      <c r="AA174" s="402"/>
      <c r="AB174" s="401"/>
      <c r="AC174" s="402"/>
      <c r="AD174" s="401"/>
      <c r="AE174" s="402"/>
      <c r="AF174" s="401"/>
      <c r="AG174" s="402"/>
      <c r="AH174" s="401"/>
      <c r="AI174" s="402"/>
      <c r="AJ174" s="401"/>
      <c r="AK174" s="402"/>
      <c r="AL174" s="401"/>
      <c r="AM174" s="402"/>
      <c r="AN174" s="401"/>
      <c r="AO174" s="402"/>
      <c r="AP174" s="53"/>
      <c r="AQ174" s="53"/>
      <c r="AR174" s="53"/>
    </row>
    <row r="175" spans="1:44" hidden="1">
      <c r="A175" s="222" t="s">
        <v>197</v>
      </c>
      <c r="B175" s="220" t="s">
        <v>217</v>
      </c>
      <c r="C175" s="223"/>
      <c r="D175" s="222">
        <v>157739</v>
      </c>
      <c r="E175" s="222">
        <v>10</v>
      </c>
      <c r="F175" s="401">
        <v>5610</v>
      </c>
      <c r="G175" s="402">
        <v>5610</v>
      </c>
      <c r="H175" s="401">
        <v>19050</v>
      </c>
      <c r="I175" s="402">
        <v>19050</v>
      </c>
      <c r="J175" s="401"/>
      <c r="K175" s="402"/>
      <c r="L175" s="401"/>
      <c r="M175" s="402"/>
      <c r="N175" s="401"/>
      <c r="O175" s="402"/>
      <c r="P175" s="401"/>
      <c r="Q175" s="402"/>
      <c r="R175" s="401"/>
      <c r="S175" s="402"/>
      <c r="T175" s="401"/>
      <c r="U175" s="402"/>
      <c r="V175" s="401"/>
      <c r="W175" s="402"/>
      <c r="X175" s="401"/>
      <c r="Y175" s="402"/>
      <c r="Z175" s="401"/>
      <c r="AA175" s="402"/>
      <c r="AB175" s="401"/>
      <c r="AC175" s="402"/>
      <c r="AD175" s="401"/>
      <c r="AE175" s="402"/>
      <c r="AF175" s="401"/>
      <c r="AG175" s="402"/>
      <c r="AH175" s="401"/>
      <c r="AI175" s="402"/>
      <c r="AJ175" s="401"/>
      <c r="AK175" s="402"/>
      <c r="AL175" s="401"/>
      <c r="AM175" s="402"/>
      <c r="AN175" s="401"/>
      <c r="AO175" s="402"/>
      <c r="AP175" s="53"/>
      <c r="AQ175" s="53"/>
      <c r="AR175" s="53"/>
    </row>
    <row r="176" spans="1:44" hidden="1">
      <c r="A176" s="222" t="s">
        <v>197</v>
      </c>
      <c r="B176" s="220" t="s">
        <v>220</v>
      </c>
      <c r="C176" s="221"/>
      <c r="D176" s="222">
        <v>157438</v>
      </c>
      <c r="E176" s="222">
        <v>12</v>
      </c>
      <c r="F176" s="401">
        <v>5610</v>
      </c>
      <c r="G176" s="402">
        <v>5610</v>
      </c>
      <c r="H176" s="401">
        <v>19050</v>
      </c>
      <c r="I176" s="402">
        <v>19050</v>
      </c>
      <c r="J176" s="401"/>
      <c r="K176" s="402"/>
      <c r="L176" s="401"/>
      <c r="M176" s="402"/>
      <c r="N176" s="401"/>
      <c r="O176" s="402"/>
      <c r="P176" s="401"/>
      <c r="Q176" s="402"/>
      <c r="R176" s="401"/>
      <c r="S176" s="402"/>
      <c r="T176" s="401"/>
      <c r="U176" s="402"/>
      <c r="V176" s="401"/>
      <c r="W176" s="402"/>
      <c r="X176" s="401"/>
      <c r="Y176" s="402"/>
      <c r="Z176" s="401"/>
      <c r="AA176" s="402"/>
      <c r="AB176" s="401"/>
      <c r="AC176" s="402"/>
      <c r="AD176" s="401"/>
      <c r="AE176" s="402"/>
      <c r="AF176" s="401"/>
      <c r="AG176" s="402"/>
      <c r="AH176" s="401"/>
      <c r="AI176" s="402"/>
      <c r="AJ176" s="401"/>
      <c r="AK176" s="402"/>
      <c r="AL176" s="401"/>
      <c r="AM176" s="402"/>
      <c r="AN176" s="401"/>
      <c r="AO176" s="402"/>
      <c r="AP176" s="53"/>
      <c r="AQ176" s="53"/>
      <c r="AR176" s="53"/>
    </row>
    <row r="177" spans="1:44" hidden="1">
      <c r="A177" s="222" t="s">
        <v>197</v>
      </c>
      <c r="B177" s="220" t="s">
        <v>221</v>
      </c>
      <c r="C177" s="221"/>
      <c r="D177" s="222">
        <v>156338</v>
      </c>
      <c r="E177" s="222">
        <v>12</v>
      </c>
      <c r="F177" s="401">
        <v>5610</v>
      </c>
      <c r="G177" s="402">
        <v>5610</v>
      </c>
      <c r="H177" s="401">
        <v>19050</v>
      </c>
      <c r="I177" s="402">
        <v>19050</v>
      </c>
      <c r="J177" s="401"/>
      <c r="K177" s="402"/>
      <c r="L177" s="401"/>
      <c r="M177" s="402"/>
      <c r="N177" s="401"/>
      <c r="O177" s="402"/>
      <c r="P177" s="401"/>
      <c r="Q177" s="402"/>
      <c r="R177" s="401"/>
      <c r="S177" s="402"/>
      <c r="T177" s="401"/>
      <c r="U177" s="402"/>
      <c r="V177" s="401"/>
      <c r="W177" s="402"/>
      <c r="X177" s="401"/>
      <c r="Y177" s="402"/>
      <c r="Z177" s="401"/>
      <c r="AA177" s="402"/>
      <c r="AB177" s="401"/>
      <c r="AC177" s="402"/>
      <c r="AD177" s="401"/>
      <c r="AE177" s="402"/>
      <c r="AF177" s="401"/>
      <c r="AG177" s="402"/>
      <c r="AH177" s="401"/>
      <c r="AI177" s="402"/>
      <c r="AJ177" s="401"/>
      <c r="AK177" s="402"/>
      <c r="AL177" s="401"/>
      <c r="AM177" s="402"/>
      <c r="AN177" s="401"/>
      <c r="AO177" s="402"/>
      <c r="AP177" s="53"/>
      <c r="AQ177" s="53"/>
      <c r="AR177" s="53"/>
    </row>
    <row r="178" spans="1:44">
      <c r="A178" s="249" t="s">
        <v>222</v>
      </c>
      <c r="B178" s="250" t="s">
        <v>223</v>
      </c>
      <c r="C178" s="457"/>
      <c r="D178" s="458">
        <v>159391</v>
      </c>
      <c r="E178" s="459">
        <v>1</v>
      </c>
      <c r="F178" s="401">
        <v>11962</v>
      </c>
      <c r="G178" s="402">
        <v>11958</v>
      </c>
      <c r="H178" s="401">
        <v>28639</v>
      </c>
      <c r="I178" s="402">
        <v>28635</v>
      </c>
      <c r="J178" s="401">
        <v>13035</v>
      </c>
      <c r="K178" s="402">
        <v>13031</v>
      </c>
      <c r="L178" s="401">
        <v>29970</v>
      </c>
      <c r="M178" s="402">
        <v>29966</v>
      </c>
      <c r="N178" s="401">
        <v>23673</v>
      </c>
      <c r="O178" s="402">
        <v>23668.9</v>
      </c>
      <c r="P178" s="401">
        <v>39113</v>
      </c>
      <c r="Q178" s="402">
        <v>39108.9</v>
      </c>
      <c r="R178" s="401"/>
      <c r="S178" s="402"/>
      <c r="T178" s="401"/>
      <c r="U178" s="402"/>
      <c r="V178" s="401"/>
      <c r="W178" s="402"/>
      <c r="X178" s="401"/>
      <c r="Y178" s="402"/>
      <c r="Z178" s="401"/>
      <c r="AA178" s="402"/>
      <c r="AB178" s="401"/>
      <c r="AC178" s="402"/>
      <c r="AD178" s="401"/>
      <c r="AE178" s="402"/>
      <c r="AF178" s="401"/>
      <c r="AG178" s="402"/>
      <c r="AH178" s="401"/>
      <c r="AI178" s="402"/>
      <c r="AJ178" s="401"/>
      <c r="AK178" s="402"/>
      <c r="AL178" s="401">
        <v>27399</v>
      </c>
      <c r="AM178" s="402">
        <v>27395</v>
      </c>
      <c r="AN178" s="401">
        <v>56499</v>
      </c>
      <c r="AO178" s="402">
        <v>56495</v>
      </c>
      <c r="AP178" s="53"/>
      <c r="AQ178" s="53"/>
      <c r="AR178" s="53"/>
    </row>
    <row r="179" spans="1:44">
      <c r="A179" s="249" t="s">
        <v>222</v>
      </c>
      <c r="B179" s="250" t="s">
        <v>224</v>
      </c>
      <c r="C179" s="457"/>
      <c r="D179" s="458">
        <v>159647</v>
      </c>
      <c r="E179" s="459">
        <v>2</v>
      </c>
      <c r="F179" s="401">
        <v>10634</v>
      </c>
      <c r="G179" s="402">
        <v>10635</v>
      </c>
      <c r="H179" s="401">
        <v>19547.2</v>
      </c>
      <c r="I179" s="402">
        <v>19548</v>
      </c>
      <c r="J179" s="401">
        <v>10053</v>
      </c>
      <c r="K179" s="402">
        <v>10053</v>
      </c>
      <c r="L179" s="401">
        <v>16794</v>
      </c>
      <c r="M179" s="402">
        <v>16794</v>
      </c>
      <c r="N179" s="401"/>
      <c r="O179" s="402"/>
      <c r="P179" s="401"/>
      <c r="Q179" s="402"/>
      <c r="R179" s="401"/>
      <c r="S179" s="402"/>
      <c r="T179" s="401"/>
      <c r="U179" s="402"/>
      <c r="V179" s="401"/>
      <c r="W179" s="402"/>
      <c r="X179" s="401"/>
      <c r="Y179" s="402"/>
      <c r="Z179" s="401"/>
      <c r="AA179" s="402"/>
      <c r="AB179" s="401"/>
      <c r="AC179" s="402"/>
      <c r="AD179" s="401"/>
      <c r="AE179" s="402"/>
      <c r="AF179" s="401"/>
      <c r="AG179" s="402"/>
      <c r="AH179" s="401"/>
      <c r="AI179" s="402"/>
      <c r="AJ179" s="401"/>
      <c r="AK179" s="402"/>
      <c r="AL179" s="401"/>
      <c r="AM179" s="402"/>
      <c r="AN179" s="401"/>
      <c r="AO179" s="402"/>
      <c r="AP179" s="53"/>
      <c r="AQ179" s="53"/>
      <c r="AR179" s="53"/>
    </row>
    <row r="180" spans="1:44">
      <c r="A180" s="249" t="s">
        <v>222</v>
      </c>
      <c r="B180" s="250" t="s">
        <v>225</v>
      </c>
      <c r="C180" s="457"/>
      <c r="D180" s="458">
        <v>160658</v>
      </c>
      <c r="E180" s="459">
        <v>2</v>
      </c>
      <c r="F180" s="401">
        <v>11174</v>
      </c>
      <c r="G180" s="402">
        <v>11162</v>
      </c>
      <c r="H180" s="401">
        <v>24902</v>
      </c>
      <c r="I180" s="402">
        <v>24890</v>
      </c>
      <c r="J180" s="401">
        <v>11114</v>
      </c>
      <c r="K180" s="402">
        <v>11102</v>
      </c>
      <c r="L180" s="401">
        <v>24842</v>
      </c>
      <c r="M180" s="402">
        <v>24830</v>
      </c>
      <c r="N180" s="401"/>
      <c r="O180" s="402"/>
      <c r="P180" s="401"/>
      <c r="Q180" s="402"/>
      <c r="R180" s="401"/>
      <c r="S180" s="402"/>
      <c r="T180" s="401"/>
      <c r="U180" s="402"/>
      <c r="V180" s="401"/>
      <c r="W180" s="402"/>
      <c r="X180" s="401"/>
      <c r="Y180" s="402"/>
      <c r="Z180" s="401"/>
      <c r="AA180" s="402"/>
      <c r="AB180" s="401"/>
      <c r="AC180" s="402"/>
      <c r="AD180" s="401"/>
      <c r="AE180" s="402"/>
      <c r="AF180" s="401"/>
      <c r="AG180" s="402"/>
      <c r="AH180" s="401"/>
      <c r="AI180" s="402"/>
      <c r="AJ180" s="401"/>
      <c r="AK180" s="402"/>
      <c r="AL180" s="401"/>
      <c r="AM180" s="402"/>
      <c r="AN180" s="401"/>
      <c r="AO180" s="402"/>
      <c r="AP180" s="53"/>
      <c r="AQ180" s="53"/>
      <c r="AR180" s="53"/>
    </row>
    <row r="181" spans="1:44">
      <c r="A181" s="249" t="s">
        <v>222</v>
      </c>
      <c r="B181" s="250" t="s">
        <v>226</v>
      </c>
      <c r="C181" s="457"/>
      <c r="D181" s="458">
        <v>159939</v>
      </c>
      <c r="E181" s="459">
        <v>2</v>
      </c>
      <c r="F181" s="401">
        <v>9354</v>
      </c>
      <c r="G181" s="402">
        <v>9354</v>
      </c>
      <c r="H181" s="401">
        <v>14190</v>
      </c>
      <c r="I181" s="402">
        <v>14190</v>
      </c>
      <c r="J181" s="401">
        <v>9648</v>
      </c>
      <c r="K181" s="402">
        <v>9648</v>
      </c>
      <c r="L181" s="401">
        <v>14218</v>
      </c>
      <c r="M181" s="402">
        <v>14218</v>
      </c>
      <c r="N181" s="401"/>
      <c r="O181" s="402"/>
      <c r="P181" s="401"/>
      <c r="Q181" s="402"/>
      <c r="R181" s="401"/>
      <c r="S181" s="402"/>
      <c r="T181" s="401"/>
      <c r="U181" s="402"/>
      <c r="V181" s="401"/>
      <c r="W181" s="402"/>
      <c r="X181" s="401"/>
      <c r="Y181" s="402"/>
      <c r="Z181" s="401"/>
      <c r="AA181" s="402"/>
      <c r="AB181" s="401"/>
      <c r="AC181" s="402"/>
      <c r="AD181" s="401"/>
      <c r="AE181" s="402"/>
      <c r="AF181" s="401"/>
      <c r="AG181" s="402"/>
      <c r="AH181" s="401"/>
      <c r="AI181" s="402"/>
      <c r="AJ181" s="401"/>
      <c r="AK181" s="402"/>
      <c r="AL181" s="401"/>
      <c r="AM181" s="402"/>
      <c r="AN181" s="401"/>
      <c r="AO181" s="402"/>
      <c r="AP181" s="53"/>
      <c r="AQ181" s="53"/>
      <c r="AR181" s="53"/>
    </row>
    <row r="182" spans="1:44">
      <c r="A182" s="249" t="s">
        <v>222</v>
      </c>
      <c r="B182" s="250" t="s">
        <v>232</v>
      </c>
      <c r="C182" s="460"/>
      <c r="D182" s="458">
        <v>159717</v>
      </c>
      <c r="E182" s="459">
        <v>3</v>
      </c>
      <c r="F182" s="401">
        <v>8665</v>
      </c>
      <c r="G182" s="402">
        <v>8662.66</v>
      </c>
      <c r="H182" s="401">
        <v>19740</v>
      </c>
      <c r="I182" s="402">
        <v>19737.66</v>
      </c>
      <c r="J182" s="401">
        <v>8822</v>
      </c>
      <c r="K182" s="402">
        <v>8819.68</v>
      </c>
      <c r="L182" s="401">
        <v>19897</v>
      </c>
      <c r="M182" s="402">
        <v>19894.68</v>
      </c>
      <c r="N182" s="401"/>
      <c r="O182" s="402"/>
      <c r="P182" s="401"/>
      <c r="Q182" s="402"/>
      <c r="R182" s="401"/>
      <c r="S182" s="402"/>
      <c r="T182" s="401"/>
      <c r="U182" s="402"/>
      <c r="V182" s="401"/>
      <c r="W182" s="402"/>
      <c r="X182" s="401"/>
      <c r="Y182" s="402"/>
      <c r="Z182" s="401"/>
      <c r="AA182" s="402"/>
      <c r="AB182" s="401"/>
      <c r="AC182" s="402"/>
      <c r="AD182" s="401"/>
      <c r="AE182" s="402"/>
      <c r="AF182" s="401"/>
      <c r="AG182" s="402"/>
      <c r="AH182" s="401"/>
      <c r="AI182" s="402"/>
      <c r="AJ182" s="401"/>
      <c r="AK182" s="402"/>
      <c r="AL182" s="401"/>
      <c r="AM182" s="402"/>
      <c r="AN182" s="401"/>
      <c r="AO182" s="402"/>
      <c r="AP182" s="53"/>
      <c r="AQ182" s="53"/>
      <c r="AR182" s="53"/>
    </row>
    <row r="183" spans="1:44">
      <c r="A183" s="249" t="s">
        <v>222</v>
      </c>
      <c r="B183" s="250" t="s">
        <v>227</v>
      </c>
      <c r="C183" s="457"/>
      <c r="D183" s="458">
        <v>160612</v>
      </c>
      <c r="E183" s="459">
        <v>3</v>
      </c>
      <c r="F183" s="401">
        <v>8454</v>
      </c>
      <c r="G183" s="402">
        <v>8454</v>
      </c>
      <c r="H183" s="401">
        <v>20932</v>
      </c>
      <c r="I183" s="402">
        <v>20932</v>
      </c>
      <c r="J183" s="401">
        <v>8962</v>
      </c>
      <c r="K183" s="402">
        <v>8962</v>
      </c>
      <c r="L183" s="401">
        <v>21440</v>
      </c>
      <c r="M183" s="402">
        <v>21440</v>
      </c>
      <c r="N183" s="401"/>
      <c r="O183" s="402"/>
      <c r="P183" s="401"/>
      <c r="Q183" s="402"/>
      <c r="R183" s="401"/>
      <c r="S183" s="402"/>
      <c r="T183" s="401"/>
      <c r="U183" s="402"/>
      <c r="V183" s="401"/>
      <c r="W183" s="402"/>
      <c r="X183" s="401"/>
      <c r="Y183" s="402"/>
      <c r="Z183" s="401"/>
      <c r="AA183" s="402"/>
      <c r="AB183" s="401"/>
      <c r="AC183" s="402"/>
      <c r="AD183" s="401"/>
      <c r="AE183" s="402"/>
      <c r="AF183" s="401"/>
      <c r="AG183" s="402"/>
      <c r="AH183" s="401"/>
      <c r="AI183" s="402"/>
      <c r="AJ183" s="401"/>
      <c r="AK183" s="402"/>
      <c r="AL183" s="401"/>
      <c r="AM183" s="402"/>
      <c r="AN183" s="401"/>
      <c r="AO183" s="402"/>
      <c r="AP183" s="53"/>
      <c r="AQ183" s="53"/>
      <c r="AR183" s="53"/>
    </row>
    <row r="184" spans="1:44">
      <c r="A184" s="249" t="s">
        <v>222</v>
      </c>
      <c r="B184" s="250" t="s">
        <v>228</v>
      </c>
      <c r="C184" s="457"/>
      <c r="D184" s="458">
        <v>160621</v>
      </c>
      <c r="E184" s="459">
        <v>3</v>
      </c>
      <c r="F184" s="401">
        <v>9236</v>
      </c>
      <c r="G184" s="402">
        <v>9842</v>
      </c>
      <c r="H184" s="401">
        <v>16586</v>
      </c>
      <c r="I184" s="402">
        <v>17192</v>
      </c>
      <c r="J184" s="401">
        <v>10616</v>
      </c>
      <c r="K184" s="402">
        <v>11222</v>
      </c>
      <c r="L184" s="401">
        <v>17062</v>
      </c>
      <c r="M184" s="402">
        <v>17668</v>
      </c>
      <c r="N184" s="401"/>
      <c r="O184" s="402"/>
      <c r="P184" s="401"/>
      <c r="Q184" s="402"/>
      <c r="R184" s="401"/>
      <c r="S184" s="402"/>
      <c r="T184" s="401"/>
      <c r="U184" s="402"/>
      <c r="V184" s="401"/>
      <c r="W184" s="402"/>
      <c r="X184" s="401"/>
      <c r="Y184" s="402"/>
      <c r="Z184" s="401"/>
      <c r="AA184" s="402"/>
      <c r="AB184" s="401"/>
      <c r="AC184" s="402"/>
      <c r="AD184" s="401"/>
      <c r="AE184" s="402"/>
      <c r="AF184" s="401"/>
      <c r="AG184" s="402"/>
      <c r="AH184" s="401"/>
      <c r="AI184" s="402"/>
      <c r="AJ184" s="401"/>
      <c r="AK184" s="402"/>
      <c r="AL184" s="401"/>
      <c r="AM184" s="402"/>
      <c r="AN184" s="401"/>
      <c r="AO184" s="402"/>
      <c r="AP184" s="53"/>
      <c r="AQ184" s="53"/>
      <c r="AR184" s="53"/>
    </row>
    <row r="185" spans="1:44">
      <c r="A185" s="249" t="s">
        <v>222</v>
      </c>
      <c r="B185" s="250" t="s">
        <v>229</v>
      </c>
      <c r="C185" s="457"/>
      <c r="D185" s="458">
        <v>159993</v>
      </c>
      <c r="E185" s="459">
        <v>3</v>
      </c>
      <c r="F185" s="401">
        <v>9399</v>
      </c>
      <c r="G185" s="402">
        <v>9387</v>
      </c>
      <c r="H185" s="401">
        <v>21499</v>
      </c>
      <c r="I185" s="402">
        <v>21487</v>
      </c>
      <c r="J185" s="401">
        <v>9788</v>
      </c>
      <c r="K185" s="402">
        <v>9776</v>
      </c>
      <c r="L185" s="401">
        <v>21888</v>
      </c>
      <c r="M185" s="402">
        <v>21876</v>
      </c>
      <c r="N185" s="401"/>
      <c r="O185" s="402"/>
      <c r="P185" s="401"/>
      <c r="Q185" s="402"/>
      <c r="R185" s="401"/>
      <c r="S185" s="402"/>
      <c r="T185" s="401"/>
      <c r="U185" s="402"/>
      <c r="V185" s="401"/>
      <c r="W185" s="402"/>
      <c r="X185" s="401"/>
      <c r="Y185" s="402"/>
      <c r="Z185" s="401">
        <v>24493</v>
      </c>
      <c r="AA185" s="402">
        <v>24481</v>
      </c>
      <c r="AB185" s="401">
        <v>44749</v>
      </c>
      <c r="AC185" s="402">
        <v>44737</v>
      </c>
      <c r="AD185" s="401"/>
      <c r="AE185" s="402"/>
      <c r="AF185" s="401"/>
      <c r="AG185" s="402"/>
      <c r="AH185" s="401"/>
      <c r="AI185" s="402"/>
      <c r="AJ185" s="401"/>
      <c r="AK185" s="402"/>
      <c r="AL185" s="401"/>
      <c r="AM185" s="402"/>
      <c r="AN185" s="401"/>
      <c r="AO185" s="402"/>
      <c r="AP185" s="53"/>
      <c r="AQ185" s="53"/>
      <c r="AR185" s="53"/>
    </row>
    <row r="186" spans="1:44">
      <c r="A186" s="249" t="s">
        <v>222</v>
      </c>
      <c r="B186" s="250" t="s">
        <v>230</v>
      </c>
      <c r="C186" s="457"/>
      <c r="D186" s="458">
        <v>159009</v>
      </c>
      <c r="E186" s="459">
        <v>4</v>
      </c>
      <c r="F186" s="401">
        <v>7635</v>
      </c>
      <c r="G186" s="402">
        <v>7683</v>
      </c>
      <c r="H186" s="401">
        <v>16658</v>
      </c>
      <c r="I186" s="402">
        <v>16706</v>
      </c>
      <c r="J186" s="401">
        <v>7575</v>
      </c>
      <c r="K186" s="402">
        <v>7623</v>
      </c>
      <c r="L186" s="401">
        <v>16598</v>
      </c>
      <c r="M186" s="402">
        <v>16646</v>
      </c>
      <c r="N186" s="401"/>
      <c r="O186" s="402"/>
      <c r="P186" s="401"/>
      <c r="Q186" s="402"/>
      <c r="R186" s="401"/>
      <c r="S186" s="402"/>
      <c r="T186" s="401"/>
      <c r="U186" s="402"/>
      <c r="V186" s="401"/>
      <c r="W186" s="402"/>
      <c r="X186" s="401"/>
      <c r="Y186" s="402"/>
      <c r="Z186" s="401"/>
      <c r="AA186" s="402"/>
      <c r="AB186" s="401"/>
      <c r="AC186" s="402"/>
      <c r="AD186" s="401"/>
      <c r="AE186" s="402"/>
      <c r="AF186" s="401"/>
      <c r="AG186" s="402"/>
      <c r="AH186" s="401"/>
      <c r="AI186" s="402"/>
      <c r="AJ186" s="401"/>
      <c r="AK186" s="402"/>
      <c r="AL186" s="401"/>
      <c r="AM186" s="402"/>
      <c r="AN186" s="401"/>
      <c r="AO186" s="402"/>
      <c r="AP186" s="53"/>
      <c r="AQ186" s="53"/>
      <c r="AR186" s="53"/>
    </row>
    <row r="187" spans="1:44">
      <c r="A187" s="249" t="s">
        <v>222</v>
      </c>
      <c r="B187" s="250" t="s">
        <v>231</v>
      </c>
      <c r="C187" s="457"/>
      <c r="D187" s="458">
        <v>159416</v>
      </c>
      <c r="E187" s="459">
        <v>4</v>
      </c>
      <c r="F187" s="401">
        <v>7434.18</v>
      </c>
      <c r="G187" s="402">
        <v>7520.04</v>
      </c>
      <c r="H187" s="401">
        <v>20588.34</v>
      </c>
      <c r="I187" s="402">
        <v>20674.2</v>
      </c>
      <c r="J187" s="401">
        <v>7687.65</v>
      </c>
      <c r="K187" s="402">
        <v>7414.68</v>
      </c>
      <c r="L187" s="401">
        <v>20184.87</v>
      </c>
      <c r="M187" s="402">
        <v>19911.900000000001</v>
      </c>
      <c r="N187" s="401"/>
      <c r="O187" s="402"/>
      <c r="P187" s="401"/>
      <c r="Q187" s="402"/>
      <c r="R187" s="401"/>
      <c r="S187" s="402"/>
      <c r="T187" s="401"/>
      <c r="U187" s="402"/>
      <c r="V187" s="401"/>
      <c r="W187" s="402"/>
      <c r="X187" s="401"/>
      <c r="Y187" s="402"/>
      <c r="Z187" s="401"/>
      <c r="AA187" s="402"/>
      <c r="AB187" s="401"/>
      <c r="AC187" s="402"/>
      <c r="AD187" s="401"/>
      <c r="AE187" s="402"/>
      <c r="AF187" s="401"/>
      <c r="AG187" s="402"/>
      <c r="AH187" s="401"/>
      <c r="AI187" s="402"/>
      <c r="AJ187" s="401"/>
      <c r="AK187" s="402"/>
      <c r="AL187" s="401"/>
      <c r="AM187" s="402"/>
      <c r="AN187" s="401"/>
      <c r="AO187" s="402"/>
      <c r="AP187" s="53"/>
      <c r="AQ187" s="53"/>
      <c r="AR187" s="53"/>
    </row>
    <row r="188" spans="1:44">
      <c r="A188" s="249" t="s">
        <v>222</v>
      </c>
      <c r="B188" s="250" t="s">
        <v>233</v>
      </c>
      <c r="C188" s="457"/>
      <c r="D188" s="458">
        <v>159966</v>
      </c>
      <c r="E188" s="459">
        <v>4</v>
      </c>
      <c r="F188" s="401">
        <v>7975</v>
      </c>
      <c r="G188" s="402">
        <v>7975</v>
      </c>
      <c r="H188" s="401">
        <v>9068</v>
      </c>
      <c r="I188" s="402">
        <v>9068</v>
      </c>
      <c r="J188" s="401">
        <v>8581</v>
      </c>
      <c r="K188" s="402">
        <v>8581</v>
      </c>
      <c r="L188" s="401">
        <v>9674</v>
      </c>
      <c r="M188" s="402">
        <v>9674</v>
      </c>
      <c r="N188" s="401"/>
      <c r="O188" s="402"/>
      <c r="P188" s="401"/>
      <c r="Q188" s="402"/>
      <c r="R188" s="401"/>
      <c r="S188" s="402"/>
      <c r="T188" s="401"/>
      <c r="U188" s="402"/>
      <c r="V188" s="401"/>
      <c r="W188" s="402"/>
      <c r="X188" s="401"/>
      <c r="Y188" s="402"/>
      <c r="Z188" s="401"/>
      <c r="AA188" s="402"/>
      <c r="AB188" s="401"/>
      <c r="AC188" s="402"/>
      <c r="AD188" s="401"/>
      <c r="AE188" s="402"/>
      <c r="AF188" s="401"/>
      <c r="AG188" s="402"/>
      <c r="AH188" s="401"/>
      <c r="AI188" s="402"/>
      <c r="AJ188" s="401"/>
      <c r="AK188" s="402"/>
      <c r="AL188" s="401"/>
      <c r="AM188" s="402"/>
      <c r="AN188" s="401"/>
      <c r="AO188" s="402"/>
      <c r="AP188" s="53"/>
      <c r="AQ188" s="53"/>
      <c r="AR188" s="53"/>
    </row>
    <row r="189" spans="1:44">
      <c r="A189" s="249" t="s">
        <v>222</v>
      </c>
      <c r="B189" s="250" t="s">
        <v>234</v>
      </c>
      <c r="C189" s="457"/>
      <c r="D189" s="458">
        <v>160038</v>
      </c>
      <c r="E189" s="459">
        <v>4</v>
      </c>
      <c r="F189" s="401">
        <v>8702</v>
      </c>
      <c r="G189" s="402">
        <v>8702</v>
      </c>
      <c r="H189" s="401">
        <v>19490</v>
      </c>
      <c r="I189" s="402">
        <v>19490</v>
      </c>
      <c r="J189" s="401">
        <v>9764</v>
      </c>
      <c r="K189" s="402">
        <v>9764</v>
      </c>
      <c r="L189" s="401">
        <v>20552</v>
      </c>
      <c r="M189" s="402">
        <v>20552</v>
      </c>
      <c r="N189" s="401"/>
      <c r="O189" s="402"/>
      <c r="P189" s="401"/>
      <c r="Q189" s="402"/>
      <c r="R189" s="401"/>
      <c r="S189" s="402"/>
      <c r="T189" s="401"/>
      <c r="U189" s="402"/>
      <c r="V189" s="401"/>
      <c r="W189" s="402"/>
      <c r="X189" s="401"/>
      <c r="Y189" s="402"/>
      <c r="Z189" s="401"/>
      <c r="AA189" s="402"/>
      <c r="AB189" s="401"/>
      <c r="AC189" s="402"/>
      <c r="AD189" s="401"/>
      <c r="AE189" s="402"/>
      <c r="AF189" s="401"/>
      <c r="AG189" s="402"/>
      <c r="AH189" s="401"/>
      <c r="AI189" s="402"/>
      <c r="AJ189" s="401"/>
      <c r="AK189" s="402"/>
      <c r="AL189" s="401"/>
      <c r="AM189" s="402"/>
      <c r="AN189" s="401"/>
      <c r="AO189" s="402"/>
      <c r="AP189" s="53"/>
      <c r="AQ189" s="53"/>
      <c r="AR189" s="53"/>
    </row>
    <row r="190" spans="1:44">
      <c r="A190" s="252" t="s">
        <v>222</v>
      </c>
      <c r="B190" s="250" t="s">
        <v>235</v>
      </c>
      <c r="C190" s="460"/>
      <c r="D190" s="458">
        <v>160630</v>
      </c>
      <c r="E190" s="459">
        <v>5</v>
      </c>
      <c r="F190" s="401">
        <v>7287.3339999999998</v>
      </c>
      <c r="G190" s="402">
        <v>7381.34</v>
      </c>
      <c r="H190" s="401">
        <v>16188.34</v>
      </c>
      <c r="I190" s="402">
        <v>16282.34</v>
      </c>
      <c r="J190" s="401">
        <v>9120.34</v>
      </c>
      <c r="K190" s="402">
        <v>9214.34</v>
      </c>
      <c r="L190" s="401">
        <v>16062.34</v>
      </c>
      <c r="M190" s="402">
        <v>16156.34</v>
      </c>
      <c r="N190" s="401"/>
      <c r="O190" s="402"/>
      <c r="P190" s="401"/>
      <c r="Q190" s="402"/>
      <c r="R190" s="401"/>
      <c r="S190" s="402"/>
      <c r="T190" s="401"/>
      <c r="U190" s="402"/>
      <c r="V190" s="401"/>
      <c r="W190" s="402"/>
      <c r="X190" s="401"/>
      <c r="Y190" s="402"/>
      <c r="Z190" s="401"/>
      <c r="AA190" s="402"/>
      <c r="AB190" s="401"/>
      <c r="AC190" s="402"/>
      <c r="AD190" s="401"/>
      <c r="AE190" s="402"/>
      <c r="AF190" s="401"/>
      <c r="AG190" s="402"/>
      <c r="AH190" s="401"/>
      <c r="AI190" s="402"/>
      <c r="AJ190" s="401"/>
      <c r="AK190" s="402"/>
      <c r="AL190" s="401"/>
      <c r="AM190" s="402"/>
      <c r="AN190" s="401"/>
      <c r="AO190" s="402"/>
      <c r="AP190" s="53"/>
      <c r="AQ190" s="53"/>
      <c r="AR190" s="53"/>
    </row>
    <row r="191" spans="1:44">
      <c r="A191" s="249" t="s">
        <v>222</v>
      </c>
      <c r="B191" s="250" t="s">
        <v>236</v>
      </c>
      <c r="C191" s="460"/>
      <c r="D191" s="458">
        <v>159382</v>
      </c>
      <c r="E191" s="459">
        <v>6</v>
      </c>
      <c r="F191" s="401">
        <v>6910.1</v>
      </c>
      <c r="G191" s="402">
        <v>6910.02</v>
      </c>
      <c r="H191" s="401">
        <v>14175.86</v>
      </c>
      <c r="I191" s="402">
        <v>14175.78</v>
      </c>
      <c r="J191" s="401"/>
      <c r="K191" s="402"/>
      <c r="L191" s="401"/>
      <c r="M191" s="402"/>
      <c r="N191" s="401"/>
      <c r="O191" s="402"/>
      <c r="P191" s="401"/>
      <c r="Q191" s="402"/>
      <c r="R191" s="401"/>
      <c r="S191" s="402"/>
      <c r="T191" s="401"/>
      <c r="U191" s="402"/>
      <c r="V191" s="401"/>
      <c r="W191" s="402"/>
      <c r="X191" s="401"/>
      <c r="Y191" s="402"/>
      <c r="Z191" s="401"/>
      <c r="AA191" s="402"/>
      <c r="AB191" s="401"/>
      <c r="AC191" s="402"/>
      <c r="AD191" s="401"/>
      <c r="AE191" s="402"/>
      <c r="AF191" s="401"/>
      <c r="AG191" s="402"/>
      <c r="AH191" s="401"/>
      <c r="AI191" s="402"/>
      <c r="AJ191" s="401"/>
      <c r="AK191" s="402"/>
      <c r="AL191" s="401"/>
      <c r="AM191" s="402"/>
      <c r="AN191" s="401"/>
      <c r="AO191" s="402"/>
      <c r="AP191" s="53"/>
      <c r="AQ191" s="53"/>
      <c r="AR191" s="53"/>
    </row>
    <row r="192" spans="1:44" hidden="1">
      <c r="A192" s="249" t="s">
        <v>222</v>
      </c>
      <c r="B192" s="250" t="s">
        <v>237</v>
      </c>
      <c r="C192" s="457"/>
      <c r="D192" s="458">
        <v>437103</v>
      </c>
      <c r="E192" s="459">
        <v>8</v>
      </c>
      <c r="F192" s="401">
        <v>4221.3599999999997</v>
      </c>
      <c r="G192" s="402">
        <v>4321.3599999999997</v>
      </c>
      <c r="H192" s="406">
        <v>4221.3599999999997</v>
      </c>
      <c r="I192" s="402">
        <v>4321.3599999999997</v>
      </c>
      <c r="J192" s="401"/>
      <c r="K192" s="402"/>
      <c r="L192" s="401"/>
      <c r="M192" s="402"/>
      <c r="N192" s="401"/>
      <c r="O192" s="402"/>
      <c r="P192" s="401"/>
      <c r="Q192" s="402"/>
      <c r="R192" s="401"/>
      <c r="S192" s="402"/>
      <c r="T192" s="401"/>
      <c r="U192" s="402"/>
      <c r="V192" s="401"/>
      <c r="W192" s="402"/>
      <c r="X192" s="401"/>
      <c r="Y192" s="402"/>
      <c r="Z192" s="401"/>
      <c r="AA192" s="402"/>
      <c r="AB192" s="401"/>
      <c r="AC192" s="402"/>
      <c r="AD192" s="401"/>
      <c r="AE192" s="402"/>
      <c r="AF192" s="401"/>
      <c r="AG192" s="402"/>
      <c r="AH192" s="401"/>
      <c r="AI192" s="402"/>
      <c r="AJ192" s="401"/>
      <c r="AK192" s="402"/>
      <c r="AL192" s="401"/>
      <c r="AM192" s="402"/>
      <c r="AN192" s="401"/>
      <c r="AO192" s="402"/>
      <c r="AP192" s="53"/>
      <c r="AQ192" s="53"/>
      <c r="AR192" s="53"/>
    </row>
    <row r="193" spans="1:44" hidden="1">
      <c r="A193" s="249" t="s">
        <v>222</v>
      </c>
      <c r="B193" s="250" t="s">
        <v>239</v>
      </c>
      <c r="C193" s="457"/>
      <c r="D193" s="458">
        <v>158662</v>
      </c>
      <c r="E193" s="459">
        <v>8</v>
      </c>
      <c r="F193" s="401">
        <v>4279.04</v>
      </c>
      <c r="G193" s="402">
        <v>4279.04</v>
      </c>
      <c r="H193" s="406">
        <v>4279.04</v>
      </c>
      <c r="I193" s="402">
        <v>4279.04</v>
      </c>
      <c r="J193" s="401"/>
      <c r="K193" s="402"/>
      <c r="L193" s="401"/>
      <c r="M193" s="402"/>
      <c r="N193" s="401"/>
      <c r="O193" s="402"/>
      <c r="P193" s="401"/>
      <c r="Q193" s="402"/>
      <c r="R193" s="401"/>
      <c r="S193" s="402"/>
      <c r="T193" s="401"/>
      <c r="U193" s="402"/>
      <c r="V193" s="401"/>
      <c r="W193" s="402"/>
      <c r="X193" s="401"/>
      <c r="Y193" s="402"/>
      <c r="Z193" s="401"/>
      <c r="AA193" s="402"/>
      <c r="AB193" s="401"/>
      <c r="AC193" s="402"/>
      <c r="AD193" s="401"/>
      <c r="AE193" s="402"/>
      <c r="AF193" s="401"/>
      <c r="AG193" s="402"/>
      <c r="AH193" s="401"/>
      <c r="AI193" s="402"/>
      <c r="AJ193" s="401"/>
      <c r="AK193" s="402"/>
      <c r="AL193" s="401"/>
      <c r="AM193" s="402"/>
      <c r="AN193" s="401"/>
      <c r="AO193" s="402"/>
      <c r="AP193" s="53"/>
      <c r="AQ193" s="53"/>
      <c r="AR193" s="53"/>
    </row>
    <row r="194" spans="1:44" hidden="1">
      <c r="A194" s="249" t="s">
        <v>222</v>
      </c>
      <c r="B194" s="250" t="s">
        <v>238</v>
      </c>
      <c r="C194" s="457"/>
      <c r="D194" s="458">
        <v>158431</v>
      </c>
      <c r="E194" s="459">
        <v>9</v>
      </c>
      <c r="F194" s="401">
        <v>4283.04</v>
      </c>
      <c r="G194" s="402">
        <v>4283.04</v>
      </c>
      <c r="H194" s="406">
        <v>4283.04</v>
      </c>
      <c r="I194" s="402">
        <v>4283.04</v>
      </c>
      <c r="J194" s="401"/>
      <c r="K194" s="402"/>
      <c r="L194" s="401"/>
      <c r="M194" s="402"/>
      <c r="N194" s="401"/>
      <c r="O194" s="402"/>
      <c r="P194" s="401"/>
      <c r="Q194" s="402"/>
      <c r="R194" s="401"/>
      <c r="S194" s="402"/>
      <c r="T194" s="401"/>
      <c r="U194" s="402"/>
      <c r="V194" s="401"/>
      <c r="W194" s="402"/>
      <c r="X194" s="401"/>
      <c r="Y194" s="402"/>
      <c r="Z194" s="401"/>
      <c r="AA194" s="402"/>
      <c r="AB194" s="401"/>
      <c r="AC194" s="402"/>
      <c r="AD194" s="401"/>
      <c r="AE194" s="402"/>
      <c r="AF194" s="401"/>
      <c r="AG194" s="402"/>
      <c r="AH194" s="401"/>
      <c r="AI194" s="402"/>
      <c r="AJ194" s="401"/>
      <c r="AK194" s="402"/>
      <c r="AL194" s="401"/>
      <c r="AM194" s="402"/>
      <c r="AN194" s="401"/>
      <c r="AO194" s="402"/>
      <c r="AP194" s="53"/>
      <c r="AQ194" s="53"/>
      <c r="AR194" s="53"/>
    </row>
    <row r="195" spans="1:44" hidden="1">
      <c r="A195" s="249" t="s">
        <v>222</v>
      </c>
      <c r="B195" s="250" t="s">
        <v>240</v>
      </c>
      <c r="C195" s="460"/>
      <c r="D195" s="458">
        <v>483212</v>
      </c>
      <c r="E195" s="459">
        <v>9</v>
      </c>
      <c r="F195" s="401">
        <v>4159.04</v>
      </c>
      <c r="G195" s="402">
        <v>4199.04</v>
      </c>
      <c r="H195" s="406">
        <v>4159.04</v>
      </c>
      <c r="I195" s="402">
        <v>4199.04</v>
      </c>
      <c r="J195" s="401"/>
      <c r="K195" s="402"/>
      <c r="L195" s="401"/>
      <c r="M195" s="402"/>
      <c r="N195" s="401"/>
      <c r="O195" s="402"/>
      <c r="P195" s="401"/>
      <c r="Q195" s="402"/>
      <c r="R195" s="401"/>
      <c r="S195" s="402"/>
      <c r="T195" s="401"/>
      <c r="U195" s="402"/>
      <c r="V195" s="401"/>
      <c r="W195" s="402"/>
      <c r="X195" s="401"/>
      <c r="Y195" s="402"/>
      <c r="Z195" s="401"/>
      <c r="AA195" s="402"/>
      <c r="AB195" s="401"/>
      <c r="AC195" s="402"/>
      <c r="AD195" s="401"/>
      <c r="AE195" s="402"/>
      <c r="AF195" s="401"/>
      <c r="AG195" s="402"/>
      <c r="AH195" s="401"/>
      <c r="AI195" s="402"/>
      <c r="AJ195" s="401"/>
      <c r="AK195" s="402"/>
      <c r="AL195" s="401"/>
      <c r="AM195" s="402"/>
      <c r="AN195" s="401"/>
      <c r="AO195" s="402"/>
      <c r="AP195" s="53"/>
      <c r="AQ195" s="53"/>
      <c r="AR195" s="53"/>
    </row>
    <row r="196" spans="1:44" hidden="1">
      <c r="A196" s="249" t="s">
        <v>222</v>
      </c>
      <c r="B196" s="250" t="s">
        <v>241</v>
      </c>
      <c r="C196" s="457"/>
      <c r="D196" s="458">
        <v>434061</v>
      </c>
      <c r="E196" s="459">
        <v>9</v>
      </c>
      <c r="F196" s="401">
        <v>4205.04</v>
      </c>
      <c r="G196" s="402">
        <v>4205.04</v>
      </c>
      <c r="H196" s="406">
        <v>4205.04</v>
      </c>
      <c r="I196" s="402">
        <v>4205.04</v>
      </c>
      <c r="J196" s="401"/>
      <c r="K196" s="402"/>
      <c r="L196" s="401"/>
      <c r="M196" s="402"/>
      <c r="N196" s="401"/>
      <c r="O196" s="402"/>
      <c r="P196" s="401"/>
      <c r="Q196" s="402"/>
      <c r="R196" s="401"/>
      <c r="S196" s="402"/>
      <c r="T196" s="401"/>
      <c r="U196" s="402"/>
      <c r="V196" s="401"/>
      <c r="W196" s="402"/>
      <c r="X196" s="401"/>
      <c r="Y196" s="402"/>
      <c r="Z196" s="401"/>
      <c r="AA196" s="402"/>
      <c r="AB196" s="401"/>
      <c r="AC196" s="402"/>
      <c r="AD196" s="401"/>
      <c r="AE196" s="402"/>
      <c r="AF196" s="401"/>
      <c r="AG196" s="402"/>
      <c r="AH196" s="401"/>
      <c r="AI196" s="402"/>
      <c r="AJ196" s="401"/>
      <c r="AK196" s="402"/>
      <c r="AL196" s="401"/>
      <c r="AM196" s="402"/>
      <c r="AN196" s="401"/>
      <c r="AO196" s="402"/>
      <c r="AP196" s="53"/>
      <c r="AQ196" s="53"/>
      <c r="AR196" s="53"/>
    </row>
    <row r="197" spans="1:44" hidden="1">
      <c r="A197" s="249" t="s">
        <v>222</v>
      </c>
      <c r="B197" s="250" t="s">
        <v>242</v>
      </c>
      <c r="C197" s="461" t="s">
        <v>1009</v>
      </c>
      <c r="D197" s="458">
        <v>160649</v>
      </c>
      <c r="E197" s="459">
        <v>9</v>
      </c>
      <c r="F197" s="401">
        <v>4379.5</v>
      </c>
      <c r="G197" s="402">
        <v>4379.5</v>
      </c>
      <c r="H197" s="401">
        <v>7679.5</v>
      </c>
      <c r="I197" s="402">
        <v>7679.5</v>
      </c>
      <c r="J197" s="401"/>
      <c r="K197" s="402"/>
      <c r="L197" s="401"/>
      <c r="M197" s="402"/>
      <c r="N197" s="401"/>
      <c r="O197" s="402"/>
      <c r="P197" s="401"/>
      <c r="Q197" s="402"/>
      <c r="R197" s="401"/>
      <c r="S197" s="402"/>
      <c r="T197" s="401"/>
      <c r="U197" s="402"/>
      <c r="V197" s="401"/>
      <c r="W197" s="402"/>
      <c r="X197" s="401"/>
      <c r="Y197" s="402"/>
      <c r="Z197" s="401"/>
      <c r="AA197" s="402"/>
      <c r="AB197" s="401"/>
      <c r="AC197" s="402"/>
      <c r="AD197" s="401"/>
      <c r="AE197" s="402"/>
      <c r="AF197" s="401"/>
      <c r="AG197" s="402"/>
      <c r="AH197" s="401"/>
      <c r="AI197" s="402"/>
      <c r="AJ197" s="401"/>
      <c r="AK197" s="402"/>
      <c r="AL197" s="401"/>
      <c r="AM197" s="402"/>
      <c r="AN197" s="401"/>
      <c r="AO197" s="402"/>
      <c r="AP197" s="53"/>
      <c r="AQ197" s="53"/>
      <c r="AR197" s="53"/>
    </row>
    <row r="198" spans="1:44" hidden="1">
      <c r="A198" s="249" t="s">
        <v>222</v>
      </c>
      <c r="B198" s="250" t="s">
        <v>243</v>
      </c>
      <c r="C198" s="359"/>
      <c r="D198" s="458">
        <v>159407</v>
      </c>
      <c r="E198" s="459">
        <v>9</v>
      </c>
      <c r="F198" s="401">
        <v>4779</v>
      </c>
      <c r="G198" s="402">
        <v>4778.3999999999996</v>
      </c>
      <c r="H198" s="401">
        <v>10143</v>
      </c>
      <c r="I198" s="402">
        <v>10142.4</v>
      </c>
      <c r="J198" s="401"/>
      <c r="K198" s="402"/>
      <c r="L198" s="401"/>
      <c r="M198" s="402"/>
      <c r="N198" s="401"/>
      <c r="O198" s="402"/>
      <c r="P198" s="401"/>
      <c r="Q198" s="402"/>
      <c r="R198" s="401"/>
      <c r="S198" s="402"/>
      <c r="T198" s="401"/>
      <c r="U198" s="402"/>
      <c r="V198" s="401"/>
      <c r="W198" s="402"/>
      <c r="X198" s="401"/>
      <c r="Y198" s="402"/>
      <c r="Z198" s="401"/>
      <c r="AA198" s="402"/>
      <c r="AB198" s="401"/>
      <c r="AC198" s="402"/>
      <c r="AD198" s="401"/>
      <c r="AE198" s="402"/>
      <c r="AF198" s="401"/>
      <c r="AG198" s="402"/>
      <c r="AH198" s="401"/>
      <c r="AI198" s="402"/>
      <c r="AJ198" s="401"/>
      <c r="AK198" s="402"/>
      <c r="AL198" s="401"/>
      <c r="AM198" s="402"/>
      <c r="AN198" s="401"/>
      <c r="AO198" s="402"/>
      <c r="AP198" s="53"/>
      <c r="AQ198" s="53"/>
      <c r="AR198" s="53"/>
    </row>
    <row r="199" spans="1:44" hidden="1">
      <c r="A199" s="249" t="s">
        <v>222</v>
      </c>
      <c r="B199" s="250" t="s">
        <v>244</v>
      </c>
      <c r="C199" s="457"/>
      <c r="D199" s="458">
        <v>158884</v>
      </c>
      <c r="E199" s="459">
        <v>10</v>
      </c>
      <c r="F199" s="401">
        <v>4327.04</v>
      </c>
      <c r="G199" s="402">
        <v>4255.04</v>
      </c>
      <c r="H199" s="406">
        <v>4327.04</v>
      </c>
      <c r="I199" s="402">
        <v>4255.04</v>
      </c>
      <c r="J199" s="401"/>
      <c r="K199" s="402"/>
      <c r="L199" s="401"/>
      <c r="M199" s="402"/>
      <c r="N199" s="401"/>
      <c r="O199" s="402"/>
      <c r="P199" s="401"/>
      <c r="Q199" s="402"/>
      <c r="R199" s="401"/>
      <c r="S199" s="402"/>
      <c r="T199" s="401"/>
      <c r="U199" s="402"/>
      <c r="V199" s="401"/>
      <c r="W199" s="402"/>
      <c r="X199" s="401"/>
      <c r="Y199" s="402"/>
      <c r="Z199" s="401"/>
      <c r="AA199" s="402"/>
      <c r="AB199" s="401"/>
      <c r="AC199" s="402"/>
      <c r="AD199" s="401"/>
      <c r="AE199" s="402"/>
      <c r="AF199" s="401"/>
      <c r="AG199" s="402"/>
      <c r="AH199" s="401"/>
      <c r="AI199" s="402"/>
      <c r="AJ199" s="401"/>
      <c r="AK199" s="402"/>
      <c r="AL199" s="401"/>
      <c r="AM199" s="402"/>
      <c r="AN199" s="401"/>
      <c r="AO199" s="402"/>
      <c r="AP199" s="53"/>
      <c r="AQ199" s="53"/>
      <c r="AR199" s="53"/>
    </row>
    <row r="200" spans="1:44" hidden="1">
      <c r="A200" s="252" t="s">
        <v>222</v>
      </c>
      <c r="B200" s="250" t="s">
        <v>245</v>
      </c>
      <c r="C200" s="457"/>
      <c r="D200" s="458">
        <v>436304</v>
      </c>
      <c r="E200" s="459">
        <v>10</v>
      </c>
      <c r="F200" s="401">
        <v>4109.04</v>
      </c>
      <c r="G200" s="402">
        <v>4109.04</v>
      </c>
      <c r="H200" s="406">
        <v>4109.04</v>
      </c>
      <c r="I200" s="402">
        <v>4109.04</v>
      </c>
      <c r="J200" s="401"/>
      <c r="K200" s="402"/>
      <c r="L200" s="401"/>
      <c r="M200" s="402"/>
      <c r="N200" s="401"/>
      <c r="O200" s="402"/>
      <c r="P200" s="401"/>
      <c r="Q200" s="402"/>
      <c r="R200" s="401"/>
      <c r="S200" s="402"/>
      <c r="T200" s="401"/>
      <c r="U200" s="402"/>
      <c r="V200" s="401"/>
      <c r="W200" s="402"/>
      <c r="X200" s="401"/>
      <c r="Y200" s="402"/>
      <c r="Z200" s="401"/>
      <c r="AA200" s="402"/>
      <c r="AB200" s="401"/>
      <c r="AC200" s="402"/>
      <c r="AD200" s="401"/>
      <c r="AE200" s="402"/>
      <c r="AF200" s="401"/>
      <c r="AG200" s="402"/>
      <c r="AH200" s="401"/>
      <c r="AI200" s="402"/>
      <c r="AJ200" s="401"/>
      <c r="AK200" s="402"/>
      <c r="AL200" s="401"/>
      <c r="AM200" s="402"/>
      <c r="AN200" s="401"/>
      <c r="AO200" s="402"/>
      <c r="AP200" s="53"/>
      <c r="AQ200" s="53"/>
      <c r="AR200" s="53"/>
    </row>
    <row r="201" spans="1:44" hidden="1">
      <c r="A201" s="252" t="s">
        <v>222</v>
      </c>
      <c r="B201" s="250" t="s">
        <v>622</v>
      </c>
      <c r="C201" s="457"/>
      <c r="D201" s="458">
        <v>158088</v>
      </c>
      <c r="E201" s="459">
        <v>12</v>
      </c>
      <c r="F201" s="401">
        <v>4109.04</v>
      </c>
      <c r="G201" s="402">
        <v>4209.04</v>
      </c>
      <c r="H201" s="406">
        <v>4109.04</v>
      </c>
      <c r="I201" s="402">
        <v>4209.04</v>
      </c>
      <c r="J201" s="401"/>
      <c r="K201" s="402"/>
      <c r="L201" s="401"/>
      <c r="M201" s="402"/>
      <c r="N201" s="401"/>
      <c r="O201" s="402"/>
      <c r="P201" s="401"/>
      <c r="Q201" s="402"/>
      <c r="R201" s="401"/>
      <c r="S201" s="402"/>
      <c r="T201" s="401"/>
      <c r="U201" s="402"/>
      <c r="V201" s="401"/>
      <c r="W201" s="402"/>
      <c r="X201" s="401"/>
      <c r="Y201" s="402"/>
      <c r="Z201" s="401"/>
      <c r="AA201" s="402"/>
      <c r="AB201" s="401"/>
      <c r="AC201" s="402"/>
      <c r="AD201" s="401"/>
      <c r="AE201" s="402"/>
      <c r="AF201" s="401"/>
      <c r="AG201" s="402"/>
      <c r="AH201" s="401"/>
      <c r="AI201" s="402"/>
      <c r="AJ201" s="401"/>
      <c r="AK201" s="402"/>
      <c r="AL201" s="401"/>
      <c r="AM201" s="402"/>
      <c r="AN201" s="401"/>
      <c r="AO201" s="402"/>
      <c r="AP201" s="53"/>
      <c r="AQ201" s="53"/>
      <c r="AR201" s="53"/>
    </row>
    <row r="202" spans="1:44" hidden="1">
      <c r="A202" s="252" t="s">
        <v>222</v>
      </c>
      <c r="B202" s="250" t="s">
        <v>246</v>
      </c>
      <c r="C202" s="460"/>
      <c r="D202" s="458">
        <v>160481</v>
      </c>
      <c r="E202" s="459">
        <v>12</v>
      </c>
      <c r="F202" s="401">
        <v>4119.04</v>
      </c>
      <c r="G202" s="402">
        <v>4119.04</v>
      </c>
      <c r="H202" s="406">
        <v>4119.04</v>
      </c>
      <c r="I202" s="402">
        <v>4119.04</v>
      </c>
      <c r="J202" s="401"/>
      <c r="K202" s="402"/>
      <c r="L202" s="401"/>
      <c r="M202" s="402"/>
      <c r="N202" s="401"/>
      <c r="O202" s="402"/>
      <c r="P202" s="401"/>
      <c r="Q202" s="402"/>
      <c r="R202" s="401"/>
      <c r="S202" s="402"/>
      <c r="T202" s="401"/>
      <c r="U202" s="402"/>
      <c r="V202" s="401"/>
      <c r="W202" s="402"/>
      <c r="X202" s="401"/>
      <c r="Y202" s="402"/>
      <c r="Z202" s="401"/>
      <c r="AA202" s="402"/>
      <c r="AB202" s="401"/>
      <c r="AC202" s="402"/>
      <c r="AD202" s="401"/>
      <c r="AE202" s="402"/>
      <c r="AF202" s="401"/>
      <c r="AG202" s="402"/>
      <c r="AH202" s="401"/>
      <c r="AI202" s="402"/>
      <c r="AJ202" s="401"/>
      <c r="AK202" s="402"/>
      <c r="AL202" s="401"/>
      <c r="AM202" s="402"/>
      <c r="AN202" s="401"/>
      <c r="AO202" s="402"/>
      <c r="AP202" s="53"/>
      <c r="AQ202" s="53"/>
      <c r="AR202" s="53"/>
    </row>
    <row r="203" spans="1:44" hidden="1">
      <c r="A203" s="252" t="s">
        <v>222</v>
      </c>
      <c r="B203" s="250" t="s">
        <v>247</v>
      </c>
      <c r="C203" s="457"/>
      <c r="D203" s="458">
        <v>160667</v>
      </c>
      <c r="E203" s="459">
        <v>12</v>
      </c>
      <c r="F203" s="401">
        <v>4103.04</v>
      </c>
      <c r="G203" s="402">
        <v>4203.04</v>
      </c>
      <c r="H203" s="406">
        <v>4103.04</v>
      </c>
      <c r="I203" s="402">
        <v>4203.04</v>
      </c>
      <c r="J203" s="401"/>
      <c r="K203" s="402"/>
      <c r="L203" s="401"/>
      <c r="M203" s="402"/>
      <c r="N203" s="401"/>
      <c r="O203" s="402"/>
      <c r="P203" s="401"/>
      <c r="Q203" s="402"/>
      <c r="R203" s="401"/>
      <c r="S203" s="402"/>
      <c r="T203" s="401"/>
      <c r="U203" s="402"/>
      <c r="V203" s="401"/>
      <c r="W203" s="402"/>
      <c r="X203" s="401"/>
      <c r="Y203" s="402"/>
      <c r="Z203" s="401"/>
      <c r="AA203" s="402"/>
      <c r="AB203" s="401"/>
      <c r="AC203" s="402"/>
      <c r="AD203" s="401"/>
      <c r="AE203" s="402"/>
      <c r="AF203" s="401"/>
      <c r="AG203" s="402"/>
      <c r="AH203" s="401"/>
      <c r="AI203" s="402"/>
      <c r="AJ203" s="401"/>
      <c r="AK203" s="402"/>
      <c r="AL203" s="401"/>
      <c r="AM203" s="402"/>
      <c r="AN203" s="401"/>
      <c r="AO203" s="402"/>
      <c r="AP203" s="53"/>
      <c r="AQ203" s="53"/>
      <c r="AR203" s="53"/>
    </row>
    <row r="204" spans="1:44" hidden="1">
      <c r="A204" s="252" t="s">
        <v>222</v>
      </c>
      <c r="B204" s="250" t="s">
        <v>249</v>
      </c>
      <c r="C204" s="457"/>
      <c r="D204" s="458">
        <v>160579</v>
      </c>
      <c r="E204" s="459">
        <v>12</v>
      </c>
      <c r="F204" s="401">
        <v>4184.87</v>
      </c>
      <c r="G204" s="402">
        <v>4184.87</v>
      </c>
      <c r="H204" s="406">
        <v>4184.87</v>
      </c>
      <c r="I204" s="402">
        <v>4184.87</v>
      </c>
      <c r="J204" s="401"/>
      <c r="K204" s="402"/>
      <c r="L204" s="401"/>
      <c r="M204" s="402"/>
      <c r="N204" s="401"/>
      <c r="O204" s="402"/>
      <c r="P204" s="401"/>
      <c r="Q204" s="402"/>
      <c r="R204" s="401"/>
      <c r="S204" s="402"/>
      <c r="T204" s="401"/>
      <c r="U204" s="402"/>
      <c r="V204" s="401"/>
      <c r="W204" s="402"/>
      <c r="X204" s="401"/>
      <c r="Y204" s="402"/>
      <c r="Z204" s="401"/>
      <c r="AA204" s="402"/>
      <c r="AB204" s="401"/>
      <c r="AC204" s="402"/>
      <c r="AD204" s="401"/>
      <c r="AE204" s="402"/>
      <c r="AF204" s="401"/>
      <c r="AG204" s="402"/>
      <c r="AH204" s="401"/>
      <c r="AI204" s="402"/>
      <c r="AJ204" s="401"/>
      <c r="AK204" s="402"/>
      <c r="AL204" s="401"/>
      <c r="AM204" s="402"/>
      <c r="AN204" s="401"/>
      <c r="AO204" s="402"/>
      <c r="AP204" s="53"/>
      <c r="AQ204" s="53"/>
      <c r="AR204" s="53"/>
    </row>
    <row r="205" spans="1:44" hidden="1">
      <c r="A205" s="252" t="s">
        <v>222</v>
      </c>
      <c r="B205" s="250" t="s">
        <v>248</v>
      </c>
      <c r="C205" s="457"/>
      <c r="D205" s="458">
        <v>160010</v>
      </c>
      <c r="E205" s="459">
        <v>13</v>
      </c>
      <c r="F205" s="401">
        <v>4109.3500000000004</v>
      </c>
      <c r="G205" s="402">
        <v>4109.3500000000004</v>
      </c>
      <c r="H205" s="406">
        <v>4109.3500000000004</v>
      </c>
      <c r="I205" s="402">
        <v>4109.3500000000004</v>
      </c>
      <c r="J205" s="401"/>
      <c r="K205" s="402"/>
      <c r="L205" s="401"/>
      <c r="M205" s="402"/>
      <c r="N205" s="401"/>
      <c r="O205" s="402"/>
      <c r="P205" s="401"/>
      <c r="Q205" s="402"/>
      <c r="R205" s="401"/>
      <c r="S205" s="402"/>
      <c r="T205" s="401"/>
      <c r="U205" s="402"/>
      <c r="V205" s="401"/>
      <c r="W205" s="402"/>
      <c r="X205" s="401"/>
      <c r="Y205" s="402"/>
      <c r="Z205" s="401"/>
      <c r="AA205" s="402"/>
      <c r="AB205" s="401"/>
      <c r="AC205" s="402"/>
      <c r="AD205" s="401"/>
      <c r="AE205" s="402"/>
      <c r="AF205" s="401"/>
      <c r="AG205" s="402"/>
      <c r="AH205" s="401"/>
      <c r="AI205" s="402"/>
      <c r="AJ205" s="401"/>
      <c r="AK205" s="402"/>
      <c r="AL205" s="401"/>
      <c r="AM205" s="402"/>
      <c r="AN205" s="401"/>
      <c r="AO205" s="402"/>
      <c r="AP205" s="53"/>
      <c r="AQ205" s="53"/>
      <c r="AR205" s="53"/>
    </row>
    <row r="206" spans="1:44" hidden="1">
      <c r="A206" s="252" t="s">
        <v>222</v>
      </c>
      <c r="B206" s="250" t="s">
        <v>250</v>
      </c>
      <c r="C206" s="457"/>
      <c r="D206" s="458">
        <v>159373</v>
      </c>
      <c r="E206" s="459">
        <v>15</v>
      </c>
      <c r="F206" s="401"/>
      <c r="G206" s="402"/>
      <c r="H206" s="401"/>
      <c r="I206" s="402"/>
      <c r="J206" s="401"/>
      <c r="K206" s="402"/>
      <c r="L206" s="401"/>
      <c r="M206" s="402"/>
      <c r="N206" s="401"/>
      <c r="O206" s="402"/>
      <c r="P206" s="401"/>
      <c r="Q206" s="402"/>
      <c r="R206" s="401">
        <v>32936.949999999997</v>
      </c>
      <c r="S206" s="402">
        <v>32936.949999999997</v>
      </c>
      <c r="T206" s="401">
        <v>61114.29</v>
      </c>
      <c r="U206" s="402">
        <v>61114.29</v>
      </c>
      <c r="V206" s="401">
        <v>34403</v>
      </c>
      <c r="W206" s="402">
        <v>34403</v>
      </c>
      <c r="X206" s="401">
        <v>63869</v>
      </c>
      <c r="Y206" s="402">
        <v>63869</v>
      </c>
      <c r="Z206" s="401"/>
      <c r="AA206" s="402"/>
      <c r="AB206" s="401"/>
      <c r="AC206" s="402"/>
      <c r="AD206" s="401"/>
      <c r="AE206" s="402"/>
      <c r="AF206" s="401"/>
      <c r="AG206" s="402"/>
      <c r="AH206" s="401"/>
      <c r="AI206" s="402"/>
      <c r="AJ206" s="401"/>
      <c r="AK206" s="402"/>
      <c r="AL206" s="401"/>
      <c r="AM206" s="402"/>
      <c r="AN206" s="401"/>
      <c r="AO206" s="402"/>
      <c r="AP206" s="53"/>
      <c r="AQ206" s="53"/>
      <c r="AR206" s="53"/>
    </row>
    <row r="207" spans="1:44" hidden="1">
      <c r="A207" s="252" t="s">
        <v>222</v>
      </c>
      <c r="B207" s="250" t="s">
        <v>251</v>
      </c>
      <c r="C207" s="457"/>
      <c r="D207" s="458">
        <v>435000</v>
      </c>
      <c r="E207" s="459">
        <v>15</v>
      </c>
      <c r="F207" s="401"/>
      <c r="G207" s="402"/>
      <c r="H207" s="401"/>
      <c r="I207" s="402"/>
      <c r="J207" s="401"/>
      <c r="K207" s="402"/>
      <c r="L207" s="401"/>
      <c r="M207" s="402"/>
      <c r="N207" s="401"/>
      <c r="O207" s="402"/>
      <c r="P207" s="401"/>
      <c r="Q207" s="402"/>
      <c r="R207" s="401">
        <v>29343.25</v>
      </c>
      <c r="S207" s="402">
        <v>29343.25</v>
      </c>
      <c r="T207" s="401">
        <v>61165.25</v>
      </c>
      <c r="U207" s="402">
        <v>61165.25</v>
      </c>
      <c r="V207" s="401"/>
      <c r="W207" s="402"/>
      <c r="X207" s="401"/>
      <c r="Y207" s="402"/>
      <c r="Z207" s="401"/>
      <c r="AA207" s="402"/>
      <c r="AB207" s="401"/>
      <c r="AC207" s="402"/>
      <c r="AD207" s="401"/>
      <c r="AE207" s="402"/>
      <c r="AF207" s="401"/>
      <c r="AG207" s="402"/>
      <c r="AH207" s="401"/>
      <c r="AI207" s="402"/>
      <c r="AJ207" s="401"/>
      <c r="AK207" s="402"/>
      <c r="AL207" s="401"/>
      <c r="AM207" s="402"/>
      <c r="AN207" s="401"/>
      <c r="AO207" s="402"/>
      <c r="AP207" s="53"/>
      <c r="AQ207" s="53"/>
      <c r="AR207" s="53"/>
    </row>
    <row r="208" spans="1:44" hidden="1">
      <c r="A208" s="252" t="s">
        <v>222</v>
      </c>
      <c r="B208" s="254" t="s">
        <v>637</v>
      </c>
      <c r="C208" s="457"/>
      <c r="D208" s="458">
        <v>440916</v>
      </c>
      <c r="E208" s="459">
        <v>15</v>
      </c>
      <c r="F208" s="401"/>
      <c r="G208" s="402"/>
      <c r="H208" s="401"/>
      <c r="I208" s="402"/>
      <c r="J208" s="401"/>
      <c r="K208" s="402"/>
      <c r="L208" s="401"/>
      <c r="M208" s="402"/>
      <c r="N208" s="401">
        <v>17434</v>
      </c>
      <c r="O208" s="402">
        <v>17434</v>
      </c>
      <c r="P208" s="401">
        <v>30034</v>
      </c>
      <c r="Q208" s="402">
        <v>30034</v>
      </c>
      <c r="R208" s="401"/>
      <c r="S208" s="402"/>
      <c r="T208" s="401"/>
      <c r="U208" s="402"/>
      <c r="V208" s="401"/>
      <c r="W208" s="402"/>
      <c r="X208" s="401"/>
      <c r="Y208" s="402"/>
      <c r="Z208" s="401"/>
      <c r="AA208" s="402"/>
      <c r="AB208" s="401"/>
      <c r="AC208" s="402"/>
      <c r="AD208" s="401"/>
      <c r="AE208" s="402"/>
      <c r="AF208" s="401"/>
      <c r="AG208" s="402"/>
      <c r="AH208" s="401"/>
      <c r="AI208" s="402"/>
      <c r="AJ208" s="401"/>
      <c r="AK208" s="402"/>
      <c r="AL208" s="401"/>
      <c r="AM208" s="402"/>
      <c r="AN208" s="401"/>
      <c r="AO208" s="402"/>
      <c r="AP208" s="53"/>
      <c r="AQ208" s="53"/>
      <c r="AR208" s="53"/>
    </row>
    <row r="209" spans="1:44" hidden="1">
      <c r="A209" s="256" t="s">
        <v>252</v>
      </c>
      <c r="B209" s="226" t="s">
        <v>268</v>
      </c>
      <c r="C209" s="440"/>
      <c r="D209" s="436">
        <v>161688</v>
      </c>
      <c r="E209" s="439">
        <v>10</v>
      </c>
      <c r="F209" s="401">
        <v>4920</v>
      </c>
      <c r="G209" s="402">
        <v>4912</v>
      </c>
      <c r="H209" s="401">
        <v>10470</v>
      </c>
      <c r="I209" s="402">
        <v>10462</v>
      </c>
      <c r="J209" s="401"/>
      <c r="K209" s="402"/>
      <c r="L209" s="401"/>
      <c r="M209" s="402"/>
      <c r="N209" s="401"/>
      <c r="O209" s="402"/>
      <c r="P209" s="401"/>
      <c r="Q209" s="402"/>
      <c r="R209" s="401"/>
      <c r="S209" s="402"/>
      <c r="T209" s="401"/>
      <c r="U209" s="402"/>
      <c r="V209" s="401"/>
      <c r="W209" s="402"/>
      <c r="X209" s="401"/>
      <c r="Y209" s="402"/>
      <c r="Z209" s="401"/>
      <c r="AA209" s="402"/>
      <c r="AB209" s="401"/>
      <c r="AC209" s="402"/>
      <c r="AD209" s="401"/>
      <c r="AE209" s="402"/>
      <c r="AF209" s="401"/>
      <c r="AG209" s="402"/>
      <c r="AH209" s="401"/>
      <c r="AI209" s="402"/>
      <c r="AJ209" s="401"/>
      <c r="AK209" s="402"/>
      <c r="AL209" s="401"/>
      <c r="AM209" s="402"/>
      <c r="AN209" s="401"/>
      <c r="AO209" s="402"/>
      <c r="AP209" s="53"/>
      <c r="AQ209" s="53"/>
      <c r="AR209" s="53"/>
    </row>
    <row r="210" spans="1:44" hidden="1">
      <c r="A210" s="225" t="s">
        <v>252</v>
      </c>
      <c r="B210" s="226" t="s">
        <v>264</v>
      </c>
      <c r="C210" s="438"/>
      <c r="D210" s="436">
        <v>161767</v>
      </c>
      <c r="E210" s="439">
        <v>8</v>
      </c>
      <c r="F210" s="401">
        <v>4400</v>
      </c>
      <c r="G210" s="402">
        <v>4910</v>
      </c>
      <c r="H210" s="401">
        <v>13040</v>
      </c>
      <c r="I210" s="402">
        <v>13550</v>
      </c>
      <c r="J210" s="401"/>
      <c r="K210" s="402"/>
      <c r="L210" s="401"/>
      <c r="M210" s="402"/>
      <c r="N210" s="401"/>
      <c r="O210" s="402"/>
      <c r="P210" s="401"/>
      <c r="Q210" s="402"/>
      <c r="R210" s="401"/>
      <c r="S210" s="402"/>
      <c r="T210" s="401"/>
      <c r="U210" s="402"/>
      <c r="V210" s="401"/>
      <c r="W210" s="402"/>
      <c r="X210" s="401"/>
      <c r="Y210" s="402"/>
      <c r="Z210" s="401"/>
      <c r="AA210" s="402"/>
      <c r="AB210" s="401"/>
      <c r="AC210" s="402"/>
      <c r="AD210" s="401"/>
      <c r="AE210" s="402"/>
      <c r="AF210" s="401"/>
      <c r="AG210" s="402"/>
      <c r="AH210" s="401"/>
      <c r="AI210" s="402"/>
      <c r="AJ210" s="401"/>
      <c r="AK210" s="402"/>
      <c r="AL210" s="401"/>
      <c r="AM210" s="402"/>
      <c r="AN210" s="401"/>
      <c r="AO210" s="402"/>
      <c r="AP210" s="53"/>
      <c r="AQ210" s="53"/>
      <c r="AR210" s="53"/>
    </row>
    <row r="211" spans="1:44" hidden="1">
      <c r="A211" s="225" t="s">
        <v>252</v>
      </c>
      <c r="B211" s="226" t="s">
        <v>269</v>
      </c>
      <c r="C211" s="438"/>
      <c r="D211" s="436">
        <v>161864</v>
      </c>
      <c r="E211" s="439">
        <v>9</v>
      </c>
      <c r="F211" s="401">
        <v>4214</v>
      </c>
      <c r="G211" s="402">
        <v>3314</v>
      </c>
      <c r="H211" s="401">
        <v>9314</v>
      </c>
      <c r="I211" s="402">
        <v>7394</v>
      </c>
      <c r="J211" s="401"/>
      <c r="K211" s="402"/>
      <c r="L211" s="401"/>
      <c r="M211" s="402"/>
      <c r="N211" s="401"/>
      <c r="O211" s="402"/>
      <c r="P211" s="401"/>
      <c r="Q211" s="402"/>
      <c r="R211" s="401"/>
      <c r="S211" s="402"/>
      <c r="T211" s="401"/>
      <c r="U211" s="402"/>
      <c r="V211" s="401"/>
      <c r="W211" s="402"/>
      <c r="X211" s="401"/>
      <c r="Y211" s="402"/>
      <c r="Z211" s="401"/>
      <c r="AA211" s="402"/>
      <c r="AB211" s="401"/>
      <c r="AC211" s="402"/>
      <c r="AD211" s="401"/>
      <c r="AE211" s="402"/>
      <c r="AF211" s="401"/>
      <c r="AG211" s="402"/>
      <c r="AH211" s="401"/>
      <c r="AI211" s="402"/>
      <c r="AJ211" s="401"/>
      <c r="AK211" s="402"/>
      <c r="AL211" s="401"/>
      <c r="AM211" s="402"/>
      <c r="AN211" s="401"/>
      <c r="AO211" s="402"/>
      <c r="AP211" s="53"/>
      <c r="AQ211" s="53"/>
      <c r="AR211" s="53"/>
    </row>
    <row r="212" spans="1:44" hidden="1">
      <c r="A212" s="256" t="s">
        <v>252</v>
      </c>
      <c r="B212" s="226" t="s">
        <v>270</v>
      </c>
      <c r="C212" s="438"/>
      <c r="D212" s="436">
        <v>405872</v>
      </c>
      <c r="E212" s="439">
        <v>9</v>
      </c>
      <c r="F212" s="401">
        <v>5160</v>
      </c>
      <c r="G212" s="402">
        <v>5160</v>
      </c>
      <c r="H212" s="401">
        <v>12630</v>
      </c>
      <c r="I212" s="402">
        <v>10860</v>
      </c>
      <c r="J212" s="401"/>
      <c r="K212" s="402"/>
      <c r="L212" s="401"/>
      <c r="M212" s="402"/>
      <c r="N212" s="401"/>
      <c r="O212" s="402"/>
      <c r="P212" s="401"/>
      <c r="Q212" s="402"/>
      <c r="R212" s="401"/>
      <c r="S212" s="402"/>
      <c r="T212" s="401"/>
      <c r="U212" s="402"/>
      <c r="V212" s="401"/>
      <c r="W212" s="402"/>
      <c r="X212" s="401"/>
      <c r="Y212" s="402"/>
      <c r="Z212" s="401"/>
      <c r="AA212" s="402"/>
      <c r="AB212" s="401"/>
      <c r="AC212" s="402"/>
      <c r="AD212" s="401"/>
      <c r="AE212" s="402"/>
      <c r="AF212" s="401"/>
      <c r="AG212" s="402"/>
      <c r="AH212" s="401"/>
      <c r="AI212" s="402"/>
      <c r="AJ212" s="401"/>
      <c r="AK212" s="402"/>
      <c r="AL212" s="401"/>
      <c r="AM212" s="402"/>
      <c r="AN212" s="401"/>
      <c r="AO212" s="402"/>
      <c r="AP212" s="53"/>
      <c r="AQ212" s="53"/>
      <c r="AR212" s="53"/>
    </row>
    <row r="213" spans="1:44" hidden="1">
      <c r="A213" s="225" t="s">
        <v>252</v>
      </c>
      <c r="B213" s="226" t="s">
        <v>275</v>
      </c>
      <c r="C213" s="438"/>
      <c r="D213" s="436">
        <v>162104</v>
      </c>
      <c r="E213" s="439">
        <v>10</v>
      </c>
      <c r="F213" s="401">
        <v>4770</v>
      </c>
      <c r="G213" s="402">
        <v>4770</v>
      </c>
      <c r="H213" s="401">
        <v>9510</v>
      </c>
      <c r="I213" s="402">
        <v>9510</v>
      </c>
      <c r="J213" s="401"/>
      <c r="K213" s="402"/>
      <c r="L213" s="401"/>
      <c r="M213" s="402"/>
      <c r="N213" s="401"/>
      <c r="O213" s="402"/>
      <c r="P213" s="401"/>
      <c r="Q213" s="402"/>
      <c r="R213" s="401"/>
      <c r="S213" s="402"/>
      <c r="T213" s="401"/>
      <c r="U213" s="402"/>
      <c r="V213" s="401"/>
      <c r="W213" s="402"/>
      <c r="X213" s="401"/>
      <c r="Y213" s="402"/>
      <c r="Z213" s="401"/>
      <c r="AA213" s="402"/>
      <c r="AB213" s="401"/>
      <c r="AC213" s="402"/>
      <c r="AD213" s="401"/>
      <c r="AE213" s="402"/>
      <c r="AF213" s="401"/>
      <c r="AG213" s="402"/>
      <c r="AH213" s="401"/>
      <c r="AI213" s="402"/>
      <c r="AJ213" s="401"/>
      <c r="AK213" s="402"/>
      <c r="AL213" s="401"/>
      <c r="AM213" s="402"/>
      <c r="AN213" s="401"/>
      <c r="AO213" s="402"/>
      <c r="AP213" s="53"/>
      <c r="AQ213" s="53"/>
      <c r="AR213" s="53"/>
    </row>
    <row r="214" spans="1:44" hidden="1">
      <c r="A214" s="225" t="s">
        <v>252</v>
      </c>
      <c r="B214" s="226" t="s">
        <v>276</v>
      </c>
      <c r="C214" s="440"/>
      <c r="D214" s="436">
        <v>162168</v>
      </c>
      <c r="E214" s="439">
        <v>10</v>
      </c>
      <c r="F214" s="401">
        <v>4850</v>
      </c>
      <c r="G214" s="402">
        <v>4850</v>
      </c>
      <c r="H214" s="401">
        <v>9230</v>
      </c>
      <c r="I214" s="402">
        <v>9230</v>
      </c>
      <c r="J214" s="401"/>
      <c r="K214" s="402"/>
      <c r="L214" s="401"/>
      <c r="M214" s="402"/>
      <c r="N214" s="401"/>
      <c r="O214" s="402"/>
      <c r="P214" s="401"/>
      <c r="Q214" s="402"/>
      <c r="R214" s="401"/>
      <c r="S214" s="402"/>
      <c r="T214" s="401"/>
      <c r="U214" s="402"/>
      <c r="V214" s="401"/>
      <c r="W214" s="402"/>
      <c r="X214" s="401"/>
      <c r="Y214" s="402"/>
      <c r="Z214" s="401"/>
      <c r="AA214" s="402"/>
      <c r="AB214" s="401"/>
      <c r="AC214" s="402"/>
      <c r="AD214" s="401"/>
      <c r="AE214" s="402"/>
      <c r="AF214" s="401"/>
      <c r="AG214" s="402"/>
      <c r="AH214" s="401"/>
      <c r="AI214" s="402"/>
      <c r="AJ214" s="401"/>
      <c r="AK214" s="402"/>
      <c r="AL214" s="401"/>
      <c r="AM214" s="402"/>
      <c r="AN214" s="401"/>
      <c r="AO214" s="402"/>
      <c r="AP214" s="53"/>
      <c r="AQ214" s="53"/>
      <c r="AR214" s="53"/>
    </row>
    <row r="215" spans="1:44" hidden="1">
      <c r="A215" s="225" t="s">
        <v>252</v>
      </c>
      <c r="B215" s="226" t="s">
        <v>265</v>
      </c>
      <c r="C215" s="440"/>
      <c r="D215" s="436">
        <v>162122</v>
      </c>
      <c r="E215" s="462">
        <v>9</v>
      </c>
      <c r="F215" s="401">
        <v>4913</v>
      </c>
      <c r="G215" s="402">
        <v>5025</v>
      </c>
      <c r="H215" s="401">
        <v>11025</v>
      </c>
      <c r="I215" s="402">
        <v>11288</v>
      </c>
      <c r="J215" s="401"/>
      <c r="K215" s="402"/>
      <c r="L215" s="401"/>
      <c r="M215" s="402"/>
      <c r="N215" s="401"/>
      <c r="O215" s="402"/>
      <c r="P215" s="401"/>
      <c r="Q215" s="402"/>
      <c r="R215" s="401"/>
      <c r="S215" s="402"/>
      <c r="T215" s="401"/>
      <c r="U215" s="402"/>
      <c r="V215" s="401"/>
      <c r="W215" s="402"/>
      <c r="X215" s="401"/>
      <c r="Y215" s="402"/>
      <c r="Z215" s="401"/>
      <c r="AA215" s="402"/>
      <c r="AB215" s="401"/>
      <c r="AC215" s="402"/>
      <c r="AD215" s="401"/>
      <c r="AE215" s="402"/>
      <c r="AF215" s="401"/>
      <c r="AG215" s="402"/>
      <c r="AH215" s="401"/>
      <c r="AI215" s="402"/>
      <c r="AJ215" s="401"/>
      <c r="AK215" s="402"/>
      <c r="AL215" s="401"/>
      <c r="AM215" s="402"/>
      <c r="AN215" s="401"/>
      <c r="AO215" s="402"/>
      <c r="AP215" s="53"/>
      <c r="AQ215" s="53"/>
      <c r="AR215" s="53"/>
    </row>
    <row r="216" spans="1:44" hidden="1">
      <c r="A216" s="225" t="s">
        <v>252</v>
      </c>
      <c r="B216" s="226" t="s">
        <v>660</v>
      </c>
      <c r="C216" s="438"/>
      <c r="D216" s="436">
        <v>434672</v>
      </c>
      <c r="E216" s="439">
        <v>8</v>
      </c>
      <c r="F216" s="401">
        <v>5016</v>
      </c>
      <c r="G216" s="402">
        <v>5016</v>
      </c>
      <c r="H216" s="401">
        <v>12516</v>
      </c>
      <c r="I216" s="402">
        <v>12516</v>
      </c>
      <c r="J216" s="401"/>
      <c r="K216" s="402"/>
      <c r="L216" s="401"/>
      <c r="M216" s="402"/>
      <c r="N216" s="401"/>
      <c r="O216" s="402"/>
      <c r="P216" s="401"/>
      <c r="Q216" s="402"/>
      <c r="R216" s="401"/>
      <c r="S216" s="402"/>
      <c r="T216" s="401"/>
      <c r="U216" s="402"/>
      <c r="V216" s="401"/>
      <c r="W216" s="402"/>
      <c r="X216" s="401"/>
      <c r="Y216" s="402"/>
      <c r="Z216" s="401"/>
      <c r="AA216" s="402"/>
      <c r="AB216" s="401"/>
      <c r="AC216" s="402"/>
      <c r="AD216" s="401"/>
      <c r="AE216" s="402"/>
      <c r="AF216" s="401"/>
      <c r="AG216" s="402"/>
      <c r="AH216" s="401"/>
      <c r="AI216" s="402"/>
      <c r="AJ216" s="401"/>
      <c r="AK216" s="402"/>
      <c r="AL216" s="401"/>
      <c r="AM216" s="402"/>
      <c r="AN216" s="401"/>
      <c r="AO216" s="402"/>
      <c r="AP216" s="53"/>
      <c r="AQ216" s="53"/>
      <c r="AR216" s="53"/>
    </row>
    <row r="217" spans="1:44" hidden="1">
      <c r="A217" s="225" t="s">
        <v>252</v>
      </c>
      <c r="B217" s="226" t="s">
        <v>271</v>
      </c>
      <c r="C217" s="438"/>
      <c r="D217" s="436">
        <v>162557</v>
      </c>
      <c r="E217" s="439">
        <v>9</v>
      </c>
      <c r="F217" s="401">
        <v>4669</v>
      </c>
      <c r="G217" s="402">
        <v>4717</v>
      </c>
      <c r="H217" s="401">
        <v>12199</v>
      </c>
      <c r="I217" s="402">
        <v>12307</v>
      </c>
      <c r="J217" s="401"/>
      <c r="K217" s="402"/>
      <c r="L217" s="401"/>
      <c r="M217" s="402"/>
      <c r="N217" s="401"/>
      <c r="O217" s="402"/>
      <c r="P217" s="401"/>
      <c r="Q217" s="402"/>
      <c r="R217" s="401"/>
      <c r="S217" s="402"/>
      <c r="T217" s="401"/>
      <c r="U217" s="402"/>
      <c r="V217" s="401"/>
      <c r="W217" s="402"/>
      <c r="X217" s="401"/>
      <c r="Y217" s="402"/>
      <c r="Z217" s="401"/>
      <c r="AA217" s="402"/>
      <c r="AB217" s="401"/>
      <c r="AC217" s="402"/>
      <c r="AD217" s="401"/>
      <c r="AE217" s="402"/>
      <c r="AF217" s="401"/>
      <c r="AG217" s="402"/>
      <c r="AH217" s="401"/>
      <c r="AI217" s="402"/>
      <c r="AJ217" s="401"/>
      <c r="AK217" s="402"/>
      <c r="AL217" s="401"/>
      <c r="AM217" s="402"/>
      <c r="AN217" s="401"/>
      <c r="AO217" s="402"/>
      <c r="AP217" s="53"/>
      <c r="AQ217" s="53"/>
      <c r="AR217" s="53"/>
    </row>
    <row r="218" spans="1:44" hidden="1">
      <c r="A218" s="225" t="s">
        <v>252</v>
      </c>
      <c r="B218" s="226" t="s">
        <v>277</v>
      </c>
      <c r="C218" s="438"/>
      <c r="D218" s="436">
        <v>162609</v>
      </c>
      <c r="E218" s="439">
        <v>10</v>
      </c>
      <c r="F218" s="401">
        <v>4260</v>
      </c>
      <c r="G218" s="402">
        <v>4260</v>
      </c>
      <c r="H218" s="401">
        <v>11340</v>
      </c>
      <c r="I218" s="402">
        <v>11760</v>
      </c>
      <c r="J218" s="401"/>
      <c r="K218" s="402"/>
      <c r="L218" s="401"/>
      <c r="M218" s="402"/>
      <c r="N218" s="401"/>
      <c r="O218" s="402"/>
      <c r="P218" s="401"/>
      <c r="Q218" s="402"/>
      <c r="R218" s="401"/>
      <c r="S218" s="402"/>
      <c r="T218" s="401"/>
      <c r="U218" s="402"/>
      <c r="V218" s="401"/>
      <c r="W218" s="402"/>
      <c r="X218" s="401"/>
      <c r="Y218" s="402"/>
      <c r="Z218" s="401"/>
      <c r="AA218" s="402"/>
      <c r="AB218" s="401"/>
      <c r="AC218" s="402"/>
      <c r="AD218" s="401"/>
      <c r="AE218" s="402"/>
      <c r="AF218" s="401"/>
      <c r="AG218" s="402"/>
      <c r="AH218" s="401"/>
      <c r="AI218" s="402"/>
      <c r="AJ218" s="401"/>
      <c r="AK218" s="402"/>
      <c r="AL218" s="401"/>
      <c r="AM218" s="402"/>
      <c r="AN218" s="401"/>
      <c r="AO218" s="402"/>
      <c r="AP218" s="53"/>
      <c r="AQ218" s="53"/>
      <c r="AR218" s="53"/>
    </row>
    <row r="219" spans="1:44" hidden="1">
      <c r="A219" s="225" t="s">
        <v>252</v>
      </c>
      <c r="B219" s="226" t="s">
        <v>272</v>
      </c>
      <c r="C219" s="438"/>
      <c r="D219" s="436">
        <v>162690</v>
      </c>
      <c r="E219" s="439">
        <v>9</v>
      </c>
      <c r="F219" s="401">
        <v>4170</v>
      </c>
      <c r="G219" s="402">
        <v>4170</v>
      </c>
      <c r="H219" s="401">
        <v>8040</v>
      </c>
      <c r="I219" s="402">
        <v>8040</v>
      </c>
      <c r="J219" s="401"/>
      <c r="K219" s="402"/>
      <c r="L219" s="401"/>
      <c r="M219" s="402"/>
      <c r="N219" s="401"/>
      <c r="O219" s="402"/>
      <c r="P219" s="401"/>
      <c r="Q219" s="402"/>
      <c r="R219" s="401"/>
      <c r="S219" s="402"/>
      <c r="T219" s="401"/>
      <c r="U219" s="402"/>
      <c r="V219" s="401"/>
      <c r="W219" s="402"/>
      <c r="X219" s="401"/>
      <c r="Y219" s="402"/>
      <c r="Z219" s="401"/>
      <c r="AA219" s="402"/>
      <c r="AB219" s="401"/>
      <c r="AC219" s="402"/>
      <c r="AD219" s="401"/>
      <c r="AE219" s="402"/>
      <c r="AF219" s="401"/>
      <c r="AG219" s="402"/>
      <c r="AH219" s="401"/>
      <c r="AI219" s="402"/>
      <c r="AJ219" s="401"/>
      <c r="AK219" s="402"/>
      <c r="AL219" s="401"/>
      <c r="AM219" s="402"/>
      <c r="AN219" s="401"/>
      <c r="AO219" s="402"/>
      <c r="AP219" s="53"/>
      <c r="AQ219" s="53"/>
      <c r="AR219" s="53"/>
    </row>
    <row r="220" spans="1:44" hidden="1">
      <c r="A220" s="256" t="s">
        <v>252</v>
      </c>
      <c r="B220" s="226" t="s">
        <v>273</v>
      </c>
      <c r="C220" s="440"/>
      <c r="D220" s="436">
        <v>162706</v>
      </c>
      <c r="E220" s="439">
        <v>9</v>
      </c>
      <c r="F220" s="401">
        <v>4783</v>
      </c>
      <c r="G220" s="402">
        <v>4783</v>
      </c>
      <c r="H220" s="401">
        <v>10377</v>
      </c>
      <c r="I220" s="402">
        <v>10377</v>
      </c>
      <c r="J220" s="401"/>
      <c r="K220" s="402"/>
      <c r="L220" s="401"/>
      <c r="M220" s="402"/>
      <c r="N220" s="401"/>
      <c r="O220" s="402"/>
      <c r="P220" s="401"/>
      <c r="Q220" s="402"/>
      <c r="R220" s="401"/>
      <c r="S220" s="402"/>
      <c r="T220" s="401"/>
      <c r="U220" s="402"/>
      <c r="V220" s="401"/>
      <c r="W220" s="402"/>
      <c r="X220" s="401"/>
      <c r="Y220" s="402"/>
      <c r="Z220" s="401"/>
      <c r="AA220" s="402"/>
      <c r="AB220" s="401"/>
      <c r="AC220" s="402"/>
      <c r="AD220" s="401"/>
      <c r="AE220" s="402"/>
      <c r="AF220" s="401"/>
      <c r="AG220" s="402"/>
      <c r="AH220" s="401"/>
      <c r="AI220" s="402"/>
      <c r="AJ220" s="401"/>
      <c r="AK220" s="402"/>
      <c r="AL220" s="401"/>
      <c r="AM220" s="402"/>
      <c r="AN220" s="401"/>
      <c r="AO220" s="402"/>
      <c r="AP220" s="53"/>
      <c r="AQ220" s="53"/>
      <c r="AR220" s="53"/>
    </row>
    <row r="221" spans="1:44" hidden="1">
      <c r="A221" s="256" t="s">
        <v>252</v>
      </c>
      <c r="B221" s="226" t="s">
        <v>266</v>
      </c>
      <c r="C221" s="438"/>
      <c r="D221" s="436">
        <v>162779</v>
      </c>
      <c r="E221" s="439">
        <v>8</v>
      </c>
      <c r="F221" s="401">
        <v>5110</v>
      </c>
      <c r="G221" s="402">
        <v>5110</v>
      </c>
      <c r="H221" s="401">
        <v>9610</v>
      </c>
      <c r="I221" s="402">
        <v>9970</v>
      </c>
      <c r="J221" s="401"/>
      <c r="K221" s="402"/>
      <c r="L221" s="401"/>
      <c r="M221" s="402"/>
      <c r="N221" s="401"/>
      <c r="O221" s="402"/>
      <c r="P221" s="401"/>
      <c r="Q221" s="402"/>
      <c r="R221" s="401"/>
      <c r="S221" s="402"/>
      <c r="T221" s="401"/>
      <c r="U221" s="402"/>
      <c r="V221" s="401"/>
      <c r="W221" s="402"/>
      <c r="X221" s="401"/>
      <c r="Y221" s="402"/>
      <c r="Z221" s="401"/>
      <c r="AA221" s="402"/>
      <c r="AB221" s="401"/>
      <c r="AC221" s="402"/>
      <c r="AD221" s="401"/>
      <c r="AE221" s="402"/>
      <c r="AF221" s="401"/>
      <c r="AG221" s="402"/>
      <c r="AH221" s="401"/>
      <c r="AI221" s="402"/>
      <c r="AJ221" s="401"/>
      <c r="AK221" s="402"/>
      <c r="AL221" s="401"/>
      <c r="AM221" s="402"/>
      <c r="AN221" s="401"/>
      <c r="AO221" s="402"/>
      <c r="AP221" s="53"/>
      <c r="AQ221" s="53"/>
      <c r="AR221" s="53"/>
    </row>
    <row r="222" spans="1:44" hidden="1">
      <c r="A222" s="225" t="s">
        <v>252</v>
      </c>
      <c r="B222" s="226" t="s">
        <v>661</v>
      </c>
      <c r="C222" s="438"/>
      <c r="D222" s="436">
        <v>163426</v>
      </c>
      <c r="E222" s="439">
        <v>8</v>
      </c>
      <c r="F222" s="401">
        <v>5322</v>
      </c>
      <c r="G222" s="402">
        <v>5322</v>
      </c>
      <c r="H222" s="401">
        <v>14034</v>
      </c>
      <c r="I222" s="402">
        <v>14034</v>
      </c>
      <c r="J222" s="401"/>
      <c r="K222" s="402"/>
      <c r="L222" s="401"/>
      <c r="M222" s="402"/>
      <c r="N222" s="401"/>
      <c r="O222" s="402"/>
      <c r="P222" s="401"/>
      <c r="Q222" s="402"/>
      <c r="R222" s="401"/>
      <c r="S222" s="402"/>
      <c r="T222" s="401"/>
      <c r="U222" s="402"/>
      <c r="V222" s="401"/>
      <c r="W222" s="402"/>
      <c r="X222" s="401"/>
      <c r="Y222" s="402"/>
      <c r="Z222" s="401"/>
      <c r="AA222" s="402"/>
      <c r="AB222" s="401"/>
      <c r="AC222" s="402"/>
      <c r="AD222" s="401"/>
      <c r="AE222" s="402"/>
      <c r="AF222" s="401"/>
      <c r="AG222" s="402"/>
      <c r="AH222" s="401"/>
      <c r="AI222" s="402"/>
      <c r="AJ222" s="401"/>
      <c r="AK222" s="402"/>
      <c r="AL222" s="401"/>
      <c r="AM222" s="402"/>
      <c r="AN222" s="401"/>
      <c r="AO222" s="402"/>
      <c r="AP222" s="53"/>
      <c r="AQ222" s="53"/>
      <c r="AR222" s="53"/>
    </row>
    <row r="223" spans="1:44" hidden="1">
      <c r="A223" s="225" t="s">
        <v>252</v>
      </c>
      <c r="B223" s="226" t="s">
        <v>267</v>
      </c>
      <c r="C223" s="438"/>
      <c r="D223" s="436">
        <v>163657</v>
      </c>
      <c r="E223" s="439">
        <v>8</v>
      </c>
      <c r="F223" s="401">
        <v>4670</v>
      </c>
      <c r="G223" s="402">
        <v>3746</v>
      </c>
      <c r="H223" s="401">
        <v>10580</v>
      </c>
      <c r="I223" s="402">
        <v>8474</v>
      </c>
      <c r="J223" s="401"/>
      <c r="K223" s="402"/>
      <c r="L223" s="401"/>
      <c r="M223" s="402"/>
      <c r="N223" s="401"/>
      <c r="O223" s="402"/>
      <c r="P223" s="401"/>
      <c r="Q223" s="402"/>
      <c r="R223" s="401"/>
      <c r="S223" s="402"/>
      <c r="T223" s="401"/>
      <c r="U223" s="402"/>
      <c r="V223" s="401"/>
      <c r="W223" s="402"/>
      <c r="X223" s="401"/>
      <c r="Y223" s="402"/>
      <c r="Z223" s="401"/>
      <c r="AA223" s="402"/>
      <c r="AB223" s="401"/>
      <c r="AC223" s="402"/>
      <c r="AD223" s="401"/>
      <c r="AE223" s="402"/>
      <c r="AF223" s="401"/>
      <c r="AG223" s="402"/>
      <c r="AH223" s="401"/>
      <c r="AI223" s="402"/>
      <c r="AJ223" s="401"/>
      <c r="AK223" s="402"/>
      <c r="AL223" s="401"/>
      <c r="AM223" s="402"/>
      <c r="AN223" s="401"/>
      <c r="AO223" s="402"/>
      <c r="AP223" s="53"/>
      <c r="AQ223" s="53"/>
      <c r="AR223" s="53"/>
    </row>
    <row r="224" spans="1:44" hidden="1">
      <c r="A224" s="225" t="s">
        <v>252</v>
      </c>
      <c r="B224" s="226" t="s">
        <v>274</v>
      </c>
      <c r="C224" s="440"/>
      <c r="D224" s="436">
        <v>164313</v>
      </c>
      <c r="E224" s="439">
        <v>10</v>
      </c>
      <c r="F224" s="401">
        <v>4380</v>
      </c>
      <c r="G224" s="402">
        <v>4530</v>
      </c>
      <c r="H224" s="401">
        <v>9990</v>
      </c>
      <c r="I224" s="402">
        <v>10350</v>
      </c>
      <c r="J224" s="401"/>
      <c r="K224" s="402"/>
      <c r="L224" s="401"/>
      <c r="M224" s="402"/>
      <c r="N224" s="401"/>
      <c r="O224" s="402"/>
      <c r="P224" s="401"/>
      <c r="Q224" s="402"/>
      <c r="R224" s="401"/>
      <c r="S224" s="402"/>
      <c r="T224" s="401"/>
      <c r="U224" s="402"/>
      <c r="V224" s="401"/>
      <c r="W224" s="402"/>
      <c r="X224" s="401"/>
      <c r="Y224" s="402"/>
      <c r="Z224" s="401"/>
      <c r="AA224" s="402"/>
      <c r="AB224" s="401"/>
      <c r="AC224" s="402"/>
      <c r="AD224" s="401"/>
      <c r="AE224" s="402"/>
      <c r="AF224" s="401"/>
      <c r="AG224" s="402"/>
      <c r="AH224" s="401"/>
      <c r="AI224" s="402"/>
      <c r="AJ224" s="401"/>
      <c r="AK224" s="402"/>
      <c r="AL224" s="401"/>
      <c r="AM224" s="402"/>
      <c r="AN224" s="401"/>
      <c r="AO224" s="402"/>
      <c r="AP224" s="53"/>
      <c r="AQ224" s="53"/>
      <c r="AR224" s="53"/>
    </row>
    <row r="225" spans="1:44">
      <c r="A225" s="225" t="s">
        <v>252</v>
      </c>
      <c r="B225" s="226" t="s">
        <v>257</v>
      </c>
      <c r="C225" s="438"/>
      <c r="D225" s="436">
        <v>162007</v>
      </c>
      <c r="E225" s="439">
        <v>4</v>
      </c>
      <c r="F225" s="401">
        <v>8455</v>
      </c>
      <c r="G225" s="402">
        <v>8563</v>
      </c>
      <c r="H225" s="401">
        <v>19136</v>
      </c>
      <c r="I225" s="402">
        <v>19304</v>
      </c>
      <c r="J225" s="401">
        <v>13047</v>
      </c>
      <c r="K225" s="402">
        <v>13244</v>
      </c>
      <c r="L225" s="401">
        <v>19911</v>
      </c>
      <c r="M225" s="402">
        <v>20084</v>
      </c>
      <c r="N225" s="401"/>
      <c r="O225" s="402"/>
      <c r="P225" s="401"/>
      <c r="Q225" s="402"/>
      <c r="R225" s="401"/>
      <c r="S225" s="402"/>
      <c r="T225" s="401"/>
      <c r="U225" s="402"/>
      <c r="V225" s="401"/>
      <c r="W225" s="402"/>
      <c r="X225" s="401"/>
      <c r="Y225" s="402"/>
      <c r="Z225" s="401"/>
      <c r="AA225" s="402"/>
      <c r="AB225" s="401"/>
      <c r="AC225" s="402"/>
      <c r="AD225" s="401"/>
      <c r="AE225" s="402"/>
      <c r="AF225" s="401"/>
      <c r="AG225" s="402"/>
      <c r="AH225" s="401"/>
      <c r="AI225" s="402"/>
      <c r="AJ225" s="401"/>
      <c r="AK225" s="402"/>
      <c r="AL225" s="401"/>
      <c r="AM225" s="402"/>
      <c r="AN225" s="401"/>
      <c r="AO225" s="402"/>
      <c r="AP225" s="53"/>
      <c r="AQ225" s="53"/>
      <c r="AR225" s="53"/>
    </row>
    <row r="226" spans="1:44">
      <c r="A226" s="225" t="s">
        <v>252</v>
      </c>
      <c r="B226" s="226" t="s">
        <v>262</v>
      </c>
      <c r="C226" s="438"/>
      <c r="D226" s="436">
        <v>162283</v>
      </c>
      <c r="E226" s="439">
        <v>5</v>
      </c>
      <c r="F226" s="401">
        <v>6716</v>
      </c>
      <c r="G226" s="402">
        <v>6809</v>
      </c>
      <c r="H226" s="401">
        <v>13113</v>
      </c>
      <c r="I226" s="402">
        <v>13334</v>
      </c>
      <c r="J226" s="401">
        <v>10278</v>
      </c>
      <c r="K226" s="402">
        <v>10446</v>
      </c>
      <c r="L226" s="401">
        <v>17214</v>
      </c>
      <c r="M226" s="402">
        <v>17526</v>
      </c>
      <c r="N226" s="401"/>
      <c r="O226" s="402"/>
      <c r="P226" s="401"/>
      <c r="Q226" s="402"/>
      <c r="R226" s="401"/>
      <c r="S226" s="402"/>
      <c r="T226" s="401"/>
      <c r="U226" s="402"/>
      <c r="V226" s="401"/>
      <c r="W226" s="402"/>
      <c r="X226" s="401"/>
      <c r="Y226" s="402"/>
      <c r="Z226" s="401"/>
      <c r="AA226" s="402"/>
      <c r="AB226" s="401"/>
      <c r="AC226" s="402"/>
      <c r="AD226" s="401"/>
      <c r="AE226" s="402"/>
      <c r="AF226" s="401"/>
      <c r="AG226" s="402"/>
      <c r="AH226" s="401"/>
      <c r="AI226" s="402"/>
      <c r="AJ226" s="401"/>
      <c r="AK226" s="402"/>
      <c r="AL226" s="401"/>
      <c r="AM226" s="402"/>
      <c r="AN226" s="401"/>
      <c r="AO226" s="402"/>
      <c r="AP226" s="53"/>
      <c r="AQ226" s="53"/>
      <c r="AR226" s="53"/>
    </row>
    <row r="227" spans="1:44">
      <c r="A227" s="225" t="s">
        <v>252</v>
      </c>
      <c r="B227" s="226" t="s">
        <v>258</v>
      </c>
      <c r="C227" s="438"/>
      <c r="D227" s="436">
        <v>162584</v>
      </c>
      <c r="E227" s="439">
        <v>4</v>
      </c>
      <c r="F227" s="401">
        <v>9410</v>
      </c>
      <c r="G227" s="402">
        <v>9594</v>
      </c>
      <c r="H227" s="401">
        <v>23510</v>
      </c>
      <c r="I227" s="402">
        <v>24080</v>
      </c>
      <c r="J227" s="401">
        <v>13753</v>
      </c>
      <c r="K227" s="402">
        <v>14114</v>
      </c>
      <c r="L227" s="401">
        <v>16705</v>
      </c>
      <c r="M227" s="402">
        <v>17186</v>
      </c>
      <c r="N227" s="401"/>
      <c r="O227" s="402"/>
      <c r="P227" s="401"/>
      <c r="Q227" s="402"/>
      <c r="R227" s="401"/>
      <c r="S227" s="402"/>
      <c r="T227" s="401"/>
      <c r="U227" s="402"/>
      <c r="V227" s="401"/>
      <c r="W227" s="402"/>
      <c r="X227" s="401"/>
      <c r="Y227" s="402"/>
      <c r="Z227" s="401"/>
      <c r="AA227" s="402"/>
      <c r="AB227" s="401"/>
      <c r="AC227" s="402"/>
      <c r="AD227" s="401"/>
      <c r="AE227" s="402"/>
      <c r="AF227" s="401"/>
      <c r="AG227" s="402"/>
      <c r="AH227" s="401"/>
      <c r="AI227" s="402"/>
      <c r="AJ227" s="401"/>
      <c r="AK227" s="402"/>
      <c r="AL227" s="401"/>
      <c r="AM227" s="402"/>
      <c r="AN227" s="401"/>
      <c r="AO227" s="402"/>
      <c r="AP227" s="53"/>
      <c r="AQ227" s="53"/>
      <c r="AR227" s="53"/>
    </row>
    <row r="228" spans="1:44">
      <c r="A228" s="258" t="s">
        <v>252</v>
      </c>
      <c r="B228" s="226" t="s">
        <v>259</v>
      </c>
      <c r="C228" s="438"/>
      <c r="D228" s="436">
        <v>163851</v>
      </c>
      <c r="E228" s="439">
        <v>4</v>
      </c>
      <c r="F228" s="401">
        <v>10044</v>
      </c>
      <c r="G228" s="402">
        <v>10188</v>
      </c>
      <c r="H228" s="401">
        <v>20110</v>
      </c>
      <c r="I228" s="402">
        <v>20458</v>
      </c>
      <c r="J228" s="401">
        <v>12480</v>
      </c>
      <c r="K228" s="402">
        <v>12672</v>
      </c>
      <c r="L228" s="401">
        <v>20496</v>
      </c>
      <c r="M228" s="402">
        <v>20832</v>
      </c>
      <c r="N228" s="401"/>
      <c r="O228" s="402"/>
      <c r="P228" s="401"/>
      <c r="Q228" s="402"/>
      <c r="R228" s="401"/>
      <c r="S228" s="402"/>
      <c r="T228" s="401"/>
      <c r="U228" s="402"/>
      <c r="V228" s="401"/>
      <c r="W228" s="402"/>
      <c r="X228" s="401"/>
      <c r="Y228" s="402"/>
      <c r="Z228" s="401"/>
      <c r="AA228" s="402"/>
      <c r="AB228" s="401"/>
      <c r="AC228" s="402"/>
      <c r="AD228" s="401"/>
      <c r="AE228" s="402"/>
      <c r="AF228" s="401"/>
      <c r="AG228" s="402"/>
      <c r="AH228" s="401"/>
      <c r="AI228" s="402"/>
      <c r="AJ228" s="401"/>
      <c r="AK228" s="402"/>
      <c r="AL228" s="401"/>
      <c r="AM228" s="402"/>
      <c r="AN228" s="401"/>
      <c r="AO228" s="402"/>
      <c r="AP228" s="53"/>
      <c r="AQ228" s="53"/>
      <c r="AR228" s="53"/>
    </row>
    <row r="229" spans="1:44">
      <c r="A229" s="256" t="s">
        <v>252</v>
      </c>
      <c r="B229" s="226" t="s">
        <v>256</v>
      </c>
      <c r="C229" s="438"/>
      <c r="D229" s="436">
        <v>164076</v>
      </c>
      <c r="E229" s="439">
        <v>3</v>
      </c>
      <c r="F229" s="401">
        <v>10198</v>
      </c>
      <c r="G229" s="402">
        <v>10464</v>
      </c>
      <c r="H229" s="401">
        <v>24334</v>
      </c>
      <c r="I229" s="402">
        <v>25516</v>
      </c>
      <c r="J229" s="401">
        <v>14256</v>
      </c>
      <c r="K229" s="402">
        <v>14952</v>
      </c>
      <c r="L229" s="401">
        <v>25512</v>
      </c>
      <c r="M229" s="402">
        <v>26760</v>
      </c>
      <c r="N229" s="401"/>
      <c r="O229" s="402"/>
      <c r="P229" s="401"/>
      <c r="Q229" s="402"/>
      <c r="R229" s="401"/>
      <c r="S229" s="402"/>
      <c r="T229" s="401"/>
      <c r="U229" s="402"/>
      <c r="V229" s="401"/>
      <c r="W229" s="402"/>
      <c r="X229" s="401"/>
      <c r="Y229" s="402"/>
      <c r="Z229" s="401"/>
      <c r="AA229" s="402"/>
      <c r="AB229" s="401"/>
      <c r="AC229" s="402"/>
      <c r="AD229" s="401"/>
      <c r="AE229" s="402"/>
      <c r="AF229" s="401"/>
      <c r="AG229" s="402"/>
      <c r="AH229" s="401"/>
      <c r="AI229" s="402"/>
      <c r="AJ229" s="401"/>
      <c r="AK229" s="402"/>
      <c r="AL229" s="401"/>
      <c r="AM229" s="402"/>
      <c r="AN229" s="401"/>
      <c r="AO229" s="402"/>
      <c r="AP229" s="53"/>
      <c r="AQ229" s="53"/>
      <c r="AR229" s="53"/>
    </row>
    <row r="230" spans="1:44">
      <c r="A230" s="256" t="s">
        <v>252</v>
      </c>
      <c r="B230" s="226" t="s">
        <v>260</v>
      </c>
      <c r="C230" s="440"/>
      <c r="D230" s="436">
        <v>161873</v>
      </c>
      <c r="E230" s="439">
        <v>3</v>
      </c>
      <c r="F230" s="401">
        <v>9096</v>
      </c>
      <c r="G230" s="402">
        <v>9364</v>
      </c>
      <c r="H230" s="401">
        <v>21456</v>
      </c>
      <c r="I230" s="402">
        <v>22550</v>
      </c>
      <c r="J230" s="401">
        <v>20282</v>
      </c>
      <c r="K230" s="402">
        <v>23058.25</v>
      </c>
      <c r="L230" s="401">
        <v>28754</v>
      </c>
      <c r="M230" s="402">
        <v>29300.4363636364</v>
      </c>
      <c r="N230" s="401">
        <v>32850</v>
      </c>
      <c r="O230" s="402">
        <v>33592</v>
      </c>
      <c r="P230" s="401">
        <v>47958</v>
      </c>
      <c r="Q230" s="402">
        <v>49004</v>
      </c>
      <c r="R230" s="401"/>
      <c r="S230" s="402"/>
      <c r="T230" s="401"/>
      <c r="U230" s="402"/>
      <c r="V230" s="401"/>
      <c r="W230" s="402"/>
      <c r="X230" s="401"/>
      <c r="Y230" s="402"/>
      <c r="Z230" s="401"/>
      <c r="AA230" s="402"/>
      <c r="AB230" s="401"/>
      <c r="AC230" s="402"/>
      <c r="AD230" s="401"/>
      <c r="AE230" s="402"/>
      <c r="AF230" s="401"/>
      <c r="AG230" s="402"/>
      <c r="AH230" s="401"/>
      <c r="AI230" s="402"/>
      <c r="AJ230" s="401"/>
      <c r="AK230" s="402"/>
      <c r="AL230" s="401"/>
      <c r="AM230" s="402"/>
      <c r="AN230" s="401"/>
      <c r="AO230" s="402"/>
      <c r="AP230" s="53"/>
      <c r="AQ230" s="53"/>
      <c r="AR230" s="53"/>
    </row>
    <row r="231" spans="1:44" hidden="1">
      <c r="A231" s="225" t="s">
        <v>252</v>
      </c>
      <c r="B231" s="226" t="s">
        <v>662</v>
      </c>
      <c r="C231" s="440"/>
      <c r="D231" s="436">
        <v>163259</v>
      </c>
      <c r="E231" s="439">
        <v>15</v>
      </c>
      <c r="F231" s="401">
        <v>11213</v>
      </c>
      <c r="G231" s="402">
        <v>10249.875</v>
      </c>
      <c r="H231" s="401">
        <v>40013</v>
      </c>
      <c r="I231" s="402">
        <v>37163</v>
      </c>
      <c r="J231" s="401">
        <v>20007</v>
      </c>
      <c r="K231" s="402">
        <v>20162.551428571402</v>
      </c>
      <c r="L231" s="401">
        <v>33879</v>
      </c>
      <c r="M231" s="402">
        <v>30376.608372093</v>
      </c>
      <c r="N231" s="401">
        <v>34716</v>
      </c>
      <c r="O231" s="402">
        <v>35536</v>
      </c>
      <c r="P231" s="401">
        <v>50334</v>
      </c>
      <c r="Q231" s="402">
        <v>51545</v>
      </c>
      <c r="R231" s="401">
        <v>39736</v>
      </c>
      <c r="S231" s="402">
        <v>39743</v>
      </c>
      <c r="T231" s="401">
        <v>68381</v>
      </c>
      <c r="U231" s="402">
        <v>68838</v>
      </c>
      <c r="V231" s="401">
        <v>43999</v>
      </c>
      <c r="W231" s="402">
        <v>46082</v>
      </c>
      <c r="X231" s="401">
        <v>80156</v>
      </c>
      <c r="Y231" s="402">
        <v>84047</v>
      </c>
      <c r="Z231" s="401">
        <v>28640</v>
      </c>
      <c r="AA231" s="402">
        <v>29442</v>
      </c>
      <c r="AB231" s="401">
        <v>46291</v>
      </c>
      <c r="AC231" s="402">
        <v>47067</v>
      </c>
      <c r="AD231" s="401"/>
      <c r="AE231" s="402"/>
      <c r="AF231" s="401"/>
      <c r="AG231" s="402"/>
      <c r="AH231" s="401"/>
      <c r="AI231" s="402"/>
      <c r="AJ231" s="401"/>
      <c r="AK231" s="402"/>
      <c r="AL231" s="401"/>
      <c r="AM231" s="402"/>
      <c r="AN231" s="401"/>
      <c r="AO231" s="402"/>
      <c r="AP231" s="53"/>
      <c r="AQ231" s="53"/>
      <c r="AR231" s="53"/>
    </row>
    <row r="232" spans="1:44">
      <c r="A232" s="225" t="s">
        <v>252</v>
      </c>
      <c r="B232" s="226" t="s">
        <v>255</v>
      </c>
      <c r="C232" s="438"/>
      <c r="D232" s="436">
        <v>163268</v>
      </c>
      <c r="E232" s="439">
        <v>2</v>
      </c>
      <c r="F232" s="401">
        <v>12028</v>
      </c>
      <c r="G232" s="402">
        <v>12280</v>
      </c>
      <c r="H232" s="401">
        <v>27662</v>
      </c>
      <c r="I232" s="402">
        <v>28470</v>
      </c>
      <c r="J232" s="401">
        <v>19560</v>
      </c>
      <c r="K232" s="402">
        <v>20160</v>
      </c>
      <c r="L232" s="401">
        <v>30912</v>
      </c>
      <c r="M232" s="402">
        <v>31440</v>
      </c>
      <c r="N232" s="401"/>
      <c r="O232" s="402"/>
      <c r="P232" s="401"/>
      <c r="Q232" s="402"/>
      <c r="R232" s="401"/>
      <c r="S232" s="402"/>
      <c r="T232" s="401"/>
      <c r="U232" s="402"/>
      <c r="V232" s="401"/>
      <c r="W232" s="402"/>
      <c r="X232" s="401"/>
      <c r="Y232" s="402"/>
      <c r="Z232" s="401"/>
      <c r="AA232" s="402"/>
      <c r="AB232" s="401"/>
      <c r="AC232" s="402"/>
      <c r="AD232" s="401"/>
      <c r="AE232" s="402"/>
      <c r="AF232" s="401"/>
      <c r="AG232" s="402"/>
      <c r="AH232" s="401"/>
      <c r="AI232" s="402"/>
      <c r="AJ232" s="401"/>
      <c r="AK232" s="402"/>
      <c r="AL232" s="401"/>
      <c r="AM232" s="402"/>
      <c r="AN232" s="401"/>
      <c r="AO232" s="402"/>
      <c r="AP232" s="53"/>
      <c r="AQ232" s="53"/>
      <c r="AR232" s="53"/>
    </row>
    <row r="233" spans="1:44">
      <c r="A233" s="256" t="s">
        <v>252</v>
      </c>
      <c r="B233" s="226" t="s">
        <v>253</v>
      </c>
      <c r="C233" s="438"/>
      <c r="D233" s="436">
        <v>163286</v>
      </c>
      <c r="E233" s="439">
        <v>1</v>
      </c>
      <c r="F233" s="401">
        <v>10779</v>
      </c>
      <c r="G233" s="402">
        <v>10955</v>
      </c>
      <c r="H233" s="401">
        <v>36891</v>
      </c>
      <c r="I233" s="402">
        <v>38638</v>
      </c>
      <c r="J233" s="401">
        <v>19485</v>
      </c>
      <c r="K233" s="402">
        <v>20362</v>
      </c>
      <c r="L233" s="401">
        <v>40941</v>
      </c>
      <c r="M233" s="402">
        <v>42585</v>
      </c>
      <c r="N233" s="401"/>
      <c r="O233" s="402"/>
      <c r="P233" s="401"/>
      <c r="Q233" s="402"/>
      <c r="R233" s="401"/>
      <c r="S233" s="402"/>
      <c r="T233" s="401"/>
      <c r="U233" s="402"/>
      <c r="V233" s="401"/>
      <c r="W233" s="402"/>
      <c r="X233" s="401"/>
      <c r="Y233" s="402"/>
      <c r="Z233" s="401"/>
      <c r="AA233" s="402"/>
      <c r="AB233" s="401"/>
      <c r="AC233" s="402"/>
      <c r="AD233" s="401"/>
      <c r="AE233" s="402"/>
      <c r="AF233" s="401"/>
      <c r="AG233" s="402"/>
      <c r="AH233" s="401"/>
      <c r="AI233" s="402"/>
      <c r="AJ233" s="401"/>
      <c r="AK233" s="402"/>
      <c r="AL233" s="401">
        <v>25435</v>
      </c>
      <c r="AM233" s="402">
        <v>26086</v>
      </c>
      <c r="AN233" s="401">
        <v>54568</v>
      </c>
      <c r="AO233" s="402">
        <v>55687</v>
      </c>
      <c r="AP233" s="53"/>
      <c r="AQ233" s="53"/>
      <c r="AR233" s="53"/>
    </row>
    <row r="234" spans="1:44">
      <c r="A234" s="256" t="s">
        <v>252</v>
      </c>
      <c r="B234" s="226" t="s">
        <v>261</v>
      </c>
      <c r="C234" s="438"/>
      <c r="D234" s="436">
        <v>163338</v>
      </c>
      <c r="E234" s="439">
        <v>4</v>
      </c>
      <c r="F234" s="401">
        <v>8558</v>
      </c>
      <c r="G234" s="402">
        <v>8724</v>
      </c>
      <c r="H234" s="401">
        <v>18968</v>
      </c>
      <c r="I234" s="402">
        <v>19343</v>
      </c>
      <c r="J234" s="401">
        <v>8260</v>
      </c>
      <c r="K234" s="402">
        <v>8430</v>
      </c>
      <c r="L234" s="401">
        <v>15076</v>
      </c>
      <c r="M234" s="402">
        <v>15366</v>
      </c>
      <c r="N234" s="401"/>
      <c r="O234" s="402"/>
      <c r="P234" s="401"/>
      <c r="Q234" s="402"/>
      <c r="R234" s="401"/>
      <c r="S234" s="402"/>
      <c r="T234" s="401"/>
      <c r="U234" s="402"/>
      <c r="V234" s="401"/>
      <c r="W234" s="402"/>
      <c r="X234" s="401"/>
      <c r="Y234" s="402"/>
      <c r="Z234" s="401">
        <v>31490</v>
      </c>
      <c r="AA234" s="402">
        <v>32120</v>
      </c>
      <c r="AB234" s="401">
        <v>60240</v>
      </c>
      <c r="AC234" s="402">
        <v>61445</v>
      </c>
      <c r="AD234" s="401"/>
      <c r="AE234" s="402"/>
      <c r="AF234" s="401"/>
      <c r="AG234" s="402"/>
      <c r="AH234" s="401"/>
      <c r="AI234" s="402"/>
      <c r="AJ234" s="401"/>
      <c r="AK234" s="402"/>
      <c r="AL234" s="401"/>
      <c r="AM234" s="402"/>
      <c r="AN234" s="401"/>
      <c r="AO234" s="402"/>
      <c r="AP234" s="53"/>
      <c r="AQ234" s="53"/>
      <c r="AR234" s="53"/>
    </row>
    <row r="235" spans="1:44" hidden="1">
      <c r="A235" s="256" t="s">
        <v>252</v>
      </c>
      <c r="B235" s="226" t="s">
        <v>640</v>
      </c>
      <c r="C235" s="438"/>
      <c r="D235" s="436">
        <v>163204</v>
      </c>
      <c r="E235" s="439">
        <v>15</v>
      </c>
      <c r="F235" s="401">
        <v>7560</v>
      </c>
      <c r="G235" s="402">
        <v>7704</v>
      </c>
      <c r="H235" s="401">
        <v>12336</v>
      </c>
      <c r="I235" s="402">
        <v>12336</v>
      </c>
      <c r="J235" s="401"/>
      <c r="K235" s="402"/>
      <c r="L235" s="401"/>
      <c r="M235" s="402"/>
      <c r="N235" s="401"/>
      <c r="O235" s="402"/>
      <c r="P235" s="401"/>
      <c r="Q235" s="402"/>
      <c r="R235" s="401"/>
      <c r="S235" s="402"/>
      <c r="T235" s="401"/>
      <c r="U235" s="402"/>
      <c r="V235" s="401"/>
      <c r="W235" s="402"/>
      <c r="X235" s="401"/>
      <c r="Y235" s="402"/>
      <c r="Z235" s="401"/>
      <c r="AA235" s="402"/>
      <c r="AB235" s="401"/>
      <c r="AC235" s="402"/>
      <c r="AD235" s="401"/>
      <c r="AE235" s="402"/>
      <c r="AF235" s="401"/>
      <c r="AG235" s="402"/>
      <c r="AH235" s="401"/>
      <c r="AI235" s="402"/>
      <c r="AJ235" s="401"/>
      <c r="AK235" s="402"/>
      <c r="AL235" s="401"/>
      <c r="AM235" s="402"/>
      <c r="AN235" s="401"/>
      <c r="AO235" s="402"/>
      <c r="AP235" s="53"/>
      <c r="AQ235" s="53"/>
      <c r="AR235" s="53"/>
    </row>
    <row r="236" spans="1:44">
      <c r="A236" s="225" t="s">
        <v>252</v>
      </c>
      <c r="B236" s="226" t="s">
        <v>254</v>
      </c>
      <c r="C236" s="440"/>
      <c r="D236" s="436">
        <v>163453</v>
      </c>
      <c r="E236" s="439">
        <v>2</v>
      </c>
      <c r="F236" s="401">
        <v>7628</v>
      </c>
      <c r="G236" s="402">
        <v>8008</v>
      </c>
      <c r="H236" s="401">
        <v>18100</v>
      </c>
      <c r="I236" s="402">
        <v>18480</v>
      </c>
      <c r="J236" s="401">
        <v>12588</v>
      </c>
      <c r="K236" s="402">
        <v>12876</v>
      </c>
      <c r="L236" s="401">
        <v>23118</v>
      </c>
      <c r="M236" s="402">
        <v>23412</v>
      </c>
      <c r="N236" s="401"/>
      <c r="O236" s="402"/>
      <c r="P236" s="401"/>
      <c r="Q236" s="402"/>
      <c r="R236" s="401"/>
      <c r="S236" s="402"/>
      <c r="T236" s="401"/>
      <c r="U236" s="402"/>
      <c r="V236" s="401"/>
      <c r="W236" s="402"/>
      <c r="X236" s="401"/>
      <c r="Y236" s="402"/>
      <c r="Z236" s="401"/>
      <c r="AA236" s="402"/>
      <c r="AB236" s="401"/>
      <c r="AC236" s="402"/>
      <c r="AD236" s="401"/>
      <c r="AE236" s="402"/>
      <c r="AF236" s="401"/>
      <c r="AG236" s="402"/>
      <c r="AH236" s="401"/>
      <c r="AI236" s="402"/>
      <c r="AJ236" s="401"/>
      <c r="AK236" s="402"/>
      <c r="AL236" s="401"/>
      <c r="AM236" s="402"/>
      <c r="AN236" s="401"/>
      <c r="AO236" s="402"/>
      <c r="AP236" s="53"/>
      <c r="AQ236" s="53"/>
      <c r="AR236" s="53"/>
    </row>
    <row r="237" spans="1:44">
      <c r="A237" s="225" t="s">
        <v>252</v>
      </c>
      <c r="B237" s="226" t="s">
        <v>263</v>
      </c>
      <c r="C237" s="438"/>
      <c r="D237" s="436">
        <v>163912</v>
      </c>
      <c r="E237" s="439">
        <v>6</v>
      </c>
      <c r="F237" s="401">
        <v>15124</v>
      </c>
      <c r="G237" s="402">
        <v>15124</v>
      </c>
      <c r="H237" s="401">
        <v>31200</v>
      </c>
      <c r="I237" s="402">
        <v>31200</v>
      </c>
      <c r="J237" s="401"/>
      <c r="K237" s="402"/>
      <c r="L237" s="401"/>
      <c r="M237" s="402"/>
      <c r="N237" s="401"/>
      <c r="O237" s="402"/>
      <c r="P237" s="401"/>
      <c r="Q237" s="402"/>
      <c r="R237" s="401"/>
      <c r="S237" s="402"/>
      <c r="T237" s="401"/>
      <c r="U237" s="402"/>
      <c r="V237" s="401"/>
      <c r="W237" s="402"/>
      <c r="X237" s="401"/>
      <c r="Y237" s="402"/>
      <c r="Z237" s="401"/>
      <c r="AA237" s="402"/>
      <c r="AB237" s="401"/>
      <c r="AC237" s="402"/>
      <c r="AD237" s="401"/>
      <c r="AE237" s="402"/>
      <c r="AF237" s="401"/>
      <c r="AG237" s="402"/>
      <c r="AH237" s="401"/>
      <c r="AI237" s="402"/>
      <c r="AJ237" s="401"/>
      <c r="AK237" s="402"/>
      <c r="AL237" s="401"/>
      <c r="AM237" s="402"/>
      <c r="AN237" s="401"/>
      <c r="AO237" s="402"/>
      <c r="AP237" s="53"/>
      <c r="AQ237" s="53"/>
      <c r="AR237" s="53"/>
    </row>
    <row r="238" spans="1:44" s="179" customFormat="1" ht="15" customHeight="1">
      <c r="A238" s="259" t="s">
        <v>278</v>
      </c>
      <c r="B238" s="260" t="s">
        <v>279</v>
      </c>
      <c r="C238" s="463"/>
      <c r="D238" s="464">
        <v>176080</v>
      </c>
      <c r="E238" s="465">
        <v>1</v>
      </c>
      <c r="F238" s="401">
        <v>8910</v>
      </c>
      <c r="G238" s="402">
        <v>9220</v>
      </c>
      <c r="H238" s="401">
        <v>23950</v>
      </c>
      <c r="I238" s="402">
        <v>24900</v>
      </c>
      <c r="J238" s="401">
        <v>8910</v>
      </c>
      <c r="K238" s="402">
        <v>9220</v>
      </c>
      <c r="L238" s="401">
        <v>23950</v>
      </c>
      <c r="M238" s="402">
        <v>24900</v>
      </c>
      <c r="N238" s="401"/>
      <c r="O238" s="402"/>
      <c r="P238" s="401"/>
      <c r="Q238" s="402"/>
      <c r="R238" s="401"/>
      <c r="S238" s="402"/>
      <c r="T238" s="401"/>
      <c r="U238" s="402"/>
      <c r="V238" s="401"/>
      <c r="W238" s="402"/>
      <c r="X238" s="401"/>
      <c r="Y238" s="402"/>
      <c r="Z238" s="401"/>
      <c r="AA238" s="402"/>
      <c r="AB238" s="401"/>
      <c r="AC238" s="402"/>
      <c r="AD238" s="401"/>
      <c r="AE238" s="402"/>
      <c r="AF238" s="401"/>
      <c r="AG238" s="402"/>
      <c r="AH238" s="401"/>
      <c r="AI238" s="402"/>
      <c r="AJ238" s="401"/>
      <c r="AK238" s="402"/>
      <c r="AL238" s="401">
        <v>27397</v>
      </c>
      <c r="AM238" s="409">
        <f>28048+100+10</f>
        <v>28158</v>
      </c>
      <c r="AN238" s="401">
        <v>48597</v>
      </c>
      <c r="AO238" s="409">
        <f>49248+100+10</f>
        <v>49358</v>
      </c>
    </row>
    <row r="239" spans="1:44" s="179" customFormat="1" ht="15.75" customHeight="1">
      <c r="A239" s="259" t="s">
        <v>278</v>
      </c>
      <c r="B239" s="260" t="s">
        <v>282</v>
      </c>
      <c r="C239" s="466"/>
      <c r="D239" s="464">
        <v>176017</v>
      </c>
      <c r="E239" s="465">
        <v>1</v>
      </c>
      <c r="F239" s="401">
        <v>8828</v>
      </c>
      <c r="G239" s="402">
        <v>9044</v>
      </c>
      <c r="H239" s="401">
        <v>25100</v>
      </c>
      <c r="I239" s="402">
        <v>25886</v>
      </c>
      <c r="J239" s="401">
        <v>8828</v>
      </c>
      <c r="K239" s="402">
        <v>9044</v>
      </c>
      <c r="L239" s="401">
        <v>25100</v>
      </c>
      <c r="M239" s="402">
        <v>25886</v>
      </c>
      <c r="N239" s="401">
        <v>16980</v>
      </c>
      <c r="O239" s="402">
        <f>17340+100+10</f>
        <v>17450</v>
      </c>
      <c r="P239" s="401">
        <v>37045</v>
      </c>
      <c r="Q239" s="402">
        <f>37405+100+10</f>
        <v>37515</v>
      </c>
      <c r="R239" s="401">
        <v>31197</v>
      </c>
      <c r="S239" s="402">
        <v>32133</v>
      </c>
      <c r="T239" s="401">
        <v>73460</v>
      </c>
      <c r="U239" s="402">
        <v>75664</v>
      </c>
      <c r="V239" s="401">
        <v>31167</v>
      </c>
      <c r="W239" s="402">
        <v>32102</v>
      </c>
      <c r="X239" s="401">
        <v>73220</v>
      </c>
      <c r="Y239" s="402">
        <v>75417</v>
      </c>
      <c r="Z239" s="401">
        <v>26582</v>
      </c>
      <c r="AA239" s="402">
        <v>26798</v>
      </c>
      <c r="AB239" s="401">
        <v>53660</v>
      </c>
      <c r="AC239" s="402">
        <v>54446</v>
      </c>
      <c r="AD239" s="401"/>
      <c r="AE239" s="402"/>
      <c r="AF239" s="401"/>
      <c r="AG239" s="402"/>
      <c r="AH239" s="401"/>
      <c r="AI239" s="402"/>
      <c r="AJ239" s="401"/>
      <c r="AK239" s="402"/>
      <c r="AL239" s="401"/>
      <c r="AM239" s="409"/>
      <c r="AN239" s="401"/>
      <c r="AO239" s="409"/>
    </row>
    <row r="240" spans="1:44">
      <c r="A240" s="259" t="s">
        <v>278</v>
      </c>
      <c r="B240" s="260" t="s">
        <v>280</v>
      </c>
      <c r="C240" s="463"/>
      <c r="D240" s="464">
        <v>176372</v>
      </c>
      <c r="E240" s="465">
        <v>1</v>
      </c>
      <c r="F240" s="401">
        <v>8896</v>
      </c>
      <c r="G240" s="402">
        <v>9204</v>
      </c>
      <c r="H240" s="401">
        <v>10896</v>
      </c>
      <c r="I240" s="402">
        <v>11204</v>
      </c>
      <c r="J240" s="401">
        <v>8896</v>
      </c>
      <c r="K240" s="402">
        <v>9204</v>
      </c>
      <c r="L240" s="401">
        <v>10896</v>
      </c>
      <c r="M240" s="402">
        <v>11204</v>
      </c>
      <c r="N240" s="401"/>
      <c r="O240" s="402"/>
      <c r="P240" s="401"/>
      <c r="Q240" s="402"/>
      <c r="R240" s="401"/>
      <c r="S240" s="402"/>
      <c r="T240" s="401"/>
      <c r="U240" s="402"/>
      <c r="V240" s="401"/>
      <c r="W240" s="402"/>
      <c r="X240" s="401"/>
      <c r="Y240" s="402"/>
      <c r="Z240" s="401"/>
      <c r="AA240" s="402"/>
      <c r="AB240" s="401"/>
      <c r="AC240" s="402"/>
      <c r="AD240" s="401"/>
      <c r="AE240" s="402"/>
      <c r="AF240" s="401"/>
      <c r="AG240" s="402"/>
      <c r="AH240" s="401"/>
      <c r="AI240" s="402"/>
      <c r="AJ240" s="401"/>
      <c r="AK240" s="402"/>
      <c r="AL240" s="401"/>
      <c r="AM240" s="409"/>
      <c r="AN240" s="401"/>
      <c r="AO240" s="409"/>
      <c r="AP240" s="53"/>
      <c r="AQ240" s="53"/>
      <c r="AR240" s="53"/>
    </row>
    <row r="241" spans="1:44">
      <c r="A241" s="259" t="s">
        <v>278</v>
      </c>
      <c r="B241" s="260" t="s">
        <v>281</v>
      </c>
      <c r="C241" s="463"/>
      <c r="D241" s="464">
        <v>175856</v>
      </c>
      <c r="E241" s="465">
        <v>2</v>
      </c>
      <c r="F241" s="401">
        <v>8445</v>
      </c>
      <c r="G241" s="402">
        <v>8445</v>
      </c>
      <c r="H241" s="401">
        <v>9445</v>
      </c>
      <c r="I241" s="402">
        <v>9445</v>
      </c>
      <c r="J241" s="401">
        <v>8445</v>
      </c>
      <c r="K241" s="402">
        <v>8445</v>
      </c>
      <c r="L241" s="401">
        <v>9445</v>
      </c>
      <c r="M241" s="402">
        <v>9445</v>
      </c>
      <c r="N241" s="401"/>
      <c r="O241" s="402"/>
      <c r="P241" s="401"/>
      <c r="Q241" s="402"/>
      <c r="R241" s="401"/>
      <c r="S241" s="402"/>
      <c r="T241" s="401"/>
      <c r="U241" s="402"/>
      <c r="V241" s="401"/>
      <c r="W241" s="402"/>
      <c r="X241" s="401"/>
      <c r="Y241" s="402"/>
      <c r="Z241" s="401"/>
      <c r="AA241" s="402"/>
      <c r="AB241" s="401"/>
      <c r="AC241" s="402"/>
      <c r="AD241" s="401"/>
      <c r="AE241" s="402"/>
      <c r="AF241" s="401"/>
      <c r="AG241" s="402"/>
      <c r="AH241" s="401"/>
      <c r="AI241" s="402"/>
      <c r="AJ241" s="401"/>
      <c r="AK241" s="402"/>
      <c r="AL241" s="401"/>
      <c r="AM241" s="409"/>
      <c r="AN241" s="401"/>
      <c r="AO241" s="409"/>
      <c r="AP241" s="53"/>
      <c r="AQ241" s="53"/>
      <c r="AR241" s="53"/>
    </row>
    <row r="242" spans="1:44">
      <c r="A242" s="263" t="s">
        <v>278</v>
      </c>
      <c r="B242" s="260" t="s">
        <v>283</v>
      </c>
      <c r="C242" s="463"/>
      <c r="D242" s="464">
        <v>175342</v>
      </c>
      <c r="E242" s="465">
        <v>4</v>
      </c>
      <c r="F242" s="401">
        <v>7907</v>
      </c>
      <c r="G242" s="402">
        <v>8176</v>
      </c>
      <c r="H242" s="406">
        <v>7907</v>
      </c>
      <c r="I242" s="402">
        <v>8176</v>
      </c>
      <c r="J242" s="401">
        <v>7907</v>
      </c>
      <c r="K242" s="402">
        <v>8176</v>
      </c>
      <c r="L242" s="406">
        <v>7907</v>
      </c>
      <c r="M242" s="402">
        <v>8176</v>
      </c>
      <c r="N242" s="401"/>
      <c r="O242" s="402"/>
      <c r="P242" s="401"/>
      <c r="Q242" s="402"/>
      <c r="R242" s="401"/>
      <c r="S242" s="402"/>
      <c r="T242" s="401"/>
      <c r="U242" s="402"/>
      <c r="V242" s="401"/>
      <c r="W242" s="402"/>
      <c r="X242" s="401"/>
      <c r="Y242" s="402"/>
      <c r="Z242" s="401"/>
      <c r="AA242" s="402"/>
      <c r="AB242" s="401"/>
      <c r="AC242" s="402"/>
      <c r="AD242" s="401"/>
      <c r="AE242" s="402"/>
      <c r="AF242" s="401"/>
      <c r="AG242" s="402"/>
      <c r="AH242" s="401"/>
      <c r="AI242" s="402"/>
      <c r="AJ242" s="401"/>
      <c r="AK242" s="402"/>
      <c r="AL242" s="401"/>
      <c r="AM242" s="409"/>
      <c r="AN242" s="401"/>
      <c r="AO242" s="409"/>
      <c r="AP242" s="53"/>
      <c r="AQ242" s="53"/>
      <c r="AR242" s="53"/>
    </row>
    <row r="243" spans="1:44">
      <c r="A243" s="259" t="s">
        <v>278</v>
      </c>
      <c r="B243" s="260" t="s">
        <v>284</v>
      </c>
      <c r="C243" s="463"/>
      <c r="D243" s="464">
        <v>175616</v>
      </c>
      <c r="E243" s="465">
        <v>4</v>
      </c>
      <c r="F243" s="401">
        <v>8121</v>
      </c>
      <c r="G243" s="402">
        <v>8360</v>
      </c>
      <c r="H243" s="406">
        <v>8121</v>
      </c>
      <c r="I243" s="402">
        <v>8360</v>
      </c>
      <c r="J243" s="401">
        <v>8121</v>
      </c>
      <c r="K243" s="402">
        <v>8360</v>
      </c>
      <c r="L243" s="406">
        <v>8121</v>
      </c>
      <c r="M243" s="402">
        <v>8360</v>
      </c>
      <c r="N243" s="401"/>
      <c r="O243" s="402"/>
      <c r="P243" s="401"/>
      <c r="Q243" s="402"/>
      <c r="R243" s="401"/>
      <c r="S243" s="402"/>
      <c r="T243" s="401"/>
      <c r="U243" s="402"/>
      <c r="V243" s="401"/>
      <c r="W243" s="402"/>
      <c r="X243" s="401"/>
      <c r="Y243" s="402"/>
      <c r="Z243" s="401"/>
      <c r="AA243" s="402"/>
      <c r="AB243" s="401"/>
      <c r="AC243" s="402"/>
      <c r="AD243" s="401"/>
      <c r="AE243" s="402"/>
      <c r="AF243" s="401"/>
      <c r="AG243" s="402"/>
      <c r="AH243" s="401"/>
      <c r="AI243" s="402"/>
      <c r="AJ243" s="401"/>
      <c r="AK243" s="402"/>
      <c r="AL243" s="401"/>
      <c r="AM243" s="409"/>
      <c r="AN243" s="401"/>
      <c r="AO243" s="409"/>
      <c r="AP243" s="53"/>
      <c r="AQ243" s="53"/>
      <c r="AR243" s="53"/>
    </row>
    <row r="244" spans="1:44">
      <c r="A244" s="259" t="s">
        <v>278</v>
      </c>
      <c r="B244" s="260" t="s">
        <v>286</v>
      </c>
      <c r="C244" s="463"/>
      <c r="D244" s="464">
        <v>176035</v>
      </c>
      <c r="E244" s="465">
        <v>4</v>
      </c>
      <c r="F244" s="401">
        <v>7525</v>
      </c>
      <c r="G244" s="402">
        <v>7756</v>
      </c>
      <c r="H244" s="406">
        <v>7525</v>
      </c>
      <c r="I244" s="402">
        <v>7756</v>
      </c>
      <c r="J244" s="401">
        <v>7525</v>
      </c>
      <c r="K244" s="402">
        <v>7756</v>
      </c>
      <c r="L244" s="406">
        <v>7525</v>
      </c>
      <c r="M244" s="402">
        <v>7756</v>
      </c>
      <c r="N244" s="401"/>
      <c r="O244" s="402"/>
      <c r="P244" s="401"/>
      <c r="Q244" s="402"/>
      <c r="R244" s="401"/>
      <c r="S244" s="402"/>
      <c r="T244" s="401"/>
      <c r="U244" s="402"/>
      <c r="V244" s="401"/>
      <c r="W244" s="402"/>
      <c r="X244" s="401"/>
      <c r="Y244" s="402"/>
      <c r="Z244" s="401"/>
      <c r="AA244" s="402"/>
      <c r="AB244" s="401"/>
      <c r="AC244" s="402"/>
      <c r="AD244" s="401"/>
      <c r="AE244" s="402"/>
      <c r="AF244" s="401"/>
      <c r="AG244" s="402"/>
      <c r="AH244" s="401"/>
      <c r="AI244" s="402"/>
      <c r="AJ244" s="401"/>
      <c r="AK244" s="402"/>
      <c r="AL244" s="401"/>
      <c r="AM244" s="409"/>
      <c r="AN244" s="401"/>
      <c r="AO244" s="409"/>
      <c r="AP244" s="53"/>
      <c r="AQ244" s="53"/>
      <c r="AR244" s="53"/>
    </row>
    <row r="245" spans="1:44">
      <c r="A245" s="259" t="s">
        <v>278</v>
      </c>
      <c r="B245" s="260" t="s">
        <v>285</v>
      </c>
      <c r="C245" s="463"/>
      <c r="D245" s="464">
        <v>176044</v>
      </c>
      <c r="E245" s="465">
        <v>4</v>
      </c>
      <c r="F245" s="401">
        <v>6746</v>
      </c>
      <c r="G245" s="402">
        <v>7048</v>
      </c>
      <c r="H245" s="406">
        <v>6746</v>
      </c>
      <c r="I245" s="402">
        <v>7048</v>
      </c>
      <c r="J245" s="401">
        <v>6746</v>
      </c>
      <c r="K245" s="402">
        <v>7048</v>
      </c>
      <c r="L245" s="406">
        <v>6746</v>
      </c>
      <c r="M245" s="402">
        <v>7048</v>
      </c>
      <c r="N245" s="401"/>
      <c r="O245" s="402"/>
      <c r="P245" s="401"/>
      <c r="Q245" s="402"/>
      <c r="R245" s="401"/>
      <c r="S245" s="402"/>
      <c r="T245" s="401"/>
      <c r="U245" s="402"/>
      <c r="V245" s="401"/>
      <c r="W245" s="402"/>
      <c r="X245" s="401"/>
      <c r="Y245" s="402"/>
      <c r="Z245" s="401"/>
      <c r="AA245" s="402"/>
      <c r="AB245" s="401"/>
      <c r="AC245" s="402"/>
      <c r="AD245" s="401"/>
      <c r="AE245" s="402"/>
      <c r="AF245" s="401"/>
      <c r="AG245" s="402"/>
      <c r="AH245" s="401"/>
      <c r="AI245" s="402"/>
      <c r="AJ245" s="401"/>
      <c r="AK245" s="402"/>
      <c r="AL245" s="401"/>
      <c r="AM245" s="409"/>
      <c r="AN245" s="401"/>
      <c r="AO245" s="409"/>
      <c r="AP245" s="53"/>
      <c r="AQ245" s="53"/>
      <c r="AR245" s="53"/>
    </row>
    <row r="246" spans="1:44" hidden="1">
      <c r="A246" s="410" t="s">
        <v>278</v>
      </c>
      <c r="B246" s="3" t="s">
        <v>976</v>
      </c>
      <c r="C246" s="467"/>
      <c r="D246" s="468">
        <v>175786</v>
      </c>
      <c r="E246" s="469">
        <v>8</v>
      </c>
      <c r="F246" s="390">
        <v>3460</v>
      </c>
      <c r="G246" s="391">
        <v>3760</v>
      </c>
      <c r="H246" s="390">
        <v>6660</v>
      </c>
      <c r="I246" s="391">
        <v>6960</v>
      </c>
      <c r="J246" s="390"/>
      <c r="K246" s="391"/>
      <c r="L246" s="390"/>
      <c r="M246" s="391"/>
      <c r="N246" s="390"/>
      <c r="O246" s="391"/>
      <c r="P246" s="390"/>
      <c r="Q246" s="391"/>
      <c r="R246" s="390"/>
      <c r="S246" s="391"/>
      <c r="T246" s="390"/>
      <c r="U246" s="391"/>
      <c r="V246" s="390"/>
      <c r="W246" s="391"/>
      <c r="X246" s="390"/>
      <c r="Y246" s="391"/>
      <c r="Z246" s="390"/>
      <c r="AA246" s="391"/>
      <c r="AB246" s="390"/>
      <c r="AC246" s="391"/>
      <c r="AD246" s="390"/>
      <c r="AE246" s="391"/>
      <c r="AF246" s="390"/>
      <c r="AG246" s="391"/>
      <c r="AH246" s="390"/>
      <c r="AI246" s="391"/>
      <c r="AJ246" s="390"/>
      <c r="AK246" s="391"/>
      <c r="AL246" s="390"/>
      <c r="AM246" s="391"/>
      <c r="AN246" s="390"/>
      <c r="AO246" s="391"/>
    </row>
    <row r="247" spans="1:44" hidden="1">
      <c r="A247" s="410" t="s">
        <v>278</v>
      </c>
      <c r="B247" s="3" t="s">
        <v>977</v>
      </c>
      <c r="C247" s="470"/>
      <c r="D247" s="468">
        <v>175810</v>
      </c>
      <c r="E247" s="469">
        <v>8</v>
      </c>
      <c r="F247" s="390">
        <v>3110</v>
      </c>
      <c r="G247" s="391">
        <v>3210</v>
      </c>
      <c r="H247" s="390">
        <v>5690</v>
      </c>
      <c r="I247" s="391">
        <v>5910</v>
      </c>
      <c r="J247" s="390"/>
      <c r="K247" s="391"/>
      <c r="L247" s="390"/>
      <c r="M247" s="391"/>
      <c r="N247" s="390"/>
      <c r="O247" s="391"/>
      <c r="P247" s="390"/>
      <c r="Q247" s="391"/>
      <c r="R247" s="390"/>
      <c r="S247" s="391"/>
      <c r="T247" s="390"/>
      <c r="U247" s="391"/>
      <c r="V247" s="390"/>
      <c r="W247" s="391"/>
      <c r="X247" s="390"/>
      <c r="Y247" s="391"/>
      <c r="Z247" s="390"/>
      <c r="AA247" s="391"/>
      <c r="AB247" s="390"/>
      <c r="AC247" s="391"/>
      <c r="AD247" s="390"/>
      <c r="AE247" s="391"/>
      <c r="AF247" s="390"/>
      <c r="AG247" s="391"/>
      <c r="AH247" s="390"/>
      <c r="AI247" s="391"/>
      <c r="AJ247" s="390"/>
      <c r="AK247" s="391"/>
      <c r="AL247" s="390"/>
      <c r="AM247" s="391"/>
      <c r="AN247" s="390"/>
      <c r="AO247" s="391"/>
    </row>
    <row r="248" spans="1:44" hidden="1">
      <c r="A248" s="410" t="s">
        <v>278</v>
      </c>
      <c r="B248" s="3" t="s">
        <v>978</v>
      </c>
      <c r="C248" s="467"/>
      <c r="D248" s="468">
        <v>176071</v>
      </c>
      <c r="E248" s="469">
        <v>8</v>
      </c>
      <c r="F248" s="390">
        <v>3300</v>
      </c>
      <c r="G248" s="391">
        <v>3500</v>
      </c>
      <c r="H248" s="390">
        <v>6400</v>
      </c>
      <c r="I248" s="391">
        <v>6800</v>
      </c>
      <c r="J248" s="390"/>
      <c r="K248" s="391"/>
      <c r="L248" s="390"/>
      <c r="M248" s="391"/>
      <c r="N248" s="390"/>
      <c r="O248" s="391"/>
      <c r="P248" s="390"/>
      <c r="Q248" s="391"/>
      <c r="R248" s="390"/>
      <c r="S248" s="391"/>
      <c r="T248" s="390"/>
      <c r="U248" s="391"/>
      <c r="V248" s="390"/>
      <c r="W248" s="391"/>
      <c r="X248" s="390"/>
      <c r="Y248" s="391"/>
      <c r="Z248" s="390"/>
      <c r="AA248" s="391"/>
      <c r="AB248" s="390"/>
      <c r="AC248" s="391"/>
      <c r="AD248" s="390"/>
      <c r="AE248" s="391"/>
      <c r="AF248" s="390"/>
      <c r="AG248" s="391"/>
      <c r="AH248" s="390"/>
      <c r="AI248" s="391"/>
      <c r="AJ248" s="390"/>
      <c r="AK248" s="391"/>
      <c r="AL248" s="390"/>
      <c r="AM248" s="391"/>
      <c r="AN248" s="390"/>
      <c r="AO248" s="391"/>
    </row>
    <row r="249" spans="1:44" hidden="1">
      <c r="A249" s="203" t="s">
        <v>278</v>
      </c>
      <c r="B249" s="3" t="s">
        <v>979</v>
      </c>
      <c r="C249" s="467"/>
      <c r="D249" s="468">
        <v>176178</v>
      </c>
      <c r="E249" s="469">
        <v>8</v>
      </c>
      <c r="F249" s="390">
        <v>3390</v>
      </c>
      <c r="G249" s="391">
        <v>3390</v>
      </c>
      <c r="H249" s="390">
        <v>5790</v>
      </c>
      <c r="I249" s="391">
        <v>5790</v>
      </c>
      <c r="J249" s="390"/>
      <c r="K249" s="391"/>
      <c r="L249" s="390"/>
      <c r="M249" s="391"/>
      <c r="N249" s="390"/>
      <c r="O249" s="391"/>
      <c r="P249" s="390"/>
      <c r="Q249" s="391"/>
      <c r="R249" s="390"/>
      <c r="S249" s="391"/>
      <c r="T249" s="390"/>
      <c r="U249" s="391"/>
      <c r="V249" s="390"/>
      <c r="W249" s="391"/>
      <c r="X249" s="390"/>
      <c r="Y249" s="391"/>
      <c r="Z249" s="390"/>
      <c r="AA249" s="391"/>
      <c r="AB249" s="390"/>
      <c r="AC249" s="391"/>
      <c r="AD249" s="390"/>
      <c r="AE249" s="391"/>
      <c r="AF249" s="390"/>
      <c r="AG249" s="391"/>
      <c r="AH249" s="390"/>
      <c r="AI249" s="391"/>
      <c r="AJ249" s="390"/>
      <c r="AK249" s="391"/>
      <c r="AL249" s="390"/>
      <c r="AM249" s="391"/>
      <c r="AN249" s="390"/>
      <c r="AO249" s="391"/>
    </row>
    <row r="250" spans="1:44" hidden="1">
      <c r="A250" s="203" t="s">
        <v>278</v>
      </c>
      <c r="B250" s="3" t="s">
        <v>980</v>
      </c>
      <c r="C250" s="467"/>
      <c r="D250" s="468">
        <v>175573</v>
      </c>
      <c r="E250" s="469">
        <v>9</v>
      </c>
      <c r="F250" s="390">
        <v>3180</v>
      </c>
      <c r="G250" s="391">
        <v>3380</v>
      </c>
      <c r="H250" s="390">
        <v>5180</v>
      </c>
      <c r="I250" s="391">
        <v>5380</v>
      </c>
      <c r="J250" s="390"/>
      <c r="K250" s="391"/>
      <c r="L250" s="390"/>
      <c r="M250" s="391"/>
      <c r="N250" s="390"/>
      <c r="O250" s="391"/>
      <c r="P250" s="390"/>
      <c r="Q250" s="391"/>
      <c r="R250" s="390"/>
      <c r="S250" s="391"/>
      <c r="T250" s="390"/>
      <c r="U250" s="391"/>
      <c r="V250" s="390"/>
      <c r="W250" s="391"/>
      <c r="X250" s="390"/>
      <c r="Y250" s="391"/>
      <c r="Z250" s="390"/>
      <c r="AA250" s="391"/>
      <c r="AB250" s="390"/>
      <c r="AC250" s="391"/>
      <c r="AD250" s="390"/>
      <c r="AE250" s="391"/>
      <c r="AF250" s="390"/>
      <c r="AG250" s="391"/>
      <c r="AH250" s="390"/>
      <c r="AI250" s="391"/>
      <c r="AJ250" s="390"/>
      <c r="AK250" s="391"/>
      <c r="AL250" s="390"/>
      <c r="AM250" s="391"/>
      <c r="AN250" s="390"/>
      <c r="AO250" s="391"/>
    </row>
    <row r="251" spans="1:44" hidden="1">
      <c r="A251" s="203" t="s">
        <v>278</v>
      </c>
      <c r="B251" s="3" t="s">
        <v>981</v>
      </c>
      <c r="C251" s="467"/>
      <c r="D251" s="468">
        <v>175643</v>
      </c>
      <c r="E251" s="469">
        <v>9</v>
      </c>
      <c r="F251" s="390">
        <v>3180</v>
      </c>
      <c r="G251" s="391">
        <v>3180</v>
      </c>
      <c r="H251" s="390">
        <v>5280</v>
      </c>
      <c r="I251" s="391">
        <v>5280</v>
      </c>
      <c r="J251" s="390"/>
      <c r="K251" s="391"/>
      <c r="L251" s="390"/>
      <c r="M251" s="391"/>
      <c r="N251" s="390"/>
      <c r="O251" s="391"/>
      <c r="P251" s="390"/>
      <c r="Q251" s="391"/>
      <c r="R251" s="390"/>
      <c r="S251" s="391"/>
      <c r="T251" s="390"/>
      <c r="U251" s="391"/>
      <c r="V251" s="390"/>
      <c r="W251" s="391"/>
      <c r="X251" s="390"/>
      <c r="Y251" s="391"/>
      <c r="Z251" s="390"/>
      <c r="AA251" s="391"/>
      <c r="AB251" s="390"/>
      <c r="AC251" s="391"/>
      <c r="AD251" s="390"/>
      <c r="AE251" s="391"/>
      <c r="AF251" s="390"/>
      <c r="AG251" s="391"/>
      <c r="AH251" s="390"/>
      <c r="AI251" s="391"/>
      <c r="AJ251" s="390"/>
      <c r="AK251" s="391"/>
      <c r="AL251" s="390"/>
      <c r="AM251" s="391"/>
      <c r="AN251" s="390"/>
      <c r="AO251" s="391"/>
    </row>
    <row r="252" spans="1:44" hidden="1">
      <c r="A252" s="203" t="s">
        <v>278</v>
      </c>
      <c r="B252" s="3" t="s">
        <v>982</v>
      </c>
      <c r="C252" s="467"/>
      <c r="D252" s="468">
        <v>175652</v>
      </c>
      <c r="E252" s="469">
        <v>9</v>
      </c>
      <c r="F252" s="390">
        <v>3790</v>
      </c>
      <c r="G252" s="391">
        <v>3790</v>
      </c>
      <c r="H252" s="390">
        <v>6790</v>
      </c>
      <c r="I252" s="391">
        <v>6790</v>
      </c>
      <c r="J252" s="390"/>
      <c r="K252" s="391"/>
      <c r="L252" s="390"/>
      <c r="M252" s="391"/>
      <c r="N252" s="390"/>
      <c r="O252" s="391"/>
      <c r="P252" s="390"/>
      <c r="Q252" s="391"/>
      <c r="R252" s="390"/>
      <c r="S252" s="391"/>
      <c r="T252" s="390"/>
      <c r="U252" s="391"/>
      <c r="V252" s="390"/>
      <c r="W252" s="391"/>
      <c r="X252" s="390"/>
      <c r="Y252" s="391"/>
      <c r="Z252" s="390"/>
      <c r="AA252" s="391"/>
      <c r="AB252" s="390"/>
      <c r="AC252" s="391"/>
      <c r="AD252" s="390"/>
      <c r="AE252" s="391"/>
      <c r="AF252" s="390"/>
      <c r="AG252" s="391"/>
      <c r="AH252" s="390"/>
      <c r="AI252" s="391"/>
      <c r="AJ252" s="390"/>
      <c r="AK252" s="391"/>
      <c r="AL252" s="390"/>
      <c r="AM252" s="391"/>
      <c r="AN252" s="390"/>
      <c r="AO252" s="391"/>
    </row>
    <row r="253" spans="1:44" hidden="1">
      <c r="A253" s="410" t="s">
        <v>278</v>
      </c>
      <c r="B253" s="3" t="s">
        <v>983</v>
      </c>
      <c r="C253" s="470"/>
      <c r="D253" s="468">
        <v>175829</v>
      </c>
      <c r="E253" s="471">
        <v>9</v>
      </c>
      <c r="F253" s="390">
        <v>3120</v>
      </c>
      <c r="G253" s="402">
        <v>3120</v>
      </c>
      <c r="H253" s="390">
        <v>5320</v>
      </c>
      <c r="I253" s="391">
        <v>5320</v>
      </c>
      <c r="J253" s="390"/>
      <c r="K253" s="391"/>
      <c r="L253" s="390"/>
      <c r="M253" s="391"/>
      <c r="N253" s="390"/>
      <c r="O253" s="391"/>
      <c r="P253" s="390"/>
      <c r="Q253" s="391"/>
      <c r="R253" s="390"/>
      <c r="S253" s="391"/>
      <c r="T253" s="390"/>
      <c r="U253" s="391"/>
      <c r="V253" s="390"/>
      <c r="W253" s="391"/>
      <c r="X253" s="390"/>
      <c r="Y253" s="391"/>
      <c r="Z253" s="390"/>
      <c r="AA253" s="391"/>
      <c r="AB253" s="390"/>
      <c r="AC253" s="391"/>
      <c r="AD253" s="390"/>
      <c r="AE253" s="391"/>
      <c r="AF253" s="390"/>
      <c r="AG253" s="391"/>
      <c r="AH253" s="390"/>
      <c r="AI253" s="391"/>
      <c r="AJ253" s="390"/>
      <c r="AK253" s="391"/>
      <c r="AL253" s="390"/>
      <c r="AM253" s="391"/>
      <c r="AN253" s="390"/>
      <c r="AO253" s="391"/>
    </row>
    <row r="254" spans="1:44" hidden="1">
      <c r="A254" s="410" t="s">
        <v>278</v>
      </c>
      <c r="B254" s="3" t="s">
        <v>984</v>
      </c>
      <c r="C254" s="467"/>
      <c r="D254" s="468">
        <v>175883</v>
      </c>
      <c r="E254" s="469">
        <v>9</v>
      </c>
      <c r="F254" s="390">
        <v>3870</v>
      </c>
      <c r="G254" s="391">
        <v>3870</v>
      </c>
      <c r="H254" s="390">
        <v>5870</v>
      </c>
      <c r="I254" s="391">
        <v>5870</v>
      </c>
      <c r="J254" s="390"/>
      <c r="K254" s="391"/>
      <c r="L254" s="390"/>
      <c r="M254" s="391"/>
      <c r="N254" s="390"/>
      <c r="O254" s="391"/>
      <c r="P254" s="390"/>
      <c r="Q254" s="391"/>
      <c r="R254" s="390"/>
      <c r="S254" s="391"/>
      <c r="T254" s="390"/>
      <c r="U254" s="391"/>
      <c r="V254" s="390"/>
      <c r="W254" s="391"/>
      <c r="X254" s="390"/>
      <c r="Y254" s="391"/>
      <c r="Z254" s="390"/>
      <c r="AA254" s="391"/>
      <c r="AB254" s="390"/>
      <c r="AC254" s="391"/>
      <c r="AD254" s="390"/>
      <c r="AE254" s="391"/>
      <c r="AF254" s="390"/>
      <c r="AG254" s="391"/>
      <c r="AH254" s="390"/>
      <c r="AI254" s="391"/>
      <c r="AJ254" s="390"/>
      <c r="AK254" s="391"/>
      <c r="AL254" s="390"/>
      <c r="AM254" s="391"/>
      <c r="AN254" s="390"/>
      <c r="AO254" s="391"/>
    </row>
    <row r="255" spans="1:44" hidden="1">
      <c r="A255" s="410" t="s">
        <v>278</v>
      </c>
      <c r="B255" s="3" t="s">
        <v>985</v>
      </c>
      <c r="C255" s="467"/>
      <c r="D255" s="468">
        <v>175935</v>
      </c>
      <c r="E255" s="469">
        <v>9</v>
      </c>
      <c r="F255" s="390">
        <v>3654</v>
      </c>
      <c r="G255" s="391">
        <v>3654</v>
      </c>
      <c r="H255" s="390">
        <v>5454</v>
      </c>
      <c r="I255" s="391">
        <v>5508</v>
      </c>
      <c r="J255" s="390"/>
      <c r="K255" s="391"/>
      <c r="L255" s="390"/>
      <c r="M255" s="391"/>
      <c r="N255" s="390"/>
      <c r="O255" s="391"/>
      <c r="P255" s="390"/>
      <c r="Q255" s="391"/>
      <c r="R255" s="390"/>
      <c r="S255" s="391"/>
      <c r="T255" s="390"/>
      <c r="U255" s="391"/>
      <c r="V255" s="390"/>
      <c r="W255" s="391"/>
      <c r="X255" s="390"/>
      <c r="Y255" s="391"/>
      <c r="Z255" s="390"/>
      <c r="AA255" s="391"/>
      <c r="AB255" s="390"/>
      <c r="AC255" s="391"/>
      <c r="AD255" s="390"/>
      <c r="AE255" s="391"/>
      <c r="AF255" s="390"/>
      <c r="AG255" s="391"/>
      <c r="AH255" s="390"/>
      <c r="AI255" s="391"/>
      <c r="AJ255" s="390"/>
      <c r="AK255" s="391"/>
      <c r="AL255" s="390"/>
      <c r="AM255" s="391"/>
      <c r="AN255" s="390"/>
      <c r="AO255" s="391"/>
    </row>
    <row r="256" spans="1:44" hidden="1">
      <c r="A256" s="410" t="s">
        <v>278</v>
      </c>
      <c r="B256" s="3" t="s">
        <v>986</v>
      </c>
      <c r="C256" s="467"/>
      <c r="D256" s="468">
        <v>176008</v>
      </c>
      <c r="E256" s="469">
        <v>9</v>
      </c>
      <c r="F256" s="390">
        <v>3150</v>
      </c>
      <c r="G256" s="391">
        <v>3150</v>
      </c>
      <c r="H256" s="390">
        <v>5350</v>
      </c>
      <c r="I256" s="391">
        <v>5350</v>
      </c>
      <c r="J256" s="390"/>
      <c r="K256" s="391"/>
      <c r="L256" s="390"/>
      <c r="M256" s="391"/>
      <c r="N256" s="390"/>
      <c r="O256" s="391"/>
      <c r="P256" s="390"/>
      <c r="Q256" s="391"/>
      <c r="R256" s="390"/>
      <c r="S256" s="391"/>
      <c r="T256" s="390"/>
      <c r="U256" s="391"/>
      <c r="V256" s="390"/>
      <c r="W256" s="391"/>
      <c r="X256" s="390"/>
      <c r="Y256" s="391"/>
      <c r="Z256" s="390"/>
      <c r="AA256" s="391"/>
      <c r="AB256" s="390"/>
      <c r="AC256" s="391"/>
      <c r="AD256" s="390"/>
      <c r="AE256" s="391"/>
      <c r="AF256" s="390"/>
      <c r="AG256" s="391"/>
      <c r="AH256" s="390"/>
      <c r="AI256" s="391"/>
      <c r="AJ256" s="390"/>
      <c r="AK256" s="391"/>
      <c r="AL256" s="390"/>
      <c r="AM256" s="391"/>
      <c r="AN256" s="390"/>
      <c r="AO256" s="391"/>
    </row>
    <row r="257" spans="1:44" hidden="1">
      <c r="A257" s="410" t="s">
        <v>278</v>
      </c>
      <c r="B257" s="3" t="s">
        <v>987</v>
      </c>
      <c r="C257" s="467"/>
      <c r="D257" s="468">
        <v>176169</v>
      </c>
      <c r="E257" s="469">
        <v>9</v>
      </c>
      <c r="F257" s="390">
        <v>3690</v>
      </c>
      <c r="G257" s="391">
        <v>3870</v>
      </c>
      <c r="H257" s="390">
        <v>6820</v>
      </c>
      <c r="I257" s="391">
        <v>7150</v>
      </c>
      <c r="J257" s="390"/>
      <c r="K257" s="391"/>
      <c r="L257" s="390"/>
      <c r="M257" s="391"/>
      <c r="N257" s="390"/>
      <c r="O257" s="391"/>
      <c r="P257" s="390"/>
      <c r="Q257" s="391"/>
      <c r="R257" s="390"/>
      <c r="S257" s="391"/>
      <c r="T257" s="390"/>
      <c r="U257" s="391"/>
      <c r="V257" s="390"/>
      <c r="W257" s="391"/>
      <c r="X257" s="390"/>
      <c r="Y257" s="391"/>
      <c r="Z257" s="390"/>
      <c r="AA257" s="391"/>
      <c r="AB257" s="390"/>
      <c r="AC257" s="391"/>
      <c r="AD257" s="390"/>
      <c r="AE257" s="391"/>
      <c r="AF257" s="390"/>
      <c r="AG257" s="391"/>
      <c r="AH257" s="390"/>
      <c r="AI257" s="391"/>
      <c r="AJ257" s="390"/>
      <c r="AK257" s="391"/>
      <c r="AL257" s="390"/>
      <c r="AM257" s="391"/>
      <c r="AN257" s="390"/>
      <c r="AO257" s="391"/>
    </row>
    <row r="258" spans="1:44" hidden="1">
      <c r="A258" s="410" t="s">
        <v>278</v>
      </c>
      <c r="B258" s="3" t="s">
        <v>988</v>
      </c>
      <c r="C258" s="467"/>
      <c r="D258" s="468">
        <v>176239</v>
      </c>
      <c r="E258" s="469">
        <v>9</v>
      </c>
      <c r="F258" s="390">
        <v>3410</v>
      </c>
      <c r="G258" s="391">
        <v>3410</v>
      </c>
      <c r="H258" s="390">
        <v>6660</v>
      </c>
      <c r="I258" s="391">
        <v>6660</v>
      </c>
      <c r="J258" s="390"/>
      <c r="K258" s="391"/>
      <c r="L258" s="390"/>
      <c r="M258" s="391"/>
      <c r="N258" s="390"/>
      <c r="O258" s="391"/>
      <c r="P258" s="390"/>
      <c r="Q258" s="391"/>
      <c r="R258" s="390"/>
      <c r="S258" s="391"/>
      <c r="T258" s="390"/>
      <c r="U258" s="391"/>
      <c r="V258" s="390"/>
      <c r="W258" s="391"/>
      <c r="X258" s="390"/>
      <c r="Y258" s="391"/>
      <c r="Z258" s="390"/>
      <c r="AA258" s="391"/>
      <c r="AB258" s="390"/>
      <c r="AC258" s="391"/>
      <c r="AD258" s="390"/>
      <c r="AE258" s="391"/>
      <c r="AF258" s="390"/>
      <c r="AG258" s="391"/>
      <c r="AH258" s="390"/>
      <c r="AI258" s="391"/>
      <c r="AJ258" s="390"/>
      <c r="AK258" s="391"/>
      <c r="AL258" s="390"/>
      <c r="AM258" s="391"/>
      <c r="AN258" s="390"/>
      <c r="AO258" s="391"/>
    </row>
    <row r="259" spans="1:44" hidden="1">
      <c r="A259" s="410" t="s">
        <v>278</v>
      </c>
      <c r="B259" s="3" t="s">
        <v>989</v>
      </c>
      <c r="C259" s="467"/>
      <c r="D259" s="468">
        <v>175519</v>
      </c>
      <c r="E259" s="469">
        <v>10</v>
      </c>
      <c r="F259" s="390">
        <v>3070</v>
      </c>
      <c r="G259" s="391">
        <v>3270</v>
      </c>
      <c r="H259" s="390">
        <v>6170</v>
      </c>
      <c r="I259" s="391">
        <v>6370</v>
      </c>
      <c r="J259" s="390"/>
      <c r="K259" s="391"/>
      <c r="L259" s="390"/>
      <c r="M259" s="391"/>
      <c r="N259" s="390"/>
      <c r="O259" s="391"/>
      <c r="P259" s="390"/>
      <c r="Q259" s="391"/>
      <c r="R259" s="390"/>
      <c r="S259" s="391"/>
      <c r="T259" s="390"/>
      <c r="U259" s="391"/>
      <c r="V259" s="390"/>
      <c r="W259" s="391"/>
      <c r="X259" s="390"/>
      <c r="Y259" s="391"/>
      <c r="Z259" s="390"/>
      <c r="AA259" s="391"/>
      <c r="AB259" s="390"/>
      <c r="AC259" s="391"/>
      <c r="AD259" s="390"/>
      <c r="AE259" s="391"/>
      <c r="AF259" s="390"/>
      <c r="AG259" s="391"/>
      <c r="AH259" s="390"/>
      <c r="AI259" s="391"/>
      <c r="AJ259" s="390"/>
      <c r="AK259" s="391"/>
      <c r="AL259" s="390"/>
      <c r="AM259" s="391"/>
      <c r="AN259" s="390"/>
      <c r="AO259" s="391"/>
    </row>
    <row r="260" spans="1:44" hidden="1">
      <c r="A260" s="410" t="s">
        <v>278</v>
      </c>
      <c r="B260" s="3" t="s">
        <v>990</v>
      </c>
      <c r="C260" s="467"/>
      <c r="D260" s="468">
        <v>176354</v>
      </c>
      <c r="E260" s="469">
        <v>10</v>
      </c>
      <c r="F260" s="390">
        <v>3380</v>
      </c>
      <c r="G260" s="391">
        <v>3380</v>
      </c>
      <c r="H260" s="390">
        <v>6080</v>
      </c>
      <c r="I260" s="391">
        <v>6080</v>
      </c>
      <c r="J260" s="390"/>
      <c r="K260" s="391"/>
      <c r="L260" s="390"/>
      <c r="M260" s="391"/>
      <c r="N260" s="390"/>
      <c r="O260" s="391"/>
      <c r="P260" s="390"/>
      <c r="Q260" s="391"/>
      <c r="R260" s="390"/>
      <c r="S260" s="391"/>
      <c r="T260" s="390"/>
      <c r="U260" s="391"/>
      <c r="V260" s="390"/>
      <c r="W260" s="391"/>
      <c r="X260" s="390"/>
      <c r="Y260" s="391"/>
      <c r="Z260" s="390"/>
      <c r="AA260" s="391"/>
      <c r="AB260" s="390"/>
      <c r="AC260" s="391"/>
      <c r="AD260" s="390"/>
      <c r="AE260" s="391"/>
      <c r="AF260" s="390"/>
      <c r="AG260" s="391"/>
      <c r="AH260" s="390"/>
      <c r="AI260" s="391"/>
      <c r="AJ260" s="390"/>
      <c r="AK260" s="391"/>
      <c r="AL260" s="390"/>
      <c r="AM260" s="391"/>
      <c r="AN260" s="390"/>
      <c r="AO260" s="391"/>
    </row>
    <row r="261" spans="1:44">
      <c r="A261" s="266" t="s">
        <v>287</v>
      </c>
      <c r="B261" s="267" t="s">
        <v>344</v>
      </c>
      <c r="C261" s="472"/>
      <c r="D261" s="473">
        <v>199193</v>
      </c>
      <c r="E261" s="474">
        <v>1</v>
      </c>
      <c r="F261" s="401">
        <v>9101</v>
      </c>
      <c r="G261" s="402">
        <v>9131</v>
      </c>
      <c r="H261" s="401">
        <v>29220</v>
      </c>
      <c r="I261" s="411">
        <v>29916</v>
      </c>
      <c r="J261" s="401">
        <v>11673</v>
      </c>
      <c r="K261" s="402">
        <v>11703</v>
      </c>
      <c r="L261" s="401">
        <v>28999</v>
      </c>
      <c r="M261" s="402">
        <v>29690</v>
      </c>
      <c r="N261" s="401"/>
      <c r="O261" s="402"/>
      <c r="P261" s="401"/>
      <c r="Q261" s="402"/>
      <c r="R261" s="401"/>
      <c r="S261" s="402"/>
      <c r="T261" s="401"/>
      <c r="U261" s="402"/>
      <c r="V261" s="401"/>
      <c r="W261" s="402"/>
      <c r="X261" s="401"/>
      <c r="Y261" s="402"/>
      <c r="Z261" s="401"/>
      <c r="AA261" s="402"/>
      <c r="AB261" s="401"/>
      <c r="AC261" s="402"/>
      <c r="AD261" s="401"/>
      <c r="AE261" s="402"/>
      <c r="AF261" s="401"/>
      <c r="AG261" s="402"/>
      <c r="AH261" s="401"/>
      <c r="AI261" s="402"/>
      <c r="AJ261" s="401"/>
      <c r="AK261" s="402"/>
      <c r="AL261" s="401">
        <v>19617</v>
      </c>
      <c r="AM261" s="402">
        <v>19647</v>
      </c>
      <c r="AN261" s="401">
        <v>47658</v>
      </c>
      <c r="AO261" s="402">
        <v>48348</v>
      </c>
      <c r="AP261" s="53"/>
      <c r="AQ261" s="53"/>
      <c r="AR261" s="53"/>
    </row>
    <row r="262" spans="1:44">
      <c r="A262" s="266" t="s">
        <v>287</v>
      </c>
      <c r="B262" s="267" t="s">
        <v>345</v>
      </c>
      <c r="C262" s="472"/>
      <c r="D262" s="473">
        <v>199120</v>
      </c>
      <c r="E262" s="474">
        <v>1</v>
      </c>
      <c r="F262" s="401">
        <v>8980</v>
      </c>
      <c r="G262" s="402">
        <v>9028</v>
      </c>
      <c r="H262" s="401">
        <v>36159</v>
      </c>
      <c r="I262" s="402">
        <v>36891</v>
      </c>
      <c r="J262" s="401">
        <v>12522</v>
      </c>
      <c r="K262" s="402">
        <v>12566</v>
      </c>
      <c r="L262" s="401">
        <v>30248</v>
      </c>
      <c r="M262" s="402">
        <v>30858</v>
      </c>
      <c r="N262" s="401">
        <v>24480</v>
      </c>
      <c r="O262" s="402">
        <v>24530</v>
      </c>
      <c r="P262" s="401">
        <v>41626</v>
      </c>
      <c r="Q262" s="402">
        <v>44742</v>
      </c>
      <c r="R262" s="401">
        <v>34695</v>
      </c>
      <c r="S262" s="402">
        <v>34745</v>
      </c>
      <c r="T262" s="401">
        <v>62089</v>
      </c>
      <c r="U262" s="402">
        <v>62705</v>
      </c>
      <c r="V262" s="401">
        <v>40653</v>
      </c>
      <c r="W262" s="402">
        <v>16674</v>
      </c>
      <c r="X262" s="401">
        <v>67168</v>
      </c>
      <c r="Y262" s="402">
        <v>35087</v>
      </c>
      <c r="Z262" s="401">
        <v>24335</v>
      </c>
      <c r="AA262" s="402">
        <v>24385</v>
      </c>
      <c r="AB262" s="401">
        <v>46896</v>
      </c>
      <c r="AC262" s="402">
        <v>47512</v>
      </c>
      <c r="AD262" s="401"/>
      <c r="AE262" s="402"/>
      <c r="AF262" s="401"/>
      <c r="AG262" s="402"/>
      <c r="AH262" s="401"/>
      <c r="AI262" s="402"/>
      <c r="AJ262" s="401"/>
      <c r="AK262" s="402"/>
      <c r="AL262" s="401"/>
      <c r="AM262" s="402"/>
      <c r="AN262" s="401"/>
      <c r="AO262" s="402"/>
      <c r="AP262" s="53"/>
      <c r="AQ262" s="53"/>
      <c r="AR262" s="53"/>
    </row>
    <row r="263" spans="1:44">
      <c r="A263" s="266" t="s">
        <v>287</v>
      </c>
      <c r="B263" s="267" t="s">
        <v>346</v>
      </c>
      <c r="C263" s="475"/>
      <c r="D263" s="473">
        <v>199139</v>
      </c>
      <c r="E263" s="474">
        <v>1</v>
      </c>
      <c r="F263" s="401">
        <v>6941</v>
      </c>
      <c r="G263" s="402">
        <v>7188</v>
      </c>
      <c r="H263" s="401">
        <v>20375</v>
      </c>
      <c r="I263" s="402">
        <v>20622</v>
      </c>
      <c r="J263" s="401">
        <v>7466</v>
      </c>
      <c r="K263" s="402">
        <v>7713</v>
      </c>
      <c r="L263" s="401">
        <v>20900</v>
      </c>
      <c r="M263" s="402">
        <v>21147</v>
      </c>
      <c r="N263" s="401"/>
      <c r="O263" s="402"/>
      <c r="P263" s="401"/>
      <c r="Q263" s="402"/>
      <c r="R263" s="401"/>
      <c r="S263" s="402"/>
      <c r="T263" s="401"/>
      <c r="U263" s="402"/>
      <c r="V263" s="401"/>
      <c r="W263" s="402"/>
      <c r="X263" s="401"/>
      <c r="Y263" s="402"/>
      <c r="Z263" s="401"/>
      <c r="AA263" s="402"/>
      <c r="AB263" s="401"/>
      <c r="AC263" s="402"/>
      <c r="AD263" s="401"/>
      <c r="AE263" s="402"/>
      <c r="AF263" s="401"/>
      <c r="AG263" s="402"/>
      <c r="AH263" s="401"/>
      <c r="AI263" s="402"/>
      <c r="AJ263" s="401"/>
      <c r="AK263" s="402"/>
      <c r="AL263" s="401"/>
      <c r="AM263" s="402"/>
      <c r="AN263" s="401"/>
      <c r="AO263" s="402"/>
      <c r="AP263" s="53"/>
      <c r="AQ263" s="53"/>
      <c r="AR263" s="53"/>
    </row>
    <row r="264" spans="1:44">
      <c r="A264" s="266" t="s">
        <v>287</v>
      </c>
      <c r="B264" s="267" t="s">
        <v>347</v>
      </c>
      <c r="C264" s="472"/>
      <c r="D264" s="473">
        <v>199148</v>
      </c>
      <c r="E264" s="474">
        <v>1</v>
      </c>
      <c r="F264" s="401">
        <v>7403</v>
      </c>
      <c r="G264" s="402">
        <v>7468</v>
      </c>
      <c r="H264" s="401">
        <v>22562</v>
      </c>
      <c r="I264" s="402">
        <v>22627</v>
      </c>
      <c r="J264" s="401">
        <v>8200</v>
      </c>
      <c r="K264" s="402">
        <v>8265</v>
      </c>
      <c r="L264" s="401">
        <v>21918</v>
      </c>
      <c r="M264" s="402">
        <v>21983</v>
      </c>
      <c r="N264" s="401"/>
      <c r="O264" s="402"/>
      <c r="P264" s="401"/>
      <c r="Q264" s="402"/>
      <c r="R264" s="401"/>
      <c r="S264" s="402"/>
      <c r="T264" s="401"/>
      <c r="U264" s="402"/>
      <c r="V264" s="401"/>
      <c r="W264" s="402"/>
      <c r="X264" s="401"/>
      <c r="Y264" s="402"/>
      <c r="Z264" s="401"/>
      <c r="AA264" s="402"/>
      <c r="AB264" s="401"/>
      <c r="AC264" s="402"/>
      <c r="AD264" s="401"/>
      <c r="AE264" s="402"/>
      <c r="AF264" s="401"/>
      <c r="AG264" s="402"/>
      <c r="AH264" s="401"/>
      <c r="AI264" s="402"/>
      <c r="AJ264" s="401"/>
      <c r="AK264" s="402"/>
      <c r="AL264" s="401"/>
      <c r="AM264" s="402"/>
      <c r="AN264" s="401"/>
      <c r="AO264" s="402"/>
      <c r="AP264" s="53"/>
      <c r="AQ264" s="53"/>
      <c r="AR264" s="53"/>
    </row>
    <row r="265" spans="1:44">
      <c r="A265" s="266" t="s">
        <v>287</v>
      </c>
      <c r="B265" s="267" t="s">
        <v>348</v>
      </c>
      <c r="C265" s="475"/>
      <c r="D265" s="473">
        <v>198464</v>
      </c>
      <c r="E265" s="474">
        <v>2</v>
      </c>
      <c r="F265" s="401">
        <v>7239</v>
      </c>
      <c r="G265" s="402">
        <v>7297</v>
      </c>
      <c r="H265" s="401">
        <v>23516</v>
      </c>
      <c r="I265" s="402">
        <v>23574</v>
      </c>
      <c r="J265" s="401">
        <v>7536</v>
      </c>
      <c r="K265" s="402">
        <v>7594</v>
      </c>
      <c r="L265" s="401">
        <v>20685</v>
      </c>
      <c r="M265" s="402">
        <v>20743</v>
      </c>
      <c r="N265" s="401"/>
      <c r="O265" s="402"/>
      <c r="P265" s="401"/>
      <c r="Q265" s="402"/>
      <c r="R265" s="401">
        <v>23154</v>
      </c>
      <c r="S265" s="402">
        <v>23116</v>
      </c>
      <c r="T265" s="406">
        <v>23154</v>
      </c>
      <c r="U265" s="402">
        <v>23116</v>
      </c>
      <c r="V265" s="401">
        <v>33046</v>
      </c>
      <c r="W265" s="402">
        <v>33046</v>
      </c>
      <c r="X265" s="406">
        <v>33046</v>
      </c>
      <c r="Y265" s="402">
        <v>33046</v>
      </c>
      <c r="Z265" s="401"/>
      <c r="AA265" s="402"/>
      <c r="AB265" s="401"/>
      <c r="AC265" s="402"/>
      <c r="AD265" s="401"/>
      <c r="AE265" s="402"/>
      <c r="AF265" s="401"/>
      <c r="AG265" s="402"/>
      <c r="AH265" s="401"/>
      <c r="AI265" s="402"/>
      <c r="AJ265" s="401"/>
      <c r="AK265" s="402"/>
      <c r="AL265" s="401"/>
      <c r="AM265" s="402"/>
      <c r="AN265" s="401"/>
      <c r="AO265" s="402"/>
      <c r="AP265" s="53"/>
      <c r="AQ265" s="53"/>
      <c r="AR265" s="53"/>
    </row>
    <row r="266" spans="1:44">
      <c r="A266" s="266" t="s">
        <v>287</v>
      </c>
      <c r="B266" s="267" t="s">
        <v>349</v>
      </c>
      <c r="C266" s="472"/>
      <c r="D266" s="473">
        <v>197869</v>
      </c>
      <c r="E266" s="474">
        <v>3</v>
      </c>
      <c r="F266" s="401">
        <v>7410</v>
      </c>
      <c r="G266" s="402">
        <v>7410</v>
      </c>
      <c r="H266" s="401">
        <v>22217</v>
      </c>
      <c r="I266" s="402">
        <v>23017</v>
      </c>
      <c r="J266" s="401">
        <v>8007</v>
      </c>
      <c r="K266" s="402">
        <v>8007</v>
      </c>
      <c r="L266" s="401">
        <v>21439</v>
      </c>
      <c r="M266" s="402">
        <v>23017</v>
      </c>
      <c r="N266" s="401"/>
      <c r="O266" s="402"/>
      <c r="P266" s="401"/>
      <c r="Q266" s="402"/>
      <c r="R266" s="401"/>
      <c r="S266" s="402"/>
      <c r="T266" s="401"/>
      <c r="U266" s="402"/>
      <c r="V266" s="401"/>
      <c r="W266" s="402"/>
      <c r="X266" s="401"/>
      <c r="Y266" s="402"/>
      <c r="Z266" s="401"/>
      <c r="AA266" s="402"/>
      <c r="AB266" s="401"/>
      <c r="AC266" s="402"/>
      <c r="AD266" s="401"/>
      <c r="AE266" s="402"/>
      <c r="AF266" s="401"/>
      <c r="AG266" s="402"/>
      <c r="AH266" s="401"/>
      <c r="AI266" s="402"/>
      <c r="AJ266" s="401"/>
      <c r="AK266" s="402"/>
      <c r="AL266" s="401"/>
      <c r="AM266" s="402"/>
      <c r="AN266" s="401"/>
      <c r="AO266" s="402"/>
      <c r="AP266" s="53"/>
      <c r="AQ266" s="53"/>
      <c r="AR266" s="53"/>
    </row>
    <row r="267" spans="1:44">
      <c r="A267" s="266" t="s">
        <v>287</v>
      </c>
      <c r="B267" s="479" t="s">
        <v>350</v>
      </c>
      <c r="C267" s="476" t="s">
        <v>1010</v>
      </c>
      <c r="D267" s="477">
        <v>199102</v>
      </c>
      <c r="E267" s="478">
        <v>2</v>
      </c>
      <c r="F267" s="401">
        <v>6657</v>
      </c>
      <c r="G267" s="402">
        <v>6733</v>
      </c>
      <c r="H267" s="401">
        <v>20167</v>
      </c>
      <c r="I267" s="402">
        <v>20243</v>
      </c>
      <c r="J267" s="401">
        <v>7862</v>
      </c>
      <c r="K267" s="402">
        <v>7938</v>
      </c>
      <c r="L267" s="401">
        <v>20662</v>
      </c>
      <c r="M267" s="402">
        <v>20738</v>
      </c>
      <c r="N267" s="401"/>
      <c r="O267" s="402"/>
      <c r="P267" s="401"/>
      <c r="Q267" s="402"/>
      <c r="R267" s="401"/>
      <c r="S267" s="402"/>
      <c r="T267" s="401"/>
      <c r="U267" s="402"/>
      <c r="V267" s="401"/>
      <c r="W267" s="402"/>
      <c r="X267" s="401"/>
      <c r="Y267" s="402"/>
      <c r="Z267" s="401"/>
      <c r="AA267" s="402"/>
      <c r="AB267" s="401"/>
      <c r="AC267" s="402"/>
      <c r="AD267" s="401"/>
      <c r="AE267" s="402"/>
      <c r="AF267" s="401"/>
      <c r="AG267" s="402"/>
      <c r="AH267" s="401"/>
      <c r="AI267" s="402"/>
      <c r="AJ267" s="401"/>
      <c r="AK267" s="402"/>
      <c r="AL267" s="401"/>
      <c r="AM267" s="402"/>
      <c r="AN267" s="401"/>
      <c r="AO267" s="402"/>
      <c r="AP267" s="53"/>
      <c r="AQ267" s="53"/>
      <c r="AR267" s="53"/>
    </row>
    <row r="268" spans="1:44">
      <c r="A268" s="266" t="s">
        <v>287</v>
      </c>
      <c r="B268" s="267" t="s">
        <v>351</v>
      </c>
      <c r="C268" s="472"/>
      <c r="D268" s="473">
        <v>199157</v>
      </c>
      <c r="E268" s="474">
        <v>3</v>
      </c>
      <c r="F268" s="401">
        <v>6629</v>
      </c>
      <c r="G268" s="402">
        <v>6644</v>
      </c>
      <c r="H268" s="401">
        <v>19336</v>
      </c>
      <c r="I268" s="402">
        <v>19351</v>
      </c>
      <c r="J268" s="401">
        <v>7641</v>
      </c>
      <c r="K268" s="402">
        <v>7641</v>
      </c>
      <c r="L268" s="401">
        <v>20595</v>
      </c>
      <c r="M268" s="402">
        <v>20595</v>
      </c>
      <c r="N268" s="401">
        <v>16345</v>
      </c>
      <c r="O268" s="402">
        <v>16345</v>
      </c>
      <c r="P268" s="401">
        <v>39017</v>
      </c>
      <c r="Q268" s="402">
        <v>39017</v>
      </c>
      <c r="R268" s="401"/>
      <c r="S268" s="402"/>
      <c r="T268" s="401"/>
      <c r="U268" s="402"/>
      <c r="V268" s="401"/>
      <c r="W268" s="402"/>
      <c r="X268" s="401"/>
      <c r="Y268" s="402"/>
      <c r="Z268" s="401"/>
      <c r="AA268" s="402"/>
      <c r="AB268" s="401"/>
      <c r="AC268" s="402"/>
      <c r="AD268" s="401"/>
      <c r="AE268" s="402"/>
      <c r="AF268" s="401"/>
      <c r="AG268" s="402"/>
      <c r="AH268" s="401"/>
      <c r="AI268" s="402"/>
      <c r="AJ268" s="401"/>
      <c r="AK268" s="402"/>
      <c r="AL268" s="401"/>
      <c r="AM268" s="402"/>
      <c r="AN268" s="401"/>
      <c r="AO268" s="402"/>
      <c r="AP268" s="53"/>
      <c r="AQ268" s="53"/>
      <c r="AR268" s="53"/>
    </row>
    <row r="269" spans="1:44">
      <c r="A269" s="266" t="s">
        <v>287</v>
      </c>
      <c r="B269" s="267" t="s">
        <v>352</v>
      </c>
      <c r="C269" s="472"/>
      <c r="D269" s="473">
        <v>199218</v>
      </c>
      <c r="E269" s="474">
        <v>3</v>
      </c>
      <c r="F269" s="401">
        <v>7181</v>
      </c>
      <c r="G269" s="402">
        <v>7238</v>
      </c>
      <c r="H269" s="401">
        <v>21246</v>
      </c>
      <c r="I269" s="402">
        <v>21303</v>
      </c>
      <c r="J269" s="401">
        <v>7457</v>
      </c>
      <c r="K269" s="402">
        <v>7514</v>
      </c>
      <c r="L269" s="401">
        <v>21286</v>
      </c>
      <c r="M269" s="402">
        <v>21343</v>
      </c>
      <c r="N269" s="401"/>
      <c r="O269" s="402"/>
      <c r="P269" s="401"/>
      <c r="Q269" s="402"/>
      <c r="R269" s="401"/>
      <c r="S269" s="402"/>
      <c r="T269" s="401"/>
      <c r="U269" s="402"/>
      <c r="V269" s="401"/>
      <c r="W269" s="402"/>
      <c r="X269" s="401"/>
      <c r="Y269" s="402"/>
      <c r="Z269" s="401"/>
      <c r="AA269" s="402"/>
      <c r="AB269" s="401"/>
      <c r="AC269" s="402"/>
      <c r="AD269" s="401"/>
      <c r="AE269" s="402"/>
      <c r="AF269" s="401"/>
      <c r="AG269" s="402"/>
      <c r="AH269" s="401"/>
      <c r="AI269" s="402"/>
      <c r="AJ269" s="401"/>
      <c r="AK269" s="402"/>
      <c r="AL269" s="401"/>
      <c r="AM269" s="402"/>
      <c r="AN269" s="401"/>
      <c r="AO269" s="402"/>
      <c r="AP269" s="53"/>
      <c r="AQ269" s="53"/>
      <c r="AR269" s="53"/>
    </row>
    <row r="270" spans="1:44">
      <c r="A270" s="266" t="s">
        <v>287</v>
      </c>
      <c r="B270" s="267" t="s">
        <v>353</v>
      </c>
      <c r="C270" s="472"/>
      <c r="D270" s="473">
        <v>200004</v>
      </c>
      <c r="E270" s="474">
        <v>3</v>
      </c>
      <c r="F270" s="401">
        <v>4285</v>
      </c>
      <c r="G270" s="402">
        <v>4367</v>
      </c>
      <c r="H270" s="401">
        <v>8285</v>
      </c>
      <c r="I270" s="402">
        <v>8367</v>
      </c>
      <c r="J270" s="401">
        <v>7414</v>
      </c>
      <c r="K270" s="402">
        <v>7480</v>
      </c>
      <c r="L270" s="401">
        <v>17821</v>
      </c>
      <c r="M270" s="402">
        <v>17887</v>
      </c>
      <c r="N270" s="401"/>
      <c r="O270" s="402"/>
      <c r="P270" s="401"/>
      <c r="Q270" s="402"/>
      <c r="R270" s="401"/>
      <c r="S270" s="402"/>
      <c r="T270" s="401"/>
      <c r="U270" s="402"/>
      <c r="V270" s="401"/>
      <c r="W270" s="402"/>
      <c r="X270" s="401"/>
      <c r="Y270" s="402"/>
      <c r="Z270" s="401"/>
      <c r="AA270" s="402"/>
      <c r="AB270" s="401"/>
      <c r="AC270" s="402"/>
      <c r="AD270" s="401"/>
      <c r="AE270" s="402"/>
      <c r="AF270" s="401"/>
      <c r="AG270" s="402"/>
      <c r="AH270" s="401"/>
      <c r="AI270" s="402"/>
      <c r="AJ270" s="401"/>
      <c r="AK270" s="402"/>
      <c r="AL270" s="401"/>
      <c r="AM270" s="402"/>
      <c r="AN270" s="401"/>
      <c r="AO270" s="402"/>
      <c r="AP270" s="53"/>
      <c r="AQ270" s="53"/>
      <c r="AR270" s="53"/>
    </row>
    <row r="271" spans="1:44">
      <c r="A271" s="266" t="s">
        <v>287</v>
      </c>
      <c r="B271" s="267" t="s">
        <v>354</v>
      </c>
      <c r="C271" s="472"/>
      <c r="D271" s="473">
        <v>198543</v>
      </c>
      <c r="E271" s="474">
        <v>4</v>
      </c>
      <c r="F271" s="401">
        <v>5309</v>
      </c>
      <c r="G271" s="402">
        <v>5379</v>
      </c>
      <c r="H271" s="401">
        <v>16917</v>
      </c>
      <c r="I271" s="402">
        <v>16987</v>
      </c>
      <c r="J271" s="401">
        <v>5765</v>
      </c>
      <c r="K271" s="402">
        <v>5835</v>
      </c>
      <c r="L271" s="401">
        <v>16830</v>
      </c>
      <c r="M271" s="402">
        <v>16900</v>
      </c>
      <c r="N271" s="401"/>
      <c r="O271" s="402"/>
      <c r="P271" s="401"/>
      <c r="Q271" s="402"/>
      <c r="R271" s="401"/>
      <c r="S271" s="402"/>
      <c r="T271" s="401"/>
      <c r="U271" s="402"/>
      <c r="V271" s="401"/>
      <c r="W271" s="402"/>
      <c r="X271" s="401"/>
      <c r="Y271" s="402"/>
      <c r="Z271" s="401"/>
      <c r="AA271" s="402"/>
      <c r="AB271" s="401"/>
      <c r="AC271" s="402"/>
      <c r="AD271" s="401"/>
      <c r="AE271" s="402"/>
      <c r="AF271" s="401"/>
      <c r="AG271" s="402"/>
      <c r="AH271" s="401"/>
      <c r="AI271" s="402"/>
      <c r="AJ271" s="401"/>
      <c r="AK271" s="402"/>
      <c r="AL271" s="401"/>
      <c r="AM271" s="402"/>
      <c r="AN271" s="401"/>
      <c r="AO271" s="402"/>
      <c r="AP271" s="53"/>
      <c r="AQ271" s="53"/>
      <c r="AR271" s="53"/>
    </row>
    <row r="272" spans="1:44">
      <c r="A272" s="266" t="s">
        <v>287</v>
      </c>
      <c r="B272" s="267" t="s">
        <v>355</v>
      </c>
      <c r="C272" s="472"/>
      <c r="D272" s="473">
        <v>199281</v>
      </c>
      <c r="E272" s="474">
        <v>5</v>
      </c>
      <c r="F272" s="401">
        <v>3456</v>
      </c>
      <c r="G272" s="402">
        <v>3495</v>
      </c>
      <c r="H272" s="401">
        <v>7456</v>
      </c>
      <c r="I272" s="402">
        <v>7495</v>
      </c>
      <c r="J272" s="401">
        <v>6736</v>
      </c>
      <c r="K272" s="402">
        <v>6775</v>
      </c>
      <c r="L272" s="401">
        <v>18800</v>
      </c>
      <c r="M272" s="402">
        <v>19329</v>
      </c>
      <c r="N272" s="401"/>
      <c r="O272" s="402"/>
      <c r="P272" s="401"/>
      <c r="Q272" s="402"/>
      <c r="R272" s="401"/>
      <c r="S272" s="402"/>
      <c r="T272" s="401"/>
      <c r="U272" s="402"/>
      <c r="V272" s="401"/>
      <c r="W272" s="402"/>
      <c r="X272" s="401"/>
      <c r="Y272" s="402"/>
      <c r="Z272" s="401"/>
      <c r="AA272" s="402"/>
      <c r="AB272" s="401"/>
      <c r="AC272" s="402"/>
      <c r="AD272" s="401"/>
      <c r="AE272" s="402"/>
      <c r="AF272" s="401"/>
      <c r="AG272" s="402"/>
      <c r="AH272" s="401"/>
      <c r="AI272" s="402"/>
      <c r="AJ272" s="401"/>
      <c r="AK272" s="402"/>
      <c r="AL272" s="401"/>
      <c r="AM272" s="402"/>
      <c r="AN272" s="401"/>
      <c r="AO272" s="402"/>
      <c r="AP272" s="53"/>
      <c r="AQ272" s="53"/>
      <c r="AR272" s="53"/>
    </row>
    <row r="273" spans="1:44">
      <c r="A273" s="266" t="s">
        <v>287</v>
      </c>
      <c r="B273" s="267" t="s">
        <v>356</v>
      </c>
      <c r="C273" s="472"/>
      <c r="D273" s="473">
        <v>199999</v>
      </c>
      <c r="E273" s="474">
        <v>5</v>
      </c>
      <c r="F273" s="401">
        <v>5941</v>
      </c>
      <c r="G273" s="402">
        <v>6247</v>
      </c>
      <c r="H273" s="401">
        <v>16188</v>
      </c>
      <c r="I273" s="402">
        <v>16903</v>
      </c>
      <c r="J273" s="401">
        <v>6412</v>
      </c>
      <c r="K273" s="402">
        <v>6718</v>
      </c>
      <c r="L273" s="401">
        <v>16527</v>
      </c>
      <c r="M273" s="402">
        <v>17253</v>
      </c>
      <c r="N273" s="401"/>
      <c r="O273" s="402"/>
      <c r="P273" s="401"/>
      <c r="Q273" s="402"/>
      <c r="R273" s="401"/>
      <c r="S273" s="402"/>
      <c r="T273" s="401"/>
      <c r="U273" s="402"/>
      <c r="V273" s="401"/>
      <c r="W273" s="402"/>
      <c r="X273" s="401"/>
      <c r="Y273" s="402"/>
      <c r="Z273" s="401"/>
      <c r="AA273" s="402"/>
      <c r="AB273" s="401"/>
      <c r="AC273" s="402"/>
      <c r="AD273" s="401"/>
      <c r="AE273" s="402"/>
      <c r="AF273" s="401"/>
      <c r="AG273" s="402"/>
      <c r="AH273" s="401"/>
      <c r="AI273" s="402"/>
      <c r="AJ273" s="401"/>
      <c r="AK273" s="402"/>
      <c r="AL273" s="401"/>
      <c r="AM273" s="402"/>
      <c r="AN273" s="401"/>
      <c r="AO273" s="402"/>
      <c r="AP273" s="53"/>
      <c r="AQ273" s="53"/>
      <c r="AR273" s="53"/>
    </row>
    <row r="274" spans="1:44">
      <c r="A274" s="266" t="s">
        <v>287</v>
      </c>
      <c r="B274" s="267" t="s">
        <v>357</v>
      </c>
      <c r="C274" s="472"/>
      <c r="D274" s="473">
        <v>198507</v>
      </c>
      <c r="E274" s="474">
        <v>6</v>
      </c>
      <c r="F274" s="401">
        <v>3260</v>
      </c>
      <c r="G274" s="402">
        <v>3326</v>
      </c>
      <c r="H274" s="401">
        <v>7260</v>
      </c>
      <c r="I274" s="402">
        <v>7326</v>
      </c>
      <c r="J274" s="401">
        <v>5635</v>
      </c>
      <c r="K274" s="402">
        <v>5701</v>
      </c>
      <c r="L274" s="401">
        <v>18697</v>
      </c>
      <c r="M274" s="402">
        <v>18763</v>
      </c>
      <c r="N274" s="401"/>
      <c r="O274" s="402"/>
      <c r="P274" s="401"/>
      <c r="Q274" s="402"/>
      <c r="R274" s="401"/>
      <c r="S274" s="402"/>
      <c r="T274" s="401"/>
      <c r="U274" s="402"/>
      <c r="V274" s="401"/>
      <c r="W274" s="402"/>
      <c r="X274" s="401"/>
      <c r="Y274" s="402"/>
      <c r="Z274" s="401"/>
      <c r="AA274" s="402"/>
      <c r="AB274" s="401"/>
      <c r="AC274" s="402"/>
      <c r="AD274" s="401"/>
      <c r="AE274" s="402"/>
      <c r="AF274" s="401"/>
      <c r="AG274" s="402"/>
      <c r="AH274" s="401"/>
      <c r="AI274" s="402"/>
      <c r="AJ274" s="401"/>
      <c r="AK274" s="402"/>
      <c r="AL274" s="401"/>
      <c r="AM274" s="402"/>
      <c r="AN274" s="401"/>
      <c r="AO274" s="402"/>
      <c r="AP274" s="53"/>
      <c r="AQ274" s="53"/>
      <c r="AR274" s="53"/>
    </row>
    <row r="275" spans="1:44">
      <c r="A275" s="266" t="s">
        <v>287</v>
      </c>
      <c r="B275" s="267" t="s">
        <v>358</v>
      </c>
      <c r="C275" s="472"/>
      <c r="D275" s="473">
        <v>199111</v>
      </c>
      <c r="E275" s="474">
        <v>6</v>
      </c>
      <c r="F275" s="401">
        <v>7244</v>
      </c>
      <c r="G275" s="402">
        <v>7319</v>
      </c>
      <c r="H275" s="401">
        <v>24592</v>
      </c>
      <c r="I275" s="402">
        <v>24667</v>
      </c>
      <c r="J275" s="401">
        <v>8036</v>
      </c>
      <c r="K275" s="402">
        <v>8036</v>
      </c>
      <c r="L275" s="401">
        <v>24358</v>
      </c>
      <c r="M275" s="402">
        <v>24359</v>
      </c>
      <c r="N275" s="401"/>
      <c r="O275" s="402"/>
      <c r="P275" s="401"/>
      <c r="Q275" s="402"/>
      <c r="R275" s="401"/>
      <c r="S275" s="402"/>
      <c r="T275" s="401"/>
      <c r="U275" s="402"/>
      <c r="V275" s="401"/>
      <c r="W275" s="402"/>
      <c r="X275" s="401"/>
      <c r="Y275" s="402"/>
      <c r="Z275" s="401"/>
      <c r="AA275" s="402"/>
      <c r="AB275" s="401"/>
      <c r="AC275" s="402"/>
      <c r="AD275" s="401"/>
      <c r="AE275" s="402"/>
      <c r="AF275" s="401"/>
      <c r="AG275" s="402"/>
      <c r="AH275" s="401"/>
      <c r="AI275" s="402"/>
      <c r="AJ275" s="401"/>
      <c r="AK275" s="402"/>
      <c r="AL275" s="401"/>
      <c r="AM275" s="402"/>
      <c r="AN275" s="401"/>
      <c r="AO275" s="402"/>
      <c r="AP275" s="53"/>
      <c r="AQ275" s="53"/>
      <c r="AR275" s="53"/>
    </row>
    <row r="276" spans="1:44" hidden="1">
      <c r="A276" s="266" t="s">
        <v>287</v>
      </c>
      <c r="B276" s="267" t="s">
        <v>623</v>
      </c>
      <c r="C276" s="472"/>
      <c r="D276" s="473">
        <v>199184</v>
      </c>
      <c r="E276" s="474">
        <v>15</v>
      </c>
      <c r="F276" s="401">
        <v>9358</v>
      </c>
      <c r="G276" s="402">
        <v>8941</v>
      </c>
      <c r="H276" s="401">
        <v>25901</v>
      </c>
      <c r="I276" s="402">
        <v>26175</v>
      </c>
      <c r="J276" s="401">
        <v>12057</v>
      </c>
      <c r="K276" s="402">
        <v>11640</v>
      </c>
      <c r="L276" s="401">
        <v>26064</v>
      </c>
      <c r="M276" s="402">
        <v>26343</v>
      </c>
      <c r="N276" s="401"/>
      <c r="O276" s="402"/>
      <c r="P276" s="401"/>
      <c r="Q276" s="402"/>
      <c r="R276" s="401"/>
      <c r="S276" s="402"/>
      <c r="T276" s="401"/>
      <c r="U276" s="402"/>
      <c r="V276" s="401"/>
      <c r="W276" s="402"/>
      <c r="X276" s="401"/>
      <c r="Y276" s="402"/>
      <c r="Z276" s="401"/>
      <c r="AA276" s="402"/>
      <c r="AB276" s="401"/>
      <c r="AC276" s="402"/>
      <c r="AD276" s="401"/>
      <c r="AE276" s="402"/>
      <c r="AF276" s="401"/>
      <c r="AG276" s="402"/>
      <c r="AH276" s="401"/>
      <c r="AI276" s="402"/>
      <c r="AJ276" s="401"/>
      <c r="AK276" s="402"/>
      <c r="AL276" s="401"/>
      <c r="AM276" s="402"/>
      <c r="AN276" s="401"/>
      <c r="AO276" s="402"/>
      <c r="AP276" s="53"/>
      <c r="AQ276" s="53"/>
      <c r="AR276" s="53"/>
    </row>
    <row r="277" spans="1:44" hidden="1">
      <c r="A277" s="236" t="s">
        <v>287</v>
      </c>
      <c r="B277" s="237" t="s">
        <v>289</v>
      </c>
      <c r="C277" s="238"/>
      <c r="D277" s="239">
        <v>197887</v>
      </c>
      <c r="E277" s="408">
        <v>8</v>
      </c>
      <c r="F277" s="401">
        <v>2632</v>
      </c>
      <c r="G277" s="402">
        <v>2632</v>
      </c>
      <c r="H277" s="401">
        <v>8776</v>
      </c>
      <c r="I277" s="402">
        <v>8776</v>
      </c>
      <c r="J277" s="401"/>
      <c r="K277" s="402"/>
      <c r="L277" s="401"/>
      <c r="M277" s="402"/>
      <c r="N277" s="401"/>
      <c r="O277" s="402"/>
      <c r="P277" s="401"/>
      <c r="Q277" s="402"/>
      <c r="R277" s="401"/>
      <c r="S277" s="402"/>
      <c r="T277" s="401"/>
      <c r="U277" s="402"/>
      <c r="V277" s="401"/>
      <c r="W277" s="402"/>
      <c r="X277" s="401"/>
      <c r="Y277" s="402"/>
      <c r="Z277" s="401"/>
      <c r="AA277" s="402"/>
      <c r="AB277" s="401"/>
      <c r="AC277" s="402"/>
      <c r="AD277" s="401"/>
      <c r="AE277" s="402"/>
      <c r="AF277" s="401"/>
      <c r="AG277" s="402"/>
      <c r="AH277" s="401"/>
      <c r="AI277" s="402"/>
      <c r="AJ277" s="401"/>
      <c r="AK277" s="402"/>
      <c r="AL277" s="401"/>
      <c r="AM277" s="402"/>
      <c r="AN277" s="401"/>
      <c r="AO277" s="402"/>
      <c r="AP277" s="53"/>
      <c r="AQ277" s="53"/>
      <c r="AR277" s="53"/>
    </row>
    <row r="278" spans="1:44" hidden="1">
      <c r="A278" s="236" t="s">
        <v>287</v>
      </c>
      <c r="B278" s="237" t="s">
        <v>295</v>
      </c>
      <c r="C278" s="238"/>
      <c r="D278" s="239">
        <v>198154</v>
      </c>
      <c r="E278" s="408">
        <v>8</v>
      </c>
      <c r="F278" s="401">
        <v>2748</v>
      </c>
      <c r="G278" s="402">
        <v>2748</v>
      </c>
      <c r="H278" s="401">
        <v>8892</v>
      </c>
      <c r="I278" s="402">
        <v>8892</v>
      </c>
      <c r="J278" s="401"/>
      <c r="K278" s="402"/>
      <c r="L278" s="401"/>
      <c r="M278" s="402"/>
      <c r="N278" s="401"/>
      <c r="O278" s="402"/>
      <c r="P278" s="401"/>
      <c r="Q278" s="402"/>
      <c r="R278" s="401"/>
      <c r="S278" s="402"/>
      <c r="T278" s="401"/>
      <c r="U278" s="402"/>
      <c r="V278" s="401"/>
      <c r="W278" s="402"/>
      <c r="X278" s="401"/>
      <c r="Y278" s="402"/>
      <c r="Z278" s="401"/>
      <c r="AA278" s="402"/>
      <c r="AB278" s="401"/>
      <c r="AC278" s="402"/>
      <c r="AD278" s="401"/>
      <c r="AE278" s="402"/>
      <c r="AF278" s="401"/>
      <c r="AG278" s="402"/>
      <c r="AH278" s="401"/>
      <c r="AI278" s="402"/>
      <c r="AJ278" s="401"/>
      <c r="AK278" s="402"/>
      <c r="AL278" s="401"/>
      <c r="AM278" s="402"/>
      <c r="AN278" s="401"/>
      <c r="AO278" s="402"/>
      <c r="AP278" s="53"/>
      <c r="AQ278" s="53"/>
      <c r="AR278" s="53"/>
    </row>
    <row r="279" spans="1:44" hidden="1">
      <c r="A279" s="236" t="s">
        <v>287</v>
      </c>
      <c r="B279" s="237" t="s">
        <v>299</v>
      </c>
      <c r="C279" s="238"/>
      <c r="D279" s="239">
        <v>198260</v>
      </c>
      <c r="E279" s="408">
        <v>8</v>
      </c>
      <c r="F279" s="401">
        <v>2792</v>
      </c>
      <c r="G279" s="402">
        <v>2792</v>
      </c>
      <c r="H279" s="401">
        <v>8936</v>
      </c>
      <c r="I279" s="402">
        <v>8936</v>
      </c>
      <c r="J279" s="401"/>
      <c r="K279" s="402"/>
      <c r="L279" s="401"/>
      <c r="M279" s="402"/>
      <c r="N279" s="401"/>
      <c r="O279" s="402"/>
      <c r="P279" s="401"/>
      <c r="Q279" s="402"/>
      <c r="R279" s="401"/>
      <c r="S279" s="402"/>
      <c r="T279" s="401"/>
      <c r="U279" s="402"/>
      <c r="V279" s="401"/>
      <c r="W279" s="402"/>
      <c r="X279" s="401"/>
      <c r="Y279" s="402"/>
      <c r="Z279" s="401"/>
      <c r="AA279" s="402"/>
      <c r="AB279" s="401"/>
      <c r="AC279" s="402"/>
      <c r="AD279" s="401"/>
      <c r="AE279" s="402"/>
      <c r="AF279" s="401"/>
      <c r="AG279" s="402"/>
      <c r="AH279" s="401"/>
      <c r="AI279" s="402"/>
      <c r="AJ279" s="401"/>
      <c r="AK279" s="402"/>
      <c r="AL279" s="401"/>
      <c r="AM279" s="402"/>
      <c r="AN279" s="401"/>
      <c r="AO279" s="402"/>
      <c r="AP279" s="53"/>
      <c r="AQ279" s="53"/>
      <c r="AR279" s="53"/>
    </row>
    <row r="280" spans="1:44" hidden="1">
      <c r="A280" s="236" t="s">
        <v>287</v>
      </c>
      <c r="B280" s="237" t="s">
        <v>305</v>
      </c>
      <c r="C280" s="238"/>
      <c r="D280" s="239">
        <v>198534</v>
      </c>
      <c r="E280" s="408">
        <v>8</v>
      </c>
      <c r="F280" s="401">
        <v>2544</v>
      </c>
      <c r="G280" s="402">
        <v>2544</v>
      </c>
      <c r="H280" s="401">
        <v>8688</v>
      </c>
      <c r="I280" s="402">
        <v>8688</v>
      </c>
      <c r="J280" s="401"/>
      <c r="K280" s="402"/>
      <c r="L280" s="401"/>
      <c r="M280" s="402"/>
      <c r="N280" s="401"/>
      <c r="O280" s="402"/>
      <c r="P280" s="401"/>
      <c r="Q280" s="402"/>
      <c r="R280" s="401"/>
      <c r="S280" s="402"/>
      <c r="T280" s="401"/>
      <c r="U280" s="402"/>
      <c r="V280" s="401"/>
      <c r="W280" s="402"/>
      <c r="X280" s="401"/>
      <c r="Y280" s="402"/>
      <c r="Z280" s="401"/>
      <c r="AA280" s="402"/>
      <c r="AB280" s="401"/>
      <c r="AC280" s="402"/>
      <c r="AD280" s="401"/>
      <c r="AE280" s="402"/>
      <c r="AF280" s="401"/>
      <c r="AG280" s="402"/>
      <c r="AH280" s="401"/>
      <c r="AI280" s="402"/>
      <c r="AJ280" s="401"/>
      <c r="AK280" s="402"/>
      <c r="AL280" s="401"/>
      <c r="AM280" s="402"/>
      <c r="AN280" s="401"/>
      <c r="AO280" s="402"/>
      <c r="AP280" s="53"/>
      <c r="AQ280" s="53"/>
      <c r="AR280" s="53"/>
    </row>
    <row r="281" spans="1:44" hidden="1">
      <c r="A281" s="236" t="s">
        <v>287</v>
      </c>
      <c r="B281" s="237" t="s">
        <v>306</v>
      </c>
      <c r="C281" s="238"/>
      <c r="D281" s="239">
        <v>198552</v>
      </c>
      <c r="E281" s="408">
        <v>8</v>
      </c>
      <c r="F281" s="401">
        <v>2152</v>
      </c>
      <c r="G281" s="402">
        <v>2152</v>
      </c>
      <c r="H281" s="401">
        <v>7168</v>
      </c>
      <c r="I281" s="402">
        <v>7168</v>
      </c>
      <c r="J281" s="401"/>
      <c r="K281" s="402"/>
      <c r="L281" s="401"/>
      <c r="M281" s="402"/>
      <c r="N281" s="401"/>
      <c r="O281" s="402"/>
      <c r="P281" s="401"/>
      <c r="Q281" s="402"/>
      <c r="R281" s="401"/>
      <c r="S281" s="402"/>
      <c r="T281" s="401"/>
      <c r="U281" s="402"/>
      <c r="V281" s="401"/>
      <c r="W281" s="402"/>
      <c r="X281" s="401"/>
      <c r="Y281" s="402"/>
      <c r="Z281" s="401"/>
      <c r="AA281" s="402"/>
      <c r="AB281" s="401"/>
      <c r="AC281" s="402"/>
      <c r="AD281" s="401"/>
      <c r="AE281" s="402"/>
      <c r="AF281" s="401"/>
      <c r="AG281" s="402"/>
      <c r="AH281" s="401"/>
      <c r="AI281" s="402"/>
      <c r="AJ281" s="401"/>
      <c r="AK281" s="402"/>
      <c r="AL281" s="401"/>
      <c r="AM281" s="402"/>
      <c r="AN281" s="401"/>
      <c r="AO281" s="402"/>
      <c r="AP281" s="53"/>
      <c r="AQ281" s="53"/>
      <c r="AR281" s="53"/>
    </row>
    <row r="282" spans="1:44" hidden="1">
      <c r="A282" s="236" t="s">
        <v>287</v>
      </c>
      <c r="B282" s="237" t="s">
        <v>308</v>
      </c>
      <c r="C282" s="238"/>
      <c r="D282" s="239">
        <v>198622</v>
      </c>
      <c r="E282" s="408">
        <v>8</v>
      </c>
      <c r="F282" s="401">
        <v>2319</v>
      </c>
      <c r="G282" s="402">
        <v>2289</v>
      </c>
      <c r="H282" s="401">
        <v>7695</v>
      </c>
      <c r="I282" s="402">
        <v>7665</v>
      </c>
      <c r="J282" s="401"/>
      <c r="K282" s="402"/>
      <c r="L282" s="401"/>
      <c r="M282" s="402"/>
      <c r="N282" s="401"/>
      <c r="O282" s="402"/>
      <c r="P282" s="401"/>
      <c r="Q282" s="402"/>
      <c r="R282" s="401"/>
      <c r="S282" s="402"/>
      <c r="T282" s="401"/>
      <c r="U282" s="402"/>
      <c r="V282" s="401"/>
      <c r="W282" s="402"/>
      <c r="X282" s="401"/>
      <c r="Y282" s="402"/>
      <c r="Z282" s="401"/>
      <c r="AA282" s="402"/>
      <c r="AB282" s="401"/>
      <c r="AC282" s="402"/>
      <c r="AD282" s="401"/>
      <c r="AE282" s="402"/>
      <c r="AF282" s="401"/>
      <c r="AG282" s="402"/>
      <c r="AH282" s="401"/>
      <c r="AI282" s="402"/>
      <c r="AJ282" s="401"/>
      <c r="AK282" s="402"/>
      <c r="AL282" s="401"/>
      <c r="AM282" s="402"/>
      <c r="AN282" s="401"/>
      <c r="AO282" s="402"/>
      <c r="AP282" s="53"/>
      <c r="AQ282" s="53"/>
      <c r="AR282" s="53"/>
    </row>
    <row r="283" spans="1:44" hidden="1">
      <c r="A283" s="236" t="s">
        <v>287</v>
      </c>
      <c r="B283" s="237" t="s">
        <v>323</v>
      </c>
      <c r="C283" s="238"/>
      <c r="D283" s="239">
        <v>199333</v>
      </c>
      <c r="E283" s="408">
        <v>8</v>
      </c>
      <c r="F283" s="401">
        <v>1940</v>
      </c>
      <c r="G283" s="402">
        <v>1940</v>
      </c>
      <c r="H283" s="401">
        <v>6548</v>
      </c>
      <c r="I283" s="402">
        <v>6548</v>
      </c>
      <c r="J283" s="401"/>
      <c r="K283" s="402"/>
      <c r="L283" s="401"/>
      <c r="M283" s="402"/>
      <c r="N283" s="401"/>
      <c r="O283" s="402"/>
      <c r="P283" s="401"/>
      <c r="Q283" s="402"/>
      <c r="R283" s="401"/>
      <c r="S283" s="402"/>
      <c r="T283" s="401"/>
      <c r="U283" s="402"/>
      <c r="V283" s="401"/>
      <c r="W283" s="402"/>
      <c r="X283" s="401"/>
      <c r="Y283" s="402"/>
      <c r="Z283" s="401"/>
      <c r="AA283" s="402"/>
      <c r="AB283" s="401"/>
      <c r="AC283" s="402"/>
      <c r="AD283" s="401"/>
      <c r="AE283" s="402"/>
      <c r="AF283" s="401"/>
      <c r="AG283" s="402"/>
      <c r="AH283" s="401"/>
      <c r="AI283" s="402"/>
      <c r="AJ283" s="401"/>
      <c r="AK283" s="402"/>
      <c r="AL283" s="401"/>
      <c r="AM283" s="402"/>
      <c r="AN283" s="401"/>
      <c r="AO283" s="402"/>
      <c r="AP283" s="53"/>
      <c r="AQ283" s="53"/>
      <c r="AR283" s="53"/>
    </row>
    <row r="284" spans="1:44" hidden="1">
      <c r="A284" s="236" t="s">
        <v>287</v>
      </c>
      <c r="B284" s="237" t="s">
        <v>329</v>
      </c>
      <c r="C284" s="238"/>
      <c r="D284" s="239">
        <v>199494</v>
      </c>
      <c r="E284" s="408">
        <v>8</v>
      </c>
      <c r="F284" s="401">
        <v>2632</v>
      </c>
      <c r="G284" s="402">
        <v>2626</v>
      </c>
      <c r="H284" s="401">
        <v>8776</v>
      </c>
      <c r="I284" s="402">
        <v>8770</v>
      </c>
      <c r="J284" s="401"/>
      <c r="K284" s="402"/>
      <c r="L284" s="401"/>
      <c r="M284" s="402"/>
      <c r="N284" s="401"/>
      <c r="O284" s="402"/>
      <c r="P284" s="401"/>
      <c r="Q284" s="402"/>
      <c r="R284" s="401"/>
      <c r="S284" s="402"/>
      <c r="T284" s="401"/>
      <c r="U284" s="402"/>
      <c r="V284" s="401"/>
      <c r="W284" s="402"/>
      <c r="X284" s="401"/>
      <c r="Y284" s="402"/>
      <c r="Z284" s="401"/>
      <c r="AA284" s="402"/>
      <c r="AB284" s="401"/>
      <c r="AC284" s="402"/>
      <c r="AD284" s="401"/>
      <c r="AE284" s="402"/>
      <c r="AF284" s="401"/>
      <c r="AG284" s="402"/>
      <c r="AH284" s="401"/>
      <c r="AI284" s="402"/>
      <c r="AJ284" s="401"/>
      <c r="AK284" s="402"/>
      <c r="AL284" s="401"/>
      <c r="AM284" s="402"/>
      <c r="AN284" s="401"/>
      <c r="AO284" s="402"/>
      <c r="AP284" s="53"/>
      <c r="AQ284" s="53"/>
      <c r="AR284" s="53"/>
    </row>
    <row r="285" spans="1:44" hidden="1">
      <c r="A285" s="236" t="s">
        <v>287</v>
      </c>
      <c r="B285" s="237" t="s">
        <v>339</v>
      </c>
      <c r="C285" s="238"/>
      <c r="D285" s="239">
        <v>199856</v>
      </c>
      <c r="E285" s="408">
        <v>8</v>
      </c>
      <c r="F285" s="401">
        <v>2432</v>
      </c>
      <c r="G285" s="402">
        <v>2768</v>
      </c>
      <c r="H285" s="401">
        <v>8576</v>
      </c>
      <c r="I285" s="402">
        <v>8912</v>
      </c>
      <c r="J285" s="401"/>
      <c r="K285" s="402"/>
      <c r="L285" s="401"/>
      <c r="M285" s="402"/>
      <c r="N285" s="401"/>
      <c r="O285" s="402"/>
      <c r="P285" s="401"/>
      <c r="Q285" s="402"/>
      <c r="R285" s="401"/>
      <c r="S285" s="402"/>
      <c r="T285" s="401"/>
      <c r="U285" s="402"/>
      <c r="V285" s="401"/>
      <c r="W285" s="402"/>
      <c r="X285" s="401"/>
      <c r="Y285" s="402"/>
      <c r="Z285" s="401"/>
      <c r="AA285" s="402"/>
      <c r="AB285" s="401"/>
      <c r="AC285" s="402"/>
      <c r="AD285" s="401"/>
      <c r="AE285" s="402"/>
      <c r="AF285" s="401"/>
      <c r="AG285" s="402"/>
      <c r="AH285" s="401"/>
      <c r="AI285" s="402"/>
      <c r="AJ285" s="401"/>
      <c r="AK285" s="402"/>
      <c r="AL285" s="401"/>
      <c r="AM285" s="402"/>
      <c r="AN285" s="401"/>
      <c r="AO285" s="402"/>
      <c r="AP285" s="53"/>
      <c r="AQ285" s="53"/>
      <c r="AR285" s="53"/>
    </row>
    <row r="286" spans="1:44" hidden="1">
      <c r="A286" s="236" t="s">
        <v>287</v>
      </c>
      <c r="B286" s="237" t="s">
        <v>288</v>
      </c>
      <c r="C286" s="238"/>
      <c r="D286" s="239">
        <v>199786</v>
      </c>
      <c r="E286" s="408">
        <v>9</v>
      </c>
      <c r="F286" s="401">
        <v>2492</v>
      </c>
      <c r="G286" s="402">
        <v>2492</v>
      </c>
      <c r="H286" s="401">
        <v>8636</v>
      </c>
      <c r="I286" s="402">
        <v>8636</v>
      </c>
      <c r="J286" s="401"/>
      <c r="K286" s="402"/>
      <c r="L286" s="401"/>
      <c r="M286" s="402"/>
      <c r="N286" s="401"/>
      <c r="O286" s="402"/>
      <c r="P286" s="401"/>
      <c r="Q286" s="402"/>
      <c r="R286" s="401"/>
      <c r="S286" s="402"/>
      <c r="T286" s="401"/>
      <c r="U286" s="402"/>
      <c r="V286" s="401"/>
      <c r="W286" s="402"/>
      <c r="X286" s="401"/>
      <c r="Y286" s="402"/>
      <c r="Z286" s="401"/>
      <c r="AA286" s="402"/>
      <c r="AB286" s="401"/>
      <c r="AC286" s="402"/>
      <c r="AD286" s="401"/>
      <c r="AE286" s="402"/>
      <c r="AF286" s="401"/>
      <c r="AG286" s="402"/>
      <c r="AH286" s="401"/>
      <c r="AI286" s="402"/>
      <c r="AJ286" s="401"/>
      <c r="AK286" s="402"/>
      <c r="AL286" s="401"/>
      <c r="AM286" s="402"/>
      <c r="AN286" s="401"/>
      <c r="AO286" s="402"/>
      <c r="AP286" s="53"/>
      <c r="AQ286" s="53"/>
      <c r="AR286" s="53"/>
    </row>
    <row r="287" spans="1:44" hidden="1">
      <c r="A287" s="236" t="s">
        <v>287</v>
      </c>
      <c r="B287" s="237" t="s">
        <v>294</v>
      </c>
      <c r="C287" s="238"/>
      <c r="D287" s="239">
        <v>198118</v>
      </c>
      <c r="E287" s="408">
        <v>9</v>
      </c>
      <c r="F287" s="401">
        <v>2528</v>
      </c>
      <c r="G287" s="402">
        <v>2537</v>
      </c>
      <c r="H287" s="401">
        <v>8672</v>
      </c>
      <c r="I287" s="402">
        <v>8681</v>
      </c>
      <c r="J287" s="401"/>
      <c r="K287" s="402"/>
      <c r="L287" s="401"/>
      <c r="M287" s="402"/>
      <c r="N287" s="401"/>
      <c r="O287" s="402"/>
      <c r="P287" s="401"/>
      <c r="Q287" s="402"/>
      <c r="R287" s="401"/>
      <c r="S287" s="402"/>
      <c r="T287" s="401"/>
      <c r="U287" s="402"/>
      <c r="V287" s="401"/>
      <c r="W287" s="402"/>
      <c r="X287" s="401"/>
      <c r="Y287" s="402"/>
      <c r="Z287" s="401"/>
      <c r="AA287" s="402"/>
      <c r="AB287" s="401"/>
      <c r="AC287" s="402"/>
      <c r="AD287" s="401"/>
      <c r="AE287" s="402"/>
      <c r="AF287" s="401"/>
      <c r="AG287" s="402"/>
      <c r="AH287" s="401"/>
      <c r="AI287" s="402"/>
      <c r="AJ287" s="401"/>
      <c r="AK287" s="402"/>
      <c r="AL287" s="401"/>
      <c r="AM287" s="402"/>
      <c r="AN287" s="401"/>
      <c r="AO287" s="402"/>
      <c r="AP287" s="53"/>
      <c r="AQ287" s="53"/>
      <c r="AR287" s="53"/>
    </row>
    <row r="288" spans="1:44" hidden="1">
      <c r="A288" s="236" t="s">
        <v>287</v>
      </c>
      <c r="B288" s="237" t="s">
        <v>297</v>
      </c>
      <c r="C288" s="238"/>
      <c r="D288" s="239">
        <v>198233</v>
      </c>
      <c r="E288" s="408">
        <v>9</v>
      </c>
      <c r="F288" s="401">
        <v>2367</v>
      </c>
      <c r="G288" s="402">
        <v>2367</v>
      </c>
      <c r="H288" s="401">
        <v>7743</v>
      </c>
      <c r="I288" s="402">
        <v>7743</v>
      </c>
      <c r="J288" s="401"/>
      <c r="K288" s="402"/>
      <c r="L288" s="401"/>
      <c r="M288" s="402"/>
      <c r="N288" s="401"/>
      <c r="O288" s="402"/>
      <c r="P288" s="401"/>
      <c r="Q288" s="402"/>
      <c r="R288" s="401"/>
      <c r="S288" s="402"/>
      <c r="T288" s="401"/>
      <c r="U288" s="402"/>
      <c r="V288" s="401"/>
      <c r="W288" s="402"/>
      <c r="X288" s="401"/>
      <c r="Y288" s="402"/>
      <c r="Z288" s="401"/>
      <c r="AA288" s="402"/>
      <c r="AB288" s="401"/>
      <c r="AC288" s="402"/>
      <c r="AD288" s="401"/>
      <c r="AE288" s="402"/>
      <c r="AF288" s="401"/>
      <c r="AG288" s="402"/>
      <c r="AH288" s="401"/>
      <c r="AI288" s="402"/>
      <c r="AJ288" s="401"/>
      <c r="AK288" s="402"/>
      <c r="AL288" s="401"/>
      <c r="AM288" s="402"/>
      <c r="AN288" s="401"/>
      <c r="AO288" s="402"/>
      <c r="AP288" s="53"/>
      <c r="AQ288" s="53"/>
      <c r="AR288" s="53"/>
    </row>
    <row r="289" spans="1:44" hidden="1">
      <c r="A289" s="236" t="s">
        <v>287</v>
      </c>
      <c r="B289" s="237" t="s">
        <v>298</v>
      </c>
      <c r="C289" s="238"/>
      <c r="D289" s="239">
        <v>198251</v>
      </c>
      <c r="E289" s="408">
        <v>9</v>
      </c>
      <c r="F289" s="401">
        <v>2554</v>
      </c>
      <c r="G289" s="402">
        <v>2554</v>
      </c>
      <c r="H289" s="401">
        <v>8698</v>
      </c>
      <c r="I289" s="402">
        <v>8698</v>
      </c>
      <c r="J289" s="401"/>
      <c r="K289" s="402"/>
      <c r="L289" s="401"/>
      <c r="M289" s="402"/>
      <c r="N289" s="401"/>
      <c r="O289" s="402"/>
      <c r="P289" s="401"/>
      <c r="Q289" s="402"/>
      <c r="R289" s="401"/>
      <c r="S289" s="402"/>
      <c r="T289" s="401"/>
      <c r="U289" s="402"/>
      <c r="V289" s="401"/>
      <c r="W289" s="402"/>
      <c r="X289" s="401"/>
      <c r="Y289" s="402"/>
      <c r="Z289" s="401"/>
      <c r="AA289" s="402"/>
      <c r="AB289" s="401"/>
      <c r="AC289" s="402"/>
      <c r="AD289" s="401"/>
      <c r="AE289" s="402"/>
      <c r="AF289" s="401"/>
      <c r="AG289" s="402"/>
      <c r="AH289" s="401"/>
      <c r="AI289" s="402"/>
      <c r="AJ289" s="401"/>
      <c r="AK289" s="402"/>
      <c r="AL289" s="401"/>
      <c r="AM289" s="402"/>
      <c r="AN289" s="401"/>
      <c r="AO289" s="402"/>
      <c r="AP289" s="53"/>
      <c r="AQ289" s="53"/>
      <c r="AR289" s="53"/>
    </row>
    <row r="290" spans="1:44" hidden="1">
      <c r="A290" s="236" t="s">
        <v>287</v>
      </c>
      <c r="B290" s="237" t="s">
        <v>300</v>
      </c>
      <c r="C290" s="238"/>
      <c r="D290" s="239">
        <v>198321</v>
      </c>
      <c r="E290" s="408">
        <v>9</v>
      </c>
      <c r="F290" s="401">
        <v>2602</v>
      </c>
      <c r="G290" s="402">
        <v>2602</v>
      </c>
      <c r="H290" s="401">
        <v>8746</v>
      </c>
      <c r="I290" s="402">
        <v>8746</v>
      </c>
      <c r="J290" s="401"/>
      <c r="K290" s="402"/>
      <c r="L290" s="401"/>
      <c r="M290" s="402"/>
      <c r="N290" s="401"/>
      <c r="O290" s="402"/>
      <c r="P290" s="401"/>
      <c r="Q290" s="402"/>
      <c r="R290" s="401"/>
      <c r="S290" s="402"/>
      <c r="T290" s="401"/>
      <c r="U290" s="402"/>
      <c r="V290" s="401"/>
      <c r="W290" s="402"/>
      <c r="X290" s="401"/>
      <c r="Y290" s="402"/>
      <c r="Z290" s="401"/>
      <c r="AA290" s="402"/>
      <c r="AB290" s="401"/>
      <c r="AC290" s="402"/>
      <c r="AD290" s="401"/>
      <c r="AE290" s="402"/>
      <c r="AF290" s="401"/>
      <c r="AG290" s="402"/>
      <c r="AH290" s="401"/>
      <c r="AI290" s="402"/>
      <c r="AJ290" s="401"/>
      <c r="AK290" s="402"/>
      <c r="AL290" s="401"/>
      <c r="AM290" s="402"/>
      <c r="AN290" s="401"/>
      <c r="AO290" s="402"/>
      <c r="AP290" s="53"/>
      <c r="AQ290" s="53"/>
      <c r="AR290" s="53"/>
    </row>
    <row r="291" spans="1:44" hidden="1">
      <c r="A291" s="236" t="s">
        <v>287</v>
      </c>
      <c r="B291" s="237" t="s">
        <v>301</v>
      </c>
      <c r="C291" s="238"/>
      <c r="D291" s="239">
        <v>198330</v>
      </c>
      <c r="E291" s="408">
        <v>9</v>
      </c>
      <c r="F291" s="401">
        <v>2462</v>
      </c>
      <c r="G291" s="402">
        <v>2462</v>
      </c>
      <c r="H291" s="401">
        <v>8606</v>
      </c>
      <c r="I291" s="402">
        <v>8606</v>
      </c>
      <c r="J291" s="401"/>
      <c r="K291" s="402"/>
      <c r="L291" s="401"/>
      <c r="M291" s="402"/>
      <c r="N291" s="401"/>
      <c r="O291" s="402"/>
      <c r="P291" s="401"/>
      <c r="Q291" s="402"/>
      <c r="R291" s="401"/>
      <c r="S291" s="402"/>
      <c r="T291" s="401"/>
      <c r="U291" s="402"/>
      <c r="V291" s="401"/>
      <c r="W291" s="402"/>
      <c r="X291" s="401"/>
      <c r="Y291" s="402"/>
      <c r="Z291" s="401"/>
      <c r="AA291" s="402"/>
      <c r="AB291" s="401"/>
      <c r="AC291" s="402"/>
      <c r="AD291" s="401"/>
      <c r="AE291" s="402"/>
      <c r="AF291" s="401"/>
      <c r="AG291" s="402"/>
      <c r="AH291" s="401"/>
      <c r="AI291" s="402"/>
      <c r="AJ291" s="401"/>
      <c r="AK291" s="402"/>
      <c r="AL291" s="401"/>
      <c r="AM291" s="402"/>
      <c r="AN291" s="401"/>
      <c r="AO291" s="402"/>
      <c r="AP291" s="53"/>
      <c r="AQ291" s="53"/>
      <c r="AR291" s="53"/>
    </row>
    <row r="292" spans="1:44" hidden="1">
      <c r="A292" s="236" t="s">
        <v>287</v>
      </c>
      <c r="B292" s="237" t="s">
        <v>302</v>
      </c>
      <c r="C292" s="238"/>
      <c r="D292" s="239">
        <v>198367</v>
      </c>
      <c r="E292" s="408">
        <v>9</v>
      </c>
      <c r="F292" s="401">
        <v>2114</v>
      </c>
      <c r="G292" s="402">
        <v>2022</v>
      </c>
      <c r="H292" s="401">
        <v>6722</v>
      </c>
      <c r="I292" s="402">
        <v>6630</v>
      </c>
      <c r="J292" s="401"/>
      <c r="K292" s="402"/>
      <c r="L292" s="401"/>
      <c r="M292" s="402"/>
      <c r="N292" s="401"/>
      <c r="O292" s="402"/>
      <c r="P292" s="401"/>
      <c r="Q292" s="402"/>
      <c r="R292" s="401"/>
      <c r="S292" s="402"/>
      <c r="T292" s="401"/>
      <c r="U292" s="402"/>
      <c r="V292" s="401"/>
      <c r="W292" s="402"/>
      <c r="X292" s="401"/>
      <c r="Y292" s="402"/>
      <c r="Z292" s="401"/>
      <c r="AA292" s="402"/>
      <c r="AB292" s="401"/>
      <c r="AC292" s="402"/>
      <c r="AD292" s="401"/>
      <c r="AE292" s="402"/>
      <c r="AF292" s="401"/>
      <c r="AG292" s="402"/>
      <c r="AH292" s="401"/>
      <c r="AI292" s="402"/>
      <c r="AJ292" s="401"/>
      <c r="AK292" s="402"/>
      <c r="AL292" s="401"/>
      <c r="AM292" s="402"/>
      <c r="AN292" s="401"/>
      <c r="AO292" s="402"/>
      <c r="AP292" s="53"/>
      <c r="AQ292" s="53"/>
      <c r="AR292" s="53"/>
    </row>
    <row r="293" spans="1:44" hidden="1">
      <c r="A293" s="236" t="s">
        <v>287</v>
      </c>
      <c r="B293" s="237" t="s">
        <v>663</v>
      </c>
      <c r="C293" s="238"/>
      <c r="D293" s="239">
        <v>198376</v>
      </c>
      <c r="E293" s="408">
        <v>9</v>
      </c>
      <c r="F293" s="401">
        <v>2588</v>
      </c>
      <c r="G293" s="402">
        <v>1978</v>
      </c>
      <c r="H293" s="401">
        <v>8732</v>
      </c>
      <c r="I293" s="402">
        <v>6586</v>
      </c>
      <c r="J293" s="401"/>
      <c r="K293" s="402"/>
      <c r="L293" s="401"/>
      <c r="M293" s="402"/>
      <c r="N293" s="401"/>
      <c r="O293" s="402"/>
      <c r="P293" s="401"/>
      <c r="Q293" s="402"/>
      <c r="R293" s="401"/>
      <c r="S293" s="402"/>
      <c r="T293" s="401"/>
      <c r="U293" s="402"/>
      <c r="V293" s="401"/>
      <c r="W293" s="402"/>
      <c r="X293" s="401"/>
      <c r="Y293" s="402"/>
      <c r="Z293" s="401"/>
      <c r="AA293" s="402"/>
      <c r="AB293" s="401"/>
      <c r="AC293" s="402"/>
      <c r="AD293" s="401"/>
      <c r="AE293" s="402"/>
      <c r="AF293" s="401"/>
      <c r="AG293" s="402"/>
      <c r="AH293" s="401"/>
      <c r="AI293" s="402"/>
      <c r="AJ293" s="401"/>
      <c r="AK293" s="402"/>
      <c r="AL293" s="401"/>
      <c r="AM293" s="402"/>
      <c r="AN293" s="401"/>
      <c r="AO293" s="402"/>
      <c r="AP293" s="53"/>
      <c r="AQ293" s="53"/>
      <c r="AR293" s="53"/>
    </row>
    <row r="294" spans="1:44" hidden="1">
      <c r="A294" s="236" t="s">
        <v>287</v>
      </c>
      <c r="B294" s="237" t="s">
        <v>303</v>
      </c>
      <c r="C294" s="238"/>
      <c r="D294" s="239">
        <v>198455</v>
      </c>
      <c r="E294" s="408">
        <v>9</v>
      </c>
      <c r="F294" s="401">
        <v>1958</v>
      </c>
      <c r="G294" s="402">
        <v>1958</v>
      </c>
      <c r="H294" s="401">
        <v>6566</v>
      </c>
      <c r="I294" s="402">
        <v>6566</v>
      </c>
      <c r="J294" s="401"/>
      <c r="K294" s="402"/>
      <c r="L294" s="401"/>
      <c r="M294" s="402"/>
      <c r="N294" s="401"/>
      <c r="O294" s="402"/>
      <c r="P294" s="401"/>
      <c r="Q294" s="402"/>
      <c r="R294" s="401"/>
      <c r="S294" s="402"/>
      <c r="T294" s="401"/>
      <c r="U294" s="402"/>
      <c r="V294" s="401"/>
      <c r="W294" s="402"/>
      <c r="X294" s="401"/>
      <c r="Y294" s="402"/>
      <c r="Z294" s="401"/>
      <c r="AA294" s="402"/>
      <c r="AB294" s="401"/>
      <c r="AC294" s="402"/>
      <c r="AD294" s="401"/>
      <c r="AE294" s="402"/>
      <c r="AF294" s="401"/>
      <c r="AG294" s="402"/>
      <c r="AH294" s="401"/>
      <c r="AI294" s="402"/>
      <c r="AJ294" s="401"/>
      <c r="AK294" s="402"/>
      <c r="AL294" s="401"/>
      <c r="AM294" s="402"/>
      <c r="AN294" s="401"/>
      <c r="AO294" s="402"/>
      <c r="AP294" s="53"/>
      <c r="AQ294" s="53"/>
      <c r="AR294" s="53"/>
    </row>
    <row r="295" spans="1:44" hidden="1">
      <c r="A295" s="236" t="s">
        <v>287</v>
      </c>
      <c r="B295" s="237" t="s">
        <v>307</v>
      </c>
      <c r="C295" s="238"/>
      <c r="D295" s="239">
        <v>198570</v>
      </c>
      <c r="E295" s="408">
        <v>9</v>
      </c>
      <c r="F295" s="401">
        <v>2704</v>
      </c>
      <c r="G295" s="402">
        <v>2862</v>
      </c>
      <c r="H295" s="401">
        <v>8848</v>
      </c>
      <c r="I295" s="402">
        <v>9006</v>
      </c>
      <c r="J295" s="401"/>
      <c r="K295" s="402"/>
      <c r="L295" s="401"/>
      <c r="M295" s="402"/>
      <c r="N295" s="401"/>
      <c r="O295" s="402"/>
      <c r="P295" s="401"/>
      <c r="Q295" s="402"/>
      <c r="R295" s="401"/>
      <c r="S295" s="402"/>
      <c r="T295" s="401"/>
      <c r="U295" s="402"/>
      <c r="V295" s="401"/>
      <c r="W295" s="402"/>
      <c r="X295" s="401"/>
      <c r="Y295" s="402"/>
      <c r="Z295" s="401"/>
      <c r="AA295" s="402"/>
      <c r="AB295" s="401"/>
      <c r="AC295" s="402"/>
      <c r="AD295" s="401"/>
      <c r="AE295" s="402"/>
      <c r="AF295" s="401"/>
      <c r="AG295" s="402"/>
      <c r="AH295" s="401"/>
      <c r="AI295" s="402"/>
      <c r="AJ295" s="401"/>
      <c r="AK295" s="402"/>
      <c r="AL295" s="401"/>
      <c r="AM295" s="402"/>
      <c r="AN295" s="401"/>
      <c r="AO295" s="402"/>
      <c r="AP295" s="53"/>
      <c r="AQ295" s="53"/>
      <c r="AR295" s="53"/>
    </row>
    <row r="296" spans="1:44" hidden="1">
      <c r="A296" s="236" t="s">
        <v>287</v>
      </c>
      <c r="B296" s="237" t="s">
        <v>313</v>
      </c>
      <c r="C296" s="238"/>
      <c r="D296" s="239">
        <v>198774</v>
      </c>
      <c r="E296" s="408">
        <v>9</v>
      </c>
      <c r="F296" s="401">
        <v>2657</v>
      </c>
      <c r="G296" s="402">
        <v>2657</v>
      </c>
      <c r="H296" s="401">
        <v>8801</v>
      </c>
      <c r="I296" s="402">
        <v>8801</v>
      </c>
      <c r="J296" s="401"/>
      <c r="K296" s="402"/>
      <c r="L296" s="401"/>
      <c r="M296" s="402"/>
      <c r="N296" s="401"/>
      <c r="O296" s="402"/>
      <c r="P296" s="401"/>
      <c r="Q296" s="402"/>
      <c r="R296" s="401"/>
      <c r="S296" s="402"/>
      <c r="T296" s="401"/>
      <c r="U296" s="402"/>
      <c r="V296" s="401"/>
      <c r="W296" s="402"/>
      <c r="X296" s="401"/>
      <c r="Y296" s="402"/>
      <c r="Z296" s="401"/>
      <c r="AA296" s="402"/>
      <c r="AB296" s="401"/>
      <c r="AC296" s="402"/>
      <c r="AD296" s="401"/>
      <c r="AE296" s="402"/>
      <c r="AF296" s="401"/>
      <c r="AG296" s="402"/>
      <c r="AH296" s="401"/>
      <c r="AI296" s="402"/>
      <c r="AJ296" s="401"/>
      <c r="AK296" s="402"/>
      <c r="AL296" s="401"/>
      <c r="AM296" s="402"/>
      <c r="AN296" s="401"/>
      <c r="AO296" s="402"/>
      <c r="AP296" s="53"/>
      <c r="AQ296" s="53"/>
      <c r="AR296" s="53"/>
    </row>
    <row r="297" spans="1:44" hidden="1">
      <c r="A297" s="236" t="s">
        <v>287</v>
      </c>
      <c r="B297" s="237" t="s">
        <v>314</v>
      </c>
      <c r="C297" s="238"/>
      <c r="D297" s="239">
        <v>198817</v>
      </c>
      <c r="E297" s="408">
        <v>9</v>
      </c>
      <c r="F297" s="401">
        <v>2568</v>
      </c>
      <c r="G297" s="402">
        <v>2568</v>
      </c>
      <c r="H297" s="401">
        <v>8712</v>
      </c>
      <c r="I297" s="402">
        <v>8712</v>
      </c>
      <c r="J297" s="401"/>
      <c r="K297" s="402"/>
      <c r="L297" s="401"/>
      <c r="M297" s="402"/>
      <c r="N297" s="401"/>
      <c r="O297" s="402"/>
      <c r="P297" s="401"/>
      <c r="Q297" s="402"/>
      <c r="R297" s="401"/>
      <c r="S297" s="402"/>
      <c r="T297" s="401"/>
      <c r="U297" s="402"/>
      <c r="V297" s="401"/>
      <c r="W297" s="402"/>
      <c r="X297" s="401"/>
      <c r="Y297" s="402"/>
      <c r="Z297" s="401"/>
      <c r="AA297" s="402"/>
      <c r="AB297" s="401"/>
      <c r="AC297" s="402"/>
      <c r="AD297" s="401"/>
      <c r="AE297" s="402"/>
      <c r="AF297" s="401"/>
      <c r="AG297" s="402"/>
      <c r="AH297" s="401"/>
      <c r="AI297" s="402"/>
      <c r="AJ297" s="401"/>
      <c r="AK297" s="402"/>
      <c r="AL297" s="401"/>
      <c r="AM297" s="402"/>
      <c r="AN297" s="401"/>
      <c r="AO297" s="402"/>
      <c r="AP297" s="53"/>
      <c r="AQ297" s="53"/>
      <c r="AR297" s="53"/>
    </row>
    <row r="298" spans="1:44" hidden="1">
      <c r="A298" s="236" t="s">
        <v>287</v>
      </c>
      <c r="B298" s="237" t="s">
        <v>318</v>
      </c>
      <c r="C298" s="238"/>
      <c r="D298" s="239">
        <v>198987</v>
      </c>
      <c r="E298" s="408">
        <v>9</v>
      </c>
      <c r="F298" s="401">
        <v>2651</v>
      </c>
      <c r="G298" s="402">
        <v>2651</v>
      </c>
      <c r="H298" s="401">
        <v>8795</v>
      </c>
      <c r="I298" s="402">
        <v>8795</v>
      </c>
      <c r="J298" s="401"/>
      <c r="K298" s="402"/>
      <c r="L298" s="401"/>
      <c r="M298" s="402"/>
      <c r="N298" s="401"/>
      <c r="O298" s="402"/>
      <c r="P298" s="401"/>
      <c r="Q298" s="402"/>
      <c r="R298" s="401"/>
      <c r="S298" s="402"/>
      <c r="T298" s="401"/>
      <c r="U298" s="402"/>
      <c r="V298" s="401"/>
      <c r="W298" s="402"/>
      <c r="X298" s="401"/>
      <c r="Y298" s="402"/>
      <c r="Z298" s="401"/>
      <c r="AA298" s="402"/>
      <c r="AB298" s="401"/>
      <c r="AC298" s="402"/>
      <c r="AD298" s="401"/>
      <c r="AE298" s="402"/>
      <c r="AF298" s="401"/>
      <c r="AG298" s="402"/>
      <c r="AH298" s="401"/>
      <c r="AI298" s="402"/>
      <c r="AJ298" s="401"/>
      <c r="AK298" s="402"/>
      <c r="AL298" s="401"/>
      <c r="AM298" s="402"/>
      <c r="AN298" s="401"/>
      <c r="AO298" s="402"/>
      <c r="AP298" s="53"/>
      <c r="AQ298" s="53"/>
      <c r="AR298" s="53"/>
    </row>
    <row r="299" spans="1:44" hidden="1">
      <c r="A299" s="236" t="s">
        <v>287</v>
      </c>
      <c r="B299" s="237" t="s">
        <v>320</v>
      </c>
      <c r="C299" s="238"/>
      <c r="D299" s="239">
        <v>199087</v>
      </c>
      <c r="E299" s="408">
        <v>9</v>
      </c>
      <c r="F299" s="401">
        <v>2666</v>
      </c>
      <c r="G299" s="402">
        <v>2834</v>
      </c>
      <c r="H299" s="401">
        <v>8810</v>
      </c>
      <c r="I299" s="402">
        <v>8834</v>
      </c>
      <c r="J299" s="401"/>
      <c r="K299" s="402"/>
      <c r="L299" s="401"/>
      <c r="M299" s="402"/>
      <c r="N299" s="401"/>
      <c r="O299" s="402"/>
      <c r="P299" s="401"/>
      <c r="Q299" s="402"/>
      <c r="R299" s="401"/>
      <c r="S299" s="402"/>
      <c r="T299" s="401"/>
      <c r="U299" s="402"/>
      <c r="V299" s="401"/>
      <c r="W299" s="402"/>
      <c r="X299" s="401"/>
      <c r="Y299" s="402"/>
      <c r="Z299" s="401"/>
      <c r="AA299" s="402"/>
      <c r="AB299" s="401"/>
      <c r="AC299" s="402"/>
      <c r="AD299" s="401"/>
      <c r="AE299" s="402"/>
      <c r="AF299" s="401"/>
      <c r="AG299" s="402"/>
      <c r="AH299" s="401"/>
      <c r="AI299" s="402"/>
      <c r="AJ299" s="401"/>
      <c r="AK299" s="402"/>
      <c r="AL299" s="401"/>
      <c r="AM299" s="402"/>
      <c r="AN299" s="401"/>
      <c r="AO299" s="402"/>
      <c r="AP299" s="53"/>
      <c r="AQ299" s="53"/>
      <c r="AR299" s="53"/>
    </row>
    <row r="300" spans="1:44" hidden="1">
      <c r="A300" s="236" t="s">
        <v>287</v>
      </c>
      <c r="B300" s="237" t="s">
        <v>324</v>
      </c>
      <c r="C300" s="238"/>
      <c r="D300" s="239">
        <v>199421</v>
      </c>
      <c r="E300" s="408">
        <v>9</v>
      </c>
      <c r="F300" s="401">
        <v>2386</v>
      </c>
      <c r="G300" s="402">
        <v>2386</v>
      </c>
      <c r="H300" s="401">
        <v>8146</v>
      </c>
      <c r="I300" s="402">
        <v>8146</v>
      </c>
      <c r="J300" s="401"/>
      <c r="K300" s="402"/>
      <c r="L300" s="401"/>
      <c r="M300" s="402"/>
      <c r="N300" s="401"/>
      <c r="O300" s="402"/>
      <c r="P300" s="401"/>
      <c r="Q300" s="402"/>
      <c r="R300" s="401"/>
      <c r="S300" s="402"/>
      <c r="T300" s="401"/>
      <c r="U300" s="402"/>
      <c r="V300" s="401"/>
      <c r="W300" s="402"/>
      <c r="X300" s="401"/>
      <c r="Y300" s="402"/>
      <c r="Z300" s="401"/>
      <c r="AA300" s="402"/>
      <c r="AB300" s="401"/>
      <c r="AC300" s="402"/>
      <c r="AD300" s="401"/>
      <c r="AE300" s="402"/>
      <c r="AF300" s="401"/>
      <c r="AG300" s="402"/>
      <c r="AH300" s="401"/>
      <c r="AI300" s="402"/>
      <c r="AJ300" s="401"/>
      <c r="AK300" s="402"/>
      <c r="AL300" s="401"/>
      <c r="AM300" s="402"/>
      <c r="AN300" s="401"/>
      <c r="AO300" s="402"/>
      <c r="AP300" s="53"/>
      <c r="AQ300" s="53"/>
      <c r="AR300" s="53"/>
    </row>
    <row r="301" spans="1:44" hidden="1">
      <c r="A301" s="236" t="s">
        <v>287</v>
      </c>
      <c r="B301" s="237" t="s">
        <v>325</v>
      </c>
      <c r="C301" s="240"/>
      <c r="D301" s="239">
        <v>199449</v>
      </c>
      <c r="E301" s="408">
        <v>9</v>
      </c>
      <c r="F301" s="401">
        <v>2536</v>
      </c>
      <c r="G301" s="402">
        <v>2536</v>
      </c>
      <c r="H301" s="401">
        <v>8680</v>
      </c>
      <c r="I301" s="402">
        <v>8680</v>
      </c>
      <c r="J301" s="401"/>
      <c r="K301" s="402"/>
      <c r="L301" s="401"/>
      <c r="M301" s="402"/>
      <c r="N301" s="401"/>
      <c r="O301" s="402"/>
      <c r="P301" s="401"/>
      <c r="Q301" s="402"/>
      <c r="R301" s="401"/>
      <c r="S301" s="402"/>
      <c r="T301" s="401"/>
      <c r="U301" s="402"/>
      <c r="V301" s="401"/>
      <c r="W301" s="402"/>
      <c r="X301" s="401"/>
      <c r="Y301" s="402"/>
      <c r="Z301" s="401"/>
      <c r="AA301" s="402"/>
      <c r="AB301" s="401"/>
      <c r="AC301" s="402"/>
      <c r="AD301" s="401"/>
      <c r="AE301" s="402"/>
      <c r="AF301" s="401"/>
      <c r="AG301" s="402"/>
      <c r="AH301" s="401"/>
      <c r="AI301" s="402"/>
      <c r="AJ301" s="401"/>
      <c r="AK301" s="402"/>
      <c r="AL301" s="401"/>
      <c r="AM301" s="402"/>
      <c r="AN301" s="401"/>
      <c r="AO301" s="402"/>
      <c r="AP301" s="53"/>
      <c r="AQ301" s="53"/>
      <c r="AR301" s="53"/>
    </row>
    <row r="302" spans="1:44" hidden="1">
      <c r="A302" s="236" t="s">
        <v>287</v>
      </c>
      <c r="B302" s="237" t="s">
        <v>331</v>
      </c>
      <c r="C302" s="238"/>
      <c r="D302" s="239">
        <v>199634</v>
      </c>
      <c r="E302" s="408">
        <v>9</v>
      </c>
      <c r="F302" s="401">
        <v>2764</v>
      </c>
      <c r="G302" s="402">
        <v>2764</v>
      </c>
      <c r="H302" s="401">
        <v>8908</v>
      </c>
      <c r="I302" s="402">
        <v>8908</v>
      </c>
      <c r="J302" s="401"/>
      <c r="K302" s="402"/>
      <c r="L302" s="401"/>
      <c r="M302" s="402"/>
      <c r="N302" s="401"/>
      <c r="O302" s="402"/>
      <c r="P302" s="401"/>
      <c r="Q302" s="402"/>
      <c r="R302" s="401"/>
      <c r="S302" s="402"/>
      <c r="T302" s="401"/>
      <c r="U302" s="402"/>
      <c r="V302" s="401"/>
      <c r="W302" s="402"/>
      <c r="X302" s="401"/>
      <c r="Y302" s="402"/>
      <c r="Z302" s="401"/>
      <c r="AA302" s="402"/>
      <c r="AB302" s="401"/>
      <c r="AC302" s="402"/>
      <c r="AD302" s="401"/>
      <c r="AE302" s="402"/>
      <c r="AF302" s="401"/>
      <c r="AG302" s="402"/>
      <c r="AH302" s="401"/>
      <c r="AI302" s="402"/>
      <c r="AJ302" s="401"/>
      <c r="AK302" s="402"/>
      <c r="AL302" s="401"/>
      <c r="AM302" s="402"/>
      <c r="AN302" s="401"/>
      <c r="AO302" s="402"/>
      <c r="AP302" s="53"/>
      <c r="AQ302" s="53"/>
      <c r="AR302" s="53"/>
    </row>
    <row r="303" spans="1:44" hidden="1">
      <c r="A303" s="236" t="s">
        <v>287</v>
      </c>
      <c r="B303" s="237" t="s">
        <v>332</v>
      </c>
      <c r="C303" s="240"/>
      <c r="D303" s="239">
        <v>197850</v>
      </c>
      <c r="E303" s="408">
        <v>9</v>
      </c>
      <c r="F303" s="401">
        <v>2015</v>
      </c>
      <c r="G303" s="402">
        <v>2015</v>
      </c>
      <c r="H303" s="401">
        <v>6623</v>
      </c>
      <c r="I303" s="402">
        <v>6623</v>
      </c>
      <c r="J303" s="401"/>
      <c r="K303" s="402"/>
      <c r="L303" s="401"/>
      <c r="M303" s="402"/>
      <c r="N303" s="401"/>
      <c r="O303" s="402"/>
      <c r="P303" s="401"/>
      <c r="Q303" s="402"/>
      <c r="R303" s="401"/>
      <c r="S303" s="402"/>
      <c r="T303" s="401"/>
      <c r="U303" s="402"/>
      <c r="V303" s="401"/>
      <c r="W303" s="402"/>
      <c r="X303" s="401"/>
      <c r="Y303" s="402"/>
      <c r="Z303" s="401"/>
      <c r="AA303" s="402"/>
      <c r="AB303" s="401"/>
      <c r="AC303" s="402"/>
      <c r="AD303" s="401"/>
      <c r="AE303" s="402"/>
      <c r="AF303" s="401"/>
      <c r="AG303" s="402"/>
      <c r="AH303" s="401"/>
      <c r="AI303" s="402"/>
      <c r="AJ303" s="401"/>
      <c r="AK303" s="402"/>
      <c r="AL303" s="401"/>
      <c r="AM303" s="402"/>
      <c r="AN303" s="401"/>
      <c r="AO303" s="402"/>
      <c r="AP303" s="53"/>
      <c r="AQ303" s="53"/>
      <c r="AR303" s="53"/>
    </row>
    <row r="304" spans="1:44" hidden="1">
      <c r="A304" s="236" t="s">
        <v>287</v>
      </c>
      <c r="B304" s="237" t="s">
        <v>335</v>
      </c>
      <c r="C304" s="238"/>
      <c r="D304" s="239">
        <v>199740</v>
      </c>
      <c r="E304" s="408">
        <v>9</v>
      </c>
      <c r="F304" s="401">
        <v>2674</v>
      </c>
      <c r="G304" s="402">
        <v>2794</v>
      </c>
      <c r="H304" s="401">
        <v>8818</v>
      </c>
      <c r="I304" s="402">
        <v>9245</v>
      </c>
      <c r="J304" s="401"/>
      <c r="K304" s="402"/>
      <c r="L304" s="401"/>
      <c r="M304" s="402"/>
      <c r="N304" s="401"/>
      <c r="O304" s="402"/>
      <c r="P304" s="401"/>
      <c r="Q304" s="402"/>
      <c r="R304" s="401"/>
      <c r="S304" s="402"/>
      <c r="T304" s="401"/>
      <c r="U304" s="402"/>
      <c r="V304" s="401"/>
      <c r="W304" s="402"/>
      <c r="X304" s="401"/>
      <c r="Y304" s="402"/>
      <c r="Z304" s="401"/>
      <c r="AA304" s="402"/>
      <c r="AB304" s="401"/>
      <c r="AC304" s="402"/>
      <c r="AD304" s="401"/>
      <c r="AE304" s="402"/>
      <c r="AF304" s="401"/>
      <c r="AG304" s="402"/>
      <c r="AH304" s="401"/>
      <c r="AI304" s="402"/>
      <c r="AJ304" s="401"/>
      <c r="AK304" s="402"/>
      <c r="AL304" s="401"/>
      <c r="AM304" s="402"/>
      <c r="AN304" s="401"/>
      <c r="AO304" s="402"/>
      <c r="AP304" s="53"/>
      <c r="AQ304" s="53"/>
      <c r="AR304" s="53"/>
    </row>
    <row r="305" spans="1:44" hidden="1">
      <c r="A305" s="236" t="s">
        <v>287</v>
      </c>
      <c r="B305" s="237" t="s">
        <v>336</v>
      </c>
      <c r="C305" s="238"/>
      <c r="D305" s="239">
        <v>199768</v>
      </c>
      <c r="E305" s="408">
        <v>9</v>
      </c>
      <c r="F305" s="401">
        <v>2663</v>
      </c>
      <c r="G305" s="402">
        <v>2663</v>
      </c>
      <c r="H305" s="401">
        <v>8807</v>
      </c>
      <c r="I305" s="402">
        <v>8807</v>
      </c>
      <c r="J305" s="401"/>
      <c r="K305" s="402"/>
      <c r="L305" s="401"/>
      <c r="M305" s="402"/>
      <c r="N305" s="401"/>
      <c r="O305" s="402"/>
      <c r="P305" s="401"/>
      <c r="Q305" s="402"/>
      <c r="R305" s="401"/>
      <c r="S305" s="402"/>
      <c r="T305" s="401"/>
      <c r="U305" s="402"/>
      <c r="V305" s="401"/>
      <c r="W305" s="402"/>
      <c r="X305" s="401"/>
      <c r="Y305" s="402"/>
      <c r="Z305" s="401"/>
      <c r="AA305" s="402"/>
      <c r="AB305" s="401"/>
      <c r="AC305" s="402"/>
      <c r="AD305" s="401"/>
      <c r="AE305" s="402"/>
      <c r="AF305" s="401"/>
      <c r="AG305" s="402"/>
      <c r="AH305" s="401"/>
      <c r="AI305" s="402"/>
      <c r="AJ305" s="401"/>
      <c r="AK305" s="402"/>
      <c r="AL305" s="401"/>
      <c r="AM305" s="402"/>
      <c r="AN305" s="401"/>
      <c r="AO305" s="402"/>
      <c r="AP305" s="53"/>
      <c r="AQ305" s="53"/>
      <c r="AR305" s="53"/>
    </row>
    <row r="306" spans="1:44" hidden="1">
      <c r="A306" s="236" t="s">
        <v>287</v>
      </c>
      <c r="B306" s="237" t="s">
        <v>338</v>
      </c>
      <c r="C306" s="238"/>
      <c r="D306" s="239">
        <v>199838</v>
      </c>
      <c r="E306" s="408">
        <v>9</v>
      </c>
      <c r="F306" s="401">
        <v>1948</v>
      </c>
      <c r="G306" s="402">
        <v>1944</v>
      </c>
      <c r="H306" s="401">
        <v>6556</v>
      </c>
      <c r="I306" s="402">
        <v>6552</v>
      </c>
      <c r="J306" s="401"/>
      <c r="K306" s="402"/>
      <c r="L306" s="401"/>
      <c r="M306" s="402"/>
      <c r="N306" s="401"/>
      <c r="O306" s="402"/>
      <c r="P306" s="401"/>
      <c r="Q306" s="402"/>
      <c r="R306" s="401"/>
      <c r="S306" s="402"/>
      <c r="T306" s="401"/>
      <c r="U306" s="402"/>
      <c r="V306" s="401"/>
      <c r="W306" s="402"/>
      <c r="X306" s="401"/>
      <c r="Y306" s="402"/>
      <c r="Z306" s="401"/>
      <c r="AA306" s="402"/>
      <c r="AB306" s="401"/>
      <c r="AC306" s="402"/>
      <c r="AD306" s="401"/>
      <c r="AE306" s="402"/>
      <c r="AF306" s="401"/>
      <c r="AG306" s="402"/>
      <c r="AH306" s="401"/>
      <c r="AI306" s="402"/>
      <c r="AJ306" s="401"/>
      <c r="AK306" s="402"/>
      <c r="AL306" s="401"/>
      <c r="AM306" s="402"/>
      <c r="AN306" s="401"/>
      <c r="AO306" s="402"/>
      <c r="AP306" s="53"/>
      <c r="AQ306" s="53"/>
      <c r="AR306" s="53"/>
    </row>
    <row r="307" spans="1:44" hidden="1">
      <c r="A307" s="236" t="s">
        <v>287</v>
      </c>
      <c r="B307" s="237" t="s">
        <v>340</v>
      </c>
      <c r="C307" s="238"/>
      <c r="D307" s="239">
        <v>199892</v>
      </c>
      <c r="E307" s="408">
        <v>9</v>
      </c>
      <c r="F307" s="401">
        <v>2524</v>
      </c>
      <c r="G307" s="402">
        <v>2524</v>
      </c>
      <c r="H307" s="401">
        <v>8668</v>
      </c>
      <c r="I307" s="402">
        <v>8668</v>
      </c>
      <c r="J307" s="401"/>
      <c r="K307" s="402"/>
      <c r="L307" s="401"/>
      <c r="M307" s="402"/>
      <c r="N307" s="401"/>
      <c r="O307" s="402"/>
      <c r="P307" s="401"/>
      <c r="Q307" s="402"/>
      <c r="R307" s="401"/>
      <c r="S307" s="402"/>
      <c r="T307" s="401"/>
      <c r="U307" s="402"/>
      <c r="V307" s="401"/>
      <c r="W307" s="402"/>
      <c r="X307" s="401"/>
      <c r="Y307" s="402"/>
      <c r="Z307" s="401"/>
      <c r="AA307" s="402"/>
      <c r="AB307" s="401"/>
      <c r="AC307" s="402"/>
      <c r="AD307" s="401"/>
      <c r="AE307" s="402"/>
      <c r="AF307" s="401"/>
      <c r="AG307" s="402"/>
      <c r="AH307" s="401"/>
      <c r="AI307" s="402"/>
      <c r="AJ307" s="401"/>
      <c r="AK307" s="402"/>
      <c r="AL307" s="401"/>
      <c r="AM307" s="402"/>
      <c r="AN307" s="401"/>
      <c r="AO307" s="402"/>
      <c r="AP307" s="53"/>
      <c r="AQ307" s="53"/>
      <c r="AR307" s="53"/>
    </row>
    <row r="308" spans="1:44" hidden="1">
      <c r="A308" s="236" t="s">
        <v>287</v>
      </c>
      <c r="B308" s="237" t="s">
        <v>342</v>
      </c>
      <c r="C308" s="238"/>
      <c r="D308" s="239">
        <v>199926</v>
      </c>
      <c r="E308" s="408">
        <v>9</v>
      </c>
      <c r="F308" s="401">
        <v>2572</v>
      </c>
      <c r="G308" s="402">
        <v>2572</v>
      </c>
      <c r="H308" s="401">
        <v>8716</v>
      </c>
      <c r="I308" s="402">
        <v>8716</v>
      </c>
      <c r="J308" s="401"/>
      <c r="K308" s="402"/>
      <c r="L308" s="401"/>
      <c r="M308" s="402"/>
      <c r="N308" s="401"/>
      <c r="O308" s="402"/>
      <c r="P308" s="401"/>
      <c r="Q308" s="402"/>
      <c r="R308" s="401"/>
      <c r="S308" s="402"/>
      <c r="T308" s="401"/>
      <c r="U308" s="402"/>
      <c r="V308" s="401"/>
      <c r="W308" s="402"/>
      <c r="X308" s="401"/>
      <c r="Y308" s="402"/>
      <c r="Z308" s="401"/>
      <c r="AA308" s="402"/>
      <c r="AB308" s="401"/>
      <c r="AC308" s="402"/>
      <c r="AD308" s="401"/>
      <c r="AE308" s="402"/>
      <c r="AF308" s="401"/>
      <c r="AG308" s="402"/>
      <c r="AH308" s="401"/>
      <c r="AI308" s="402"/>
      <c r="AJ308" s="401"/>
      <c r="AK308" s="402"/>
      <c r="AL308" s="401"/>
      <c r="AM308" s="402"/>
      <c r="AN308" s="401"/>
      <c r="AO308" s="402"/>
      <c r="AP308" s="53"/>
      <c r="AQ308" s="53"/>
      <c r="AR308" s="53"/>
    </row>
    <row r="309" spans="1:44" hidden="1">
      <c r="A309" s="236" t="s">
        <v>287</v>
      </c>
      <c r="B309" s="237" t="s">
        <v>290</v>
      </c>
      <c r="C309" s="238"/>
      <c r="D309" s="239">
        <v>197966</v>
      </c>
      <c r="E309" s="408">
        <v>10</v>
      </c>
      <c r="F309" s="401">
        <v>2518</v>
      </c>
      <c r="G309" s="402">
        <v>2518</v>
      </c>
      <c r="H309" s="401">
        <v>8662</v>
      </c>
      <c r="I309" s="402">
        <v>8662</v>
      </c>
      <c r="J309" s="401"/>
      <c r="K309" s="402"/>
      <c r="L309" s="401"/>
      <c r="M309" s="402"/>
      <c r="N309" s="401"/>
      <c r="O309" s="402"/>
      <c r="P309" s="401"/>
      <c r="Q309" s="402"/>
      <c r="R309" s="401"/>
      <c r="S309" s="402"/>
      <c r="T309" s="401"/>
      <c r="U309" s="402"/>
      <c r="V309" s="401"/>
      <c r="W309" s="402"/>
      <c r="X309" s="401"/>
      <c r="Y309" s="402"/>
      <c r="Z309" s="401"/>
      <c r="AA309" s="402"/>
      <c r="AB309" s="401"/>
      <c r="AC309" s="402"/>
      <c r="AD309" s="401"/>
      <c r="AE309" s="402"/>
      <c r="AF309" s="401"/>
      <c r="AG309" s="402"/>
      <c r="AH309" s="401"/>
      <c r="AI309" s="402"/>
      <c r="AJ309" s="401"/>
      <c r="AK309" s="402"/>
      <c r="AL309" s="401"/>
      <c r="AM309" s="402"/>
      <c r="AN309" s="401"/>
      <c r="AO309" s="402"/>
      <c r="AP309" s="53"/>
      <c r="AQ309" s="53"/>
      <c r="AR309" s="53"/>
    </row>
    <row r="310" spans="1:44" hidden="1">
      <c r="A310" s="236" t="s">
        <v>287</v>
      </c>
      <c r="B310" s="237" t="s">
        <v>291</v>
      </c>
      <c r="C310" s="238"/>
      <c r="D310" s="239">
        <v>198011</v>
      </c>
      <c r="E310" s="408">
        <v>10</v>
      </c>
      <c r="F310" s="401">
        <v>2558</v>
      </c>
      <c r="G310" s="402">
        <v>2558</v>
      </c>
      <c r="H310" s="401">
        <v>8702</v>
      </c>
      <c r="I310" s="402">
        <v>8702</v>
      </c>
      <c r="J310" s="401"/>
      <c r="K310" s="402"/>
      <c r="L310" s="401"/>
      <c r="M310" s="402"/>
      <c r="N310" s="401"/>
      <c r="O310" s="402"/>
      <c r="P310" s="401"/>
      <c r="Q310" s="402"/>
      <c r="R310" s="401"/>
      <c r="S310" s="402"/>
      <c r="T310" s="401"/>
      <c r="U310" s="402"/>
      <c r="V310" s="401"/>
      <c r="W310" s="402"/>
      <c r="X310" s="401"/>
      <c r="Y310" s="402"/>
      <c r="Z310" s="401"/>
      <c r="AA310" s="402"/>
      <c r="AB310" s="401"/>
      <c r="AC310" s="402"/>
      <c r="AD310" s="401"/>
      <c r="AE310" s="402"/>
      <c r="AF310" s="401"/>
      <c r="AG310" s="402"/>
      <c r="AH310" s="401"/>
      <c r="AI310" s="402"/>
      <c r="AJ310" s="401"/>
      <c r="AK310" s="402"/>
      <c r="AL310" s="401"/>
      <c r="AM310" s="402"/>
      <c r="AN310" s="401"/>
      <c r="AO310" s="402"/>
      <c r="AP310" s="53"/>
      <c r="AQ310" s="53"/>
      <c r="AR310" s="53"/>
    </row>
    <row r="311" spans="1:44" hidden="1">
      <c r="A311" s="236" t="s">
        <v>287</v>
      </c>
      <c r="B311" s="237" t="s">
        <v>292</v>
      </c>
      <c r="C311" s="238"/>
      <c r="D311" s="239">
        <v>198039</v>
      </c>
      <c r="E311" s="408">
        <v>10</v>
      </c>
      <c r="F311" s="401">
        <v>2651</v>
      </c>
      <c r="G311" s="402">
        <v>2651</v>
      </c>
      <c r="H311" s="401">
        <v>8795</v>
      </c>
      <c r="I311" s="402">
        <v>8795</v>
      </c>
      <c r="J311" s="401"/>
      <c r="K311" s="402"/>
      <c r="L311" s="401"/>
      <c r="M311" s="402"/>
      <c r="N311" s="401"/>
      <c r="O311" s="402"/>
      <c r="P311" s="401"/>
      <c r="Q311" s="402"/>
      <c r="R311" s="401"/>
      <c r="S311" s="402"/>
      <c r="T311" s="401"/>
      <c r="U311" s="402"/>
      <c r="V311" s="401"/>
      <c r="W311" s="402"/>
      <c r="X311" s="401"/>
      <c r="Y311" s="402"/>
      <c r="Z311" s="401"/>
      <c r="AA311" s="402"/>
      <c r="AB311" s="401"/>
      <c r="AC311" s="402"/>
      <c r="AD311" s="401"/>
      <c r="AE311" s="402"/>
      <c r="AF311" s="401"/>
      <c r="AG311" s="402"/>
      <c r="AH311" s="401"/>
      <c r="AI311" s="402"/>
      <c r="AJ311" s="401"/>
      <c r="AK311" s="402"/>
      <c r="AL311" s="401"/>
      <c r="AM311" s="402"/>
      <c r="AN311" s="401"/>
      <c r="AO311" s="402"/>
      <c r="AP311" s="53"/>
      <c r="AQ311" s="53"/>
      <c r="AR311" s="53"/>
    </row>
    <row r="312" spans="1:44" hidden="1">
      <c r="A312" s="236" t="s">
        <v>287</v>
      </c>
      <c r="B312" s="237" t="s">
        <v>293</v>
      </c>
      <c r="C312" s="238"/>
      <c r="D312" s="239">
        <v>198084</v>
      </c>
      <c r="E312" s="408">
        <v>10</v>
      </c>
      <c r="F312" s="401">
        <v>2532</v>
      </c>
      <c r="G312" s="402">
        <v>2532</v>
      </c>
      <c r="H312" s="401">
        <v>8676</v>
      </c>
      <c r="I312" s="402">
        <v>8676</v>
      </c>
      <c r="J312" s="401"/>
      <c r="K312" s="402"/>
      <c r="L312" s="401"/>
      <c r="M312" s="402"/>
      <c r="N312" s="401"/>
      <c r="O312" s="402"/>
      <c r="P312" s="401"/>
      <c r="Q312" s="402"/>
      <c r="R312" s="401"/>
      <c r="S312" s="402"/>
      <c r="T312" s="401"/>
      <c r="U312" s="402"/>
      <c r="V312" s="401"/>
      <c r="W312" s="402"/>
      <c r="X312" s="401"/>
      <c r="Y312" s="402"/>
      <c r="Z312" s="401"/>
      <c r="AA312" s="402"/>
      <c r="AB312" s="401"/>
      <c r="AC312" s="402"/>
      <c r="AD312" s="401"/>
      <c r="AE312" s="402"/>
      <c r="AF312" s="401"/>
      <c r="AG312" s="402"/>
      <c r="AH312" s="401"/>
      <c r="AI312" s="402"/>
      <c r="AJ312" s="401"/>
      <c r="AK312" s="402"/>
      <c r="AL312" s="401"/>
      <c r="AM312" s="402"/>
      <c r="AN312" s="401"/>
      <c r="AO312" s="402"/>
      <c r="AP312" s="53"/>
      <c r="AQ312" s="53"/>
      <c r="AR312" s="53"/>
    </row>
    <row r="313" spans="1:44" hidden="1">
      <c r="A313" s="236" t="s">
        <v>287</v>
      </c>
      <c r="B313" s="237" t="s">
        <v>296</v>
      </c>
      <c r="C313" s="238"/>
      <c r="D313" s="239">
        <v>198206</v>
      </c>
      <c r="E313" s="408">
        <v>10</v>
      </c>
      <c r="F313" s="401">
        <v>2640</v>
      </c>
      <c r="G313" s="402">
        <v>2610</v>
      </c>
      <c r="H313" s="401">
        <v>8976</v>
      </c>
      <c r="I313" s="402">
        <v>8754</v>
      </c>
      <c r="J313" s="401"/>
      <c r="K313" s="402"/>
      <c r="L313" s="401"/>
      <c r="M313" s="402"/>
      <c r="N313" s="401"/>
      <c r="O313" s="402"/>
      <c r="P313" s="401"/>
      <c r="Q313" s="402"/>
      <c r="R313" s="401"/>
      <c r="S313" s="402"/>
      <c r="T313" s="401"/>
      <c r="U313" s="402"/>
      <c r="V313" s="401"/>
      <c r="W313" s="402"/>
      <c r="X313" s="401"/>
      <c r="Y313" s="402"/>
      <c r="Z313" s="401"/>
      <c r="AA313" s="402"/>
      <c r="AB313" s="401"/>
      <c r="AC313" s="402"/>
      <c r="AD313" s="401"/>
      <c r="AE313" s="402"/>
      <c r="AF313" s="401"/>
      <c r="AG313" s="402"/>
      <c r="AH313" s="401"/>
      <c r="AI313" s="402"/>
      <c r="AJ313" s="401"/>
      <c r="AK313" s="402"/>
      <c r="AL313" s="401"/>
      <c r="AM313" s="402"/>
      <c r="AN313" s="401"/>
      <c r="AO313" s="402"/>
      <c r="AP313" s="53"/>
      <c r="AQ313" s="53"/>
      <c r="AR313" s="53"/>
    </row>
    <row r="314" spans="1:44" hidden="1">
      <c r="A314" s="236" t="s">
        <v>287</v>
      </c>
      <c r="B314" s="237" t="s">
        <v>664</v>
      </c>
      <c r="C314" s="238" t="s">
        <v>641</v>
      </c>
      <c r="D314" s="239">
        <v>197814</v>
      </c>
      <c r="E314" s="408">
        <v>10</v>
      </c>
      <c r="F314" s="401">
        <v>2270</v>
      </c>
      <c r="G314" s="402">
        <v>2228</v>
      </c>
      <c r="H314" s="401">
        <v>7522</v>
      </c>
      <c r="I314" s="402">
        <v>7346</v>
      </c>
      <c r="J314" s="401"/>
      <c r="K314" s="402"/>
      <c r="L314" s="401"/>
      <c r="M314" s="402"/>
      <c r="N314" s="401"/>
      <c r="O314" s="402"/>
      <c r="P314" s="401"/>
      <c r="Q314" s="402"/>
      <c r="R314" s="401"/>
      <c r="S314" s="402"/>
      <c r="T314" s="401"/>
      <c r="U314" s="402"/>
      <c r="V314" s="401"/>
      <c r="W314" s="402"/>
      <c r="X314" s="401"/>
      <c r="Y314" s="402"/>
      <c r="Z314" s="401"/>
      <c r="AA314" s="402"/>
      <c r="AB314" s="401"/>
      <c r="AC314" s="402"/>
      <c r="AD314" s="401"/>
      <c r="AE314" s="402"/>
      <c r="AF314" s="401"/>
      <c r="AG314" s="402"/>
      <c r="AH314" s="401"/>
      <c r="AI314" s="402"/>
      <c r="AJ314" s="401"/>
      <c r="AK314" s="402"/>
      <c r="AL314" s="401"/>
      <c r="AM314" s="402"/>
      <c r="AN314" s="401"/>
      <c r="AO314" s="402"/>
      <c r="AP314" s="53"/>
      <c r="AQ314" s="53"/>
      <c r="AR314" s="53"/>
    </row>
    <row r="315" spans="1:44" hidden="1">
      <c r="A315" s="236" t="s">
        <v>287</v>
      </c>
      <c r="B315" s="237" t="s">
        <v>304</v>
      </c>
      <c r="C315" s="240"/>
      <c r="D315" s="239">
        <v>198491</v>
      </c>
      <c r="E315" s="408">
        <v>10</v>
      </c>
      <c r="F315" s="401">
        <v>2640</v>
      </c>
      <c r="G315" s="402">
        <v>2640</v>
      </c>
      <c r="H315" s="401">
        <v>8784</v>
      </c>
      <c r="I315" s="402">
        <v>8784</v>
      </c>
      <c r="J315" s="401"/>
      <c r="K315" s="402"/>
      <c r="L315" s="401"/>
      <c r="M315" s="402"/>
      <c r="N315" s="401"/>
      <c r="O315" s="402"/>
      <c r="P315" s="401"/>
      <c r="Q315" s="402"/>
      <c r="R315" s="401"/>
      <c r="S315" s="402"/>
      <c r="T315" s="401"/>
      <c r="U315" s="402"/>
      <c r="V315" s="401"/>
      <c r="W315" s="402"/>
      <c r="X315" s="401"/>
      <c r="Y315" s="402"/>
      <c r="Z315" s="401"/>
      <c r="AA315" s="402"/>
      <c r="AB315" s="401"/>
      <c r="AC315" s="402"/>
      <c r="AD315" s="401"/>
      <c r="AE315" s="402"/>
      <c r="AF315" s="401"/>
      <c r="AG315" s="402"/>
      <c r="AH315" s="401"/>
      <c r="AI315" s="402"/>
      <c r="AJ315" s="401"/>
      <c r="AK315" s="402"/>
      <c r="AL315" s="401"/>
      <c r="AM315" s="402"/>
      <c r="AN315" s="401"/>
      <c r="AO315" s="402"/>
      <c r="AP315" s="53"/>
      <c r="AQ315" s="53"/>
      <c r="AR315" s="53"/>
    </row>
    <row r="316" spans="1:44" hidden="1">
      <c r="A316" s="236" t="s">
        <v>287</v>
      </c>
      <c r="B316" s="237" t="s">
        <v>309</v>
      </c>
      <c r="C316" s="238"/>
      <c r="D316" s="239">
        <v>198640</v>
      </c>
      <c r="E316" s="408">
        <v>10</v>
      </c>
      <c r="F316" s="401">
        <v>2608</v>
      </c>
      <c r="G316" s="402">
        <v>2608</v>
      </c>
      <c r="H316" s="401">
        <v>8752</v>
      </c>
      <c r="I316" s="402">
        <v>8752</v>
      </c>
      <c r="J316" s="401"/>
      <c r="K316" s="402"/>
      <c r="L316" s="401"/>
      <c r="M316" s="402"/>
      <c r="N316" s="401"/>
      <c r="O316" s="402"/>
      <c r="P316" s="401"/>
      <c r="Q316" s="402"/>
      <c r="R316" s="401"/>
      <c r="S316" s="402"/>
      <c r="T316" s="401"/>
      <c r="U316" s="402"/>
      <c r="V316" s="401"/>
      <c r="W316" s="402"/>
      <c r="X316" s="401"/>
      <c r="Y316" s="402"/>
      <c r="Z316" s="401"/>
      <c r="AA316" s="402"/>
      <c r="AB316" s="401"/>
      <c r="AC316" s="402"/>
      <c r="AD316" s="401"/>
      <c r="AE316" s="402"/>
      <c r="AF316" s="401"/>
      <c r="AG316" s="402"/>
      <c r="AH316" s="401"/>
      <c r="AI316" s="402"/>
      <c r="AJ316" s="401"/>
      <c r="AK316" s="402"/>
      <c r="AL316" s="401"/>
      <c r="AM316" s="402"/>
      <c r="AN316" s="401"/>
      <c r="AO316" s="402"/>
      <c r="AP316" s="53"/>
      <c r="AQ316" s="53"/>
      <c r="AR316" s="53"/>
    </row>
    <row r="317" spans="1:44" hidden="1">
      <c r="A317" s="236" t="s">
        <v>287</v>
      </c>
      <c r="B317" s="237" t="s">
        <v>310</v>
      </c>
      <c r="C317" s="240"/>
      <c r="D317" s="239">
        <v>198668</v>
      </c>
      <c r="E317" s="408">
        <v>10</v>
      </c>
      <c r="F317" s="401">
        <v>2580</v>
      </c>
      <c r="G317" s="402">
        <v>2580</v>
      </c>
      <c r="H317" s="401">
        <v>8724</v>
      </c>
      <c r="I317" s="402">
        <v>8724</v>
      </c>
      <c r="J317" s="401"/>
      <c r="K317" s="402"/>
      <c r="L317" s="401"/>
      <c r="M317" s="402"/>
      <c r="N317" s="401"/>
      <c r="O317" s="402"/>
      <c r="P317" s="401"/>
      <c r="Q317" s="402"/>
      <c r="R317" s="401"/>
      <c r="S317" s="402"/>
      <c r="T317" s="401"/>
      <c r="U317" s="402"/>
      <c r="V317" s="401"/>
      <c r="W317" s="402"/>
      <c r="X317" s="401"/>
      <c r="Y317" s="402"/>
      <c r="Z317" s="401"/>
      <c r="AA317" s="402"/>
      <c r="AB317" s="401"/>
      <c r="AC317" s="402"/>
      <c r="AD317" s="401"/>
      <c r="AE317" s="402"/>
      <c r="AF317" s="401"/>
      <c r="AG317" s="402"/>
      <c r="AH317" s="401"/>
      <c r="AI317" s="402"/>
      <c r="AJ317" s="401"/>
      <c r="AK317" s="402"/>
      <c r="AL317" s="401"/>
      <c r="AM317" s="402"/>
      <c r="AN317" s="401"/>
      <c r="AO317" s="402"/>
      <c r="AP317" s="53"/>
      <c r="AQ317" s="53"/>
      <c r="AR317" s="53"/>
    </row>
    <row r="318" spans="1:44" hidden="1">
      <c r="A318" s="236" t="s">
        <v>287</v>
      </c>
      <c r="B318" s="237" t="s">
        <v>311</v>
      </c>
      <c r="C318" s="240"/>
      <c r="D318" s="239">
        <v>198710</v>
      </c>
      <c r="E318" s="408">
        <v>10</v>
      </c>
      <c r="F318" s="401">
        <v>1994</v>
      </c>
      <c r="G318" s="402">
        <v>1994</v>
      </c>
      <c r="H318" s="401">
        <v>6602</v>
      </c>
      <c r="I318" s="402">
        <v>6602</v>
      </c>
      <c r="J318" s="401"/>
      <c r="K318" s="402"/>
      <c r="L318" s="401"/>
      <c r="M318" s="402"/>
      <c r="N318" s="401"/>
      <c r="O318" s="402"/>
      <c r="P318" s="401"/>
      <c r="Q318" s="402"/>
      <c r="R318" s="401"/>
      <c r="S318" s="402"/>
      <c r="T318" s="401"/>
      <c r="U318" s="402"/>
      <c r="V318" s="401"/>
      <c r="W318" s="402"/>
      <c r="X318" s="401"/>
      <c r="Y318" s="402"/>
      <c r="Z318" s="401"/>
      <c r="AA318" s="402"/>
      <c r="AB318" s="401"/>
      <c r="AC318" s="402"/>
      <c r="AD318" s="401"/>
      <c r="AE318" s="402"/>
      <c r="AF318" s="401"/>
      <c r="AG318" s="402"/>
      <c r="AH318" s="401"/>
      <c r="AI318" s="402"/>
      <c r="AJ318" s="401"/>
      <c r="AK318" s="402"/>
      <c r="AL318" s="401"/>
      <c r="AM318" s="402"/>
      <c r="AN318" s="401"/>
      <c r="AO318" s="402"/>
      <c r="AP318" s="53"/>
      <c r="AQ318" s="53"/>
      <c r="AR318" s="53"/>
    </row>
    <row r="319" spans="1:44" hidden="1">
      <c r="A319" s="236" t="s">
        <v>287</v>
      </c>
      <c r="B319" s="237" t="s">
        <v>312</v>
      </c>
      <c r="C319" s="238"/>
      <c r="D319" s="239">
        <v>198729</v>
      </c>
      <c r="E319" s="408">
        <v>10</v>
      </c>
      <c r="F319" s="401">
        <v>2570</v>
      </c>
      <c r="G319" s="402">
        <v>2570</v>
      </c>
      <c r="H319" s="401">
        <v>8714</v>
      </c>
      <c r="I319" s="402">
        <v>8714</v>
      </c>
      <c r="J319" s="401"/>
      <c r="K319" s="402"/>
      <c r="L319" s="401"/>
      <c r="M319" s="402"/>
      <c r="N319" s="401"/>
      <c r="O319" s="402"/>
      <c r="P319" s="401"/>
      <c r="Q319" s="402"/>
      <c r="R319" s="401"/>
      <c r="S319" s="402"/>
      <c r="T319" s="401"/>
      <c r="U319" s="402"/>
      <c r="V319" s="401"/>
      <c r="W319" s="402"/>
      <c r="X319" s="401"/>
      <c r="Y319" s="402"/>
      <c r="Z319" s="401"/>
      <c r="AA319" s="402"/>
      <c r="AB319" s="401"/>
      <c r="AC319" s="402"/>
      <c r="AD319" s="401"/>
      <c r="AE319" s="402"/>
      <c r="AF319" s="401"/>
      <c r="AG319" s="402"/>
      <c r="AH319" s="401"/>
      <c r="AI319" s="402"/>
      <c r="AJ319" s="401"/>
      <c r="AK319" s="402"/>
      <c r="AL319" s="401"/>
      <c r="AM319" s="402"/>
      <c r="AN319" s="401"/>
      <c r="AO319" s="402"/>
      <c r="AP319" s="53"/>
      <c r="AQ319" s="53"/>
      <c r="AR319" s="53"/>
    </row>
    <row r="320" spans="1:44" hidden="1">
      <c r="A320" s="236" t="s">
        <v>287</v>
      </c>
      <c r="B320" s="237" t="s">
        <v>315</v>
      </c>
      <c r="C320" s="238"/>
      <c r="D320" s="239">
        <v>198905</v>
      </c>
      <c r="E320" s="408">
        <v>10</v>
      </c>
      <c r="F320" s="401">
        <v>1915</v>
      </c>
      <c r="G320" s="402">
        <v>1915</v>
      </c>
      <c r="H320" s="401">
        <v>6523</v>
      </c>
      <c r="I320" s="402">
        <v>6523</v>
      </c>
      <c r="J320" s="401"/>
      <c r="K320" s="402"/>
      <c r="L320" s="401"/>
      <c r="M320" s="402"/>
      <c r="N320" s="401"/>
      <c r="O320" s="402"/>
      <c r="P320" s="401"/>
      <c r="Q320" s="402"/>
      <c r="R320" s="401"/>
      <c r="S320" s="402"/>
      <c r="T320" s="401"/>
      <c r="U320" s="402"/>
      <c r="V320" s="401"/>
      <c r="W320" s="402"/>
      <c r="X320" s="401"/>
      <c r="Y320" s="402"/>
      <c r="Z320" s="401"/>
      <c r="AA320" s="402"/>
      <c r="AB320" s="401"/>
      <c r="AC320" s="402"/>
      <c r="AD320" s="401"/>
      <c r="AE320" s="402"/>
      <c r="AF320" s="401"/>
      <c r="AG320" s="402"/>
      <c r="AH320" s="401"/>
      <c r="AI320" s="402"/>
      <c r="AJ320" s="401"/>
      <c r="AK320" s="402"/>
      <c r="AL320" s="401"/>
      <c r="AM320" s="402"/>
      <c r="AN320" s="401"/>
      <c r="AO320" s="402"/>
      <c r="AP320" s="53"/>
      <c r="AQ320" s="53"/>
      <c r="AR320" s="53"/>
    </row>
    <row r="321" spans="1:44" hidden="1">
      <c r="A321" s="236" t="s">
        <v>287</v>
      </c>
      <c r="B321" s="237" t="s">
        <v>316</v>
      </c>
      <c r="C321" s="238"/>
      <c r="D321" s="239">
        <v>198914</v>
      </c>
      <c r="E321" s="408">
        <v>10</v>
      </c>
      <c r="F321" s="401">
        <v>2558</v>
      </c>
      <c r="G321" s="402">
        <v>2561</v>
      </c>
      <c r="H321" s="401">
        <v>8702</v>
      </c>
      <c r="I321" s="402">
        <v>8705</v>
      </c>
      <c r="J321" s="401"/>
      <c r="K321" s="402"/>
      <c r="L321" s="401"/>
      <c r="M321" s="402"/>
      <c r="N321" s="401"/>
      <c r="O321" s="402"/>
      <c r="P321" s="401"/>
      <c r="Q321" s="402"/>
      <c r="R321" s="401"/>
      <c r="S321" s="402"/>
      <c r="T321" s="401"/>
      <c r="U321" s="402"/>
      <c r="V321" s="401"/>
      <c r="W321" s="402"/>
      <c r="X321" s="401"/>
      <c r="Y321" s="402"/>
      <c r="Z321" s="401"/>
      <c r="AA321" s="402"/>
      <c r="AB321" s="401"/>
      <c r="AC321" s="402"/>
      <c r="AD321" s="401"/>
      <c r="AE321" s="402"/>
      <c r="AF321" s="401"/>
      <c r="AG321" s="402"/>
      <c r="AH321" s="401"/>
      <c r="AI321" s="402"/>
      <c r="AJ321" s="401"/>
      <c r="AK321" s="402"/>
      <c r="AL321" s="401"/>
      <c r="AM321" s="402"/>
      <c r="AN321" s="401"/>
      <c r="AO321" s="402"/>
      <c r="AP321" s="53"/>
      <c r="AQ321" s="53"/>
      <c r="AR321" s="53"/>
    </row>
    <row r="322" spans="1:44" hidden="1">
      <c r="A322" s="236" t="s">
        <v>287</v>
      </c>
      <c r="B322" s="237" t="s">
        <v>317</v>
      </c>
      <c r="C322" s="238"/>
      <c r="D322" s="239">
        <v>198923</v>
      </c>
      <c r="E322" s="408">
        <v>10</v>
      </c>
      <c r="F322" s="401">
        <v>1926</v>
      </c>
      <c r="G322" s="402">
        <v>1926</v>
      </c>
      <c r="H322" s="401">
        <v>6534</v>
      </c>
      <c r="I322" s="402">
        <v>6534</v>
      </c>
      <c r="J322" s="401"/>
      <c r="K322" s="402"/>
      <c r="L322" s="401"/>
      <c r="M322" s="402"/>
      <c r="N322" s="401"/>
      <c r="O322" s="402"/>
      <c r="P322" s="401"/>
      <c r="Q322" s="402"/>
      <c r="R322" s="401"/>
      <c r="S322" s="402"/>
      <c r="T322" s="401"/>
      <c r="U322" s="402"/>
      <c r="V322" s="401"/>
      <c r="W322" s="402"/>
      <c r="X322" s="401"/>
      <c r="Y322" s="402"/>
      <c r="Z322" s="401"/>
      <c r="AA322" s="402"/>
      <c r="AB322" s="401"/>
      <c r="AC322" s="402"/>
      <c r="AD322" s="401"/>
      <c r="AE322" s="402"/>
      <c r="AF322" s="401"/>
      <c r="AG322" s="402"/>
      <c r="AH322" s="401"/>
      <c r="AI322" s="402"/>
      <c r="AJ322" s="401"/>
      <c r="AK322" s="402"/>
      <c r="AL322" s="401"/>
      <c r="AM322" s="402"/>
      <c r="AN322" s="401"/>
      <c r="AO322" s="402"/>
      <c r="AP322" s="53"/>
      <c r="AQ322" s="53"/>
      <c r="AR322" s="53"/>
    </row>
    <row r="323" spans="1:44" hidden="1">
      <c r="A323" s="236" t="s">
        <v>287</v>
      </c>
      <c r="B323" s="237" t="s">
        <v>319</v>
      </c>
      <c r="C323" s="238"/>
      <c r="D323" s="239">
        <v>199023</v>
      </c>
      <c r="E323" s="408">
        <v>10</v>
      </c>
      <c r="F323" s="401">
        <v>2537</v>
      </c>
      <c r="G323" s="402">
        <v>2538</v>
      </c>
      <c r="H323" s="401">
        <v>8681</v>
      </c>
      <c r="I323" s="402">
        <v>8682</v>
      </c>
      <c r="J323" s="401"/>
      <c r="K323" s="402"/>
      <c r="L323" s="401"/>
      <c r="M323" s="402"/>
      <c r="N323" s="401"/>
      <c r="O323" s="402"/>
      <c r="P323" s="401"/>
      <c r="Q323" s="402"/>
      <c r="R323" s="401"/>
      <c r="S323" s="402"/>
      <c r="T323" s="401"/>
      <c r="U323" s="402"/>
      <c r="V323" s="401"/>
      <c r="W323" s="402"/>
      <c r="X323" s="401"/>
      <c r="Y323" s="402"/>
      <c r="Z323" s="401"/>
      <c r="AA323" s="402"/>
      <c r="AB323" s="401"/>
      <c r="AC323" s="402"/>
      <c r="AD323" s="401"/>
      <c r="AE323" s="402"/>
      <c r="AF323" s="401"/>
      <c r="AG323" s="402"/>
      <c r="AH323" s="401"/>
      <c r="AI323" s="402"/>
      <c r="AJ323" s="401"/>
      <c r="AK323" s="402"/>
      <c r="AL323" s="401"/>
      <c r="AM323" s="402"/>
      <c r="AN323" s="401"/>
      <c r="AO323" s="402"/>
      <c r="AP323" s="53"/>
      <c r="AQ323" s="53"/>
      <c r="AR323" s="53"/>
    </row>
    <row r="324" spans="1:44" hidden="1">
      <c r="A324" s="236" t="s">
        <v>287</v>
      </c>
      <c r="B324" s="237" t="s">
        <v>321</v>
      </c>
      <c r="C324" s="238"/>
      <c r="D324" s="239">
        <v>199263</v>
      </c>
      <c r="E324" s="408">
        <v>10</v>
      </c>
      <c r="F324" s="401">
        <v>1867</v>
      </c>
      <c r="G324" s="402">
        <v>1867</v>
      </c>
      <c r="H324" s="401">
        <v>6475</v>
      </c>
      <c r="I324" s="402">
        <v>6475</v>
      </c>
      <c r="J324" s="401"/>
      <c r="K324" s="402"/>
      <c r="L324" s="401"/>
      <c r="M324" s="402"/>
      <c r="N324" s="401"/>
      <c r="O324" s="402"/>
      <c r="P324" s="401"/>
      <c r="Q324" s="402"/>
      <c r="R324" s="401"/>
      <c r="S324" s="402"/>
      <c r="T324" s="401"/>
      <c r="U324" s="402"/>
      <c r="V324" s="401"/>
      <c r="W324" s="402"/>
      <c r="X324" s="401"/>
      <c r="Y324" s="402"/>
      <c r="Z324" s="401"/>
      <c r="AA324" s="402"/>
      <c r="AB324" s="401"/>
      <c r="AC324" s="402"/>
      <c r="AD324" s="401"/>
      <c r="AE324" s="402"/>
      <c r="AF324" s="401"/>
      <c r="AG324" s="402"/>
      <c r="AH324" s="401"/>
      <c r="AI324" s="402"/>
      <c r="AJ324" s="401"/>
      <c r="AK324" s="402"/>
      <c r="AL324" s="401"/>
      <c r="AM324" s="402"/>
      <c r="AN324" s="401"/>
      <c r="AO324" s="402"/>
      <c r="AP324" s="53"/>
      <c r="AQ324" s="53"/>
      <c r="AR324" s="53"/>
    </row>
    <row r="325" spans="1:44" hidden="1">
      <c r="A325" s="236" t="s">
        <v>287</v>
      </c>
      <c r="B325" s="237" t="s">
        <v>322</v>
      </c>
      <c r="C325" s="238"/>
      <c r="D325" s="239">
        <v>199324</v>
      </c>
      <c r="E325" s="408">
        <v>10</v>
      </c>
      <c r="F325" s="401">
        <v>2546</v>
      </c>
      <c r="G325" s="402">
        <v>2551</v>
      </c>
      <c r="H325" s="401">
        <v>8690</v>
      </c>
      <c r="I325" s="402">
        <v>8695</v>
      </c>
      <c r="J325" s="401"/>
      <c r="K325" s="402"/>
      <c r="L325" s="401"/>
      <c r="M325" s="402"/>
      <c r="N325" s="401"/>
      <c r="O325" s="402"/>
      <c r="P325" s="401"/>
      <c r="Q325" s="402"/>
      <c r="R325" s="401"/>
      <c r="S325" s="402"/>
      <c r="T325" s="401"/>
      <c r="U325" s="402"/>
      <c r="V325" s="401"/>
      <c r="W325" s="402"/>
      <c r="X325" s="401"/>
      <c r="Y325" s="402"/>
      <c r="Z325" s="401"/>
      <c r="AA325" s="402"/>
      <c r="AB325" s="401"/>
      <c r="AC325" s="402"/>
      <c r="AD325" s="401"/>
      <c r="AE325" s="402"/>
      <c r="AF325" s="401"/>
      <c r="AG325" s="402"/>
      <c r="AH325" s="401"/>
      <c r="AI325" s="402"/>
      <c r="AJ325" s="401"/>
      <c r="AK325" s="402"/>
      <c r="AL325" s="401"/>
      <c r="AM325" s="402"/>
      <c r="AN325" s="401"/>
      <c r="AO325" s="402"/>
      <c r="AP325" s="53"/>
      <c r="AQ325" s="53"/>
      <c r="AR325" s="53"/>
    </row>
    <row r="326" spans="1:44" hidden="1">
      <c r="A326" s="236" t="s">
        <v>287</v>
      </c>
      <c r="B326" s="237" t="s">
        <v>326</v>
      </c>
      <c r="C326" s="238"/>
      <c r="D326" s="239">
        <v>199467</v>
      </c>
      <c r="E326" s="408">
        <v>10</v>
      </c>
      <c r="F326" s="401">
        <v>2642</v>
      </c>
      <c r="G326" s="402">
        <v>2642</v>
      </c>
      <c r="H326" s="401">
        <v>8786</v>
      </c>
      <c r="I326" s="402">
        <v>8786</v>
      </c>
      <c r="J326" s="401"/>
      <c r="K326" s="402"/>
      <c r="L326" s="401"/>
      <c r="M326" s="402"/>
      <c r="N326" s="401"/>
      <c r="O326" s="402"/>
      <c r="P326" s="401"/>
      <c r="Q326" s="402"/>
      <c r="R326" s="401"/>
      <c r="S326" s="402"/>
      <c r="T326" s="401"/>
      <c r="U326" s="402"/>
      <c r="V326" s="401"/>
      <c r="W326" s="402"/>
      <c r="X326" s="401"/>
      <c r="Y326" s="402"/>
      <c r="Z326" s="401"/>
      <c r="AA326" s="402"/>
      <c r="AB326" s="401"/>
      <c r="AC326" s="402"/>
      <c r="AD326" s="401"/>
      <c r="AE326" s="402"/>
      <c r="AF326" s="401"/>
      <c r="AG326" s="402"/>
      <c r="AH326" s="401"/>
      <c r="AI326" s="402"/>
      <c r="AJ326" s="401"/>
      <c r="AK326" s="402"/>
      <c r="AL326" s="401"/>
      <c r="AM326" s="402"/>
      <c r="AN326" s="401"/>
      <c r="AO326" s="402"/>
      <c r="AP326" s="53"/>
      <c r="AQ326" s="53"/>
      <c r="AR326" s="53"/>
    </row>
    <row r="327" spans="1:44" hidden="1">
      <c r="A327" s="236" t="s">
        <v>287</v>
      </c>
      <c r="B327" s="237" t="s">
        <v>327</v>
      </c>
      <c r="C327" s="238" t="s">
        <v>907</v>
      </c>
      <c r="D327" s="239">
        <v>199476</v>
      </c>
      <c r="E327" s="408">
        <v>10</v>
      </c>
      <c r="F327" s="401">
        <v>2563</v>
      </c>
      <c r="G327" s="402">
        <v>2563</v>
      </c>
      <c r="H327" s="401">
        <v>8707</v>
      </c>
      <c r="I327" s="402">
        <v>8707</v>
      </c>
      <c r="J327" s="401"/>
      <c r="K327" s="402"/>
      <c r="L327" s="401"/>
      <c r="M327" s="402"/>
      <c r="N327" s="401"/>
      <c r="O327" s="402"/>
      <c r="P327" s="401"/>
      <c r="Q327" s="402"/>
      <c r="R327" s="401"/>
      <c r="S327" s="402"/>
      <c r="T327" s="401"/>
      <c r="U327" s="402"/>
      <c r="V327" s="401"/>
      <c r="W327" s="402"/>
      <c r="X327" s="401"/>
      <c r="Y327" s="402"/>
      <c r="Z327" s="401"/>
      <c r="AA327" s="402"/>
      <c r="AB327" s="401"/>
      <c r="AC327" s="402"/>
      <c r="AD327" s="401"/>
      <c r="AE327" s="402"/>
      <c r="AF327" s="401"/>
      <c r="AG327" s="402"/>
      <c r="AH327" s="401"/>
      <c r="AI327" s="402"/>
      <c r="AJ327" s="401"/>
      <c r="AK327" s="402"/>
      <c r="AL327" s="401"/>
      <c r="AM327" s="402"/>
      <c r="AN327" s="401"/>
      <c r="AO327" s="402"/>
      <c r="AP327" s="53"/>
      <c r="AQ327" s="53"/>
      <c r="AR327" s="53"/>
    </row>
    <row r="328" spans="1:44" hidden="1">
      <c r="A328" s="236" t="s">
        <v>287</v>
      </c>
      <c r="B328" s="237" t="s">
        <v>328</v>
      </c>
      <c r="C328" s="238"/>
      <c r="D328" s="239">
        <v>199485</v>
      </c>
      <c r="E328" s="408">
        <v>10</v>
      </c>
      <c r="F328" s="401">
        <v>1966</v>
      </c>
      <c r="G328" s="402">
        <v>1966</v>
      </c>
      <c r="H328" s="401">
        <v>6574</v>
      </c>
      <c r="I328" s="402">
        <v>6574</v>
      </c>
      <c r="J328" s="401"/>
      <c r="K328" s="402"/>
      <c r="L328" s="401"/>
      <c r="M328" s="402"/>
      <c r="N328" s="401"/>
      <c r="O328" s="402"/>
      <c r="P328" s="401"/>
      <c r="Q328" s="402"/>
      <c r="R328" s="401"/>
      <c r="S328" s="402"/>
      <c r="T328" s="401"/>
      <c r="U328" s="402"/>
      <c r="V328" s="401"/>
      <c r="W328" s="402"/>
      <c r="X328" s="401"/>
      <c r="Y328" s="402"/>
      <c r="Z328" s="401"/>
      <c r="AA328" s="402"/>
      <c r="AB328" s="401"/>
      <c r="AC328" s="402"/>
      <c r="AD328" s="401"/>
      <c r="AE328" s="402"/>
      <c r="AF328" s="401"/>
      <c r="AG328" s="402"/>
      <c r="AH328" s="401"/>
      <c r="AI328" s="402"/>
      <c r="AJ328" s="401"/>
      <c r="AK328" s="402"/>
      <c r="AL328" s="401"/>
      <c r="AM328" s="402"/>
      <c r="AN328" s="401"/>
      <c r="AO328" s="402"/>
      <c r="AP328" s="53"/>
      <c r="AQ328" s="53"/>
      <c r="AR328" s="53"/>
    </row>
    <row r="329" spans="1:44" hidden="1">
      <c r="A329" s="236" t="s">
        <v>287</v>
      </c>
      <c r="B329" s="237" t="s">
        <v>330</v>
      </c>
      <c r="C329" s="238"/>
      <c r="D329" s="239">
        <v>199625</v>
      </c>
      <c r="E329" s="408">
        <v>10</v>
      </c>
      <c r="F329" s="401">
        <v>2830</v>
      </c>
      <c r="G329" s="402">
        <v>2830</v>
      </c>
      <c r="H329" s="401">
        <v>9742</v>
      </c>
      <c r="I329" s="402">
        <v>9742</v>
      </c>
      <c r="J329" s="401"/>
      <c r="K329" s="402"/>
      <c r="L329" s="401"/>
      <c r="M329" s="402"/>
      <c r="N329" s="401"/>
      <c r="O329" s="402"/>
      <c r="P329" s="401"/>
      <c r="Q329" s="402"/>
      <c r="R329" s="401"/>
      <c r="S329" s="402"/>
      <c r="T329" s="401"/>
      <c r="U329" s="402"/>
      <c r="V329" s="401"/>
      <c r="W329" s="402"/>
      <c r="X329" s="401"/>
      <c r="Y329" s="402"/>
      <c r="Z329" s="401"/>
      <c r="AA329" s="402"/>
      <c r="AB329" s="401"/>
      <c r="AC329" s="402"/>
      <c r="AD329" s="401"/>
      <c r="AE329" s="402"/>
      <c r="AF329" s="401"/>
      <c r="AG329" s="402"/>
      <c r="AH329" s="401"/>
      <c r="AI329" s="402"/>
      <c r="AJ329" s="401"/>
      <c r="AK329" s="402"/>
      <c r="AL329" s="401"/>
      <c r="AM329" s="402"/>
      <c r="AN329" s="401"/>
      <c r="AO329" s="402"/>
      <c r="AP329" s="53"/>
      <c r="AQ329" s="53"/>
      <c r="AR329" s="53"/>
    </row>
    <row r="330" spans="1:44" hidden="1">
      <c r="A330" s="236" t="s">
        <v>287</v>
      </c>
      <c r="B330" s="237" t="s">
        <v>333</v>
      </c>
      <c r="C330" s="238"/>
      <c r="D330" s="239">
        <v>199722</v>
      </c>
      <c r="E330" s="408">
        <v>10</v>
      </c>
      <c r="F330" s="401">
        <v>2600</v>
      </c>
      <c r="G330" s="402">
        <v>2600</v>
      </c>
      <c r="H330" s="401">
        <v>8744</v>
      </c>
      <c r="I330" s="402">
        <v>8744</v>
      </c>
      <c r="J330" s="401"/>
      <c r="K330" s="402"/>
      <c r="L330" s="401"/>
      <c r="M330" s="402"/>
      <c r="N330" s="401"/>
      <c r="O330" s="402"/>
      <c r="P330" s="401"/>
      <c r="Q330" s="402"/>
      <c r="R330" s="401"/>
      <c r="S330" s="402"/>
      <c r="T330" s="401"/>
      <c r="U330" s="402"/>
      <c r="V330" s="401"/>
      <c r="W330" s="402"/>
      <c r="X330" s="401"/>
      <c r="Y330" s="402"/>
      <c r="Z330" s="401"/>
      <c r="AA330" s="402"/>
      <c r="AB330" s="401"/>
      <c r="AC330" s="402"/>
      <c r="AD330" s="401"/>
      <c r="AE330" s="402"/>
      <c r="AF330" s="401"/>
      <c r="AG330" s="402"/>
      <c r="AH330" s="401"/>
      <c r="AI330" s="402"/>
      <c r="AJ330" s="401"/>
      <c r="AK330" s="402"/>
      <c r="AL330" s="401"/>
      <c r="AM330" s="402"/>
      <c r="AN330" s="401"/>
      <c r="AO330" s="402"/>
      <c r="AP330" s="53"/>
      <c r="AQ330" s="53"/>
      <c r="AR330" s="53"/>
    </row>
    <row r="331" spans="1:44" hidden="1">
      <c r="A331" s="236" t="s">
        <v>287</v>
      </c>
      <c r="B331" s="237" t="s">
        <v>334</v>
      </c>
      <c r="C331" s="238"/>
      <c r="D331" s="239">
        <v>199731</v>
      </c>
      <c r="E331" s="408">
        <v>10</v>
      </c>
      <c r="F331" s="401">
        <v>2337</v>
      </c>
      <c r="G331" s="402">
        <v>2601</v>
      </c>
      <c r="H331" s="401">
        <v>7713</v>
      </c>
      <c r="I331" s="402">
        <v>7913</v>
      </c>
      <c r="J331" s="401"/>
      <c r="K331" s="402"/>
      <c r="L331" s="401"/>
      <c r="M331" s="402"/>
      <c r="N331" s="401"/>
      <c r="O331" s="402"/>
      <c r="P331" s="401"/>
      <c r="Q331" s="402"/>
      <c r="R331" s="401"/>
      <c r="S331" s="402"/>
      <c r="T331" s="401"/>
      <c r="U331" s="402"/>
      <c r="V331" s="401"/>
      <c r="W331" s="402"/>
      <c r="X331" s="401"/>
      <c r="Y331" s="402"/>
      <c r="Z331" s="401"/>
      <c r="AA331" s="402"/>
      <c r="AB331" s="401"/>
      <c r="AC331" s="402"/>
      <c r="AD331" s="401"/>
      <c r="AE331" s="402"/>
      <c r="AF331" s="401"/>
      <c r="AG331" s="402"/>
      <c r="AH331" s="401"/>
      <c r="AI331" s="402"/>
      <c r="AJ331" s="401"/>
      <c r="AK331" s="402"/>
      <c r="AL331" s="401"/>
      <c r="AM331" s="402"/>
      <c r="AN331" s="401"/>
      <c r="AO331" s="402"/>
      <c r="AP331" s="53"/>
      <c r="AQ331" s="53"/>
      <c r="AR331" s="53"/>
    </row>
    <row r="332" spans="1:44" hidden="1">
      <c r="A332" s="236" t="s">
        <v>287</v>
      </c>
      <c r="B332" s="237" t="s">
        <v>337</v>
      </c>
      <c r="C332" s="238"/>
      <c r="D332" s="239">
        <v>199795</v>
      </c>
      <c r="E332" s="408">
        <v>10</v>
      </c>
      <c r="F332" s="401">
        <v>2363</v>
      </c>
      <c r="G332" s="402">
        <v>2363</v>
      </c>
      <c r="H332" s="401">
        <v>8507</v>
      </c>
      <c r="I332" s="402">
        <v>8507</v>
      </c>
      <c r="J332" s="401"/>
      <c r="K332" s="402"/>
      <c r="L332" s="401"/>
      <c r="M332" s="402"/>
      <c r="N332" s="401"/>
      <c r="O332" s="402"/>
      <c r="P332" s="401"/>
      <c r="Q332" s="402"/>
      <c r="R332" s="401"/>
      <c r="S332" s="402"/>
      <c r="T332" s="401"/>
      <c r="U332" s="402"/>
      <c r="V332" s="401"/>
      <c r="W332" s="402"/>
      <c r="X332" s="401"/>
      <c r="Y332" s="402"/>
      <c r="Z332" s="401"/>
      <c r="AA332" s="402"/>
      <c r="AB332" s="401"/>
      <c r="AC332" s="402"/>
      <c r="AD332" s="401"/>
      <c r="AE332" s="402"/>
      <c r="AF332" s="401"/>
      <c r="AG332" s="402"/>
      <c r="AH332" s="401"/>
      <c r="AI332" s="402"/>
      <c r="AJ332" s="401"/>
      <c r="AK332" s="402"/>
      <c r="AL332" s="401"/>
      <c r="AM332" s="402"/>
      <c r="AN332" s="401"/>
      <c r="AO332" s="402"/>
      <c r="AP332" s="53"/>
      <c r="AQ332" s="53"/>
      <c r="AR332" s="53"/>
    </row>
    <row r="333" spans="1:44" hidden="1">
      <c r="A333" s="236" t="s">
        <v>287</v>
      </c>
      <c r="B333" s="237" t="s">
        <v>341</v>
      </c>
      <c r="C333" s="240"/>
      <c r="D333" s="239">
        <v>199908</v>
      </c>
      <c r="E333" s="408">
        <v>10</v>
      </c>
      <c r="F333" s="401">
        <v>2577</v>
      </c>
      <c r="G333" s="402">
        <v>2630</v>
      </c>
      <c r="H333" s="401">
        <v>8721</v>
      </c>
      <c r="I333" s="402">
        <v>8774</v>
      </c>
      <c r="J333" s="401"/>
      <c r="K333" s="402"/>
      <c r="L333" s="401"/>
      <c r="M333" s="402"/>
      <c r="N333" s="401"/>
      <c r="O333" s="402"/>
      <c r="P333" s="401"/>
      <c r="Q333" s="402"/>
      <c r="R333" s="401"/>
      <c r="S333" s="402"/>
      <c r="T333" s="401"/>
      <c r="U333" s="402"/>
      <c r="V333" s="401"/>
      <c r="W333" s="402"/>
      <c r="X333" s="401"/>
      <c r="Y333" s="402"/>
      <c r="Z333" s="401"/>
      <c r="AA333" s="402"/>
      <c r="AB333" s="401"/>
      <c r="AC333" s="402"/>
      <c r="AD333" s="401"/>
      <c r="AE333" s="402"/>
      <c r="AF333" s="401"/>
      <c r="AG333" s="402"/>
      <c r="AH333" s="401"/>
      <c r="AI333" s="402"/>
      <c r="AJ333" s="401"/>
      <c r="AK333" s="402"/>
      <c r="AL333" s="401"/>
      <c r="AM333" s="402"/>
      <c r="AN333" s="401"/>
      <c r="AO333" s="402"/>
      <c r="AP333" s="53"/>
      <c r="AQ333" s="53"/>
      <c r="AR333" s="53"/>
    </row>
    <row r="334" spans="1:44" hidden="1">
      <c r="A334" s="239" t="s">
        <v>287</v>
      </c>
      <c r="B334" s="237" t="s">
        <v>343</v>
      </c>
      <c r="C334" s="238"/>
      <c r="D334" s="239">
        <v>199953</v>
      </c>
      <c r="E334" s="408">
        <v>10</v>
      </c>
      <c r="F334" s="412">
        <v>2642</v>
      </c>
      <c r="G334" s="402">
        <v>2572</v>
      </c>
      <c r="H334" s="401">
        <v>8646</v>
      </c>
      <c r="I334" s="402">
        <v>8716</v>
      </c>
      <c r="J334" s="401"/>
      <c r="K334" s="402"/>
      <c r="L334" s="401"/>
      <c r="M334" s="402"/>
      <c r="N334" s="401"/>
      <c r="O334" s="402"/>
      <c r="P334" s="401"/>
      <c r="Q334" s="402"/>
      <c r="R334" s="401"/>
      <c r="S334" s="402"/>
      <c r="T334" s="401"/>
      <c r="U334" s="402"/>
      <c r="V334" s="401"/>
      <c r="W334" s="402"/>
      <c r="X334" s="401"/>
      <c r="Y334" s="402"/>
      <c r="Z334" s="401"/>
      <c r="AA334" s="402"/>
      <c r="AB334" s="401"/>
      <c r="AC334" s="402"/>
      <c r="AD334" s="401"/>
      <c r="AE334" s="402"/>
      <c r="AF334" s="401"/>
      <c r="AG334" s="402"/>
      <c r="AH334" s="401"/>
      <c r="AI334" s="402"/>
      <c r="AJ334" s="401"/>
      <c r="AK334" s="402"/>
      <c r="AL334" s="401"/>
      <c r="AM334" s="402"/>
      <c r="AN334" s="401"/>
      <c r="AO334" s="402"/>
      <c r="AP334" s="53"/>
      <c r="AQ334" s="53"/>
      <c r="AR334" s="53"/>
    </row>
    <row r="335" spans="1:44" hidden="1">
      <c r="A335" s="222" t="s">
        <v>359</v>
      </c>
      <c r="B335" s="220" t="s">
        <v>665</v>
      </c>
      <c r="C335" s="375" t="s">
        <v>1008</v>
      </c>
      <c r="D335" s="480">
        <v>365374</v>
      </c>
      <c r="E335" s="433">
        <v>12</v>
      </c>
      <c r="F335" s="401">
        <v>1800</v>
      </c>
      <c r="G335" s="402">
        <v>1800</v>
      </c>
      <c r="H335" s="401">
        <v>3600</v>
      </c>
      <c r="I335" s="402">
        <v>3600</v>
      </c>
      <c r="J335" s="401"/>
      <c r="K335" s="402"/>
      <c r="L335" s="401"/>
      <c r="M335" s="402"/>
      <c r="N335" s="401"/>
      <c r="O335" s="402"/>
      <c r="P335" s="401"/>
      <c r="Q335" s="402"/>
      <c r="R335" s="401"/>
      <c r="S335" s="402"/>
      <c r="T335" s="401"/>
      <c r="U335" s="402"/>
      <c r="V335" s="401"/>
      <c r="W335" s="402"/>
      <c r="X335" s="401"/>
      <c r="Y335" s="402"/>
      <c r="Z335" s="401"/>
      <c r="AA335" s="402"/>
      <c r="AB335" s="401"/>
      <c r="AC335" s="402"/>
      <c r="AD335" s="401"/>
      <c r="AE335" s="402"/>
      <c r="AF335" s="401"/>
      <c r="AG335" s="402"/>
      <c r="AH335" s="401"/>
      <c r="AI335" s="402"/>
      <c r="AJ335" s="401"/>
      <c r="AK335" s="402"/>
      <c r="AL335" s="401"/>
      <c r="AM335" s="402"/>
      <c r="AN335" s="401"/>
      <c r="AO335" s="402"/>
      <c r="AP335" s="53"/>
      <c r="AQ335" s="53"/>
      <c r="AR335" s="53"/>
    </row>
    <row r="336" spans="1:44" hidden="1">
      <c r="A336" s="222" t="s">
        <v>359</v>
      </c>
      <c r="B336" s="220" t="s">
        <v>666</v>
      </c>
      <c r="C336" s="375" t="s">
        <v>1008</v>
      </c>
      <c r="D336" s="480">
        <v>245999</v>
      </c>
      <c r="E336" s="433">
        <v>12</v>
      </c>
      <c r="F336" s="401">
        <v>1980</v>
      </c>
      <c r="G336" s="402">
        <v>1980</v>
      </c>
      <c r="H336" s="401">
        <v>3960</v>
      </c>
      <c r="I336" s="402">
        <v>3960</v>
      </c>
      <c r="J336" s="401"/>
      <c r="K336" s="402"/>
      <c r="L336" s="401"/>
      <c r="M336" s="402"/>
      <c r="N336" s="401"/>
      <c r="O336" s="402"/>
      <c r="P336" s="401"/>
      <c r="Q336" s="402"/>
      <c r="R336" s="401"/>
      <c r="S336" s="402"/>
      <c r="T336" s="401"/>
      <c r="U336" s="402"/>
      <c r="V336" s="401"/>
      <c r="W336" s="402"/>
      <c r="X336" s="401"/>
      <c r="Y336" s="402"/>
      <c r="Z336" s="401"/>
      <c r="AA336" s="402"/>
      <c r="AB336" s="401"/>
      <c r="AC336" s="402"/>
      <c r="AD336" s="401"/>
      <c r="AE336" s="402"/>
      <c r="AF336" s="401"/>
      <c r="AG336" s="402"/>
      <c r="AH336" s="401"/>
      <c r="AI336" s="402"/>
      <c r="AJ336" s="401"/>
      <c r="AK336" s="402"/>
      <c r="AL336" s="401"/>
      <c r="AM336" s="402"/>
      <c r="AN336" s="401"/>
      <c r="AO336" s="402"/>
      <c r="AP336" s="53"/>
      <c r="AQ336" s="53"/>
      <c r="AR336" s="53"/>
    </row>
    <row r="337" spans="1:44" hidden="1">
      <c r="A337" s="222" t="s">
        <v>359</v>
      </c>
      <c r="B337" s="220" t="s">
        <v>667</v>
      </c>
      <c r="C337" s="375" t="s">
        <v>1011</v>
      </c>
      <c r="D337" s="480">
        <v>261375</v>
      </c>
      <c r="E337" s="433">
        <v>12</v>
      </c>
      <c r="F337" s="401">
        <v>3600</v>
      </c>
      <c r="G337" s="402">
        <v>3600</v>
      </c>
      <c r="H337" s="401">
        <v>7200</v>
      </c>
      <c r="I337" s="402">
        <v>7200</v>
      </c>
      <c r="J337" s="401"/>
      <c r="K337" s="402"/>
      <c r="L337" s="401"/>
      <c r="M337" s="402"/>
      <c r="N337" s="401"/>
      <c r="O337" s="402"/>
      <c r="P337" s="401"/>
      <c r="Q337" s="402"/>
      <c r="R337" s="401"/>
      <c r="S337" s="402"/>
      <c r="T337" s="401"/>
      <c r="U337" s="402"/>
      <c r="V337" s="401"/>
      <c r="W337" s="402"/>
      <c r="X337" s="401"/>
      <c r="Y337" s="402"/>
      <c r="Z337" s="401"/>
      <c r="AA337" s="402"/>
      <c r="AB337" s="401"/>
      <c r="AC337" s="402"/>
      <c r="AD337" s="401"/>
      <c r="AE337" s="402"/>
      <c r="AF337" s="401"/>
      <c r="AG337" s="402"/>
      <c r="AH337" s="401"/>
      <c r="AI337" s="402"/>
      <c r="AJ337" s="401"/>
      <c r="AK337" s="402"/>
      <c r="AL337" s="401"/>
      <c r="AM337" s="402"/>
      <c r="AN337" s="401"/>
      <c r="AO337" s="402"/>
      <c r="AP337" s="53"/>
      <c r="AQ337" s="53"/>
      <c r="AR337" s="53"/>
    </row>
    <row r="338" spans="1:44" hidden="1">
      <c r="A338" s="222" t="s">
        <v>359</v>
      </c>
      <c r="B338" s="220" t="s">
        <v>669</v>
      </c>
      <c r="C338" s="481"/>
      <c r="D338" s="480">
        <v>365213</v>
      </c>
      <c r="E338" s="433">
        <v>13</v>
      </c>
      <c r="F338" s="401">
        <v>1800</v>
      </c>
      <c r="G338" s="402">
        <v>1800</v>
      </c>
      <c r="H338" s="401">
        <v>3600</v>
      </c>
      <c r="I338" s="402">
        <v>3600</v>
      </c>
      <c r="J338" s="401"/>
      <c r="K338" s="402"/>
      <c r="L338" s="401"/>
      <c r="M338" s="402"/>
      <c r="N338" s="401"/>
      <c r="O338" s="402"/>
      <c r="P338" s="401"/>
      <c r="Q338" s="402"/>
      <c r="R338" s="401"/>
      <c r="S338" s="402"/>
      <c r="T338" s="401"/>
      <c r="U338" s="402"/>
      <c r="V338" s="401"/>
      <c r="W338" s="402"/>
      <c r="X338" s="401"/>
      <c r="Y338" s="402"/>
      <c r="Z338" s="401"/>
      <c r="AA338" s="402"/>
      <c r="AB338" s="401"/>
      <c r="AC338" s="402"/>
      <c r="AD338" s="401"/>
      <c r="AE338" s="402"/>
      <c r="AF338" s="401"/>
      <c r="AG338" s="402"/>
      <c r="AH338" s="401"/>
      <c r="AI338" s="402"/>
      <c r="AJ338" s="401"/>
      <c r="AK338" s="402"/>
      <c r="AL338" s="401"/>
      <c r="AM338" s="402"/>
      <c r="AN338" s="401"/>
      <c r="AO338" s="402"/>
      <c r="AP338" s="53"/>
      <c r="AQ338" s="53"/>
      <c r="AR338" s="53"/>
    </row>
    <row r="339" spans="1:44" hidden="1">
      <c r="A339" s="222" t="s">
        <v>359</v>
      </c>
      <c r="B339" s="220" t="s">
        <v>670</v>
      </c>
      <c r="C339" s="481"/>
      <c r="D339" s="480">
        <v>364946</v>
      </c>
      <c r="E339" s="433">
        <v>13</v>
      </c>
      <c r="F339" s="401">
        <v>2250</v>
      </c>
      <c r="G339" s="402">
        <v>2250</v>
      </c>
      <c r="H339" s="401">
        <v>4500</v>
      </c>
      <c r="I339" s="402">
        <v>4500</v>
      </c>
      <c r="J339" s="401"/>
      <c r="K339" s="402"/>
      <c r="L339" s="401"/>
      <c r="M339" s="402"/>
      <c r="N339" s="401"/>
      <c r="O339" s="402"/>
      <c r="P339" s="401"/>
      <c r="Q339" s="402"/>
      <c r="R339" s="401"/>
      <c r="S339" s="402"/>
      <c r="T339" s="401"/>
      <c r="U339" s="402"/>
      <c r="V339" s="401"/>
      <c r="W339" s="402"/>
      <c r="X339" s="401"/>
      <c r="Y339" s="402"/>
      <c r="Z339" s="401"/>
      <c r="AA339" s="402"/>
      <c r="AB339" s="401"/>
      <c r="AC339" s="402"/>
      <c r="AD339" s="401"/>
      <c r="AE339" s="402"/>
      <c r="AF339" s="401"/>
      <c r="AG339" s="402"/>
      <c r="AH339" s="401"/>
      <c r="AI339" s="402"/>
      <c r="AJ339" s="401"/>
      <c r="AK339" s="402"/>
      <c r="AL339" s="401"/>
      <c r="AM339" s="402"/>
      <c r="AN339" s="401"/>
      <c r="AO339" s="402"/>
      <c r="AP339" s="53"/>
      <c r="AQ339" s="53"/>
      <c r="AR339" s="53"/>
    </row>
    <row r="340" spans="1:44" hidden="1">
      <c r="A340" s="222" t="s">
        <v>359</v>
      </c>
      <c r="B340" s="220" t="s">
        <v>671</v>
      </c>
      <c r="C340" s="481"/>
      <c r="D340" s="480">
        <v>246017</v>
      </c>
      <c r="E340" s="433">
        <v>13</v>
      </c>
      <c r="F340" s="401">
        <v>1350</v>
      </c>
      <c r="G340" s="402">
        <v>1350</v>
      </c>
      <c r="H340" s="401">
        <v>2700</v>
      </c>
      <c r="I340" s="402">
        <v>2700</v>
      </c>
      <c r="J340" s="401"/>
      <c r="K340" s="402"/>
      <c r="L340" s="401"/>
      <c r="M340" s="402"/>
      <c r="N340" s="401"/>
      <c r="O340" s="402"/>
      <c r="P340" s="401"/>
      <c r="Q340" s="402"/>
      <c r="R340" s="401"/>
      <c r="S340" s="402"/>
      <c r="T340" s="401"/>
      <c r="U340" s="402"/>
      <c r="V340" s="401"/>
      <c r="W340" s="402"/>
      <c r="X340" s="401"/>
      <c r="Y340" s="402"/>
      <c r="Z340" s="401"/>
      <c r="AA340" s="402"/>
      <c r="AB340" s="401"/>
      <c r="AC340" s="402"/>
      <c r="AD340" s="401"/>
      <c r="AE340" s="402"/>
      <c r="AF340" s="401"/>
      <c r="AG340" s="402"/>
      <c r="AH340" s="401"/>
      <c r="AI340" s="402"/>
      <c r="AJ340" s="401"/>
      <c r="AK340" s="402"/>
      <c r="AL340" s="401"/>
      <c r="AM340" s="402"/>
      <c r="AN340" s="401"/>
      <c r="AO340" s="402"/>
      <c r="AP340" s="53"/>
      <c r="AQ340" s="53"/>
      <c r="AR340" s="53"/>
    </row>
    <row r="341" spans="1:44" hidden="1">
      <c r="A341" s="222" t="s">
        <v>359</v>
      </c>
      <c r="B341" s="220" t="s">
        <v>672</v>
      </c>
      <c r="C341" s="481"/>
      <c r="D341" s="480">
        <v>375656</v>
      </c>
      <c r="E341" s="433">
        <v>13</v>
      </c>
      <c r="F341" s="401">
        <v>1800</v>
      </c>
      <c r="G341" s="402">
        <v>1800</v>
      </c>
      <c r="H341" s="401">
        <v>3600</v>
      </c>
      <c r="I341" s="402">
        <v>3600</v>
      </c>
      <c r="J341" s="401"/>
      <c r="K341" s="402"/>
      <c r="L341" s="401"/>
      <c r="M341" s="402"/>
      <c r="N341" s="401"/>
      <c r="O341" s="402"/>
      <c r="P341" s="401"/>
      <c r="Q341" s="402"/>
      <c r="R341" s="401"/>
      <c r="S341" s="402"/>
      <c r="T341" s="401"/>
      <c r="U341" s="402"/>
      <c r="V341" s="401"/>
      <c r="W341" s="402"/>
      <c r="X341" s="401"/>
      <c r="Y341" s="402"/>
      <c r="Z341" s="401"/>
      <c r="AA341" s="402"/>
      <c r="AB341" s="401"/>
      <c r="AC341" s="402"/>
      <c r="AD341" s="401"/>
      <c r="AE341" s="402"/>
      <c r="AF341" s="401"/>
      <c r="AG341" s="402"/>
      <c r="AH341" s="401"/>
      <c r="AI341" s="402"/>
      <c r="AJ341" s="401"/>
      <c r="AK341" s="402"/>
      <c r="AL341" s="401"/>
      <c r="AM341" s="402"/>
      <c r="AN341" s="401"/>
      <c r="AO341" s="402"/>
      <c r="AP341" s="53"/>
      <c r="AQ341" s="53"/>
      <c r="AR341" s="53"/>
    </row>
    <row r="342" spans="1:44" hidden="1">
      <c r="A342" s="222" t="s">
        <v>359</v>
      </c>
      <c r="B342" s="220" t="s">
        <v>673</v>
      </c>
      <c r="C342" s="481"/>
      <c r="D342" s="480">
        <v>418348</v>
      </c>
      <c r="E342" s="433">
        <v>13</v>
      </c>
      <c r="F342" s="401">
        <v>2025</v>
      </c>
      <c r="G342" s="402">
        <v>2025</v>
      </c>
      <c r="H342" s="401">
        <v>4050</v>
      </c>
      <c r="I342" s="402">
        <v>4050</v>
      </c>
      <c r="J342" s="401"/>
      <c r="K342" s="402"/>
      <c r="L342" s="401"/>
      <c r="M342" s="402"/>
      <c r="N342" s="401"/>
      <c r="O342" s="402"/>
      <c r="P342" s="401"/>
      <c r="Q342" s="402"/>
      <c r="R342" s="401"/>
      <c r="S342" s="402"/>
      <c r="T342" s="401"/>
      <c r="U342" s="402"/>
      <c r="V342" s="401"/>
      <c r="W342" s="402"/>
      <c r="X342" s="401"/>
      <c r="Y342" s="402"/>
      <c r="Z342" s="401"/>
      <c r="AA342" s="402"/>
      <c r="AB342" s="401"/>
      <c r="AC342" s="402"/>
      <c r="AD342" s="401"/>
      <c r="AE342" s="402"/>
      <c r="AF342" s="401"/>
      <c r="AG342" s="402"/>
      <c r="AH342" s="401"/>
      <c r="AI342" s="402"/>
      <c r="AJ342" s="401"/>
      <c r="AK342" s="402"/>
      <c r="AL342" s="401"/>
      <c r="AM342" s="402"/>
      <c r="AN342" s="401"/>
      <c r="AO342" s="402"/>
      <c r="AP342" s="53"/>
      <c r="AQ342" s="53"/>
      <c r="AR342" s="53"/>
    </row>
    <row r="343" spans="1:44" hidden="1">
      <c r="A343" s="222" t="s">
        <v>359</v>
      </c>
      <c r="B343" s="220" t="s">
        <v>674</v>
      </c>
      <c r="C343" s="435"/>
      <c r="D343" s="480">
        <v>375683</v>
      </c>
      <c r="E343" s="433">
        <v>13</v>
      </c>
      <c r="F343" s="401">
        <v>1926</v>
      </c>
      <c r="G343" s="402">
        <v>1854</v>
      </c>
      <c r="H343" s="401">
        <v>3852</v>
      </c>
      <c r="I343" s="402">
        <v>3960</v>
      </c>
      <c r="J343" s="401"/>
      <c r="K343" s="402"/>
      <c r="L343" s="401"/>
      <c r="M343" s="402"/>
      <c r="N343" s="401"/>
      <c r="O343" s="402"/>
      <c r="P343" s="401"/>
      <c r="Q343" s="402"/>
      <c r="R343" s="401"/>
      <c r="S343" s="402"/>
      <c r="T343" s="401"/>
      <c r="U343" s="402"/>
      <c r="V343" s="401"/>
      <c r="W343" s="402"/>
      <c r="X343" s="401"/>
      <c r="Y343" s="402"/>
      <c r="Z343" s="401"/>
      <c r="AA343" s="402"/>
      <c r="AB343" s="401"/>
      <c r="AC343" s="402"/>
      <c r="AD343" s="401"/>
      <c r="AE343" s="402"/>
      <c r="AF343" s="401"/>
      <c r="AG343" s="402"/>
      <c r="AH343" s="401"/>
      <c r="AI343" s="402"/>
      <c r="AJ343" s="401"/>
      <c r="AK343" s="402"/>
      <c r="AL343" s="401"/>
      <c r="AM343" s="402"/>
      <c r="AN343" s="401"/>
      <c r="AO343" s="402"/>
      <c r="AP343" s="53"/>
      <c r="AQ343" s="53"/>
      <c r="AR343" s="53"/>
    </row>
    <row r="344" spans="1:44" hidden="1">
      <c r="A344" s="222" t="s">
        <v>359</v>
      </c>
      <c r="B344" s="220" t="s">
        <v>675</v>
      </c>
      <c r="C344" s="481"/>
      <c r="D344" s="480">
        <v>364548</v>
      </c>
      <c r="E344" s="433">
        <v>13</v>
      </c>
      <c r="F344" s="401">
        <v>1800</v>
      </c>
      <c r="G344" s="402">
        <v>1800</v>
      </c>
      <c r="H344" s="401">
        <v>3600</v>
      </c>
      <c r="I344" s="402">
        <v>3600</v>
      </c>
      <c r="J344" s="401"/>
      <c r="K344" s="402"/>
      <c r="L344" s="401"/>
      <c r="M344" s="402"/>
      <c r="N344" s="401"/>
      <c r="O344" s="402"/>
      <c r="P344" s="401"/>
      <c r="Q344" s="402"/>
      <c r="R344" s="401"/>
      <c r="S344" s="402"/>
      <c r="T344" s="401"/>
      <c r="U344" s="402"/>
      <c r="V344" s="401"/>
      <c r="W344" s="402"/>
      <c r="X344" s="401"/>
      <c r="Y344" s="402"/>
      <c r="Z344" s="401"/>
      <c r="AA344" s="402"/>
      <c r="AB344" s="401"/>
      <c r="AC344" s="402"/>
      <c r="AD344" s="401"/>
      <c r="AE344" s="402"/>
      <c r="AF344" s="401"/>
      <c r="AG344" s="402"/>
      <c r="AH344" s="401"/>
      <c r="AI344" s="402"/>
      <c r="AJ344" s="401"/>
      <c r="AK344" s="402"/>
      <c r="AL344" s="401"/>
      <c r="AM344" s="402"/>
      <c r="AN344" s="401"/>
      <c r="AO344" s="402"/>
      <c r="AP344" s="53"/>
      <c r="AQ344" s="53"/>
      <c r="AR344" s="53"/>
    </row>
    <row r="345" spans="1:44" hidden="1">
      <c r="A345" s="222" t="s">
        <v>359</v>
      </c>
      <c r="B345" s="220" t="s">
        <v>676</v>
      </c>
      <c r="C345" s="482"/>
      <c r="D345" s="480">
        <v>428019</v>
      </c>
      <c r="E345" s="433">
        <v>13</v>
      </c>
      <c r="F345" s="401">
        <v>2250</v>
      </c>
      <c r="G345" s="402">
        <v>2250</v>
      </c>
      <c r="H345" s="401">
        <v>4500</v>
      </c>
      <c r="I345" s="402">
        <v>4500</v>
      </c>
      <c r="J345" s="401"/>
      <c r="K345" s="402"/>
      <c r="L345" s="401"/>
      <c r="M345" s="402"/>
      <c r="N345" s="401"/>
      <c r="O345" s="402"/>
      <c r="P345" s="401"/>
      <c r="Q345" s="402"/>
      <c r="R345" s="401"/>
      <c r="S345" s="402"/>
      <c r="T345" s="401"/>
      <c r="U345" s="402"/>
      <c r="V345" s="401"/>
      <c r="W345" s="402"/>
      <c r="X345" s="401"/>
      <c r="Y345" s="402"/>
      <c r="Z345" s="401"/>
      <c r="AA345" s="402"/>
      <c r="AB345" s="401"/>
      <c r="AC345" s="402"/>
      <c r="AD345" s="401"/>
      <c r="AE345" s="402"/>
      <c r="AF345" s="401"/>
      <c r="AG345" s="402"/>
      <c r="AH345" s="401"/>
      <c r="AI345" s="402"/>
      <c r="AJ345" s="401"/>
      <c r="AK345" s="402"/>
      <c r="AL345" s="401"/>
      <c r="AM345" s="402"/>
      <c r="AN345" s="401"/>
      <c r="AO345" s="402"/>
      <c r="AP345" s="53"/>
      <c r="AQ345" s="53"/>
      <c r="AR345" s="53"/>
    </row>
    <row r="346" spans="1:44" hidden="1">
      <c r="A346" s="222" t="s">
        <v>359</v>
      </c>
      <c r="B346" s="220" t="s">
        <v>677</v>
      </c>
      <c r="C346" s="481"/>
      <c r="D346" s="480">
        <v>208053</v>
      </c>
      <c r="E346" s="433">
        <v>13</v>
      </c>
      <c r="F346" s="401">
        <v>1575</v>
      </c>
      <c r="G346" s="402">
        <v>2025</v>
      </c>
      <c r="H346" s="401">
        <v>3150</v>
      </c>
      <c r="I346" s="402">
        <v>4050</v>
      </c>
      <c r="J346" s="401"/>
      <c r="K346" s="402"/>
      <c r="L346" s="401"/>
      <c r="M346" s="402"/>
      <c r="N346" s="401"/>
      <c r="O346" s="402"/>
      <c r="P346" s="401"/>
      <c r="Q346" s="402"/>
      <c r="R346" s="401"/>
      <c r="S346" s="402"/>
      <c r="T346" s="401"/>
      <c r="U346" s="402"/>
      <c r="V346" s="401"/>
      <c r="W346" s="402"/>
      <c r="X346" s="401"/>
      <c r="Y346" s="402"/>
      <c r="Z346" s="401"/>
      <c r="AA346" s="402"/>
      <c r="AB346" s="401"/>
      <c r="AC346" s="402"/>
      <c r="AD346" s="401"/>
      <c r="AE346" s="402"/>
      <c r="AF346" s="401"/>
      <c r="AG346" s="402"/>
      <c r="AH346" s="401"/>
      <c r="AI346" s="402"/>
      <c r="AJ346" s="401"/>
      <c r="AK346" s="402"/>
      <c r="AL346" s="401"/>
      <c r="AM346" s="402"/>
      <c r="AN346" s="401"/>
      <c r="AO346" s="402"/>
      <c r="AP346" s="53"/>
      <c r="AQ346" s="53"/>
      <c r="AR346" s="53"/>
    </row>
    <row r="347" spans="1:44" hidden="1">
      <c r="A347" s="222" t="s">
        <v>359</v>
      </c>
      <c r="B347" s="220" t="s">
        <v>678</v>
      </c>
      <c r="C347" s="481"/>
      <c r="D347" s="480">
        <v>418296</v>
      </c>
      <c r="E347" s="433">
        <v>13</v>
      </c>
      <c r="F347" s="401">
        <v>1800</v>
      </c>
      <c r="G347" s="402">
        <v>2025</v>
      </c>
      <c r="H347" s="401">
        <v>3600</v>
      </c>
      <c r="I347" s="402">
        <v>4050</v>
      </c>
      <c r="J347" s="401"/>
      <c r="K347" s="402"/>
      <c r="L347" s="401"/>
      <c r="M347" s="402"/>
      <c r="N347" s="401"/>
      <c r="O347" s="402"/>
      <c r="P347" s="401"/>
      <c r="Q347" s="402"/>
      <c r="R347" s="401"/>
      <c r="S347" s="402"/>
      <c r="T347" s="401"/>
      <c r="U347" s="402"/>
      <c r="V347" s="401"/>
      <c r="W347" s="402"/>
      <c r="X347" s="401"/>
      <c r="Y347" s="402"/>
      <c r="Z347" s="401"/>
      <c r="AA347" s="402"/>
      <c r="AB347" s="401"/>
      <c r="AC347" s="402"/>
      <c r="AD347" s="401"/>
      <c r="AE347" s="402"/>
      <c r="AF347" s="401"/>
      <c r="AG347" s="402"/>
      <c r="AH347" s="401"/>
      <c r="AI347" s="402"/>
      <c r="AJ347" s="401"/>
      <c r="AK347" s="402"/>
      <c r="AL347" s="401"/>
      <c r="AM347" s="402"/>
      <c r="AN347" s="401"/>
      <c r="AO347" s="402"/>
      <c r="AP347" s="53"/>
      <c r="AQ347" s="53"/>
      <c r="AR347" s="53"/>
    </row>
    <row r="348" spans="1:44" hidden="1">
      <c r="A348" s="222" t="s">
        <v>359</v>
      </c>
      <c r="B348" s="220" t="s">
        <v>679</v>
      </c>
      <c r="C348" s="481"/>
      <c r="D348" s="480">
        <v>421540</v>
      </c>
      <c r="E348" s="433">
        <v>13</v>
      </c>
      <c r="F348" s="401">
        <v>1800</v>
      </c>
      <c r="G348" s="402">
        <v>2025</v>
      </c>
      <c r="H348" s="401">
        <v>3600</v>
      </c>
      <c r="I348" s="402">
        <v>4050</v>
      </c>
      <c r="J348" s="401"/>
      <c r="K348" s="402"/>
      <c r="L348" s="401"/>
      <c r="M348" s="402"/>
      <c r="N348" s="401"/>
      <c r="O348" s="402"/>
      <c r="P348" s="401"/>
      <c r="Q348" s="402"/>
      <c r="R348" s="401"/>
      <c r="S348" s="402"/>
      <c r="T348" s="401"/>
      <c r="U348" s="402"/>
      <c r="V348" s="401"/>
      <c r="W348" s="402"/>
      <c r="X348" s="401"/>
      <c r="Y348" s="402"/>
      <c r="Z348" s="401"/>
      <c r="AA348" s="402"/>
      <c r="AB348" s="401"/>
      <c r="AC348" s="402"/>
      <c r="AD348" s="401"/>
      <c r="AE348" s="402"/>
      <c r="AF348" s="401"/>
      <c r="AG348" s="402"/>
      <c r="AH348" s="401"/>
      <c r="AI348" s="402"/>
      <c r="AJ348" s="401"/>
      <c r="AK348" s="402"/>
      <c r="AL348" s="401"/>
      <c r="AM348" s="402"/>
      <c r="AN348" s="401"/>
      <c r="AO348" s="402"/>
      <c r="AP348" s="53"/>
      <c r="AQ348" s="53"/>
      <c r="AR348" s="53"/>
    </row>
    <row r="349" spans="1:44" hidden="1">
      <c r="A349" s="222" t="s">
        <v>359</v>
      </c>
      <c r="B349" s="220" t="s">
        <v>680</v>
      </c>
      <c r="C349" s="481"/>
      <c r="D349" s="480">
        <v>421559</v>
      </c>
      <c r="E349" s="433">
        <v>13</v>
      </c>
      <c r="F349" s="401">
        <v>1800</v>
      </c>
      <c r="G349" s="402">
        <v>2025</v>
      </c>
      <c r="H349" s="401">
        <v>3600</v>
      </c>
      <c r="I349" s="402">
        <v>4050</v>
      </c>
      <c r="J349" s="401"/>
      <c r="K349" s="402"/>
      <c r="L349" s="401"/>
      <c r="M349" s="402"/>
      <c r="N349" s="401"/>
      <c r="O349" s="402"/>
      <c r="P349" s="401"/>
      <c r="Q349" s="402"/>
      <c r="R349" s="401"/>
      <c r="S349" s="402"/>
      <c r="T349" s="401"/>
      <c r="U349" s="402"/>
      <c r="V349" s="401"/>
      <c r="W349" s="402"/>
      <c r="X349" s="401"/>
      <c r="Y349" s="402"/>
      <c r="Z349" s="401"/>
      <c r="AA349" s="402"/>
      <c r="AB349" s="401"/>
      <c r="AC349" s="402"/>
      <c r="AD349" s="401"/>
      <c r="AE349" s="402"/>
      <c r="AF349" s="401"/>
      <c r="AG349" s="402"/>
      <c r="AH349" s="401"/>
      <c r="AI349" s="402"/>
      <c r="AJ349" s="401"/>
      <c r="AK349" s="402"/>
      <c r="AL349" s="401"/>
      <c r="AM349" s="402"/>
      <c r="AN349" s="401"/>
      <c r="AO349" s="402"/>
      <c r="AP349" s="53"/>
      <c r="AQ349" s="53"/>
      <c r="AR349" s="53"/>
    </row>
    <row r="350" spans="1:44" hidden="1">
      <c r="A350" s="222" t="s">
        <v>359</v>
      </c>
      <c r="B350" s="220" t="s">
        <v>681</v>
      </c>
      <c r="C350" s="481"/>
      <c r="D350" s="480">
        <v>208026</v>
      </c>
      <c r="E350" s="433">
        <v>13</v>
      </c>
      <c r="F350" s="401">
        <v>1800</v>
      </c>
      <c r="G350" s="402">
        <v>2025</v>
      </c>
      <c r="H350" s="401">
        <v>3600</v>
      </c>
      <c r="I350" s="402">
        <v>4050</v>
      </c>
      <c r="J350" s="401"/>
      <c r="K350" s="402"/>
      <c r="L350" s="401"/>
      <c r="M350" s="402"/>
      <c r="N350" s="401"/>
      <c r="O350" s="402"/>
      <c r="P350" s="401"/>
      <c r="Q350" s="402"/>
      <c r="R350" s="401"/>
      <c r="S350" s="402"/>
      <c r="T350" s="401"/>
      <c r="U350" s="402"/>
      <c r="V350" s="401"/>
      <c r="W350" s="402"/>
      <c r="X350" s="401"/>
      <c r="Y350" s="402"/>
      <c r="Z350" s="401"/>
      <c r="AA350" s="402"/>
      <c r="AB350" s="401"/>
      <c r="AC350" s="402"/>
      <c r="AD350" s="401"/>
      <c r="AE350" s="402"/>
      <c r="AF350" s="401"/>
      <c r="AG350" s="402"/>
      <c r="AH350" s="401"/>
      <c r="AI350" s="402"/>
      <c r="AJ350" s="401"/>
      <c r="AK350" s="402"/>
      <c r="AL350" s="401"/>
      <c r="AM350" s="402"/>
      <c r="AN350" s="401"/>
      <c r="AO350" s="402"/>
      <c r="AP350" s="53"/>
      <c r="AQ350" s="53"/>
      <c r="AR350" s="53"/>
    </row>
    <row r="351" spans="1:44" hidden="1">
      <c r="A351" s="222" t="s">
        <v>359</v>
      </c>
      <c r="B351" s="220" t="s">
        <v>682</v>
      </c>
      <c r="C351" s="481"/>
      <c r="D351" s="480">
        <v>375692</v>
      </c>
      <c r="E351" s="433">
        <v>13</v>
      </c>
      <c r="F351" s="401">
        <v>1800</v>
      </c>
      <c r="G351" s="402">
        <v>1800</v>
      </c>
      <c r="H351" s="401">
        <v>3600</v>
      </c>
      <c r="I351" s="402">
        <v>3600</v>
      </c>
      <c r="J351" s="401"/>
      <c r="K351" s="402"/>
      <c r="L351" s="401"/>
      <c r="M351" s="402"/>
      <c r="N351" s="401"/>
      <c r="O351" s="402"/>
      <c r="P351" s="401"/>
      <c r="Q351" s="402"/>
      <c r="R351" s="401"/>
      <c r="S351" s="402"/>
      <c r="T351" s="401"/>
      <c r="U351" s="402"/>
      <c r="V351" s="401"/>
      <c r="W351" s="402"/>
      <c r="X351" s="401"/>
      <c r="Y351" s="402"/>
      <c r="Z351" s="401"/>
      <c r="AA351" s="402"/>
      <c r="AB351" s="401"/>
      <c r="AC351" s="402"/>
      <c r="AD351" s="401"/>
      <c r="AE351" s="402"/>
      <c r="AF351" s="401"/>
      <c r="AG351" s="402"/>
      <c r="AH351" s="401"/>
      <c r="AI351" s="402"/>
      <c r="AJ351" s="401"/>
      <c r="AK351" s="402"/>
      <c r="AL351" s="401"/>
      <c r="AM351" s="402"/>
      <c r="AN351" s="401"/>
      <c r="AO351" s="402"/>
      <c r="AP351" s="53"/>
      <c r="AQ351" s="53"/>
      <c r="AR351" s="53"/>
    </row>
    <row r="352" spans="1:44" hidden="1">
      <c r="A352" s="222" t="s">
        <v>359</v>
      </c>
      <c r="B352" s="220" t="s">
        <v>683</v>
      </c>
      <c r="C352" s="481"/>
      <c r="D352" s="480">
        <v>375708</v>
      </c>
      <c r="E352" s="433">
        <v>13</v>
      </c>
      <c r="F352" s="401">
        <v>1800</v>
      </c>
      <c r="G352" s="402">
        <v>1800</v>
      </c>
      <c r="H352" s="401">
        <v>3600</v>
      </c>
      <c r="I352" s="402">
        <v>3600</v>
      </c>
      <c r="J352" s="401"/>
      <c r="K352" s="402"/>
      <c r="L352" s="401"/>
      <c r="M352" s="402"/>
      <c r="N352" s="401"/>
      <c r="O352" s="402"/>
      <c r="P352" s="401"/>
      <c r="Q352" s="402"/>
      <c r="R352" s="401"/>
      <c r="S352" s="402"/>
      <c r="T352" s="401"/>
      <c r="U352" s="402"/>
      <c r="V352" s="401"/>
      <c r="W352" s="402"/>
      <c r="X352" s="401"/>
      <c r="Y352" s="402"/>
      <c r="Z352" s="401"/>
      <c r="AA352" s="402"/>
      <c r="AB352" s="401"/>
      <c r="AC352" s="402"/>
      <c r="AD352" s="401"/>
      <c r="AE352" s="402"/>
      <c r="AF352" s="401"/>
      <c r="AG352" s="402"/>
      <c r="AH352" s="401"/>
      <c r="AI352" s="402"/>
      <c r="AJ352" s="401"/>
      <c r="AK352" s="402"/>
      <c r="AL352" s="401"/>
      <c r="AM352" s="402"/>
      <c r="AN352" s="401"/>
      <c r="AO352" s="402"/>
      <c r="AP352" s="53"/>
      <c r="AQ352" s="53"/>
      <c r="AR352" s="53"/>
    </row>
    <row r="353" spans="1:44" hidden="1">
      <c r="A353" s="222" t="s">
        <v>359</v>
      </c>
      <c r="B353" s="220" t="s">
        <v>684</v>
      </c>
      <c r="C353" s="481"/>
      <c r="D353" s="480">
        <v>375717</v>
      </c>
      <c r="E353" s="433">
        <v>13</v>
      </c>
      <c r="F353" s="401">
        <v>1800</v>
      </c>
      <c r="G353" s="402">
        <v>1800</v>
      </c>
      <c r="H353" s="401">
        <v>3600</v>
      </c>
      <c r="I353" s="402">
        <v>3600</v>
      </c>
      <c r="J353" s="401"/>
      <c r="K353" s="402"/>
      <c r="L353" s="401"/>
      <c r="M353" s="402"/>
      <c r="N353" s="401"/>
      <c r="O353" s="402"/>
      <c r="P353" s="401"/>
      <c r="Q353" s="402"/>
      <c r="R353" s="401"/>
      <c r="S353" s="402"/>
      <c r="T353" s="401"/>
      <c r="U353" s="402"/>
      <c r="V353" s="401"/>
      <c r="W353" s="402"/>
      <c r="X353" s="401"/>
      <c r="Y353" s="402"/>
      <c r="Z353" s="401"/>
      <c r="AA353" s="402"/>
      <c r="AB353" s="401"/>
      <c r="AC353" s="402"/>
      <c r="AD353" s="401"/>
      <c r="AE353" s="402"/>
      <c r="AF353" s="401"/>
      <c r="AG353" s="402"/>
      <c r="AH353" s="401"/>
      <c r="AI353" s="402"/>
      <c r="AJ353" s="401"/>
      <c r="AK353" s="402"/>
      <c r="AL353" s="401"/>
      <c r="AM353" s="402"/>
      <c r="AN353" s="401"/>
      <c r="AO353" s="402"/>
      <c r="AP353" s="53"/>
      <c r="AQ353" s="53"/>
      <c r="AR353" s="53"/>
    </row>
    <row r="354" spans="1:44" hidden="1">
      <c r="A354" s="222" t="s">
        <v>359</v>
      </c>
      <c r="B354" s="220" t="s">
        <v>685</v>
      </c>
      <c r="C354" s="481"/>
      <c r="D354" s="480">
        <v>375735</v>
      </c>
      <c r="E354" s="433">
        <v>13</v>
      </c>
      <c r="F354" s="401">
        <v>1800</v>
      </c>
      <c r="G354" s="402">
        <v>1800</v>
      </c>
      <c r="H354" s="401">
        <v>3600</v>
      </c>
      <c r="I354" s="402">
        <v>3600</v>
      </c>
      <c r="J354" s="401"/>
      <c r="K354" s="402"/>
      <c r="L354" s="401"/>
      <c r="M354" s="402"/>
      <c r="N354" s="401"/>
      <c r="O354" s="402"/>
      <c r="P354" s="401"/>
      <c r="Q354" s="402"/>
      <c r="R354" s="401"/>
      <c r="S354" s="402"/>
      <c r="T354" s="401"/>
      <c r="U354" s="402"/>
      <c r="V354" s="401"/>
      <c r="W354" s="402"/>
      <c r="X354" s="401"/>
      <c r="Y354" s="402"/>
      <c r="Z354" s="401"/>
      <c r="AA354" s="402"/>
      <c r="AB354" s="401"/>
      <c r="AC354" s="402"/>
      <c r="AD354" s="401"/>
      <c r="AE354" s="402"/>
      <c r="AF354" s="401"/>
      <c r="AG354" s="402"/>
      <c r="AH354" s="401"/>
      <c r="AI354" s="402"/>
      <c r="AJ354" s="401"/>
      <c r="AK354" s="402"/>
      <c r="AL354" s="401"/>
      <c r="AM354" s="402"/>
      <c r="AN354" s="401"/>
      <c r="AO354" s="402"/>
      <c r="AP354" s="53"/>
      <c r="AQ354" s="53"/>
      <c r="AR354" s="53"/>
    </row>
    <row r="355" spans="1:44" hidden="1">
      <c r="A355" s="222" t="s">
        <v>359</v>
      </c>
      <c r="B355" s="220" t="s">
        <v>686</v>
      </c>
      <c r="C355" s="481"/>
      <c r="D355" s="480">
        <v>375726</v>
      </c>
      <c r="E355" s="433">
        <v>13</v>
      </c>
      <c r="F355" s="401">
        <v>1800</v>
      </c>
      <c r="G355" s="402">
        <v>1800</v>
      </c>
      <c r="H355" s="401">
        <v>3600</v>
      </c>
      <c r="I355" s="402">
        <v>3600</v>
      </c>
      <c r="J355" s="401"/>
      <c r="K355" s="402"/>
      <c r="L355" s="401"/>
      <c r="M355" s="402"/>
      <c r="N355" s="401"/>
      <c r="O355" s="402"/>
      <c r="P355" s="401"/>
      <c r="Q355" s="402"/>
      <c r="R355" s="401"/>
      <c r="S355" s="402"/>
      <c r="T355" s="401"/>
      <c r="U355" s="402"/>
      <c r="V355" s="401"/>
      <c r="W355" s="402"/>
      <c r="X355" s="401"/>
      <c r="Y355" s="402"/>
      <c r="Z355" s="401"/>
      <c r="AA355" s="402"/>
      <c r="AB355" s="401"/>
      <c r="AC355" s="402"/>
      <c r="AD355" s="401"/>
      <c r="AE355" s="402"/>
      <c r="AF355" s="401"/>
      <c r="AG355" s="402"/>
      <c r="AH355" s="401"/>
      <c r="AI355" s="402"/>
      <c r="AJ355" s="401"/>
      <c r="AK355" s="402"/>
      <c r="AL355" s="401"/>
      <c r="AM355" s="402"/>
      <c r="AN355" s="401"/>
      <c r="AO355" s="402"/>
      <c r="AP355" s="53"/>
      <c r="AQ355" s="53"/>
      <c r="AR355" s="53"/>
    </row>
    <row r="356" spans="1:44" hidden="1">
      <c r="A356" s="222" t="s">
        <v>359</v>
      </c>
      <c r="B356" s="220" t="s">
        <v>687</v>
      </c>
      <c r="C356" s="481"/>
      <c r="D356" s="480">
        <v>375744</v>
      </c>
      <c r="E356" s="433">
        <v>13</v>
      </c>
      <c r="F356" s="401">
        <v>1800</v>
      </c>
      <c r="G356" s="402">
        <v>1800</v>
      </c>
      <c r="H356" s="401">
        <v>3600</v>
      </c>
      <c r="I356" s="402">
        <v>3600</v>
      </c>
      <c r="J356" s="401"/>
      <c r="K356" s="402"/>
      <c r="L356" s="401"/>
      <c r="M356" s="402"/>
      <c r="N356" s="401"/>
      <c r="O356" s="402"/>
      <c r="P356" s="401"/>
      <c r="Q356" s="402"/>
      <c r="R356" s="401"/>
      <c r="S356" s="402"/>
      <c r="T356" s="401"/>
      <c r="U356" s="402"/>
      <c r="V356" s="401"/>
      <c r="W356" s="402"/>
      <c r="X356" s="401"/>
      <c r="Y356" s="402"/>
      <c r="Z356" s="401"/>
      <c r="AA356" s="402"/>
      <c r="AB356" s="401"/>
      <c r="AC356" s="402"/>
      <c r="AD356" s="401"/>
      <c r="AE356" s="402"/>
      <c r="AF356" s="401"/>
      <c r="AG356" s="402"/>
      <c r="AH356" s="401"/>
      <c r="AI356" s="402"/>
      <c r="AJ356" s="401"/>
      <c r="AK356" s="402"/>
      <c r="AL356" s="401"/>
      <c r="AM356" s="402"/>
      <c r="AN356" s="401"/>
      <c r="AO356" s="402"/>
      <c r="AP356" s="53"/>
      <c r="AQ356" s="53"/>
      <c r="AR356" s="53"/>
    </row>
    <row r="357" spans="1:44" hidden="1">
      <c r="A357" s="222" t="s">
        <v>359</v>
      </c>
      <c r="B357" s="220" t="s">
        <v>688</v>
      </c>
      <c r="C357" s="481"/>
      <c r="D357" s="480">
        <v>375753</v>
      </c>
      <c r="E357" s="433">
        <v>13</v>
      </c>
      <c r="F357" s="401">
        <v>1800</v>
      </c>
      <c r="G357" s="402">
        <v>1800</v>
      </c>
      <c r="H357" s="401">
        <v>3600</v>
      </c>
      <c r="I357" s="402">
        <v>3600</v>
      </c>
      <c r="J357" s="401"/>
      <c r="K357" s="402"/>
      <c r="L357" s="401"/>
      <c r="M357" s="402"/>
      <c r="N357" s="401"/>
      <c r="O357" s="402"/>
      <c r="P357" s="401"/>
      <c r="Q357" s="402"/>
      <c r="R357" s="401"/>
      <c r="S357" s="402"/>
      <c r="T357" s="401"/>
      <c r="U357" s="402"/>
      <c r="V357" s="401"/>
      <c r="W357" s="402"/>
      <c r="X357" s="401"/>
      <c r="Y357" s="402"/>
      <c r="Z357" s="401"/>
      <c r="AA357" s="402"/>
      <c r="AB357" s="401"/>
      <c r="AC357" s="402"/>
      <c r="AD357" s="401"/>
      <c r="AE357" s="402"/>
      <c r="AF357" s="401"/>
      <c r="AG357" s="402"/>
      <c r="AH357" s="401"/>
      <c r="AI357" s="402"/>
      <c r="AJ357" s="401"/>
      <c r="AK357" s="402"/>
      <c r="AL357" s="401"/>
      <c r="AM357" s="402"/>
      <c r="AN357" s="401"/>
      <c r="AO357" s="402"/>
      <c r="AP357" s="53"/>
      <c r="AQ357" s="53"/>
      <c r="AR357" s="53"/>
    </row>
    <row r="358" spans="1:44" hidden="1">
      <c r="A358" s="222" t="s">
        <v>359</v>
      </c>
      <c r="B358" s="220" t="s">
        <v>689</v>
      </c>
      <c r="C358" s="481"/>
      <c r="D358" s="480">
        <v>405748</v>
      </c>
      <c r="E358" s="433">
        <v>13</v>
      </c>
      <c r="F358" s="401">
        <v>1800</v>
      </c>
      <c r="G358" s="402">
        <v>1800</v>
      </c>
      <c r="H358" s="401">
        <v>3600</v>
      </c>
      <c r="I358" s="402">
        <v>3600</v>
      </c>
      <c r="J358" s="401"/>
      <c r="K358" s="402"/>
      <c r="L358" s="401"/>
      <c r="M358" s="402"/>
      <c r="N358" s="401"/>
      <c r="O358" s="402"/>
      <c r="P358" s="401"/>
      <c r="Q358" s="402"/>
      <c r="R358" s="401"/>
      <c r="S358" s="402"/>
      <c r="T358" s="401"/>
      <c r="U358" s="402"/>
      <c r="V358" s="401"/>
      <c r="W358" s="402"/>
      <c r="X358" s="401"/>
      <c r="Y358" s="402"/>
      <c r="Z358" s="401"/>
      <c r="AA358" s="402"/>
      <c r="AB358" s="401"/>
      <c r="AC358" s="402"/>
      <c r="AD358" s="401"/>
      <c r="AE358" s="402"/>
      <c r="AF358" s="401"/>
      <c r="AG358" s="402"/>
      <c r="AH358" s="401"/>
      <c r="AI358" s="402"/>
      <c r="AJ358" s="401"/>
      <c r="AK358" s="402"/>
      <c r="AL358" s="401"/>
      <c r="AM358" s="402"/>
      <c r="AN358" s="401"/>
      <c r="AO358" s="402"/>
      <c r="AP358" s="53"/>
      <c r="AQ358" s="53"/>
      <c r="AR358" s="53"/>
    </row>
    <row r="359" spans="1:44" hidden="1">
      <c r="A359" s="222" t="s">
        <v>359</v>
      </c>
      <c r="B359" s="220" t="s">
        <v>690</v>
      </c>
      <c r="C359" s="481"/>
      <c r="D359" s="480">
        <v>375762</v>
      </c>
      <c r="E359" s="433">
        <v>13</v>
      </c>
      <c r="F359" s="401">
        <v>1800</v>
      </c>
      <c r="G359" s="402">
        <v>1800</v>
      </c>
      <c r="H359" s="401">
        <v>3600</v>
      </c>
      <c r="I359" s="402">
        <v>3600</v>
      </c>
      <c r="J359" s="401"/>
      <c r="K359" s="402"/>
      <c r="L359" s="401"/>
      <c r="M359" s="402"/>
      <c r="N359" s="401"/>
      <c r="O359" s="402"/>
      <c r="P359" s="401"/>
      <c r="Q359" s="402"/>
      <c r="R359" s="401"/>
      <c r="S359" s="402"/>
      <c r="T359" s="401"/>
      <c r="U359" s="402"/>
      <c r="V359" s="401"/>
      <c r="W359" s="402"/>
      <c r="X359" s="401"/>
      <c r="Y359" s="402"/>
      <c r="Z359" s="401"/>
      <c r="AA359" s="402"/>
      <c r="AB359" s="401"/>
      <c r="AC359" s="402"/>
      <c r="AD359" s="401"/>
      <c r="AE359" s="402"/>
      <c r="AF359" s="401"/>
      <c r="AG359" s="402"/>
      <c r="AH359" s="401"/>
      <c r="AI359" s="402"/>
      <c r="AJ359" s="401"/>
      <c r="AK359" s="402"/>
      <c r="AL359" s="401"/>
      <c r="AM359" s="402"/>
      <c r="AN359" s="401"/>
      <c r="AO359" s="402"/>
      <c r="AP359" s="53"/>
      <c r="AQ359" s="53"/>
      <c r="AR359" s="53"/>
    </row>
    <row r="360" spans="1:44" hidden="1">
      <c r="A360" s="222" t="s">
        <v>359</v>
      </c>
      <c r="B360" s="220" t="s">
        <v>691</v>
      </c>
      <c r="C360" s="481"/>
      <c r="D360" s="480">
        <v>365480</v>
      </c>
      <c r="E360" s="433">
        <v>13</v>
      </c>
      <c r="F360" s="401">
        <v>2700</v>
      </c>
      <c r="G360" s="402">
        <v>2700</v>
      </c>
      <c r="H360" s="401">
        <v>5400</v>
      </c>
      <c r="I360" s="402">
        <v>5400</v>
      </c>
      <c r="J360" s="401"/>
      <c r="K360" s="402"/>
      <c r="L360" s="401"/>
      <c r="M360" s="402"/>
      <c r="N360" s="401"/>
      <c r="O360" s="402"/>
      <c r="P360" s="401"/>
      <c r="Q360" s="402"/>
      <c r="R360" s="401"/>
      <c r="S360" s="402"/>
      <c r="T360" s="401"/>
      <c r="U360" s="402"/>
      <c r="V360" s="401"/>
      <c r="W360" s="402"/>
      <c r="X360" s="401"/>
      <c r="Y360" s="402"/>
      <c r="Z360" s="401"/>
      <c r="AA360" s="402"/>
      <c r="AB360" s="401"/>
      <c r="AC360" s="402"/>
      <c r="AD360" s="401"/>
      <c r="AE360" s="402"/>
      <c r="AF360" s="401"/>
      <c r="AG360" s="402"/>
      <c r="AH360" s="401"/>
      <c r="AI360" s="402"/>
      <c r="AJ360" s="401"/>
      <c r="AK360" s="402"/>
      <c r="AL360" s="401"/>
      <c r="AM360" s="402"/>
      <c r="AN360" s="401"/>
      <c r="AO360" s="402"/>
      <c r="AP360" s="53"/>
      <c r="AQ360" s="53"/>
      <c r="AR360" s="53"/>
    </row>
    <row r="361" spans="1:44" hidden="1">
      <c r="A361" s="222" t="s">
        <v>359</v>
      </c>
      <c r="B361" s="220" t="s">
        <v>692</v>
      </c>
      <c r="C361" s="481"/>
      <c r="D361" s="480">
        <v>363165</v>
      </c>
      <c r="E361" s="433">
        <v>13</v>
      </c>
      <c r="F361" s="401">
        <v>2250</v>
      </c>
      <c r="G361" s="402">
        <v>2250</v>
      </c>
      <c r="H361" s="401">
        <v>4500</v>
      </c>
      <c r="I361" s="402">
        <v>4500</v>
      </c>
      <c r="J361" s="401"/>
      <c r="K361" s="402"/>
      <c r="L361" s="401"/>
      <c r="M361" s="402"/>
      <c r="N361" s="401"/>
      <c r="O361" s="402"/>
      <c r="P361" s="401"/>
      <c r="Q361" s="402"/>
      <c r="R361" s="401"/>
      <c r="S361" s="402"/>
      <c r="T361" s="401"/>
      <c r="U361" s="402"/>
      <c r="V361" s="401"/>
      <c r="W361" s="402"/>
      <c r="X361" s="401"/>
      <c r="Y361" s="402"/>
      <c r="Z361" s="401"/>
      <c r="AA361" s="402"/>
      <c r="AB361" s="401"/>
      <c r="AC361" s="402"/>
      <c r="AD361" s="401"/>
      <c r="AE361" s="402"/>
      <c r="AF361" s="401"/>
      <c r="AG361" s="402"/>
      <c r="AH361" s="401"/>
      <c r="AI361" s="402"/>
      <c r="AJ361" s="401"/>
      <c r="AK361" s="402"/>
      <c r="AL361" s="401"/>
      <c r="AM361" s="402"/>
      <c r="AN361" s="401"/>
      <c r="AO361" s="402"/>
      <c r="AP361" s="53"/>
      <c r="AQ361" s="53"/>
      <c r="AR361" s="53"/>
    </row>
    <row r="362" spans="1:44" hidden="1">
      <c r="A362" s="222" t="s">
        <v>359</v>
      </c>
      <c r="B362" s="220" t="s">
        <v>693</v>
      </c>
      <c r="C362" s="435"/>
      <c r="D362" s="480">
        <v>418320</v>
      </c>
      <c r="E362" s="433">
        <v>13</v>
      </c>
      <c r="F362" s="401">
        <v>900</v>
      </c>
      <c r="G362" s="402">
        <v>900</v>
      </c>
      <c r="H362" s="401">
        <v>1800</v>
      </c>
      <c r="I362" s="402">
        <v>1800</v>
      </c>
      <c r="J362" s="401"/>
      <c r="K362" s="402"/>
      <c r="L362" s="401"/>
      <c r="M362" s="402"/>
      <c r="N362" s="401"/>
      <c r="O362" s="402"/>
      <c r="P362" s="401"/>
      <c r="Q362" s="402"/>
      <c r="R362" s="401"/>
      <c r="S362" s="402"/>
      <c r="T362" s="401"/>
      <c r="U362" s="402"/>
      <c r="V362" s="401"/>
      <c r="W362" s="402"/>
      <c r="X362" s="401"/>
      <c r="Y362" s="402"/>
      <c r="Z362" s="401"/>
      <c r="AA362" s="402"/>
      <c r="AB362" s="401"/>
      <c r="AC362" s="402"/>
      <c r="AD362" s="401"/>
      <c r="AE362" s="402"/>
      <c r="AF362" s="401"/>
      <c r="AG362" s="402"/>
      <c r="AH362" s="401"/>
      <c r="AI362" s="402"/>
      <c r="AJ362" s="401"/>
      <c r="AK362" s="402"/>
      <c r="AL362" s="401"/>
      <c r="AM362" s="402"/>
      <c r="AN362" s="401"/>
      <c r="AO362" s="402"/>
      <c r="AP362" s="53"/>
      <c r="AQ362" s="53"/>
      <c r="AR362" s="53"/>
    </row>
    <row r="363" spans="1:44" hidden="1">
      <c r="A363" s="222" t="s">
        <v>359</v>
      </c>
      <c r="B363" s="220" t="s">
        <v>694</v>
      </c>
      <c r="C363" s="481"/>
      <c r="D363" s="480">
        <v>431017</v>
      </c>
      <c r="E363" s="433">
        <v>13</v>
      </c>
      <c r="F363" s="401">
        <v>1800</v>
      </c>
      <c r="G363" s="402">
        <v>2700</v>
      </c>
      <c r="H363" s="401">
        <v>3600</v>
      </c>
      <c r="I363" s="402">
        <v>5400</v>
      </c>
      <c r="J363" s="401"/>
      <c r="K363" s="402"/>
      <c r="L363" s="401"/>
      <c r="M363" s="402"/>
      <c r="N363" s="401"/>
      <c r="O363" s="402"/>
      <c r="P363" s="401"/>
      <c r="Q363" s="402"/>
      <c r="R363" s="401"/>
      <c r="S363" s="402"/>
      <c r="T363" s="401"/>
      <c r="U363" s="402"/>
      <c r="V363" s="401"/>
      <c r="W363" s="402"/>
      <c r="X363" s="401"/>
      <c r="Y363" s="402"/>
      <c r="Z363" s="401"/>
      <c r="AA363" s="402"/>
      <c r="AB363" s="401"/>
      <c r="AC363" s="402"/>
      <c r="AD363" s="401"/>
      <c r="AE363" s="402"/>
      <c r="AF363" s="401"/>
      <c r="AG363" s="402"/>
      <c r="AH363" s="401"/>
      <c r="AI363" s="402"/>
      <c r="AJ363" s="401"/>
      <c r="AK363" s="402"/>
      <c r="AL363" s="401"/>
      <c r="AM363" s="402"/>
      <c r="AN363" s="401"/>
      <c r="AO363" s="402"/>
      <c r="AP363" s="53"/>
      <c r="AQ363" s="53"/>
      <c r="AR363" s="53"/>
    </row>
    <row r="364" spans="1:44" hidden="1">
      <c r="A364" s="222" t="s">
        <v>359</v>
      </c>
      <c r="B364" s="220" t="s">
        <v>695</v>
      </c>
      <c r="C364" s="435"/>
      <c r="D364" s="480">
        <v>248606</v>
      </c>
      <c r="E364" s="433">
        <v>13</v>
      </c>
      <c r="F364" s="401">
        <v>2250</v>
      </c>
      <c r="G364" s="402">
        <v>2250</v>
      </c>
      <c r="H364" s="401">
        <v>4500</v>
      </c>
      <c r="I364" s="402">
        <v>4500</v>
      </c>
      <c r="J364" s="401"/>
      <c r="K364" s="402"/>
      <c r="L364" s="401"/>
      <c r="M364" s="402"/>
      <c r="N364" s="401"/>
      <c r="O364" s="402"/>
      <c r="P364" s="401"/>
      <c r="Q364" s="402"/>
      <c r="R364" s="401"/>
      <c r="S364" s="402"/>
      <c r="T364" s="401"/>
      <c r="U364" s="402"/>
      <c r="V364" s="401"/>
      <c r="W364" s="402"/>
      <c r="X364" s="401"/>
      <c r="Y364" s="402"/>
      <c r="Z364" s="401"/>
      <c r="AA364" s="402"/>
      <c r="AB364" s="401"/>
      <c r="AC364" s="402"/>
      <c r="AD364" s="401"/>
      <c r="AE364" s="402"/>
      <c r="AF364" s="401"/>
      <c r="AG364" s="402"/>
      <c r="AH364" s="401"/>
      <c r="AI364" s="402"/>
      <c r="AJ364" s="401"/>
      <c r="AK364" s="402"/>
      <c r="AL364" s="401"/>
      <c r="AM364" s="402"/>
      <c r="AN364" s="401"/>
      <c r="AO364" s="402"/>
      <c r="AP364" s="53"/>
      <c r="AQ364" s="53"/>
      <c r="AR364" s="53"/>
    </row>
    <row r="365" spans="1:44" hidden="1">
      <c r="A365" s="222" t="s">
        <v>359</v>
      </c>
      <c r="B365" s="220" t="s">
        <v>696</v>
      </c>
      <c r="C365" s="481"/>
      <c r="D365" s="480">
        <v>420459</v>
      </c>
      <c r="E365" s="433">
        <v>13</v>
      </c>
      <c r="F365" s="401">
        <v>1710</v>
      </c>
      <c r="G365" s="402">
        <v>1710</v>
      </c>
      <c r="H365" s="401">
        <v>3420</v>
      </c>
      <c r="I365" s="402">
        <v>3420</v>
      </c>
      <c r="J365" s="401"/>
      <c r="K365" s="402"/>
      <c r="L365" s="401"/>
      <c r="M365" s="402"/>
      <c r="N365" s="401"/>
      <c r="O365" s="402"/>
      <c r="P365" s="401"/>
      <c r="Q365" s="402"/>
      <c r="R365" s="401"/>
      <c r="S365" s="402"/>
      <c r="T365" s="401"/>
      <c r="U365" s="402"/>
      <c r="V365" s="401"/>
      <c r="W365" s="402"/>
      <c r="X365" s="401"/>
      <c r="Y365" s="402"/>
      <c r="Z365" s="401"/>
      <c r="AA365" s="402"/>
      <c r="AB365" s="401"/>
      <c r="AC365" s="402"/>
      <c r="AD365" s="401"/>
      <c r="AE365" s="402"/>
      <c r="AF365" s="401"/>
      <c r="AG365" s="402"/>
      <c r="AH365" s="401"/>
      <c r="AI365" s="402"/>
      <c r="AJ365" s="401"/>
      <c r="AK365" s="402"/>
      <c r="AL365" s="401"/>
      <c r="AM365" s="402"/>
      <c r="AN365" s="401"/>
      <c r="AO365" s="402"/>
      <c r="AP365" s="53"/>
      <c r="AQ365" s="53"/>
      <c r="AR365" s="53"/>
    </row>
    <row r="366" spans="1:44" hidden="1">
      <c r="A366" s="222" t="s">
        <v>359</v>
      </c>
      <c r="B366" s="220" t="s">
        <v>697</v>
      </c>
      <c r="C366" s="481"/>
      <c r="D366" s="480">
        <v>456560</v>
      </c>
      <c r="E366" s="433">
        <v>13</v>
      </c>
      <c r="F366" s="401"/>
      <c r="G366" s="402"/>
      <c r="H366" s="401"/>
      <c r="I366" s="402"/>
      <c r="J366" s="401"/>
      <c r="K366" s="402"/>
      <c r="L366" s="401"/>
      <c r="M366" s="402"/>
      <c r="N366" s="401"/>
      <c r="O366" s="402"/>
      <c r="P366" s="401"/>
      <c r="Q366" s="402"/>
      <c r="R366" s="401"/>
      <c r="S366" s="402"/>
      <c r="T366" s="401"/>
      <c r="U366" s="402"/>
      <c r="V366" s="401"/>
      <c r="W366" s="402"/>
      <c r="X366" s="401"/>
      <c r="Y366" s="402"/>
      <c r="Z366" s="401"/>
      <c r="AA366" s="402"/>
      <c r="AB366" s="401"/>
      <c r="AC366" s="402"/>
      <c r="AD366" s="401"/>
      <c r="AE366" s="402"/>
      <c r="AF366" s="401"/>
      <c r="AG366" s="402"/>
      <c r="AH366" s="401"/>
      <c r="AI366" s="402"/>
      <c r="AJ366" s="401"/>
      <c r="AK366" s="402"/>
      <c r="AL366" s="401"/>
      <c r="AM366" s="402"/>
      <c r="AN366" s="401"/>
      <c r="AO366" s="402"/>
      <c r="AP366" s="53"/>
      <c r="AQ366" s="53"/>
      <c r="AR366" s="53"/>
    </row>
    <row r="367" spans="1:44" hidden="1">
      <c r="A367" s="222" t="s">
        <v>359</v>
      </c>
      <c r="B367" s="220" t="s">
        <v>698</v>
      </c>
      <c r="C367" s="481"/>
      <c r="D367" s="480">
        <v>432074</v>
      </c>
      <c r="E367" s="433">
        <v>13</v>
      </c>
      <c r="F367" s="401">
        <v>1710</v>
      </c>
      <c r="G367" s="402">
        <v>1710</v>
      </c>
      <c r="H367" s="401">
        <v>3420</v>
      </c>
      <c r="I367" s="402">
        <v>3420</v>
      </c>
      <c r="J367" s="401"/>
      <c r="K367" s="402"/>
      <c r="L367" s="401"/>
      <c r="M367" s="402"/>
      <c r="N367" s="401"/>
      <c r="O367" s="402"/>
      <c r="P367" s="401"/>
      <c r="Q367" s="402"/>
      <c r="R367" s="401"/>
      <c r="S367" s="402"/>
      <c r="T367" s="401"/>
      <c r="U367" s="402"/>
      <c r="V367" s="401"/>
      <c r="W367" s="402"/>
      <c r="X367" s="401"/>
      <c r="Y367" s="402"/>
      <c r="Z367" s="401"/>
      <c r="AA367" s="402"/>
      <c r="AB367" s="401"/>
      <c r="AC367" s="402"/>
      <c r="AD367" s="401"/>
      <c r="AE367" s="402"/>
      <c r="AF367" s="401"/>
      <c r="AG367" s="402"/>
      <c r="AH367" s="401"/>
      <c r="AI367" s="402"/>
      <c r="AJ367" s="401"/>
      <c r="AK367" s="402"/>
      <c r="AL367" s="401"/>
      <c r="AM367" s="402"/>
      <c r="AN367" s="401"/>
      <c r="AO367" s="402"/>
      <c r="AP367" s="53"/>
      <c r="AQ367" s="53"/>
      <c r="AR367" s="53"/>
    </row>
    <row r="368" spans="1:44" hidden="1">
      <c r="A368" s="222" t="s">
        <v>359</v>
      </c>
      <c r="B368" s="220" t="s">
        <v>699</v>
      </c>
      <c r="C368" s="481"/>
      <c r="D368" s="480">
        <v>418339</v>
      </c>
      <c r="E368" s="433">
        <v>13</v>
      </c>
      <c r="F368" s="401">
        <v>1710</v>
      </c>
      <c r="G368" s="402">
        <v>1710</v>
      </c>
      <c r="H368" s="401">
        <v>3420</v>
      </c>
      <c r="I368" s="402">
        <v>3420</v>
      </c>
      <c r="J368" s="401"/>
      <c r="K368" s="402"/>
      <c r="L368" s="401"/>
      <c r="M368" s="402"/>
      <c r="N368" s="401"/>
      <c r="O368" s="402"/>
      <c r="P368" s="401"/>
      <c r="Q368" s="402"/>
      <c r="R368" s="401"/>
      <c r="S368" s="402"/>
      <c r="T368" s="401"/>
      <c r="U368" s="402"/>
      <c r="V368" s="401"/>
      <c r="W368" s="402"/>
      <c r="X368" s="401"/>
      <c r="Y368" s="402"/>
      <c r="Z368" s="401"/>
      <c r="AA368" s="402"/>
      <c r="AB368" s="401"/>
      <c r="AC368" s="402"/>
      <c r="AD368" s="401"/>
      <c r="AE368" s="402"/>
      <c r="AF368" s="401"/>
      <c r="AG368" s="402"/>
      <c r="AH368" s="401"/>
      <c r="AI368" s="402"/>
      <c r="AJ368" s="401"/>
      <c r="AK368" s="402"/>
      <c r="AL368" s="401"/>
      <c r="AM368" s="402"/>
      <c r="AN368" s="401"/>
      <c r="AO368" s="402"/>
      <c r="AP368" s="53"/>
      <c r="AQ368" s="53"/>
      <c r="AR368" s="53"/>
    </row>
    <row r="369" spans="1:44" hidden="1">
      <c r="A369" s="222" t="s">
        <v>359</v>
      </c>
      <c r="B369" s="220" t="s">
        <v>700</v>
      </c>
      <c r="C369" s="481"/>
      <c r="D369" s="480">
        <v>366623</v>
      </c>
      <c r="E369" s="433">
        <v>13</v>
      </c>
      <c r="F369" s="401">
        <v>1800</v>
      </c>
      <c r="G369" s="402">
        <v>1890</v>
      </c>
      <c r="H369" s="401">
        <v>3600</v>
      </c>
      <c r="I369" s="402">
        <v>3780</v>
      </c>
      <c r="J369" s="401"/>
      <c r="K369" s="402"/>
      <c r="L369" s="401"/>
      <c r="M369" s="402"/>
      <c r="N369" s="401"/>
      <c r="O369" s="402"/>
      <c r="P369" s="401"/>
      <c r="Q369" s="402"/>
      <c r="R369" s="401"/>
      <c r="S369" s="402"/>
      <c r="T369" s="401"/>
      <c r="U369" s="402"/>
      <c r="V369" s="401"/>
      <c r="W369" s="402"/>
      <c r="X369" s="401"/>
      <c r="Y369" s="402"/>
      <c r="Z369" s="401"/>
      <c r="AA369" s="402"/>
      <c r="AB369" s="401"/>
      <c r="AC369" s="402"/>
      <c r="AD369" s="401"/>
      <c r="AE369" s="402"/>
      <c r="AF369" s="401"/>
      <c r="AG369" s="402"/>
      <c r="AH369" s="401"/>
      <c r="AI369" s="402"/>
      <c r="AJ369" s="401"/>
      <c r="AK369" s="402"/>
      <c r="AL369" s="401"/>
      <c r="AM369" s="402"/>
      <c r="AN369" s="401"/>
      <c r="AO369" s="402"/>
      <c r="AP369" s="53"/>
      <c r="AQ369" s="53"/>
      <c r="AR369" s="53"/>
    </row>
    <row r="370" spans="1:44" hidden="1">
      <c r="A370" s="222" t="s">
        <v>359</v>
      </c>
      <c r="B370" s="220" t="s">
        <v>701</v>
      </c>
      <c r="C370" s="481"/>
      <c r="D370" s="480">
        <v>407601</v>
      </c>
      <c r="E370" s="433">
        <v>13</v>
      </c>
      <c r="F370" s="401">
        <v>1800</v>
      </c>
      <c r="G370" s="402">
        <v>1890</v>
      </c>
      <c r="H370" s="401">
        <v>3600</v>
      </c>
      <c r="I370" s="402">
        <v>3780</v>
      </c>
      <c r="J370" s="401"/>
      <c r="K370" s="402"/>
      <c r="L370" s="401"/>
      <c r="M370" s="402"/>
      <c r="N370" s="401"/>
      <c r="O370" s="402"/>
      <c r="P370" s="401"/>
      <c r="Q370" s="402"/>
      <c r="R370" s="401"/>
      <c r="S370" s="402"/>
      <c r="T370" s="401"/>
      <c r="U370" s="402"/>
      <c r="V370" s="401"/>
      <c r="W370" s="402"/>
      <c r="X370" s="401"/>
      <c r="Y370" s="402"/>
      <c r="Z370" s="401"/>
      <c r="AA370" s="402"/>
      <c r="AB370" s="401"/>
      <c r="AC370" s="402"/>
      <c r="AD370" s="401"/>
      <c r="AE370" s="402"/>
      <c r="AF370" s="401"/>
      <c r="AG370" s="402"/>
      <c r="AH370" s="401"/>
      <c r="AI370" s="402"/>
      <c r="AJ370" s="401"/>
      <c r="AK370" s="402"/>
      <c r="AL370" s="401"/>
      <c r="AM370" s="402"/>
      <c r="AN370" s="401"/>
      <c r="AO370" s="402"/>
      <c r="AP370" s="53"/>
      <c r="AQ370" s="53"/>
      <c r="AR370" s="53"/>
    </row>
    <row r="371" spans="1:44" hidden="1">
      <c r="A371" s="222" t="s">
        <v>359</v>
      </c>
      <c r="B371" s="220" t="s">
        <v>702</v>
      </c>
      <c r="C371" s="481"/>
      <c r="D371" s="480">
        <v>364627</v>
      </c>
      <c r="E371" s="433">
        <v>13</v>
      </c>
      <c r="F371" s="401">
        <v>1800</v>
      </c>
      <c r="G371" s="402">
        <v>1800</v>
      </c>
      <c r="H371" s="401">
        <v>3600</v>
      </c>
      <c r="I371" s="402">
        <v>3600</v>
      </c>
      <c r="J371" s="401"/>
      <c r="K371" s="402"/>
      <c r="L371" s="401"/>
      <c r="M371" s="402"/>
      <c r="N371" s="401"/>
      <c r="O371" s="402"/>
      <c r="P371" s="401"/>
      <c r="Q371" s="402"/>
      <c r="R371" s="401"/>
      <c r="S371" s="402"/>
      <c r="T371" s="401"/>
      <c r="U371" s="402"/>
      <c r="V371" s="401"/>
      <c r="W371" s="402"/>
      <c r="X371" s="401"/>
      <c r="Y371" s="402"/>
      <c r="Z371" s="401"/>
      <c r="AA371" s="402"/>
      <c r="AB371" s="401"/>
      <c r="AC371" s="402"/>
      <c r="AD371" s="401"/>
      <c r="AE371" s="402"/>
      <c r="AF371" s="401"/>
      <c r="AG371" s="402"/>
      <c r="AH371" s="401"/>
      <c r="AI371" s="402"/>
      <c r="AJ371" s="401"/>
      <c r="AK371" s="402"/>
      <c r="AL371" s="401"/>
      <c r="AM371" s="402"/>
      <c r="AN371" s="401"/>
      <c r="AO371" s="402"/>
      <c r="AP371" s="53"/>
      <c r="AQ371" s="53"/>
      <c r="AR371" s="53"/>
    </row>
    <row r="372" spans="1:44" hidden="1">
      <c r="A372" s="222" t="s">
        <v>359</v>
      </c>
      <c r="B372" s="220" t="s">
        <v>703</v>
      </c>
      <c r="C372" s="481"/>
      <c r="D372" s="480">
        <v>206905</v>
      </c>
      <c r="E372" s="433">
        <v>13</v>
      </c>
      <c r="F372" s="401">
        <v>2475</v>
      </c>
      <c r="G372" s="402">
        <v>2475</v>
      </c>
      <c r="H372" s="401">
        <v>4950</v>
      </c>
      <c r="I372" s="402">
        <v>4950</v>
      </c>
      <c r="J372" s="401"/>
      <c r="K372" s="402"/>
      <c r="L372" s="401"/>
      <c r="M372" s="402"/>
      <c r="N372" s="401"/>
      <c r="O372" s="402"/>
      <c r="P372" s="401"/>
      <c r="Q372" s="402"/>
      <c r="R372" s="401"/>
      <c r="S372" s="402"/>
      <c r="T372" s="401"/>
      <c r="U372" s="402"/>
      <c r="V372" s="401"/>
      <c r="W372" s="402"/>
      <c r="X372" s="401"/>
      <c r="Y372" s="402"/>
      <c r="Z372" s="401"/>
      <c r="AA372" s="402"/>
      <c r="AB372" s="401"/>
      <c r="AC372" s="402"/>
      <c r="AD372" s="401"/>
      <c r="AE372" s="402"/>
      <c r="AF372" s="401"/>
      <c r="AG372" s="402"/>
      <c r="AH372" s="401"/>
      <c r="AI372" s="402"/>
      <c r="AJ372" s="401"/>
      <c r="AK372" s="402"/>
      <c r="AL372" s="401"/>
      <c r="AM372" s="402"/>
      <c r="AN372" s="401"/>
      <c r="AO372" s="402"/>
      <c r="AP372" s="53"/>
      <c r="AQ372" s="53"/>
      <c r="AR372" s="53"/>
    </row>
    <row r="373" spans="1:44" hidden="1">
      <c r="A373" s="222" t="s">
        <v>359</v>
      </c>
      <c r="B373" s="220" t="s">
        <v>704</v>
      </c>
      <c r="C373" s="481"/>
      <c r="D373" s="480">
        <v>250993</v>
      </c>
      <c r="E373" s="433">
        <v>13</v>
      </c>
      <c r="F373" s="401">
        <v>2250</v>
      </c>
      <c r="G373" s="402">
        <v>2250</v>
      </c>
      <c r="H373" s="401">
        <v>4500</v>
      </c>
      <c r="I373" s="402">
        <v>4500</v>
      </c>
      <c r="J373" s="401"/>
      <c r="K373" s="402"/>
      <c r="L373" s="401"/>
      <c r="M373" s="402"/>
      <c r="N373" s="401"/>
      <c r="O373" s="402"/>
      <c r="P373" s="401"/>
      <c r="Q373" s="402"/>
      <c r="R373" s="401"/>
      <c r="S373" s="402"/>
      <c r="T373" s="401"/>
      <c r="U373" s="402"/>
      <c r="V373" s="401"/>
      <c r="W373" s="402"/>
      <c r="X373" s="401"/>
      <c r="Y373" s="402"/>
      <c r="Z373" s="401"/>
      <c r="AA373" s="402"/>
      <c r="AB373" s="401"/>
      <c r="AC373" s="402"/>
      <c r="AD373" s="401"/>
      <c r="AE373" s="402"/>
      <c r="AF373" s="401"/>
      <c r="AG373" s="402"/>
      <c r="AH373" s="401"/>
      <c r="AI373" s="402"/>
      <c r="AJ373" s="401"/>
      <c r="AK373" s="402"/>
      <c r="AL373" s="401"/>
      <c r="AM373" s="402"/>
      <c r="AN373" s="401"/>
      <c r="AO373" s="402"/>
      <c r="AP373" s="53"/>
      <c r="AQ373" s="53"/>
      <c r="AR373" s="53"/>
    </row>
    <row r="374" spans="1:44" hidden="1">
      <c r="A374" s="222" t="s">
        <v>359</v>
      </c>
      <c r="B374" s="220" t="s">
        <v>705</v>
      </c>
      <c r="C374" s="481"/>
      <c r="D374" s="480">
        <v>365198</v>
      </c>
      <c r="E374" s="433">
        <v>13</v>
      </c>
      <c r="F374" s="401">
        <v>2250</v>
      </c>
      <c r="G374" s="402">
        <v>2250</v>
      </c>
      <c r="H374" s="401">
        <v>4500</v>
      </c>
      <c r="I374" s="402">
        <v>4500</v>
      </c>
      <c r="J374" s="401"/>
      <c r="K374" s="402"/>
      <c r="L374" s="401"/>
      <c r="M374" s="402"/>
      <c r="N374" s="401"/>
      <c r="O374" s="402"/>
      <c r="P374" s="401"/>
      <c r="Q374" s="402"/>
      <c r="R374" s="401"/>
      <c r="S374" s="402"/>
      <c r="T374" s="401"/>
      <c r="U374" s="402"/>
      <c r="V374" s="401"/>
      <c r="W374" s="402"/>
      <c r="X374" s="401"/>
      <c r="Y374" s="402"/>
      <c r="Z374" s="401"/>
      <c r="AA374" s="402"/>
      <c r="AB374" s="401"/>
      <c r="AC374" s="402"/>
      <c r="AD374" s="401"/>
      <c r="AE374" s="402"/>
      <c r="AF374" s="401"/>
      <c r="AG374" s="402"/>
      <c r="AH374" s="401"/>
      <c r="AI374" s="402"/>
      <c r="AJ374" s="401"/>
      <c r="AK374" s="402"/>
      <c r="AL374" s="401"/>
      <c r="AM374" s="402"/>
      <c r="AN374" s="401"/>
      <c r="AO374" s="402"/>
      <c r="AP374" s="53"/>
      <c r="AQ374" s="53"/>
      <c r="AR374" s="53"/>
    </row>
    <row r="375" spans="1:44" hidden="1">
      <c r="A375" s="222" t="s">
        <v>359</v>
      </c>
      <c r="B375" s="220" t="s">
        <v>706</v>
      </c>
      <c r="C375" s="481"/>
      <c r="D375" s="480">
        <v>368364</v>
      </c>
      <c r="E375" s="433">
        <v>13</v>
      </c>
      <c r="F375" s="401">
        <v>2250</v>
      </c>
      <c r="G375" s="402">
        <v>2250</v>
      </c>
      <c r="H375" s="401">
        <v>4500</v>
      </c>
      <c r="I375" s="402">
        <v>4500</v>
      </c>
      <c r="J375" s="401"/>
      <c r="K375" s="402"/>
      <c r="L375" s="401"/>
      <c r="M375" s="402"/>
      <c r="N375" s="401"/>
      <c r="O375" s="402"/>
      <c r="P375" s="401"/>
      <c r="Q375" s="402"/>
      <c r="R375" s="401"/>
      <c r="S375" s="402"/>
      <c r="T375" s="401"/>
      <c r="U375" s="402"/>
      <c r="V375" s="401"/>
      <c r="W375" s="402"/>
      <c r="X375" s="401"/>
      <c r="Y375" s="402"/>
      <c r="Z375" s="401"/>
      <c r="AA375" s="402"/>
      <c r="AB375" s="401"/>
      <c r="AC375" s="402"/>
      <c r="AD375" s="401"/>
      <c r="AE375" s="402"/>
      <c r="AF375" s="401"/>
      <c r="AG375" s="402"/>
      <c r="AH375" s="401"/>
      <c r="AI375" s="402"/>
      <c r="AJ375" s="401"/>
      <c r="AK375" s="402"/>
      <c r="AL375" s="401"/>
      <c r="AM375" s="402"/>
      <c r="AN375" s="401"/>
      <c r="AO375" s="402"/>
      <c r="AP375" s="53"/>
      <c r="AQ375" s="53"/>
      <c r="AR375" s="53"/>
    </row>
    <row r="376" spans="1:44" hidden="1">
      <c r="A376" s="222" t="s">
        <v>359</v>
      </c>
      <c r="B376" s="220" t="s">
        <v>707</v>
      </c>
      <c r="C376" s="481"/>
      <c r="D376" s="480">
        <v>418287</v>
      </c>
      <c r="E376" s="433">
        <v>13</v>
      </c>
      <c r="F376" s="401">
        <v>1125</v>
      </c>
      <c r="G376" s="402">
        <v>1125</v>
      </c>
      <c r="H376" s="401">
        <v>2250</v>
      </c>
      <c r="I376" s="402">
        <v>2250</v>
      </c>
      <c r="J376" s="401"/>
      <c r="K376" s="402"/>
      <c r="L376" s="401"/>
      <c r="M376" s="402"/>
      <c r="N376" s="401"/>
      <c r="O376" s="402"/>
      <c r="P376" s="401"/>
      <c r="Q376" s="402"/>
      <c r="R376" s="401"/>
      <c r="S376" s="402"/>
      <c r="T376" s="401"/>
      <c r="U376" s="402"/>
      <c r="V376" s="401"/>
      <c r="W376" s="402"/>
      <c r="X376" s="401"/>
      <c r="Y376" s="402"/>
      <c r="Z376" s="401"/>
      <c r="AA376" s="402"/>
      <c r="AB376" s="401"/>
      <c r="AC376" s="402"/>
      <c r="AD376" s="401"/>
      <c r="AE376" s="402"/>
      <c r="AF376" s="401"/>
      <c r="AG376" s="402"/>
      <c r="AH376" s="401"/>
      <c r="AI376" s="402"/>
      <c r="AJ376" s="401"/>
      <c r="AK376" s="402"/>
      <c r="AL376" s="401"/>
      <c r="AM376" s="402"/>
      <c r="AN376" s="401"/>
      <c r="AO376" s="402"/>
      <c r="AP376" s="53"/>
      <c r="AQ376" s="53"/>
      <c r="AR376" s="53"/>
    </row>
    <row r="377" spans="1:44" hidden="1">
      <c r="A377" s="222" t="s">
        <v>359</v>
      </c>
      <c r="B377" s="220" t="s">
        <v>708</v>
      </c>
      <c r="C377" s="481"/>
      <c r="D377" s="480">
        <v>207607</v>
      </c>
      <c r="E377" s="433">
        <v>13</v>
      </c>
      <c r="F377" s="401">
        <v>3600</v>
      </c>
      <c r="G377" s="402">
        <v>3600</v>
      </c>
      <c r="H377" s="401">
        <v>7200</v>
      </c>
      <c r="I377" s="402">
        <v>7200</v>
      </c>
      <c r="J377" s="401"/>
      <c r="K377" s="402"/>
      <c r="L377" s="401"/>
      <c r="M377" s="402"/>
      <c r="N377" s="401"/>
      <c r="O377" s="402"/>
      <c r="P377" s="401"/>
      <c r="Q377" s="402"/>
      <c r="R377" s="401"/>
      <c r="S377" s="402"/>
      <c r="T377" s="401"/>
      <c r="U377" s="402"/>
      <c r="V377" s="401"/>
      <c r="W377" s="402"/>
      <c r="X377" s="401"/>
      <c r="Y377" s="402"/>
      <c r="Z377" s="401"/>
      <c r="AA377" s="402"/>
      <c r="AB377" s="401"/>
      <c r="AC377" s="402"/>
      <c r="AD377" s="401"/>
      <c r="AE377" s="402"/>
      <c r="AF377" s="401"/>
      <c r="AG377" s="402"/>
      <c r="AH377" s="401"/>
      <c r="AI377" s="402"/>
      <c r="AJ377" s="401"/>
      <c r="AK377" s="402"/>
      <c r="AL377" s="401"/>
      <c r="AM377" s="402"/>
      <c r="AN377" s="401"/>
      <c r="AO377" s="402"/>
      <c r="AP377" s="53"/>
      <c r="AQ377" s="53"/>
      <c r="AR377" s="53"/>
    </row>
    <row r="378" spans="1:44" s="179" customFormat="1" ht="12.6" hidden="1" customHeight="1">
      <c r="A378" s="222" t="s">
        <v>359</v>
      </c>
      <c r="B378" s="220" t="s">
        <v>709</v>
      </c>
      <c r="C378" s="483"/>
      <c r="D378" s="480">
        <v>261393</v>
      </c>
      <c r="E378" s="433">
        <v>13</v>
      </c>
      <c r="F378" s="401">
        <v>3600</v>
      </c>
      <c r="G378" s="402">
        <v>3600</v>
      </c>
      <c r="H378" s="401">
        <v>7200</v>
      </c>
      <c r="I378" s="402">
        <v>7200</v>
      </c>
      <c r="J378" s="401"/>
      <c r="K378" s="402"/>
      <c r="L378" s="401"/>
      <c r="M378" s="402"/>
      <c r="N378" s="401"/>
      <c r="O378" s="402"/>
      <c r="P378" s="401"/>
      <c r="Q378" s="402"/>
      <c r="R378" s="401"/>
      <c r="S378" s="402"/>
      <c r="T378" s="401"/>
      <c r="U378" s="402"/>
      <c r="V378" s="401"/>
      <c r="W378" s="402"/>
      <c r="X378" s="401"/>
      <c r="Y378" s="402"/>
      <c r="Z378" s="401"/>
      <c r="AA378" s="402"/>
      <c r="AB378" s="401"/>
      <c r="AC378" s="402"/>
      <c r="AD378" s="401"/>
      <c r="AE378" s="402"/>
      <c r="AF378" s="401"/>
      <c r="AG378" s="402"/>
      <c r="AH378" s="401"/>
      <c r="AI378" s="402"/>
      <c r="AJ378" s="401"/>
      <c r="AK378" s="402"/>
      <c r="AL378" s="401"/>
      <c r="AM378" s="402"/>
      <c r="AN378" s="401"/>
      <c r="AO378" s="402"/>
      <c r="AP378" s="53"/>
      <c r="AQ378" s="53"/>
      <c r="AR378" s="53"/>
    </row>
    <row r="379" spans="1:44" s="179" customFormat="1" ht="12.6" hidden="1" customHeight="1">
      <c r="A379" s="219" t="s">
        <v>359</v>
      </c>
      <c r="B379" s="224" t="s">
        <v>710</v>
      </c>
      <c r="C379" s="483"/>
      <c r="D379" s="480">
        <v>482264</v>
      </c>
      <c r="E379" s="433">
        <v>13</v>
      </c>
      <c r="F379" s="401"/>
      <c r="G379" s="402"/>
      <c r="H379" s="401"/>
      <c r="I379" s="402"/>
      <c r="J379" s="401"/>
      <c r="K379" s="402"/>
      <c r="L379" s="401"/>
      <c r="M379" s="402"/>
      <c r="N379" s="401"/>
      <c r="O379" s="402"/>
      <c r="P379" s="401"/>
      <c r="Q379" s="402"/>
      <c r="R379" s="401"/>
      <c r="S379" s="402"/>
      <c r="T379" s="401"/>
      <c r="U379" s="402"/>
      <c r="V379" s="401"/>
      <c r="W379" s="402"/>
      <c r="X379" s="401"/>
      <c r="Y379" s="402"/>
      <c r="Z379" s="401"/>
      <c r="AA379" s="402"/>
      <c r="AB379" s="401"/>
      <c r="AC379" s="402"/>
      <c r="AD379" s="401"/>
      <c r="AE379" s="402"/>
      <c r="AF379" s="401"/>
      <c r="AG379" s="402"/>
      <c r="AH379" s="401"/>
      <c r="AI379" s="402"/>
      <c r="AJ379" s="401"/>
      <c r="AK379" s="402"/>
      <c r="AL379" s="401"/>
      <c r="AM379" s="402"/>
      <c r="AN379" s="401"/>
      <c r="AO379" s="402"/>
      <c r="AP379" s="53"/>
      <c r="AQ379" s="53"/>
      <c r="AR379" s="53"/>
    </row>
    <row r="380" spans="1:44" hidden="1">
      <c r="A380" s="222" t="s">
        <v>359</v>
      </c>
      <c r="B380" s="220" t="s">
        <v>711</v>
      </c>
      <c r="C380" s="481"/>
      <c r="D380" s="480">
        <v>261384</v>
      </c>
      <c r="E380" s="433">
        <v>13</v>
      </c>
      <c r="F380" s="401">
        <v>3600</v>
      </c>
      <c r="G380" s="402">
        <v>3600</v>
      </c>
      <c r="H380" s="401">
        <v>7200</v>
      </c>
      <c r="I380" s="402">
        <v>7200</v>
      </c>
      <c r="J380" s="401"/>
      <c r="K380" s="402"/>
      <c r="L380" s="401"/>
      <c r="M380" s="402"/>
      <c r="N380" s="401"/>
      <c r="O380" s="402"/>
      <c r="P380" s="401"/>
      <c r="Q380" s="402"/>
      <c r="R380" s="401"/>
      <c r="S380" s="402"/>
      <c r="T380" s="401"/>
      <c r="U380" s="402"/>
      <c r="V380" s="401"/>
      <c r="W380" s="402"/>
      <c r="X380" s="401"/>
      <c r="Y380" s="402"/>
      <c r="Z380" s="401"/>
      <c r="AA380" s="402"/>
      <c r="AB380" s="401"/>
      <c r="AC380" s="402"/>
      <c r="AD380" s="401"/>
      <c r="AE380" s="402"/>
      <c r="AF380" s="401"/>
      <c r="AG380" s="402"/>
      <c r="AH380" s="401"/>
      <c r="AI380" s="402"/>
      <c r="AJ380" s="401"/>
      <c r="AK380" s="402"/>
      <c r="AL380" s="401"/>
      <c r="AM380" s="402"/>
      <c r="AN380" s="401"/>
      <c r="AO380" s="402"/>
      <c r="AP380" s="53"/>
      <c r="AQ380" s="53"/>
      <c r="AR380" s="53"/>
    </row>
    <row r="381" spans="1:44" hidden="1">
      <c r="A381" s="219" t="s">
        <v>359</v>
      </c>
      <c r="B381" s="224" t="s">
        <v>712</v>
      </c>
      <c r="C381" s="481"/>
      <c r="D381" s="480">
        <v>482273</v>
      </c>
      <c r="E381" s="433">
        <v>13</v>
      </c>
      <c r="F381" s="401"/>
      <c r="G381" s="402"/>
      <c r="H381" s="401"/>
      <c r="I381" s="402"/>
      <c r="J381" s="401"/>
      <c r="K381" s="402"/>
      <c r="L381" s="401"/>
      <c r="M381" s="402"/>
      <c r="N381" s="401"/>
      <c r="O381" s="402"/>
      <c r="P381" s="401"/>
      <c r="Q381" s="402"/>
      <c r="R381" s="401"/>
      <c r="S381" s="402"/>
      <c r="T381" s="401"/>
      <c r="U381" s="402"/>
      <c r="V381" s="401"/>
      <c r="W381" s="402"/>
      <c r="X381" s="401"/>
      <c r="Y381" s="402"/>
      <c r="Z381" s="401"/>
      <c r="AA381" s="402"/>
      <c r="AB381" s="401"/>
      <c r="AC381" s="402"/>
      <c r="AD381" s="401"/>
      <c r="AE381" s="402"/>
      <c r="AF381" s="401"/>
      <c r="AG381" s="402"/>
      <c r="AH381" s="401"/>
      <c r="AI381" s="402"/>
      <c r="AJ381" s="401"/>
      <c r="AK381" s="402"/>
      <c r="AL381" s="401"/>
      <c r="AM381" s="402"/>
      <c r="AN381" s="401"/>
      <c r="AO381" s="402"/>
      <c r="AP381" s="53"/>
      <c r="AQ381" s="53"/>
      <c r="AR381" s="53"/>
    </row>
    <row r="382" spans="1:44" hidden="1">
      <c r="A382" s="219" t="s">
        <v>359</v>
      </c>
      <c r="B382" s="220" t="s">
        <v>713</v>
      </c>
      <c r="C382" s="481"/>
      <c r="D382" s="480">
        <v>418357</v>
      </c>
      <c r="E382" s="433">
        <v>13</v>
      </c>
      <c r="F382" s="401">
        <v>2430</v>
      </c>
      <c r="G382" s="402">
        <v>2430</v>
      </c>
      <c r="H382" s="401">
        <v>4860</v>
      </c>
      <c r="I382" s="402">
        <v>4860</v>
      </c>
      <c r="J382" s="401"/>
      <c r="K382" s="402"/>
      <c r="L382" s="401"/>
      <c r="M382" s="402"/>
      <c r="N382" s="401"/>
      <c r="O382" s="402"/>
      <c r="P382" s="401"/>
      <c r="Q382" s="402"/>
      <c r="R382" s="401"/>
      <c r="S382" s="402"/>
      <c r="T382" s="401"/>
      <c r="U382" s="402"/>
      <c r="V382" s="401"/>
      <c r="W382" s="402"/>
      <c r="X382" s="401"/>
      <c r="Y382" s="402"/>
      <c r="Z382" s="401"/>
      <c r="AA382" s="402"/>
      <c r="AB382" s="401"/>
      <c r="AC382" s="402"/>
      <c r="AD382" s="401"/>
      <c r="AE382" s="402"/>
      <c r="AF382" s="401"/>
      <c r="AG382" s="402"/>
      <c r="AH382" s="401"/>
      <c r="AI382" s="402"/>
      <c r="AJ382" s="401"/>
      <c r="AK382" s="402"/>
      <c r="AL382" s="401"/>
      <c r="AM382" s="402"/>
      <c r="AN382" s="401"/>
      <c r="AO382" s="402"/>
      <c r="AP382" s="53"/>
      <c r="AQ382" s="53"/>
      <c r="AR382" s="53"/>
    </row>
    <row r="383" spans="1:44" hidden="1">
      <c r="A383" s="222" t="s">
        <v>359</v>
      </c>
      <c r="B383" s="220" t="s">
        <v>714</v>
      </c>
      <c r="C383" s="481"/>
      <c r="D383" s="480">
        <v>418302</v>
      </c>
      <c r="E383" s="433">
        <v>13</v>
      </c>
      <c r="F383" s="401">
        <v>1800</v>
      </c>
      <c r="G383" s="402">
        <v>2250</v>
      </c>
      <c r="H383" s="401">
        <v>3600</v>
      </c>
      <c r="I383" s="402">
        <v>4500</v>
      </c>
      <c r="J383" s="401"/>
      <c r="K383" s="402"/>
      <c r="L383" s="401"/>
      <c r="M383" s="402"/>
      <c r="N383" s="401"/>
      <c r="O383" s="402"/>
      <c r="P383" s="401"/>
      <c r="Q383" s="402"/>
      <c r="R383" s="401"/>
      <c r="S383" s="402"/>
      <c r="T383" s="401"/>
      <c r="U383" s="402"/>
      <c r="V383" s="401"/>
      <c r="W383" s="402"/>
      <c r="X383" s="401"/>
      <c r="Y383" s="402"/>
      <c r="Z383" s="401"/>
      <c r="AA383" s="402"/>
      <c r="AB383" s="401"/>
      <c r="AC383" s="402"/>
      <c r="AD383" s="401"/>
      <c r="AE383" s="402"/>
      <c r="AF383" s="401"/>
      <c r="AG383" s="402"/>
      <c r="AH383" s="401"/>
      <c r="AI383" s="402"/>
      <c r="AJ383" s="401"/>
      <c r="AK383" s="402"/>
      <c r="AL383" s="401"/>
      <c r="AM383" s="402"/>
      <c r="AN383" s="401"/>
      <c r="AO383" s="402"/>
      <c r="AP383" s="53"/>
      <c r="AQ383" s="53"/>
      <c r="AR383" s="53"/>
    </row>
    <row r="384" spans="1:44" hidden="1">
      <c r="A384" s="216" t="s">
        <v>359</v>
      </c>
      <c r="B384" s="217" t="s">
        <v>898</v>
      </c>
      <c r="C384" s="362"/>
      <c r="D384" s="216">
        <v>207388</v>
      </c>
      <c r="E384" s="216"/>
      <c r="F384" s="383"/>
      <c r="G384" s="384"/>
      <c r="H384" s="383"/>
      <c r="I384" s="384"/>
      <c r="J384" s="383"/>
      <c r="K384" s="384"/>
      <c r="L384" s="383"/>
      <c r="M384" s="384"/>
      <c r="N384" s="383"/>
      <c r="O384" s="384"/>
      <c r="P384" s="383"/>
      <c r="Q384" s="384"/>
      <c r="R384" s="383"/>
      <c r="S384" s="384"/>
      <c r="T384" s="383"/>
      <c r="U384" s="384"/>
      <c r="V384" s="383"/>
      <c r="W384" s="384"/>
      <c r="X384" s="383"/>
      <c r="Y384" s="384"/>
      <c r="Z384" s="383"/>
      <c r="AA384" s="384"/>
      <c r="AB384" s="383"/>
      <c r="AC384" s="384"/>
      <c r="AD384" s="383"/>
      <c r="AE384" s="384"/>
      <c r="AF384" s="383"/>
      <c r="AG384" s="384"/>
      <c r="AH384" s="383"/>
      <c r="AI384" s="384"/>
      <c r="AJ384" s="383"/>
      <c r="AK384" s="384"/>
      <c r="AL384" s="383"/>
      <c r="AM384" s="384"/>
      <c r="AN384" s="383"/>
      <c r="AO384" s="384"/>
      <c r="AP384" s="53"/>
      <c r="AQ384" s="53"/>
      <c r="AR384" s="53"/>
    </row>
    <row r="385" spans="1:41" s="53" customFormat="1">
      <c r="A385" s="249" t="s">
        <v>360</v>
      </c>
      <c r="B385" s="250" t="s">
        <v>361</v>
      </c>
      <c r="C385" s="457"/>
      <c r="D385" s="458">
        <v>217882</v>
      </c>
      <c r="E385" s="459">
        <v>1</v>
      </c>
      <c r="F385" s="390">
        <v>15120</v>
      </c>
      <c r="G385" s="391">
        <v>15120</v>
      </c>
      <c r="H385" s="390">
        <v>38112</v>
      </c>
      <c r="I385" s="391">
        <v>38112</v>
      </c>
      <c r="J385" s="390">
        <v>11946</v>
      </c>
      <c r="K385" s="391">
        <v>12208</v>
      </c>
      <c r="L385" s="390">
        <v>23846</v>
      </c>
      <c r="M385" s="391">
        <v>24380</v>
      </c>
      <c r="N385" s="390"/>
      <c r="O385" s="391"/>
      <c r="P385" s="390"/>
      <c r="Q385" s="391"/>
      <c r="R385" s="390"/>
      <c r="S385" s="391"/>
      <c r="T385" s="390"/>
      <c r="U385" s="391"/>
      <c r="V385" s="390"/>
      <c r="W385" s="391"/>
      <c r="X385" s="390"/>
      <c r="Y385" s="391"/>
      <c r="Z385" s="390"/>
      <c r="AA385" s="391"/>
      <c r="AB385" s="390"/>
      <c r="AC385" s="391"/>
      <c r="AD385" s="390"/>
      <c r="AE385" s="391"/>
      <c r="AF385" s="390"/>
      <c r="AG385" s="391"/>
      <c r="AH385" s="390"/>
      <c r="AI385" s="391"/>
      <c r="AJ385" s="390"/>
      <c r="AK385" s="391"/>
      <c r="AL385" s="390"/>
      <c r="AM385" s="391"/>
      <c r="AN385" s="390"/>
      <c r="AO385" s="391"/>
    </row>
    <row r="386" spans="1:41" s="53" customFormat="1">
      <c r="A386" s="249" t="s">
        <v>360</v>
      </c>
      <c r="B386" s="250" t="s">
        <v>362</v>
      </c>
      <c r="C386" s="457"/>
      <c r="D386" s="458">
        <v>218663</v>
      </c>
      <c r="E386" s="459">
        <v>1</v>
      </c>
      <c r="F386" s="390">
        <v>12688</v>
      </c>
      <c r="G386" s="391">
        <v>12688</v>
      </c>
      <c r="H386" s="390">
        <v>33928</v>
      </c>
      <c r="I386" s="391">
        <v>33928</v>
      </c>
      <c r="J386" s="390">
        <v>14132</v>
      </c>
      <c r="K386" s="391">
        <v>14134</v>
      </c>
      <c r="L386" s="390">
        <v>30160</v>
      </c>
      <c r="M386" s="391">
        <v>30160</v>
      </c>
      <c r="N386" s="390">
        <v>21472</v>
      </c>
      <c r="O386" s="391">
        <v>21472</v>
      </c>
      <c r="P386" s="390">
        <v>52480</v>
      </c>
      <c r="Q386" s="391">
        <v>52480</v>
      </c>
      <c r="R386" s="390">
        <v>43488</v>
      </c>
      <c r="S386" s="391">
        <v>43488</v>
      </c>
      <c r="T386" s="390">
        <v>87750</v>
      </c>
      <c r="U386" s="391">
        <v>87750</v>
      </c>
      <c r="V386" s="390"/>
      <c r="W386" s="391"/>
      <c r="X386" s="390"/>
      <c r="Y386" s="391"/>
      <c r="Z386" s="390">
        <v>24130</v>
      </c>
      <c r="AA386" s="391">
        <v>24130</v>
      </c>
      <c r="AB386" s="390">
        <v>36424</v>
      </c>
      <c r="AC386" s="391">
        <v>36424</v>
      </c>
      <c r="AD386" s="390"/>
      <c r="AE386" s="391"/>
      <c r="AF386" s="390"/>
      <c r="AG386" s="391"/>
      <c r="AH386" s="390"/>
      <c r="AI386" s="391"/>
      <c r="AJ386" s="390"/>
      <c r="AK386" s="391"/>
      <c r="AL386" s="390"/>
      <c r="AM386" s="391"/>
      <c r="AN386" s="390"/>
      <c r="AO386" s="391"/>
    </row>
    <row r="387" spans="1:41" s="53" customFormat="1">
      <c r="A387" s="249" t="s">
        <v>360</v>
      </c>
      <c r="B387" s="250" t="s">
        <v>363</v>
      </c>
      <c r="C387" s="457"/>
      <c r="D387" s="458">
        <v>217819</v>
      </c>
      <c r="E387" s="459">
        <v>3</v>
      </c>
      <c r="F387" s="390">
        <v>12518</v>
      </c>
      <c r="G387" s="391">
        <v>12518</v>
      </c>
      <c r="H387" s="390">
        <v>32848</v>
      </c>
      <c r="I387" s="391">
        <v>33978</v>
      </c>
      <c r="J387" s="390">
        <v>13770</v>
      </c>
      <c r="K387" s="391">
        <v>13770</v>
      </c>
      <c r="L387" s="390">
        <v>36132</v>
      </c>
      <c r="M387" s="391">
        <v>37376</v>
      </c>
      <c r="N387" s="390"/>
      <c r="O387" s="391"/>
      <c r="P387" s="390"/>
      <c r="Q387" s="391"/>
      <c r="R387" s="390"/>
      <c r="S387" s="391"/>
      <c r="T387" s="390"/>
      <c r="U387" s="391"/>
      <c r="V387" s="390"/>
      <c r="W387" s="391"/>
      <c r="X387" s="390"/>
      <c r="Y387" s="391"/>
      <c r="Z387" s="390"/>
      <c r="AA387" s="391"/>
      <c r="AB387" s="390"/>
      <c r="AC387" s="391"/>
      <c r="AD387" s="390"/>
      <c r="AE387" s="391"/>
      <c r="AF387" s="390"/>
      <c r="AG387" s="391"/>
      <c r="AH387" s="390"/>
      <c r="AI387" s="391"/>
      <c r="AJ387" s="390"/>
      <c r="AK387" s="391"/>
      <c r="AL387" s="390"/>
      <c r="AM387" s="391"/>
      <c r="AN387" s="390"/>
      <c r="AO387" s="391"/>
    </row>
    <row r="388" spans="1:41" s="53" customFormat="1">
      <c r="A388" s="249" t="s">
        <v>360</v>
      </c>
      <c r="B388" s="250" t="s">
        <v>364</v>
      </c>
      <c r="C388" s="460"/>
      <c r="D388" s="458">
        <v>217864</v>
      </c>
      <c r="E388" s="459">
        <v>3</v>
      </c>
      <c r="F388" s="390">
        <v>13140</v>
      </c>
      <c r="G388" s="391">
        <v>13140</v>
      </c>
      <c r="H388" s="390">
        <v>36396</v>
      </c>
      <c r="I388" s="391">
        <v>33978</v>
      </c>
      <c r="J388" s="390">
        <v>10890</v>
      </c>
      <c r="K388" s="391">
        <v>10890</v>
      </c>
      <c r="L388" s="390">
        <v>18540</v>
      </c>
      <c r="M388" s="391">
        <v>18540</v>
      </c>
      <c r="N388" s="390"/>
      <c r="O388" s="391"/>
      <c r="P388" s="390"/>
      <c r="Q388" s="391"/>
      <c r="R388" s="390"/>
      <c r="S388" s="391"/>
      <c r="T388" s="390"/>
      <c r="U388" s="391"/>
      <c r="V388" s="390"/>
      <c r="W388" s="391"/>
      <c r="X388" s="390"/>
      <c r="Y388" s="391"/>
      <c r="Z388" s="390"/>
      <c r="AA388" s="391"/>
      <c r="AB388" s="390"/>
      <c r="AC388" s="391"/>
      <c r="AD388" s="390"/>
      <c r="AE388" s="391"/>
      <c r="AF388" s="390"/>
      <c r="AG388" s="391"/>
      <c r="AH388" s="390"/>
      <c r="AI388" s="391"/>
      <c r="AJ388" s="390"/>
      <c r="AK388" s="391"/>
      <c r="AL388" s="390"/>
      <c r="AM388" s="391"/>
      <c r="AN388" s="390"/>
      <c r="AO388" s="391"/>
    </row>
    <row r="389" spans="1:41" s="53" customFormat="1">
      <c r="A389" s="249" t="s">
        <v>360</v>
      </c>
      <c r="B389" s="250" t="s">
        <v>365</v>
      </c>
      <c r="C389" s="457"/>
      <c r="D389" s="458">
        <v>218964</v>
      </c>
      <c r="E389" s="459">
        <v>3</v>
      </c>
      <c r="F389" s="390">
        <v>15306</v>
      </c>
      <c r="G389" s="391">
        <v>15306</v>
      </c>
      <c r="H389" s="390">
        <v>29636</v>
      </c>
      <c r="I389" s="391">
        <v>29636</v>
      </c>
      <c r="J389" s="390">
        <v>11538</v>
      </c>
      <c r="K389" s="391">
        <v>11604</v>
      </c>
      <c r="L389" s="390">
        <v>22212</v>
      </c>
      <c r="M389" s="391">
        <v>22352</v>
      </c>
      <c r="N389" s="390"/>
      <c r="O389" s="391"/>
      <c r="P389" s="390"/>
      <c r="Q389" s="391"/>
      <c r="R389" s="390"/>
      <c r="S389" s="391"/>
      <c r="T389" s="390"/>
      <c r="U389" s="391"/>
      <c r="V389" s="390"/>
      <c r="W389" s="391"/>
      <c r="X389" s="390"/>
      <c r="Y389" s="391"/>
      <c r="Z389" s="390"/>
      <c r="AA389" s="391"/>
      <c r="AB389" s="390"/>
      <c r="AC389" s="391"/>
      <c r="AD389" s="390"/>
      <c r="AE389" s="391"/>
      <c r="AF389" s="390"/>
      <c r="AG389" s="391"/>
      <c r="AH389" s="390"/>
      <c r="AI389" s="391"/>
      <c r="AJ389" s="390"/>
      <c r="AK389" s="391"/>
      <c r="AL389" s="390"/>
      <c r="AM389" s="391"/>
      <c r="AN389" s="390"/>
      <c r="AO389" s="391"/>
    </row>
    <row r="390" spans="1:41" s="179" customFormat="1" ht="15" customHeight="1">
      <c r="A390" s="249" t="s">
        <v>360</v>
      </c>
      <c r="B390" s="250" t="s">
        <v>366</v>
      </c>
      <c r="C390" s="484"/>
      <c r="D390" s="458">
        <v>218724</v>
      </c>
      <c r="E390" s="459">
        <v>4</v>
      </c>
      <c r="F390" s="390">
        <v>11640</v>
      </c>
      <c r="G390" s="391">
        <v>11640</v>
      </c>
      <c r="H390" s="390">
        <v>27394</v>
      </c>
      <c r="I390" s="391">
        <v>27394</v>
      </c>
      <c r="J390" s="390">
        <v>10764</v>
      </c>
      <c r="K390" s="391">
        <v>10764</v>
      </c>
      <c r="L390" s="390">
        <v>19836</v>
      </c>
      <c r="M390" s="391">
        <v>19836</v>
      </c>
      <c r="N390" s="390"/>
      <c r="O390" s="391"/>
      <c r="P390" s="390"/>
      <c r="Q390" s="391"/>
      <c r="R390" s="390"/>
      <c r="S390" s="391"/>
      <c r="T390" s="390"/>
      <c r="U390" s="391"/>
      <c r="V390" s="390"/>
      <c r="W390" s="391"/>
      <c r="X390" s="390"/>
      <c r="Y390" s="391"/>
      <c r="Z390" s="390"/>
      <c r="AA390" s="391"/>
      <c r="AB390" s="390"/>
      <c r="AC390" s="391"/>
      <c r="AD390" s="390"/>
      <c r="AE390" s="391"/>
      <c r="AF390" s="390"/>
      <c r="AG390" s="391"/>
      <c r="AH390" s="390"/>
      <c r="AI390" s="391"/>
      <c r="AJ390" s="390"/>
      <c r="AK390" s="391"/>
      <c r="AL390" s="390"/>
      <c r="AM390" s="391"/>
      <c r="AN390" s="390"/>
      <c r="AO390" s="391"/>
    </row>
    <row r="391" spans="1:41" s="179" customFormat="1" ht="15" customHeight="1">
      <c r="A391" s="249" t="s">
        <v>360</v>
      </c>
      <c r="B391" s="250" t="s">
        <v>367</v>
      </c>
      <c r="C391" s="485"/>
      <c r="D391" s="458">
        <v>218061</v>
      </c>
      <c r="E391" s="459">
        <v>5</v>
      </c>
      <c r="F391" s="390">
        <v>11160</v>
      </c>
      <c r="G391" s="391">
        <v>11160</v>
      </c>
      <c r="H391" s="390">
        <v>21544</v>
      </c>
      <c r="I391" s="391">
        <v>21544</v>
      </c>
      <c r="J391" s="390">
        <v>11388</v>
      </c>
      <c r="K391" s="391">
        <v>11388</v>
      </c>
      <c r="L391" s="390">
        <v>22000</v>
      </c>
      <c r="M391" s="391">
        <v>22000</v>
      </c>
      <c r="N391" s="390"/>
      <c r="O391" s="391"/>
      <c r="P391" s="390"/>
      <c r="Q391" s="391"/>
      <c r="R391" s="390"/>
      <c r="S391" s="391"/>
      <c r="T391" s="390"/>
      <c r="U391" s="391"/>
      <c r="V391" s="390"/>
      <c r="W391" s="391"/>
      <c r="X391" s="390"/>
      <c r="Y391" s="391"/>
      <c r="Z391" s="390"/>
      <c r="AA391" s="391"/>
      <c r="AB391" s="390"/>
      <c r="AC391" s="391"/>
      <c r="AD391" s="390"/>
      <c r="AE391" s="391"/>
      <c r="AF391" s="390"/>
      <c r="AG391" s="391"/>
      <c r="AH391" s="390"/>
      <c r="AI391" s="391"/>
      <c r="AJ391" s="390"/>
      <c r="AK391" s="391"/>
      <c r="AL391" s="390"/>
      <c r="AM391" s="391"/>
      <c r="AN391" s="390"/>
      <c r="AO391" s="391"/>
    </row>
    <row r="392" spans="1:41" s="179" customFormat="1" ht="15" customHeight="1">
      <c r="A392" s="249" t="s">
        <v>360</v>
      </c>
      <c r="B392" s="250" t="s">
        <v>368</v>
      </c>
      <c r="C392" s="485"/>
      <c r="D392" s="458">
        <v>218733</v>
      </c>
      <c r="E392" s="459">
        <v>5</v>
      </c>
      <c r="F392" s="390">
        <v>11060</v>
      </c>
      <c r="G392" s="391">
        <v>11060</v>
      </c>
      <c r="H392" s="390">
        <v>21750</v>
      </c>
      <c r="I392" s="391">
        <v>21750</v>
      </c>
      <c r="J392" s="390">
        <v>11460</v>
      </c>
      <c r="K392" s="391">
        <v>11460</v>
      </c>
      <c r="L392" s="390">
        <v>22570</v>
      </c>
      <c r="M392" s="391">
        <v>22570</v>
      </c>
      <c r="N392" s="390"/>
      <c r="O392" s="391"/>
      <c r="P392" s="390"/>
      <c r="Q392" s="391"/>
      <c r="R392" s="390"/>
      <c r="S392" s="391"/>
      <c r="T392" s="390"/>
      <c r="U392" s="391"/>
      <c r="V392" s="390"/>
      <c r="W392" s="391"/>
      <c r="X392" s="390"/>
      <c r="Y392" s="391"/>
      <c r="Z392" s="390"/>
      <c r="AA392" s="391"/>
      <c r="AB392" s="390"/>
      <c r="AC392" s="391"/>
      <c r="AD392" s="390"/>
      <c r="AE392" s="391"/>
      <c r="AF392" s="390"/>
      <c r="AG392" s="391"/>
      <c r="AH392" s="390"/>
      <c r="AI392" s="391"/>
      <c r="AJ392" s="390"/>
      <c r="AK392" s="391"/>
      <c r="AL392" s="390"/>
      <c r="AM392" s="391"/>
      <c r="AN392" s="390"/>
      <c r="AO392" s="391"/>
    </row>
    <row r="393" spans="1:41" s="179" customFormat="1" ht="15" customHeight="1">
      <c r="A393" s="249" t="s">
        <v>360</v>
      </c>
      <c r="B393" s="250" t="s">
        <v>369</v>
      </c>
      <c r="C393" s="486" t="s">
        <v>1012</v>
      </c>
      <c r="D393" s="458">
        <v>218229</v>
      </c>
      <c r="E393" s="459">
        <v>6</v>
      </c>
      <c r="F393" s="390">
        <v>11700</v>
      </c>
      <c r="G393" s="391">
        <v>11700</v>
      </c>
      <c r="H393" s="390">
        <v>21300</v>
      </c>
      <c r="I393" s="391">
        <v>21300</v>
      </c>
      <c r="J393" s="390">
        <v>9856</v>
      </c>
      <c r="K393" s="391">
        <v>9810</v>
      </c>
      <c r="L393" s="390">
        <v>17884</v>
      </c>
      <c r="M393" s="391">
        <v>9810</v>
      </c>
      <c r="N393" s="390"/>
      <c r="O393" s="391"/>
      <c r="P393" s="390"/>
      <c r="Q393" s="391"/>
      <c r="R393" s="390"/>
      <c r="S393" s="391"/>
      <c r="T393" s="390"/>
      <c r="U393" s="391"/>
      <c r="V393" s="390"/>
      <c r="W393" s="391"/>
      <c r="X393" s="390"/>
      <c r="Y393" s="391"/>
      <c r="Z393" s="390"/>
      <c r="AA393" s="391"/>
      <c r="AB393" s="390"/>
      <c r="AC393" s="391"/>
      <c r="AD393" s="390"/>
      <c r="AE393" s="391"/>
      <c r="AF393" s="390"/>
      <c r="AG393" s="391"/>
      <c r="AH393" s="390"/>
      <c r="AI393" s="391"/>
      <c r="AJ393" s="390"/>
      <c r="AK393" s="391"/>
      <c r="AL393" s="390"/>
      <c r="AM393" s="391"/>
      <c r="AN393" s="390"/>
      <c r="AO393" s="391"/>
    </row>
    <row r="394" spans="1:41" s="179" customFormat="1" ht="15" customHeight="1">
      <c r="A394" s="249" t="s">
        <v>360</v>
      </c>
      <c r="B394" s="250" t="s">
        <v>370</v>
      </c>
      <c r="C394" s="487" t="s">
        <v>1013</v>
      </c>
      <c r="D394" s="488">
        <v>218645</v>
      </c>
      <c r="E394" s="489">
        <v>5</v>
      </c>
      <c r="F394" s="390">
        <v>10710</v>
      </c>
      <c r="G394" s="391">
        <v>10710</v>
      </c>
      <c r="H394" s="390">
        <v>21168</v>
      </c>
      <c r="I394" s="391">
        <v>21168</v>
      </c>
      <c r="J394" s="390">
        <v>14132</v>
      </c>
      <c r="K394" s="391">
        <v>14134</v>
      </c>
      <c r="L394" s="390">
        <v>30160</v>
      </c>
      <c r="M394" s="391">
        <v>30160</v>
      </c>
      <c r="N394" s="390"/>
      <c r="O394" s="391"/>
      <c r="P394" s="390"/>
      <c r="Q394" s="391"/>
      <c r="R394" s="390"/>
      <c r="S394" s="391"/>
      <c r="T394" s="390"/>
      <c r="U394" s="391"/>
      <c r="V394" s="390"/>
      <c r="W394" s="391"/>
      <c r="X394" s="390"/>
      <c r="Y394" s="391"/>
      <c r="Z394" s="390"/>
      <c r="AA394" s="391"/>
      <c r="AB394" s="390"/>
      <c r="AC394" s="391"/>
      <c r="AD394" s="390"/>
      <c r="AE394" s="391"/>
      <c r="AF394" s="390"/>
      <c r="AG394" s="391"/>
      <c r="AH394" s="390"/>
      <c r="AI394" s="391"/>
      <c r="AJ394" s="390"/>
      <c r="AK394" s="391"/>
      <c r="AL394" s="390"/>
      <c r="AM394" s="391"/>
      <c r="AN394" s="390"/>
      <c r="AO394" s="391"/>
    </row>
    <row r="395" spans="1:41" s="179" customFormat="1" ht="15" customHeight="1">
      <c r="A395" s="249" t="s">
        <v>360</v>
      </c>
      <c r="B395" s="250" t="s">
        <v>371</v>
      </c>
      <c r="C395" s="379"/>
      <c r="D395" s="458">
        <v>218654</v>
      </c>
      <c r="E395" s="459">
        <v>6</v>
      </c>
      <c r="F395" s="390">
        <v>10680</v>
      </c>
      <c r="G395" s="391">
        <v>10680</v>
      </c>
      <c r="H395" s="390">
        <v>21726</v>
      </c>
      <c r="I395" s="391">
        <v>21726</v>
      </c>
      <c r="J395" s="390"/>
      <c r="K395" s="391"/>
      <c r="L395" s="390"/>
      <c r="M395" s="391"/>
      <c r="N395" s="390"/>
      <c r="O395" s="391"/>
      <c r="P395" s="390"/>
      <c r="Q395" s="391"/>
      <c r="R395" s="390"/>
      <c r="S395" s="391"/>
      <c r="T395" s="390"/>
      <c r="U395" s="391"/>
      <c r="V395" s="390"/>
      <c r="W395" s="391"/>
      <c r="X395" s="390"/>
      <c r="Y395" s="391"/>
      <c r="Z395" s="390"/>
      <c r="AA395" s="391"/>
      <c r="AB395" s="390"/>
      <c r="AC395" s="391"/>
      <c r="AD395" s="390"/>
      <c r="AE395" s="391"/>
      <c r="AF395" s="390"/>
      <c r="AG395" s="391"/>
      <c r="AH395" s="390"/>
      <c r="AI395" s="391"/>
      <c r="AJ395" s="390"/>
      <c r="AK395" s="391"/>
      <c r="AL395" s="390"/>
      <c r="AM395" s="391"/>
      <c r="AN395" s="390"/>
      <c r="AO395" s="391"/>
    </row>
    <row r="396" spans="1:41" s="179" customFormat="1" ht="15" customHeight="1">
      <c r="A396" s="249" t="s">
        <v>360</v>
      </c>
      <c r="B396" s="250" t="s">
        <v>372</v>
      </c>
      <c r="C396" s="486" t="s">
        <v>1012</v>
      </c>
      <c r="D396" s="458">
        <v>218742</v>
      </c>
      <c r="E396" s="459">
        <v>6</v>
      </c>
      <c r="F396" s="390">
        <v>11488</v>
      </c>
      <c r="G396" s="391">
        <v>11488</v>
      </c>
      <c r="H396" s="390">
        <v>22990</v>
      </c>
      <c r="I396" s="391">
        <v>22990</v>
      </c>
      <c r="J396" s="390">
        <v>14132</v>
      </c>
      <c r="K396" s="391">
        <v>14134</v>
      </c>
      <c r="L396" s="390">
        <v>30160</v>
      </c>
      <c r="M396" s="391">
        <v>30160</v>
      </c>
      <c r="N396" s="390"/>
      <c r="O396" s="391"/>
      <c r="P396" s="390"/>
      <c r="Q396" s="391"/>
      <c r="R396" s="390"/>
      <c r="S396" s="391"/>
      <c r="T396" s="390"/>
      <c r="U396" s="391"/>
      <c r="V396" s="390"/>
      <c r="W396" s="391"/>
      <c r="X396" s="390"/>
      <c r="Y396" s="391"/>
      <c r="Z396" s="390"/>
      <c r="AA396" s="391"/>
      <c r="AB396" s="390"/>
      <c r="AC396" s="391"/>
      <c r="AD396" s="390"/>
      <c r="AE396" s="391"/>
      <c r="AF396" s="390"/>
      <c r="AG396" s="391"/>
      <c r="AH396" s="390"/>
      <c r="AI396" s="391"/>
      <c r="AJ396" s="390"/>
      <c r="AK396" s="391"/>
      <c r="AL396" s="390"/>
      <c r="AM396" s="391"/>
      <c r="AN396" s="390"/>
      <c r="AO396" s="391"/>
    </row>
    <row r="397" spans="1:41" s="179" customFormat="1" ht="15" hidden="1" customHeight="1">
      <c r="A397" s="249" t="s">
        <v>360</v>
      </c>
      <c r="B397" s="250" t="s">
        <v>374</v>
      </c>
      <c r="C397" s="485"/>
      <c r="D397" s="458">
        <v>218113</v>
      </c>
      <c r="E397" s="459">
        <v>8</v>
      </c>
      <c r="F397" s="390">
        <v>5930</v>
      </c>
      <c r="G397" s="391">
        <v>5930</v>
      </c>
      <c r="H397" s="390">
        <v>11720</v>
      </c>
      <c r="I397" s="391">
        <v>11720</v>
      </c>
      <c r="J397" s="390"/>
      <c r="K397" s="391"/>
      <c r="L397" s="390"/>
      <c r="M397" s="391"/>
      <c r="N397" s="390"/>
      <c r="O397" s="391"/>
      <c r="P397" s="390"/>
      <c r="Q397" s="391"/>
      <c r="R397" s="390"/>
      <c r="S397" s="391"/>
      <c r="T397" s="390"/>
      <c r="U397" s="391"/>
      <c r="V397" s="390"/>
      <c r="W397" s="391"/>
      <c r="X397" s="390"/>
      <c r="Y397" s="391"/>
      <c r="Z397" s="390"/>
      <c r="AA397" s="391"/>
      <c r="AB397" s="390"/>
      <c r="AC397" s="391"/>
      <c r="AD397" s="390"/>
      <c r="AE397" s="391"/>
      <c r="AF397" s="390"/>
      <c r="AG397" s="391"/>
      <c r="AH397" s="390"/>
      <c r="AI397" s="391"/>
      <c r="AJ397" s="390"/>
      <c r="AK397" s="391"/>
      <c r="AL397" s="390"/>
      <c r="AM397" s="391"/>
      <c r="AN397" s="390"/>
      <c r="AO397" s="391"/>
    </row>
    <row r="398" spans="1:41" s="179" customFormat="1" ht="15" hidden="1" customHeight="1">
      <c r="A398" s="249" t="s">
        <v>360</v>
      </c>
      <c r="B398" s="250" t="s">
        <v>375</v>
      </c>
      <c r="C398" s="486" t="s">
        <v>1014</v>
      </c>
      <c r="D398" s="458">
        <v>218140</v>
      </c>
      <c r="E398" s="459">
        <v>8</v>
      </c>
      <c r="F398" s="390">
        <v>5398</v>
      </c>
      <c r="G398" s="391">
        <v>5398</v>
      </c>
      <c r="H398" s="390">
        <v>10708</v>
      </c>
      <c r="I398" s="391">
        <v>10708</v>
      </c>
      <c r="J398" s="390"/>
      <c r="K398" s="391"/>
      <c r="L398" s="390"/>
      <c r="M398" s="391"/>
      <c r="N398" s="390"/>
      <c r="O398" s="391"/>
      <c r="P398" s="390"/>
      <c r="Q398" s="391"/>
      <c r="R398" s="390"/>
      <c r="S398" s="391"/>
      <c r="T398" s="390"/>
      <c r="U398" s="391"/>
      <c r="V398" s="390"/>
      <c r="W398" s="391"/>
      <c r="X398" s="390"/>
      <c r="Y398" s="391"/>
      <c r="Z398" s="390"/>
      <c r="AA398" s="391"/>
      <c r="AB398" s="390"/>
      <c r="AC398" s="391"/>
      <c r="AD398" s="390"/>
      <c r="AE398" s="391"/>
      <c r="AF398" s="390"/>
      <c r="AG398" s="391"/>
      <c r="AH398" s="390"/>
      <c r="AI398" s="391"/>
      <c r="AJ398" s="390"/>
      <c r="AK398" s="391"/>
      <c r="AL398" s="390"/>
      <c r="AM398" s="391"/>
      <c r="AN398" s="390"/>
      <c r="AO398" s="391"/>
    </row>
    <row r="399" spans="1:41" s="179" customFormat="1" ht="15" hidden="1" customHeight="1">
      <c r="A399" s="249" t="s">
        <v>360</v>
      </c>
      <c r="B399" s="250" t="s">
        <v>376</v>
      </c>
      <c r="C399" s="486"/>
      <c r="D399" s="458">
        <v>218353</v>
      </c>
      <c r="E399" s="459">
        <v>8</v>
      </c>
      <c r="F399" s="390">
        <v>5916</v>
      </c>
      <c r="G399" s="391">
        <v>5916</v>
      </c>
      <c r="H399" s="390">
        <v>17196</v>
      </c>
      <c r="I399" s="391">
        <v>17196</v>
      </c>
      <c r="J399" s="390"/>
      <c r="K399" s="391"/>
      <c r="L399" s="390"/>
      <c r="M399" s="391"/>
      <c r="N399" s="390"/>
      <c r="O399" s="391"/>
      <c r="P399" s="390"/>
      <c r="Q399" s="391"/>
      <c r="R399" s="390"/>
      <c r="S399" s="391"/>
      <c r="T399" s="390"/>
      <c r="U399" s="391"/>
      <c r="V399" s="390"/>
      <c r="W399" s="391"/>
      <c r="X399" s="390"/>
      <c r="Y399" s="391"/>
      <c r="Z399" s="390"/>
      <c r="AA399" s="391"/>
      <c r="AB399" s="390"/>
      <c r="AC399" s="391"/>
      <c r="AD399" s="390"/>
      <c r="AE399" s="391"/>
      <c r="AF399" s="390"/>
      <c r="AG399" s="391"/>
      <c r="AH399" s="390"/>
      <c r="AI399" s="391"/>
      <c r="AJ399" s="390"/>
      <c r="AK399" s="391"/>
      <c r="AL399" s="390"/>
      <c r="AM399" s="391"/>
      <c r="AN399" s="390"/>
      <c r="AO399" s="391"/>
    </row>
    <row r="400" spans="1:41" s="179" customFormat="1" ht="15" hidden="1" customHeight="1">
      <c r="A400" s="249" t="s">
        <v>360</v>
      </c>
      <c r="B400" s="250" t="s">
        <v>379</v>
      </c>
      <c r="C400" s="486"/>
      <c r="D400" s="458">
        <v>218894</v>
      </c>
      <c r="E400" s="459">
        <v>8</v>
      </c>
      <c r="F400" s="390">
        <v>5696</v>
      </c>
      <c r="G400" s="391">
        <v>5696</v>
      </c>
      <c r="H400" s="390">
        <v>10749</v>
      </c>
      <c r="I400" s="391">
        <v>10749</v>
      </c>
      <c r="J400" s="390"/>
      <c r="K400" s="391"/>
      <c r="L400" s="390"/>
      <c r="M400" s="391"/>
      <c r="N400" s="390"/>
      <c r="O400" s="391"/>
      <c r="P400" s="390"/>
      <c r="Q400" s="391"/>
      <c r="R400" s="390"/>
      <c r="S400" s="391"/>
      <c r="T400" s="390"/>
      <c r="U400" s="391"/>
      <c r="V400" s="390"/>
      <c r="W400" s="391"/>
      <c r="X400" s="390"/>
      <c r="Y400" s="391"/>
      <c r="Z400" s="390"/>
      <c r="AA400" s="391"/>
      <c r="AB400" s="390"/>
      <c r="AC400" s="391"/>
      <c r="AD400" s="390"/>
      <c r="AE400" s="391"/>
      <c r="AF400" s="390"/>
      <c r="AG400" s="391"/>
      <c r="AH400" s="390"/>
      <c r="AI400" s="391"/>
      <c r="AJ400" s="390"/>
      <c r="AK400" s="391"/>
      <c r="AL400" s="390"/>
      <c r="AM400" s="391"/>
      <c r="AN400" s="390"/>
      <c r="AO400" s="391"/>
    </row>
    <row r="401" spans="1:41" s="179" customFormat="1" ht="15" hidden="1" customHeight="1">
      <c r="A401" s="249" t="s">
        <v>360</v>
      </c>
      <c r="B401" s="250" t="s">
        <v>381</v>
      </c>
      <c r="C401" s="486" t="s">
        <v>1015</v>
      </c>
      <c r="D401" s="458">
        <v>218858</v>
      </c>
      <c r="E401" s="459">
        <v>9</v>
      </c>
      <c r="F401" s="390">
        <v>6120</v>
      </c>
      <c r="G401" s="391">
        <v>6120</v>
      </c>
      <c r="H401" s="390">
        <v>10230</v>
      </c>
      <c r="I401" s="391">
        <v>10230</v>
      </c>
      <c r="J401" s="390"/>
      <c r="K401" s="391"/>
      <c r="L401" s="390"/>
      <c r="M401" s="391"/>
      <c r="N401" s="390"/>
      <c r="O401" s="391"/>
      <c r="P401" s="390"/>
      <c r="Q401" s="391"/>
      <c r="R401" s="390"/>
      <c r="S401" s="391"/>
      <c r="T401" s="390"/>
      <c r="U401" s="391"/>
      <c r="V401" s="390"/>
      <c r="W401" s="391"/>
      <c r="X401" s="390"/>
      <c r="Y401" s="391"/>
      <c r="Z401" s="390"/>
      <c r="AA401" s="391"/>
      <c r="AB401" s="390"/>
      <c r="AC401" s="391"/>
      <c r="AD401" s="390"/>
      <c r="AE401" s="391"/>
      <c r="AF401" s="390"/>
      <c r="AG401" s="391"/>
      <c r="AH401" s="390"/>
      <c r="AI401" s="391"/>
      <c r="AJ401" s="390"/>
      <c r="AK401" s="391"/>
      <c r="AL401" s="390"/>
      <c r="AM401" s="391"/>
      <c r="AN401" s="390"/>
      <c r="AO401" s="391"/>
    </row>
    <row r="402" spans="1:41" s="179" customFormat="1" ht="15" hidden="1" customHeight="1">
      <c r="A402" s="249" t="s">
        <v>360</v>
      </c>
      <c r="B402" s="250" t="s">
        <v>373</v>
      </c>
      <c r="C402" s="484"/>
      <c r="D402" s="458">
        <v>218025</v>
      </c>
      <c r="E402" s="459">
        <v>9</v>
      </c>
      <c r="F402" s="390">
        <v>5720</v>
      </c>
      <c r="G402" s="391">
        <v>5720</v>
      </c>
      <c r="H402" s="390">
        <v>8390</v>
      </c>
      <c r="I402" s="391">
        <v>8390</v>
      </c>
      <c r="J402" s="390"/>
      <c r="K402" s="391"/>
      <c r="L402" s="390"/>
      <c r="M402" s="391"/>
      <c r="N402" s="390"/>
      <c r="O402" s="391"/>
      <c r="P402" s="390"/>
      <c r="Q402" s="391"/>
      <c r="R402" s="390"/>
      <c r="S402" s="391"/>
      <c r="T402" s="390"/>
      <c r="U402" s="391"/>
      <c r="V402" s="390"/>
      <c r="W402" s="391"/>
      <c r="X402" s="390"/>
      <c r="Y402" s="391"/>
      <c r="Z402" s="390"/>
      <c r="AA402" s="391"/>
      <c r="AB402" s="390"/>
      <c r="AC402" s="391"/>
      <c r="AD402" s="390"/>
      <c r="AE402" s="391"/>
      <c r="AF402" s="390"/>
      <c r="AG402" s="391"/>
      <c r="AH402" s="390"/>
      <c r="AI402" s="391"/>
      <c r="AJ402" s="390"/>
      <c r="AK402" s="391"/>
      <c r="AL402" s="390"/>
      <c r="AM402" s="391"/>
      <c r="AN402" s="390"/>
      <c r="AO402" s="391"/>
    </row>
    <row r="403" spans="1:41" s="179" customFormat="1" ht="15" hidden="1" customHeight="1">
      <c r="A403" s="249" t="s">
        <v>360</v>
      </c>
      <c r="B403" s="250" t="s">
        <v>377</v>
      </c>
      <c r="C403" s="484"/>
      <c r="D403" s="458">
        <v>218520</v>
      </c>
      <c r="E403" s="459">
        <v>9</v>
      </c>
      <c r="F403" s="390">
        <v>5687.5</v>
      </c>
      <c r="G403" s="391">
        <v>5688</v>
      </c>
      <c r="H403" s="390">
        <v>8245</v>
      </c>
      <c r="I403" s="391">
        <v>8245</v>
      </c>
      <c r="J403" s="390"/>
      <c r="K403" s="391"/>
      <c r="L403" s="390"/>
      <c r="M403" s="391"/>
      <c r="N403" s="390"/>
      <c r="O403" s="391"/>
      <c r="P403" s="390"/>
      <c r="Q403" s="391"/>
      <c r="R403" s="390"/>
      <c r="S403" s="391"/>
      <c r="T403" s="390"/>
      <c r="U403" s="391"/>
      <c r="V403" s="390"/>
      <c r="W403" s="391"/>
      <c r="X403" s="390"/>
      <c r="Y403" s="391"/>
      <c r="Z403" s="390"/>
      <c r="AA403" s="391"/>
      <c r="AB403" s="390"/>
      <c r="AC403" s="391"/>
      <c r="AD403" s="390"/>
      <c r="AE403" s="391"/>
      <c r="AF403" s="390"/>
      <c r="AG403" s="391"/>
      <c r="AH403" s="390"/>
      <c r="AI403" s="391"/>
      <c r="AJ403" s="390"/>
      <c r="AK403" s="391"/>
      <c r="AL403" s="390"/>
      <c r="AM403" s="391"/>
      <c r="AN403" s="390"/>
      <c r="AO403" s="391"/>
    </row>
    <row r="404" spans="1:41" s="179" customFormat="1" ht="15" hidden="1" customHeight="1">
      <c r="A404" s="249" t="s">
        <v>360</v>
      </c>
      <c r="B404" s="250" t="s">
        <v>383</v>
      </c>
      <c r="C404" s="485"/>
      <c r="D404" s="458">
        <v>218830</v>
      </c>
      <c r="E404" s="459">
        <v>9</v>
      </c>
      <c r="F404" s="390">
        <v>6090</v>
      </c>
      <c r="G404" s="391">
        <v>6090</v>
      </c>
      <c r="H404" s="390">
        <v>12240</v>
      </c>
      <c r="I404" s="391">
        <v>12240</v>
      </c>
      <c r="J404" s="390"/>
      <c r="K404" s="391"/>
      <c r="L404" s="390"/>
      <c r="M404" s="391"/>
      <c r="N404" s="390"/>
      <c r="O404" s="391"/>
      <c r="P404" s="390"/>
      <c r="Q404" s="391"/>
      <c r="R404" s="390"/>
      <c r="S404" s="391"/>
      <c r="T404" s="390"/>
      <c r="U404" s="391"/>
      <c r="V404" s="390"/>
      <c r="W404" s="391"/>
      <c r="X404" s="390"/>
      <c r="Y404" s="391"/>
      <c r="Z404" s="390"/>
      <c r="AA404" s="391"/>
      <c r="AB404" s="390"/>
      <c r="AC404" s="391"/>
      <c r="AD404" s="390"/>
      <c r="AE404" s="391"/>
      <c r="AF404" s="390"/>
      <c r="AG404" s="391"/>
      <c r="AH404" s="390"/>
      <c r="AI404" s="391"/>
      <c r="AJ404" s="390"/>
      <c r="AK404" s="391"/>
      <c r="AL404" s="390"/>
      <c r="AM404" s="391"/>
      <c r="AN404" s="390"/>
      <c r="AO404" s="391"/>
    </row>
    <row r="405" spans="1:41" s="179" customFormat="1" ht="15" hidden="1" customHeight="1">
      <c r="A405" s="249" t="s">
        <v>360</v>
      </c>
      <c r="B405" s="250" t="s">
        <v>378</v>
      </c>
      <c r="C405" s="484"/>
      <c r="D405" s="458">
        <v>218885</v>
      </c>
      <c r="E405" s="459">
        <v>9</v>
      </c>
      <c r="F405" s="390">
        <v>5560</v>
      </c>
      <c r="G405" s="391">
        <v>5560</v>
      </c>
      <c r="H405" s="390">
        <v>12760</v>
      </c>
      <c r="I405" s="391">
        <v>12880</v>
      </c>
      <c r="J405" s="390"/>
      <c r="K405" s="391"/>
      <c r="L405" s="390"/>
      <c r="M405" s="391"/>
      <c r="N405" s="390"/>
      <c r="O405" s="391"/>
      <c r="P405" s="390"/>
      <c r="Q405" s="391"/>
      <c r="R405" s="390"/>
      <c r="S405" s="391"/>
      <c r="T405" s="390"/>
      <c r="U405" s="391"/>
      <c r="V405" s="390"/>
      <c r="W405" s="391"/>
      <c r="X405" s="390"/>
      <c r="Y405" s="391"/>
      <c r="Z405" s="390"/>
      <c r="AA405" s="391"/>
      <c r="AB405" s="390"/>
      <c r="AC405" s="391"/>
      <c r="AD405" s="390"/>
      <c r="AE405" s="391"/>
      <c r="AF405" s="390"/>
      <c r="AG405" s="391"/>
      <c r="AH405" s="390"/>
      <c r="AI405" s="391"/>
      <c r="AJ405" s="390"/>
      <c r="AK405" s="391"/>
      <c r="AL405" s="390"/>
      <c r="AM405" s="391"/>
      <c r="AN405" s="390"/>
      <c r="AO405" s="391"/>
    </row>
    <row r="406" spans="1:41" s="179" customFormat="1" ht="15" hidden="1" customHeight="1">
      <c r="A406" s="249" t="s">
        <v>360</v>
      </c>
      <c r="B406" s="250" t="s">
        <v>384</v>
      </c>
      <c r="C406" s="485"/>
      <c r="D406" s="458">
        <v>218991</v>
      </c>
      <c r="E406" s="459">
        <v>9</v>
      </c>
      <c r="F406" s="390">
        <v>5690</v>
      </c>
      <c r="G406" s="391">
        <v>5690</v>
      </c>
      <c r="H406" s="390">
        <v>12320</v>
      </c>
      <c r="I406" s="391">
        <v>12320</v>
      </c>
      <c r="J406" s="390"/>
      <c r="K406" s="391"/>
      <c r="L406" s="390"/>
      <c r="M406" s="391"/>
      <c r="N406" s="390"/>
      <c r="O406" s="391"/>
      <c r="P406" s="390"/>
      <c r="Q406" s="391"/>
      <c r="R406" s="390"/>
      <c r="S406" s="391"/>
      <c r="T406" s="390"/>
      <c r="U406" s="391"/>
      <c r="V406" s="390"/>
      <c r="W406" s="391"/>
      <c r="X406" s="390"/>
      <c r="Y406" s="391"/>
      <c r="Z406" s="390"/>
      <c r="AA406" s="391"/>
      <c r="AB406" s="390"/>
      <c r="AC406" s="391"/>
      <c r="AD406" s="390"/>
      <c r="AE406" s="391"/>
      <c r="AF406" s="390"/>
      <c r="AG406" s="391"/>
      <c r="AH406" s="390"/>
      <c r="AI406" s="391"/>
      <c r="AJ406" s="390"/>
      <c r="AK406" s="391"/>
      <c r="AL406" s="390"/>
      <c r="AM406" s="391"/>
      <c r="AN406" s="390"/>
      <c r="AO406" s="391"/>
    </row>
    <row r="407" spans="1:41" s="179" customFormat="1" ht="15" hidden="1" customHeight="1">
      <c r="A407" s="249" t="s">
        <v>360</v>
      </c>
      <c r="B407" s="250" t="s">
        <v>380</v>
      </c>
      <c r="C407" s="484"/>
      <c r="D407" s="458">
        <v>217615</v>
      </c>
      <c r="E407" s="459">
        <v>10</v>
      </c>
      <c r="F407" s="390">
        <v>6060</v>
      </c>
      <c r="G407" s="391">
        <v>6060</v>
      </c>
      <c r="H407" s="390">
        <v>8482</v>
      </c>
      <c r="I407" s="391">
        <v>8482</v>
      </c>
      <c r="J407" s="390"/>
      <c r="K407" s="391"/>
      <c r="L407" s="390"/>
      <c r="M407" s="391"/>
      <c r="N407" s="390"/>
      <c r="O407" s="391"/>
      <c r="P407" s="390"/>
      <c r="Q407" s="391"/>
      <c r="R407" s="390"/>
      <c r="S407" s="391"/>
      <c r="T407" s="390"/>
      <c r="U407" s="391"/>
      <c r="V407" s="390"/>
      <c r="W407" s="391"/>
      <c r="X407" s="390"/>
      <c r="Y407" s="391"/>
      <c r="Z407" s="390"/>
      <c r="AA407" s="391"/>
      <c r="AB407" s="390"/>
      <c r="AC407" s="391"/>
      <c r="AD407" s="390"/>
      <c r="AE407" s="391"/>
      <c r="AF407" s="390"/>
      <c r="AG407" s="391"/>
      <c r="AH407" s="390"/>
      <c r="AI407" s="391"/>
      <c r="AJ407" s="390"/>
      <c r="AK407" s="391"/>
      <c r="AL407" s="390"/>
      <c r="AM407" s="391"/>
      <c r="AN407" s="390"/>
      <c r="AO407" s="391"/>
    </row>
    <row r="408" spans="1:41" s="53" customFormat="1" hidden="1">
      <c r="A408" s="249" t="s">
        <v>360</v>
      </c>
      <c r="B408" s="250" t="s">
        <v>385</v>
      </c>
      <c r="C408" s="457"/>
      <c r="D408" s="458">
        <v>217989</v>
      </c>
      <c r="E408" s="459">
        <v>10</v>
      </c>
      <c r="F408" s="390">
        <v>5947.5</v>
      </c>
      <c r="G408" s="391">
        <v>6166</v>
      </c>
      <c r="H408" s="390">
        <v>11355</v>
      </c>
      <c r="I408" s="391">
        <v>11792</v>
      </c>
      <c r="J408" s="390"/>
      <c r="K408" s="391"/>
      <c r="L408" s="390"/>
      <c r="M408" s="391"/>
      <c r="N408" s="390"/>
      <c r="O408" s="391"/>
      <c r="P408" s="390"/>
      <c r="Q408" s="391"/>
      <c r="R408" s="390"/>
      <c r="S408" s="391"/>
      <c r="T408" s="390"/>
      <c r="U408" s="391"/>
      <c r="V408" s="390"/>
      <c r="W408" s="391"/>
      <c r="X408" s="390"/>
      <c r="Y408" s="391"/>
      <c r="Z408" s="390"/>
      <c r="AA408" s="391"/>
      <c r="AB408" s="390"/>
      <c r="AC408" s="391"/>
      <c r="AD408" s="390"/>
      <c r="AE408" s="391"/>
      <c r="AF408" s="390"/>
      <c r="AG408" s="391"/>
      <c r="AH408" s="390"/>
      <c r="AI408" s="391"/>
      <c r="AJ408" s="390"/>
      <c r="AK408" s="391"/>
      <c r="AL408" s="390"/>
      <c r="AM408" s="391"/>
      <c r="AN408" s="390"/>
      <c r="AO408" s="391"/>
    </row>
    <row r="409" spans="1:41" s="53" customFormat="1" hidden="1">
      <c r="A409" s="249" t="s">
        <v>360</v>
      </c>
      <c r="B409" s="250" t="s">
        <v>386</v>
      </c>
      <c r="C409" s="457"/>
      <c r="D409" s="458">
        <v>217837</v>
      </c>
      <c r="E409" s="459">
        <v>10</v>
      </c>
      <c r="F409" s="390">
        <v>6120</v>
      </c>
      <c r="G409" s="391">
        <v>6120</v>
      </c>
      <c r="H409" s="390">
        <v>9840</v>
      </c>
      <c r="I409" s="391">
        <v>9840</v>
      </c>
      <c r="J409" s="390"/>
      <c r="K409" s="391"/>
      <c r="L409" s="390"/>
      <c r="M409" s="391"/>
      <c r="N409" s="390"/>
      <c r="O409" s="391"/>
      <c r="P409" s="390"/>
      <c r="Q409" s="391"/>
      <c r="R409" s="390"/>
      <c r="S409" s="391"/>
      <c r="T409" s="390"/>
      <c r="U409" s="391"/>
      <c r="V409" s="390"/>
      <c r="W409" s="391"/>
      <c r="X409" s="390"/>
      <c r="Y409" s="391"/>
      <c r="Z409" s="390"/>
      <c r="AA409" s="391"/>
      <c r="AB409" s="390"/>
      <c r="AC409" s="391"/>
      <c r="AD409" s="390"/>
      <c r="AE409" s="391"/>
      <c r="AF409" s="390"/>
      <c r="AG409" s="391"/>
      <c r="AH409" s="390"/>
      <c r="AI409" s="391"/>
      <c r="AJ409" s="390"/>
      <c r="AK409" s="391"/>
      <c r="AL409" s="390"/>
      <c r="AM409" s="391"/>
      <c r="AN409" s="390"/>
      <c r="AO409" s="391"/>
    </row>
    <row r="410" spans="1:41" s="179" customFormat="1" ht="15" hidden="1" customHeight="1">
      <c r="A410" s="249" t="s">
        <v>360</v>
      </c>
      <c r="B410" s="250" t="s">
        <v>382</v>
      </c>
      <c r="C410" s="484"/>
      <c r="D410" s="458">
        <v>218487</v>
      </c>
      <c r="E410" s="459">
        <v>10</v>
      </c>
      <c r="F410" s="390">
        <v>5900</v>
      </c>
      <c r="G410" s="391">
        <v>5900</v>
      </c>
      <c r="H410" s="390">
        <v>9350</v>
      </c>
      <c r="I410" s="391">
        <v>9350</v>
      </c>
      <c r="J410" s="390"/>
      <c r="K410" s="391"/>
      <c r="L410" s="390"/>
      <c r="M410" s="391"/>
      <c r="N410" s="390"/>
      <c r="O410" s="391"/>
      <c r="P410" s="390"/>
      <c r="Q410" s="391"/>
      <c r="R410" s="390"/>
      <c r="S410" s="391"/>
      <c r="T410" s="390"/>
      <c r="U410" s="391"/>
      <c r="V410" s="390"/>
      <c r="W410" s="391"/>
      <c r="X410" s="390"/>
      <c r="Y410" s="391"/>
      <c r="Z410" s="390"/>
      <c r="AA410" s="391"/>
      <c r="AB410" s="390"/>
      <c r="AC410" s="391"/>
      <c r="AD410" s="390"/>
      <c r="AE410" s="391"/>
      <c r="AF410" s="390"/>
      <c r="AG410" s="391"/>
      <c r="AH410" s="390"/>
      <c r="AI410" s="391"/>
      <c r="AJ410" s="390"/>
      <c r="AK410" s="391"/>
      <c r="AL410" s="390"/>
      <c r="AM410" s="391"/>
      <c r="AN410" s="390"/>
      <c r="AO410" s="391"/>
    </row>
    <row r="411" spans="1:41" s="53" customFormat="1" hidden="1">
      <c r="A411" s="249" t="s">
        <v>360</v>
      </c>
      <c r="B411" s="250" t="s">
        <v>387</v>
      </c>
      <c r="C411" s="457"/>
      <c r="D411" s="458">
        <v>217712</v>
      </c>
      <c r="E411" s="459">
        <v>10</v>
      </c>
      <c r="F411" s="390">
        <v>6400</v>
      </c>
      <c r="G411" s="391">
        <v>6400</v>
      </c>
      <c r="H411" s="390">
        <v>13750</v>
      </c>
      <c r="I411" s="391">
        <v>13750</v>
      </c>
      <c r="J411" s="390"/>
      <c r="K411" s="391"/>
      <c r="L411" s="390"/>
      <c r="M411" s="391"/>
      <c r="N411" s="390"/>
      <c r="O411" s="391"/>
      <c r="P411" s="390"/>
      <c r="Q411" s="391"/>
      <c r="R411" s="390"/>
      <c r="S411" s="391"/>
      <c r="T411" s="390"/>
      <c r="U411" s="391"/>
      <c r="V411" s="390"/>
      <c r="W411" s="391"/>
      <c r="X411" s="390"/>
      <c r="Y411" s="391"/>
      <c r="Z411" s="390"/>
      <c r="AA411" s="391"/>
      <c r="AB411" s="390"/>
      <c r="AC411" s="391"/>
      <c r="AD411" s="390"/>
      <c r="AE411" s="391"/>
      <c r="AF411" s="390"/>
      <c r="AG411" s="391"/>
      <c r="AH411" s="390"/>
      <c r="AI411" s="391"/>
      <c r="AJ411" s="390"/>
      <c r="AK411" s="391"/>
      <c r="AL411" s="390"/>
      <c r="AM411" s="391"/>
      <c r="AN411" s="390"/>
      <c r="AO411" s="391"/>
    </row>
    <row r="412" spans="1:41" s="53" customFormat="1" hidden="1">
      <c r="A412" s="249" t="s">
        <v>360</v>
      </c>
      <c r="B412" s="250" t="s">
        <v>388</v>
      </c>
      <c r="C412" s="457"/>
      <c r="D412" s="458">
        <v>218672</v>
      </c>
      <c r="E412" s="459">
        <v>10</v>
      </c>
      <c r="F412" s="390">
        <v>7558</v>
      </c>
      <c r="G412" s="391">
        <v>7558</v>
      </c>
      <c r="H412" s="390">
        <v>18238</v>
      </c>
      <c r="I412" s="391">
        <v>18238</v>
      </c>
      <c r="J412" s="390"/>
      <c r="K412" s="391"/>
      <c r="L412" s="390"/>
      <c r="M412" s="391"/>
      <c r="N412" s="390"/>
      <c r="O412" s="391"/>
      <c r="P412" s="390"/>
      <c r="Q412" s="391"/>
      <c r="R412" s="390"/>
      <c r="S412" s="391"/>
      <c r="T412" s="390"/>
      <c r="U412" s="391"/>
      <c r="V412" s="390"/>
      <c r="W412" s="391"/>
      <c r="X412" s="390"/>
      <c r="Y412" s="391"/>
      <c r="Z412" s="390"/>
      <c r="AA412" s="391"/>
      <c r="AB412" s="390"/>
      <c r="AC412" s="391"/>
      <c r="AD412" s="390"/>
      <c r="AE412" s="391"/>
      <c r="AF412" s="390"/>
      <c r="AG412" s="391"/>
      <c r="AH412" s="390"/>
      <c r="AI412" s="391"/>
      <c r="AJ412" s="390"/>
      <c r="AK412" s="391"/>
      <c r="AL412" s="390"/>
      <c r="AM412" s="391"/>
      <c r="AN412" s="390"/>
      <c r="AO412" s="391"/>
    </row>
    <row r="413" spans="1:41" s="53" customFormat="1" hidden="1">
      <c r="A413" s="249" t="s">
        <v>360</v>
      </c>
      <c r="B413" s="250" t="s">
        <v>389</v>
      </c>
      <c r="C413" s="457"/>
      <c r="D413" s="458">
        <v>218681</v>
      </c>
      <c r="E413" s="459">
        <v>10</v>
      </c>
      <c r="F413" s="390">
        <v>7558</v>
      </c>
      <c r="G413" s="391">
        <v>7558</v>
      </c>
      <c r="H413" s="390">
        <v>18238</v>
      </c>
      <c r="I413" s="391">
        <v>18238</v>
      </c>
      <c r="J413" s="390"/>
      <c r="K413" s="391"/>
      <c r="L413" s="390"/>
      <c r="M413" s="391"/>
      <c r="N413" s="390"/>
      <c r="O413" s="391"/>
      <c r="P413" s="390"/>
      <c r="Q413" s="391"/>
      <c r="R413" s="390"/>
      <c r="S413" s="391"/>
      <c r="T413" s="390"/>
      <c r="U413" s="391"/>
      <c r="V413" s="390"/>
      <c r="W413" s="391"/>
      <c r="X413" s="390"/>
      <c r="Y413" s="391"/>
      <c r="Z413" s="390"/>
      <c r="AA413" s="391"/>
      <c r="AB413" s="390"/>
      <c r="AC413" s="391"/>
      <c r="AD413" s="390"/>
      <c r="AE413" s="391"/>
      <c r="AF413" s="390"/>
      <c r="AG413" s="391"/>
      <c r="AH413" s="390"/>
      <c r="AI413" s="391"/>
      <c r="AJ413" s="390"/>
      <c r="AK413" s="391"/>
      <c r="AL413" s="390"/>
      <c r="AM413" s="391"/>
      <c r="AN413" s="390"/>
      <c r="AO413" s="391"/>
    </row>
    <row r="414" spans="1:41" s="179" customFormat="1" ht="15" hidden="1" customHeight="1">
      <c r="A414" s="249" t="s">
        <v>360</v>
      </c>
      <c r="B414" s="250" t="s">
        <v>390</v>
      </c>
      <c r="C414" s="485"/>
      <c r="D414" s="458">
        <v>218690</v>
      </c>
      <c r="E414" s="459">
        <v>10</v>
      </c>
      <c r="F414" s="390">
        <v>7558</v>
      </c>
      <c r="G414" s="391">
        <v>7558</v>
      </c>
      <c r="H414" s="390">
        <v>18238</v>
      </c>
      <c r="I414" s="391">
        <v>18238</v>
      </c>
      <c r="J414" s="390"/>
      <c r="K414" s="391"/>
      <c r="L414" s="390"/>
      <c r="M414" s="391"/>
      <c r="N414" s="390"/>
      <c r="O414" s="391"/>
      <c r="P414" s="390"/>
      <c r="Q414" s="391"/>
      <c r="R414" s="390"/>
      <c r="S414" s="391"/>
      <c r="T414" s="390"/>
      <c r="U414" s="391"/>
      <c r="V414" s="390"/>
      <c r="W414" s="391"/>
      <c r="X414" s="390"/>
      <c r="Y414" s="391"/>
      <c r="Z414" s="390"/>
      <c r="AA414" s="391"/>
      <c r="AB414" s="390"/>
      <c r="AC414" s="391"/>
      <c r="AD414" s="390"/>
      <c r="AE414" s="391"/>
      <c r="AF414" s="390"/>
      <c r="AG414" s="391"/>
      <c r="AH414" s="390"/>
      <c r="AI414" s="391"/>
      <c r="AJ414" s="390"/>
      <c r="AK414" s="391"/>
      <c r="AL414" s="390"/>
      <c r="AM414" s="391"/>
      <c r="AN414" s="390"/>
      <c r="AO414" s="391"/>
    </row>
    <row r="415" spans="1:41" s="179" customFormat="1" ht="15" hidden="1" customHeight="1">
      <c r="A415" s="249" t="s">
        <v>360</v>
      </c>
      <c r="B415" s="250" t="s">
        <v>391</v>
      </c>
      <c r="C415" s="485"/>
      <c r="D415" s="458">
        <v>218706</v>
      </c>
      <c r="E415" s="459">
        <v>10</v>
      </c>
      <c r="F415" s="390">
        <v>7558</v>
      </c>
      <c r="G415" s="391">
        <v>7558</v>
      </c>
      <c r="H415" s="390">
        <v>18238</v>
      </c>
      <c r="I415" s="391">
        <v>18238</v>
      </c>
      <c r="J415" s="390"/>
      <c r="K415" s="391"/>
      <c r="L415" s="390"/>
      <c r="M415" s="391"/>
      <c r="N415" s="390"/>
      <c r="O415" s="391"/>
      <c r="P415" s="390"/>
      <c r="Q415" s="391"/>
      <c r="R415" s="390"/>
      <c r="S415" s="391"/>
      <c r="T415" s="390"/>
      <c r="U415" s="391"/>
      <c r="V415" s="390"/>
      <c r="W415" s="391"/>
      <c r="X415" s="390"/>
      <c r="Y415" s="391"/>
      <c r="Z415" s="390"/>
      <c r="AA415" s="391"/>
      <c r="AB415" s="390"/>
      <c r="AC415" s="391"/>
      <c r="AD415" s="390"/>
      <c r="AE415" s="391"/>
      <c r="AF415" s="390"/>
      <c r="AG415" s="391"/>
      <c r="AH415" s="390"/>
      <c r="AI415" s="391"/>
      <c r="AJ415" s="390"/>
      <c r="AK415" s="391"/>
      <c r="AL415" s="390"/>
      <c r="AM415" s="391"/>
      <c r="AN415" s="390"/>
      <c r="AO415" s="391"/>
    </row>
    <row r="416" spans="1:41" s="179" customFormat="1" ht="15" hidden="1" customHeight="1">
      <c r="A416" s="249" t="s">
        <v>360</v>
      </c>
      <c r="B416" s="254" t="s">
        <v>642</v>
      </c>
      <c r="C416" s="485"/>
      <c r="D416" s="458">
        <v>218955</v>
      </c>
      <c r="E416" s="459">
        <v>10</v>
      </c>
      <c r="F416" s="390">
        <v>5610</v>
      </c>
      <c r="G416" s="391">
        <v>5610</v>
      </c>
      <c r="H416" s="390">
        <v>10500</v>
      </c>
      <c r="I416" s="391">
        <v>10500</v>
      </c>
      <c r="J416" s="390"/>
      <c r="K416" s="391"/>
      <c r="L416" s="390"/>
      <c r="M416" s="391"/>
      <c r="N416" s="390"/>
      <c r="O416" s="391"/>
      <c r="P416" s="390"/>
      <c r="Q416" s="391"/>
      <c r="R416" s="390"/>
      <c r="S416" s="391"/>
      <c r="T416" s="390"/>
      <c r="U416" s="391"/>
      <c r="V416" s="390"/>
      <c r="W416" s="391"/>
      <c r="X416" s="390"/>
      <c r="Y416" s="391"/>
      <c r="Z416" s="390"/>
      <c r="AA416" s="391"/>
      <c r="AB416" s="390"/>
      <c r="AC416" s="391"/>
      <c r="AD416" s="390"/>
      <c r="AE416" s="391"/>
      <c r="AF416" s="390"/>
      <c r="AG416" s="391"/>
      <c r="AH416" s="390"/>
      <c r="AI416" s="391"/>
      <c r="AJ416" s="390"/>
      <c r="AK416" s="391"/>
      <c r="AL416" s="390"/>
      <c r="AM416" s="391"/>
      <c r="AN416" s="390"/>
      <c r="AO416" s="391"/>
    </row>
    <row r="417" spans="1:44" s="53" customFormat="1" hidden="1">
      <c r="A417" s="252" t="s">
        <v>360</v>
      </c>
      <c r="B417" s="250" t="s">
        <v>392</v>
      </c>
      <c r="C417" s="457"/>
      <c r="D417" s="458">
        <v>218335</v>
      </c>
      <c r="E417" s="459">
        <v>15</v>
      </c>
      <c r="F417" s="390">
        <v>14318</v>
      </c>
      <c r="G417" s="391">
        <v>14318</v>
      </c>
      <c r="H417" s="390">
        <v>20302</v>
      </c>
      <c r="I417" s="391">
        <v>18803</v>
      </c>
      <c r="J417" s="390">
        <v>16761</v>
      </c>
      <c r="K417" s="391">
        <v>16761</v>
      </c>
      <c r="L417" s="390">
        <v>22694</v>
      </c>
      <c r="M417" s="391">
        <v>22571</v>
      </c>
      <c r="N417" s="390"/>
      <c r="O417" s="391"/>
      <c r="P417" s="390"/>
      <c r="Q417" s="391"/>
      <c r="R417" s="390">
        <v>37029</v>
      </c>
      <c r="S417" s="391">
        <v>37029</v>
      </c>
      <c r="T417" s="390">
        <v>64704</v>
      </c>
      <c r="U417" s="391">
        <v>64704</v>
      </c>
      <c r="V417" s="390">
        <v>34300</v>
      </c>
      <c r="W417" s="391">
        <v>34300</v>
      </c>
      <c r="X417" s="390">
        <v>60000</v>
      </c>
      <c r="Y417" s="391">
        <v>60000</v>
      </c>
      <c r="Z417" s="390">
        <v>29321</v>
      </c>
      <c r="AA417" s="391">
        <v>29321</v>
      </c>
      <c r="AB417" s="390">
        <v>42325</v>
      </c>
      <c r="AC417" s="391">
        <v>42325</v>
      </c>
      <c r="AD417" s="390"/>
      <c r="AE417" s="391"/>
      <c r="AF417" s="390"/>
      <c r="AG417" s="391"/>
      <c r="AH417" s="390"/>
      <c r="AI417" s="391"/>
      <c r="AJ417" s="390"/>
      <c r="AK417" s="391"/>
      <c r="AL417" s="390"/>
      <c r="AM417" s="391"/>
      <c r="AN417" s="390"/>
      <c r="AO417" s="391"/>
    </row>
    <row r="418" spans="1:44">
      <c r="A418" s="225" t="s">
        <v>393</v>
      </c>
      <c r="B418" s="226" t="s">
        <v>394</v>
      </c>
      <c r="C418" s="438"/>
      <c r="D418" s="436">
        <v>220862</v>
      </c>
      <c r="E418" s="439">
        <v>1</v>
      </c>
      <c r="F418" s="401">
        <v>9936</v>
      </c>
      <c r="G418" s="402">
        <v>10056</v>
      </c>
      <c r="H418" s="401">
        <v>16794</v>
      </c>
      <c r="I418" s="402">
        <v>17184</v>
      </c>
      <c r="J418" s="401">
        <v>11940</v>
      </c>
      <c r="K418" s="402">
        <v>12120</v>
      </c>
      <c r="L418" s="401">
        <v>18596</v>
      </c>
      <c r="M418" s="402">
        <v>19052</v>
      </c>
      <c r="N418" s="401">
        <v>17496</v>
      </c>
      <c r="O418" s="402">
        <v>19338</v>
      </c>
      <c r="P418" s="401">
        <v>23848</v>
      </c>
      <c r="Q418" s="402">
        <v>24134</v>
      </c>
      <c r="R418" s="401"/>
      <c r="S418" s="402"/>
      <c r="T418" s="401"/>
      <c r="U418" s="402"/>
      <c r="V418" s="401"/>
      <c r="W418" s="402"/>
      <c r="X418" s="401"/>
      <c r="Y418" s="402"/>
      <c r="Z418" s="401"/>
      <c r="AA418" s="402"/>
      <c r="AB418" s="401"/>
      <c r="AC418" s="402"/>
      <c r="AD418" s="401"/>
      <c r="AE418" s="402"/>
      <c r="AF418" s="401"/>
      <c r="AG418" s="402"/>
      <c r="AH418" s="401"/>
      <c r="AI418" s="402"/>
      <c r="AJ418" s="401"/>
      <c r="AK418" s="402"/>
      <c r="AL418" s="401"/>
      <c r="AM418" s="402"/>
      <c r="AN418" s="401"/>
      <c r="AO418" s="402"/>
      <c r="AP418" s="53"/>
      <c r="AQ418" s="53"/>
      <c r="AR418" s="53"/>
    </row>
    <row r="419" spans="1:44">
      <c r="A419" s="225" t="s">
        <v>393</v>
      </c>
      <c r="B419" s="226" t="s">
        <v>395</v>
      </c>
      <c r="C419" s="440"/>
      <c r="D419" s="436">
        <v>221759</v>
      </c>
      <c r="E419" s="439">
        <v>1</v>
      </c>
      <c r="F419" s="401">
        <v>13264</v>
      </c>
      <c r="G419" s="402">
        <v>13244</v>
      </c>
      <c r="H419" s="401">
        <v>31684</v>
      </c>
      <c r="I419" s="402">
        <v>31434</v>
      </c>
      <c r="J419" s="401">
        <v>13380</v>
      </c>
      <c r="K419" s="402">
        <v>13380</v>
      </c>
      <c r="L419" s="401">
        <v>31798</v>
      </c>
      <c r="M419" s="402">
        <v>31568</v>
      </c>
      <c r="N419" s="401">
        <v>20168</v>
      </c>
      <c r="O419" s="402">
        <v>20168</v>
      </c>
      <c r="P419" s="401">
        <v>38842</v>
      </c>
      <c r="Q419" s="402">
        <v>38612</v>
      </c>
      <c r="R419" s="401"/>
      <c r="S419" s="402"/>
      <c r="T419" s="401"/>
      <c r="U419" s="402"/>
      <c r="V419" s="401"/>
      <c r="W419" s="402"/>
      <c r="X419" s="401"/>
      <c r="Y419" s="402"/>
      <c r="Z419" s="401"/>
      <c r="AA419" s="402"/>
      <c r="AB419" s="401"/>
      <c r="AC419" s="402"/>
      <c r="AD419" s="401"/>
      <c r="AE419" s="402"/>
      <c r="AF419" s="401"/>
      <c r="AG419" s="402"/>
      <c r="AH419" s="401"/>
      <c r="AI419" s="402"/>
      <c r="AJ419" s="401"/>
      <c r="AK419" s="402"/>
      <c r="AL419" s="401">
        <v>29336</v>
      </c>
      <c r="AM419" s="402">
        <v>29886</v>
      </c>
      <c r="AN419" s="401">
        <v>56602</v>
      </c>
      <c r="AO419" s="402">
        <v>56922</v>
      </c>
      <c r="AP419" s="53"/>
      <c r="AQ419" s="53"/>
      <c r="AR419" s="53"/>
    </row>
    <row r="420" spans="1:44">
      <c r="A420" s="225" t="s">
        <v>393</v>
      </c>
      <c r="B420" s="226" t="s">
        <v>396</v>
      </c>
      <c r="C420" s="438"/>
      <c r="D420" s="436">
        <v>220075</v>
      </c>
      <c r="E420" s="439">
        <v>2</v>
      </c>
      <c r="F420" s="401">
        <v>9491</v>
      </c>
      <c r="G420" s="402">
        <v>9674</v>
      </c>
      <c r="H420" s="401">
        <v>28673</v>
      </c>
      <c r="I420" s="402">
        <v>28856</v>
      </c>
      <c r="J420" s="401">
        <v>11903</v>
      </c>
      <c r="K420" s="402">
        <v>12104</v>
      </c>
      <c r="L420" s="401">
        <v>27023</v>
      </c>
      <c r="M420" s="402">
        <v>27242</v>
      </c>
      <c r="N420" s="401"/>
      <c r="O420" s="402"/>
      <c r="P420" s="401"/>
      <c r="Q420" s="402"/>
      <c r="R420" s="401">
        <v>34979</v>
      </c>
      <c r="S420" s="402">
        <v>35012</v>
      </c>
      <c r="T420" s="401">
        <v>44829</v>
      </c>
      <c r="U420" s="402">
        <v>44862</v>
      </c>
      <c r="V420" s="401"/>
      <c r="W420" s="402"/>
      <c r="X420" s="401"/>
      <c r="Y420" s="402"/>
      <c r="Z420" s="401">
        <v>39586</v>
      </c>
      <c r="AA420" s="402">
        <v>39619</v>
      </c>
      <c r="AB420" s="406">
        <v>39586</v>
      </c>
      <c r="AC420" s="402">
        <v>39619</v>
      </c>
      <c r="AD420" s="401"/>
      <c r="AE420" s="402"/>
      <c r="AF420" s="401"/>
      <c r="AG420" s="402"/>
      <c r="AH420" s="401"/>
      <c r="AI420" s="402"/>
      <c r="AJ420" s="401"/>
      <c r="AK420" s="402"/>
      <c r="AL420" s="401"/>
      <c r="AM420" s="402"/>
      <c r="AN420" s="401"/>
      <c r="AO420" s="402"/>
      <c r="AP420" s="53"/>
      <c r="AQ420" s="53"/>
      <c r="AR420" s="53"/>
    </row>
    <row r="421" spans="1:44" s="179" customFormat="1" ht="15.75" customHeight="1">
      <c r="A421" s="225" t="s">
        <v>393</v>
      </c>
      <c r="B421" s="226" t="s">
        <v>399</v>
      </c>
      <c r="C421" s="490"/>
      <c r="D421" s="436">
        <v>220978</v>
      </c>
      <c r="E421" s="439">
        <v>2</v>
      </c>
      <c r="F421" s="401">
        <v>9424</v>
      </c>
      <c r="G421" s="402">
        <v>9592</v>
      </c>
      <c r="H421" s="401">
        <v>29038</v>
      </c>
      <c r="I421" s="402">
        <v>29584</v>
      </c>
      <c r="J421" s="401">
        <v>12206</v>
      </c>
      <c r="K421" s="402">
        <v>12744</v>
      </c>
      <c r="L421" s="401">
        <v>30486</v>
      </c>
      <c r="M421" s="402">
        <v>31940</v>
      </c>
      <c r="N421" s="401"/>
      <c r="O421" s="402"/>
      <c r="P421" s="401"/>
      <c r="Q421" s="402"/>
      <c r="R421" s="401"/>
      <c r="S421" s="402"/>
      <c r="T421" s="401"/>
      <c r="U421" s="402"/>
      <c r="V421" s="401"/>
      <c r="W421" s="402"/>
      <c r="X421" s="401"/>
      <c r="Y421" s="402"/>
      <c r="Z421" s="401"/>
      <c r="AA421" s="402"/>
      <c r="AB421" s="401"/>
      <c r="AC421" s="402"/>
      <c r="AD421" s="401"/>
      <c r="AE421" s="402"/>
      <c r="AF421" s="401"/>
      <c r="AG421" s="402"/>
      <c r="AH421" s="401"/>
      <c r="AI421" s="402"/>
      <c r="AJ421" s="401"/>
      <c r="AK421" s="402"/>
      <c r="AL421" s="401"/>
      <c r="AM421" s="402"/>
      <c r="AN421" s="401"/>
      <c r="AO421" s="402"/>
    </row>
    <row r="422" spans="1:44">
      <c r="A422" s="225" t="s">
        <v>393</v>
      </c>
      <c r="B422" s="226" t="s">
        <v>397</v>
      </c>
      <c r="C422" s="438"/>
      <c r="D422" s="436">
        <v>221838</v>
      </c>
      <c r="E422" s="439">
        <v>2</v>
      </c>
      <c r="F422" s="401">
        <v>8183</v>
      </c>
      <c r="G422" s="402">
        <v>8335</v>
      </c>
      <c r="H422" s="401">
        <v>21539</v>
      </c>
      <c r="I422" s="402">
        <v>21691</v>
      </c>
      <c r="J422" s="401">
        <v>10537</v>
      </c>
      <c r="K422" s="402">
        <v>10731</v>
      </c>
      <c r="L422" s="401">
        <v>22641</v>
      </c>
      <c r="M422" s="402">
        <v>22835</v>
      </c>
      <c r="N422" s="401"/>
      <c r="O422" s="402"/>
      <c r="P422" s="401"/>
      <c r="Q422" s="402"/>
      <c r="R422" s="401"/>
      <c r="S422" s="402"/>
      <c r="T422" s="401"/>
      <c r="U422" s="402"/>
      <c r="V422" s="401"/>
      <c r="W422" s="402"/>
      <c r="X422" s="401"/>
      <c r="Y422" s="402"/>
      <c r="Z422" s="401"/>
      <c r="AA422" s="402"/>
      <c r="AB422" s="401"/>
      <c r="AC422" s="402"/>
      <c r="AD422" s="401"/>
      <c r="AE422" s="402"/>
      <c r="AF422" s="401"/>
      <c r="AG422" s="402"/>
      <c r="AH422" s="401"/>
      <c r="AI422" s="402"/>
      <c r="AJ422" s="401"/>
      <c r="AK422" s="402"/>
      <c r="AL422" s="401"/>
      <c r="AM422" s="402"/>
      <c r="AN422" s="401"/>
      <c r="AO422" s="402"/>
      <c r="AP422" s="53"/>
      <c r="AQ422" s="53"/>
      <c r="AR422" s="53"/>
    </row>
    <row r="423" spans="1:44">
      <c r="A423" s="225" t="s">
        <v>393</v>
      </c>
      <c r="B423" s="226" t="s">
        <v>398</v>
      </c>
      <c r="C423" s="440"/>
      <c r="D423" s="436">
        <v>219602</v>
      </c>
      <c r="E423" s="439">
        <v>3</v>
      </c>
      <c r="F423" s="401">
        <v>8627</v>
      </c>
      <c r="G423" s="402">
        <v>8761</v>
      </c>
      <c r="H423" s="401">
        <v>14171</v>
      </c>
      <c r="I423" s="402">
        <v>14305</v>
      </c>
      <c r="J423" s="401">
        <v>10931</v>
      </c>
      <c r="K423" s="402">
        <v>11107</v>
      </c>
      <c r="L423" s="401">
        <v>16471</v>
      </c>
      <c r="M423" s="402">
        <v>16647</v>
      </c>
      <c r="N423" s="401"/>
      <c r="O423" s="402"/>
      <c r="P423" s="401"/>
      <c r="Q423" s="402"/>
      <c r="R423" s="401"/>
      <c r="S423" s="402"/>
      <c r="T423" s="401"/>
      <c r="U423" s="402"/>
      <c r="V423" s="401"/>
      <c r="W423" s="402"/>
      <c r="X423" s="401"/>
      <c r="Y423" s="402"/>
      <c r="Z423" s="401"/>
      <c r="AA423" s="402"/>
      <c r="AB423" s="401"/>
      <c r="AC423" s="402"/>
      <c r="AD423" s="401"/>
      <c r="AE423" s="402"/>
      <c r="AF423" s="401"/>
      <c r="AG423" s="402"/>
      <c r="AH423" s="401"/>
      <c r="AI423" s="402"/>
      <c r="AJ423" s="401"/>
      <c r="AK423" s="402"/>
      <c r="AL423" s="401"/>
      <c r="AM423" s="402"/>
      <c r="AN423" s="401"/>
      <c r="AO423" s="402"/>
      <c r="AP423" s="53"/>
      <c r="AQ423" s="53"/>
      <c r="AR423" s="53"/>
    </row>
    <row r="424" spans="1:44" s="179" customFormat="1" ht="15.75" customHeight="1">
      <c r="A424" s="225" t="s">
        <v>393</v>
      </c>
      <c r="B424" s="226" t="s">
        <v>400</v>
      </c>
      <c r="C424" s="491"/>
      <c r="D424" s="436">
        <v>221847</v>
      </c>
      <c r="E424" s="439">
        <v>3</v>
      </c>
      <c r="F424" s="401">
        <v>10338</v>
      </c>
      <c r="G424" s="402">
        <v>10522</v>
      </c>
      <c r="H424" s="401">
        <v>14538</v>
      </c>
      <c r="I424" s="402">
        <v>14722</v>
      </c>
      <c r="J424" s="401">
        <v>11966</v>
      </c>
      <c r="K424" s="402">
        <v>12178</v>
      </c>
      <c r="L424" s="401">
        <v>15326</v>
      </c>
      <c r="M424" s="402">
        <v>15538</v>
      </c>
      <c r="N424" s="401"/>
      <c r="O424" s="402"/>
      <c r="P424" s="401"/>
      <c r="Q424" s="402"/>
      <c r="R424" s="401"/>
      <c r="S424" s="402"/>
      <c r="T424" s="401"/>
      <c r="U424" s="402"/>
      <c r="V424" s="401"/>
      <c r="W424" s="402"/>
      <c r="X424" s="401"/>
      <c r="Y424" s="402"/>
      <c r="Z424" s="401"/>
      <c r="AA424" s="402"/>
      <c r="AB424" s="401"/>
      <c r="AC424" s="402"/>
      <c r="AD424" s="401"/>
      <c r="AE424" s="402"/>
      <c r="AF424" s="401"/>
      <c r="AG424" s="402"/>
      <c r="AH424" s="401"/>
      <c r="AI424" s="402"/>
      <c r="AJ424" s="401"/>
      <c r="AK424" s="402"/>
      <c r="AL424" s="401"/>
      <c r="AM424" s="402"/>
      <c r="AN424" s="401"/>
      <c r="AO424" s="402"/>
    </row>
    <row r="425" spans="1:44" s="179" customFormat="1" ht="15.75" customHeight="1">
      <c r="A425" s="225" t="s">
        <v>393</v>
      </c>
      <c r="B425" s="226" t="s">
        <v>401</v>
      </c>
      <c r="C425" s="491"/>
      <c r="D425" s="436">
        <v>221740</v>
      </c>
      <c r="E425" s="439">
        <v>3</v>
      </c>
      <c r="F425" s="401">
        <v>9656</v>
      </c>
      <c r="G425" s="402">
        <v>9848</v>
      </c>
      <c r="H425" s="401">
        <v>25774</v>
      </c>
      <c r="I425" s="402">
        <v>25966</v>
      </c>
      <c r="J425" s="401">
        <v>10270</v>
      </c>
      <c r="K425" s="402">
        <v>10474</v>
      </c>
      <c r="L425" s="401">
        <v>18334</v>
      </c>
      <c r="M425" s="402">
        <v>18538</v>
      </c>
      <c r="N425" s="401"/>
      <c r="O425" s="402"/>
      <c r="P425" s="401"/>
      <c r="Q425" s="402"/>
      <c r="R425" s="401"/>
      <c r="S425" s="402"/>
      <c r="T425" s="401"/>
      <c r="U425" s="402"/>
      <c r="V425" s="401"/>
      <c r="W425" s="402"/>
      <c r="X425" s="401"/>
      <c r="Y425" s="402"/>
      <c r="Z425" s="401"/>
      <c r="AA425" s="402"/>
      <c r="AB425" s="401"/>
      <c r="AC425" s="402"/>
      <c r="AD425" s="401"/>
      <c r="AE425" s="402"/>
      <c r="AF425" s="401"/>
      <c r="AG425" s="402"/>
      <c r="AH425" s="401"/>
      <c r="AI425" s="402"/>
      <c r="AJ425" s="401"/>
      <c r="AK425" s="402"/>
      <c r="AL425" s="401"/>
      <c r="AM425" s="402"/>
      <c r="AN425" s="401"/>
      <c r="AO425" s="402"/>
    </row>
    <row r="426" spans="1:44" s="179" customFormat="1" ht="15.75" customHeight="1">
      <c r="A426" s="225" t="s">
        <v>393</v>
      </c>
      <c r="B426" s="226" t="s">
        <v>402</v>
      </c>
      <c r="C426" s="492"/>
      <c r="D426" s="436">
        <v>221768</v>
      </c>
      <c r="E426" s="493">
        <v>4</v>
      </c>
      <c r="F426" s="401">
        <v>9748</v>
      </c>
      <c r="G426" s="402">
        <v>9912</v>
      </c>
      <c r="H426" s="401">
        <v>15788</v>
      </c>
      <c r="I426" s="402">
        <v>15952</v>
      </c>
      <c r="J426" s="401">
        <v>10616</v>
      </c>
      <c r="K426" s="402">
        <v>10798</v>
      </c>
      <c r="L426" s="401">
        <v>16656</v>
      </c>
      <c r="M426" s="402">
        <v>16838</v>
      </c>
      <c r="N426" s="401"/>
      <c r="O426" s="402"/>
      <c r="P426" s="401"/>
      <c r="Q426" s="402"/>
      <c r="R426" s="401"/>
      <c r="S426" s="402"/>
      <c r="T426" s="401"/>
      <c r="U426" s="402"/>
      <c r="V426" s="401"/>
      <c r="W426" s="402"/>
      <c r="X426" s="401"/>
      <c r="Y426" s="402"/>
      <c r="Z426" s="401"/>
      <c r="AA426" s="402"/>
      <c r="AB426" s="401"/>
      <c r="AC426" s="402"/>
      <c r="AD426" s="401"/>
      <c r="AE426" s="402"/>
      <c r="AF426" s="401"/>
      <c r="AG426" s="402"/>
      <c r="AH426" s="401"/>
      <c r="AI426" s="402"/>
      <c r="AJ426" s="401"/>
      <c r="AK426" s="402"/>
      <c r="AL426" s="401"/>
      <c r="AM426" s="402"/>
      <c r="AN426" s="401"/>
      <c r="AO426" s="402"/>
    </row>
    <row r="427" spans="1:44" s="179" customFormat="1" ht="15.75" hidden="1" customHeight="1">
      <c r="A427" s="225" t="s">
        <v>393</v>
      </c>
      <c r="B427" s="226" t="s">
        <v>403</v>
      </c>
      <c r="C427" s="494" t="s">
        <v>1016</v>
      </c>
      <c r="D427" s="436">
        <v>219824</v>
      </c>
      <c r="E427" s="439">
        <v>8</v>
      </c>
      <c r="F427" s="401">
        <v>4568</v>
      </c>
      <c r="G427" s="402">
        <v>4652</v>
      </c>
      <c r="H427" s="401">
        <v>17774</v>
      </c>
      <c r="I427" s="402">
        <v>18110</v>
      </c>
      <c r="J427" s="401"/>
      <c r="K427" s="402"/>
      <c r="L427" s="401"/>
      <c r="M427" s="402"/>
      <c r="N427" s="401"/>
      <c r="O427" s="402"/>
      <c r="P427" s="401"/>
      <c r="Q427" s="402"/>
      <c r="R427" s="401"/>
      <c r="S427" s="402"/>
      <c r="T427" s="401"/>
      <c r="U427" s="402"/>
      <c r="V427" s="401"/>
      <c r="W427" s="402"/>
      <c r="X427" s="401"/>
      <c r="Y427" s="402"/>
      <c r="Z427" s="401"/>
      <c r="AA427" s="402"/>
      <c r="AB427" s="401"/>
      <c r="AC427" s="402"/>
      <c r="AD427" s="401"/>
      <c r="AE427" s="402"/>
      <c r="AF427" s="401"/>
      <c r="AG427" s="402"/>
      <c r="AH427" s="401"/>
      <c r="AI427" s="402"/>
      <c r="AJ427" s="401"/>
      <c r="AK427" s="402"/>
      <c r="AL427" s="401"/>
      <c r="AM427" s="402"/>
      <c r="AN427" s="401"/>
      <c r="AO427" s="402"/>
    </row>
    <row r="428" spans="1:44" s="179" customFormat="1" ht="15.75" hidden="1" customHeight="1">
      <c r="A428" s="225" t="s">
        <v>393</v>
      </c>
      <c r="B428" s="226" t="s">
        <v>404</v>
      </c>
      <c r="C428" s="494" t="s">
        <v>1016</v>
      </c>
      <c r="D428" s="436">
        <v>221184</v>
      </c>
      <c r="E428" s="439">
        <v>8</v>
      </c>
      <c r="F428" s="401">
        <v>4504</v>
      </c>
      <c r="G428" s="402">
        <v>4594</v>
      </c>
      <c r="H428" s="401">
        <v>17710</v>
      </c>
      <c r="I428" s="402">
        <v>18052</v>
      </c>
      <c r="J428" s="401"/>
      <c r="K428" s="402"/>
      <c r="L428" s="401"/>
      <c r="M428" s="402"/>
      <c r="N428" s="401"/>
      <c r="O428" s="402"/>
      <c r="P428" s="401"/>
      <c r="Q428" s="402"/>
      <c r="R428" s="401"/>
      <c r="S428" s="402"/>
      <c r="T428" s="401"/>
      <c r="U428" s="402"/>
      <c r="V428" s="401"/>
      <c r="W428" s="402"/>
      <c r="X428" s="401"/>
      <c r="Y428" s="402"/>
      <c r="Z428" s="401"/>
      <c r="AA428" s="402"/>
      <c r="AB428" s="401"/>
      <c r="AC428" s="402"/>
      <c r="AD428" s="401"/>
      <c r="AE428" s="402"/>
      <c r="AF428" s="401"/>
      <c r="AG428" s="402"/>
      <c r="AH428" s="401"/>
      <c r="AI428" s="402"/>
      <c r="AJ428" s="401"/>
      <c r="AK428" s="402"/>
      <c r="AL428" s="401"/>
      <c r="AM428" s="402"/>
      <c r="AN428" s="401"/>
      <c r="AO428" s="402"/>
    </row>
    <row r="429" spans="1:44" s="179" customFormat="1" ht="15.75" hidden="1" customHeight="1">
      <c r="A429" s="225" t="s">
        <v>393</v>
      </c>
      <c r="B429" s="226" t="s">
        <v>405</v>
      </c>
      <c r="C429" s="494"/>
      <c r="D429" s="436">
        <v>221643</v>
      </c>
      <c r="E429" s="439">
        <v>8</v>
      </c>
      <c r="F429" s="401">
        <v>4588</v>
      </c>
      <c r="G429" s="402">
        <v>4678</v>
      </c>
      <c r="H429" s="401">
        <v>17794</v>
      </c>
      <c r="I429" s="402">
        <v>18136</v>
      </c>
      <c r="J429" s="401"/>
      <c r="K429" s="402"/>
      <c r="L429" s="401"/>
      <c r="M429" s="402"/>
      <c r="N429" s="401"/>
      <c r="O429" s="402"/>
      <c r="P429" s="401"/>
      <c r="Q429" s="402"/>
      <c r="R429" s="401"/>
      <c r="S429" s="402"/>
      <c r="T429" s="401"/>
      <c r="U429" s="402"/>
      <c r="V429" s="401"/>
      <c r="W429" s="402"/>
      <c r="X429" s="401"/>
      <c r="Y429" s="402"/>
      <c r="Z429" s="401"/>
      <c r="AA429" s="402"/>
      <c r="AB429" s="401"/>
      <c r="AC429" s="402"/>
      <c r="AD429" s="401"/>
      <c r="AE429" s="402"/>
      <c r="AF429" s="401"/>
      <c r="AG429" s="402"/>
      <c r="AH429" s="401"/>
      <c r="AI429" s="402"/>
      <c r="AJ429" s="401"/>
      <c r="AK429" s="402"/>
      <c r="AL429" s="401"/>
      <c r="AM429" s="402"/>
      <c r="AN429" s="401"/>
      <c r="AO429" s="402"/>
    </row>
    <row r="430" spans="1:44" s="179" customFormat="1" ht="15.75" hidden="1" customHeight="1">
      <c r="A430" s="225" t="s">
        <v>393</v>
      </c>
      <c r="B430" s="226" t="s">
        <v>406</v>
      </c>
      <c r="C430" s="494" t="s">
        <v>1016</v>
      </c>
      <c r="D430" s="436">
        <v>221485</v>
      </c>
      <c r="E430" s="439">
        <v>8</v>
      </c>
      <c r="F430" s="401">
        <v>4568</v>
      </c>
      <c r="G430" s="402">
        <v>4652</v>
      </c>
      <c r="H430" s="401">
        <v>17774</v>
      </c>
      <c r="I430" s="402">
        <v>18110</v>
      </c>
      <c r="J430" s="401"/>
      <c r="K430" s="402"/>
      <c r="L430" s="401"/>
      <c r="M430" s="402"/>
      <c r="N430" s="401"/>
      <c r="O430" s="402"/>
      <c r="P430" s="401"/>
      <c r="Q430" s="402"/>
      <c r="R430" s="401"/>
      <c r="S430" s="402"/>
      <c r="T430" s="401"/>
      <c r="U430" s="402"/>
      <c r="V430" s="401"/>
      <c r="W430" s="402"/>
      <c r="X430" s="401"/>
      <c r="Y430" s="402"/>
      <c r="Z430" s="401"/>
      <c r="AA430" s="402"/>
      <c r="AB430" s="401"/>
      <c r="AC430" s="402"/>
      <c r="AD430" s="401"/>
      <c r="AE430" s="402"/>
      <c r="AF430" s="401"/>
      <c r="AG430" s="402"/>
      <c r="AH430" s="401"/>
      <c r="AI430" s="402"/>
      <c r="AJ430" s="401"/>
      <c r="AK430" s="402"/>
      <c r="AL430" s="401"/>
      <c r="AM430" s="402"/>
      <c r="AN430" s="401"/>
      <c r="AO430" s="402"/>
    </row>
    <row r="431" spans="1:44" s="179" customFormat="1" ht="15.75" hidden="1" customHeight="1">
      <c r="A431" s="225" t="s">
        <v>393</v>
      </c>
      <c r="B431" s="226" t="s">
        <v>407</v>
      </c>
      <c r="C431" s="491"/>
      <c r="D431" s="436">
        <v>222053</v>
      </c>
      <c r="E431" s="439">
        <v>8</v>
      </c>
      <c r="F431" s="401">
        <v>4542</v>
      </c>
      <c r="G431" s="402">
        <v>4626</v>
      </c>
      <c r="H431" s="401">
        <v>17748</v>
      </c>
      <c r="I431" s="402">
        <v>18084</v>
      </c>
      <c r="J431" s="401"/>
      <c r="K431" s="402"/>
      <c r="L431" s="401"/>
      <c r="M431" s="402"/>
      <c r="N431" s="401"/>
      <c r="O431" s="402"/>
      <c r="P431" s="401"/>
      <c r="Q431" s="402"/>
      <c r="R431" s="401"/>
      <c r="S431" s="402"/>
      <c r="T431" s="401"/>
      <c r="U431" s="402"/>
      <c r="V431" s="401"/>
      <c r="W431" s="402"/>
      <c r="X431" s="401"/>
      <c r="Y431" s="402"/>
      <c r="Z431" s="401"/>
      <c r="AA431" s="402"/>
      <c r="AB431" s="401"/>
      <c r="AC431" s="402"/>
      <c r="AD431" s="401"/>
      <c r="AE431" s="402"/>
      <c r="AF431" s="401"/>
      <c r="AG431" s="402"/>
      <c r="AH431" s="401"/>
      <c r="AI431" s="402"/>
      <c r="AJ431" s="401"/>
      <c r="AK431" s="402"/>
      <c r="AL431" s="401"/>
      <c r="AM431" s="402"/>
      <c r="AN431" s="401"/>
      <c r="AO431" s="402"/>
    </row>
    <row r="432" spans="1:44" s="179" customFormat="1" ht="15.75" hidden="1" customHeight="1">
      <c r="A432" s="225" t="s">
        <v>393</v>
      </c>
      <c r="B432" s="226" t="s">
        <v>408</v>
      </c>
      <c r="C432" s="491"/>
      <c r="D432" s="436">
        <v>219879</v>
      </c>
      <c r="E432" s="439">
        <v>9</v>
      </c>
      <c r="F432" s="401">
        <v>4548</v>
      </c>
      <c r="G432" s="402">
        <v>4632</v>
      </c>
      <c r="H432" s="401">
        <v>17754</v>
      </c>
      <c r="I432" s="402">
        <v>18090</v>
      </c>
      <c r="J432" s="401"/>
      <c r="K432" s="402"/>
      <c r="L432" s="401"/>
      <c r="M432" s="402"/>
      <c r="N432" s="401"/>
      <c r="O432" s="402"/>
      <c r="P432" s="401"/>
      <c r="Q432" s="402"/>
      <c r="R432" s="401"/>
      <c r="S432" s="402"/>
      <c r="T432" s="401"/>
      <c r="U432" s="402"/>
      <c r="V432" s="401"/>
      <c r="W432" s="402"/>
      <c r="X432" s="401"/>
      <c r="Y432" s="402"/>
      <c r="Z432" s="401"/>
      <c r="AA432" s="402"/>
      <c r="AB432" s="401"/>
      <c r="AC432" s="402"/>
      <c r="AD432" s="401"/>
      <c r="AE432" s="402"/>
      <c r="AF432" s="401"/>
      <c r="AG432" s="402"/>
      <c r="AH432" s="401"/>
      <c r="AI432" s="402"/>
      <c r="AJ432" s="401"/>
      <c r="AK432" s="402"/>
      <c r="AL432" s="401"/>
      <c r="AM432" s="402"/>
      <c r="AN432" s="401"/>
      <c r="AO432" s="402"/>
    </row>
    <row r="433" spans="1:44" s="179" customFormat="1" ht="15.75" hidden="1" customHeight="1">
      <c r="A433" s="225" t="s">
        <v>393</v>
      </c>
      <c r="B433" s="226" t="s">
        <v>409</v>
      </c>
      <c r="C433" s="491"/>
      <c r="D433" s="436">
        <v>219888</v>
      </c>
      <c r="E433" s="439">
        <v>9</v>
      </c>
      <c r="F433" s="401">
        <v>4582</v>
      </c>
      <c r="G433" s="402">
        <v>4666</v>
      </c>
      <c r="H433" s="401">
        <v>17788</v>
      </c>
      <c r="I433" s="402">
        <v>18124</v>
      </c>
      <c r="J433" s="401"/>
      <c r="K433" s="402"/>
      <c r="L433" s="401"/>
      <c r="M433" s="402"/>
      <c r="N433" s="401"/>
      <c r="O433" s="402"/>
      <c r="P433" s="401"/>
      <c r="Q433" s="402"/>
      <c r="R433" s="401"/>
      <c r="S433" s="402"/>
      <c r="T433" s="401"/>
      <c r="U433" s="402"/>
      <c r="V433" s="401"/>
      <c r="W433" s="402"/>
      <c r="X433" s="401"/>
      <c r="Y433" s="402"/>
      <c r="Z433" s="401"/>
      <c r="AA433" s="402"/>
      <c r="AB433" s="401"/>
      <c r="AC433" s="402"/>
      <c r="AD433" s="401"/>
      <c r="AE433" s="402"/>
      <c r="AF433" s="401"/>
      <c r="AG433" s="402"/>
      <c r="AH433" s="401"/>
      <c r="AI433" s="402"/>
      <c r="AJ433" s="401"/>
      <c r="AK433" s="402"/>
      <c r="AL433" s="401"/>
      <c r="AM433" s="402"/>
      <c r="AN433" s="401"/>
      <c r="AO433" s="402"/>
    </row>
    <row r="434" spans="1:44" s="179" customFormat="1" ht="15.75" hidden="1" customHeight="1">
      <c r="A434" s="225" t="s">
        <v>393</v>
      </c>
      <c r="B434" s="226" t="s">
        <v>411</v>
      </c>
      <c r="C434" s="491"/>
      <c r="D434" s="436">
        <v>220400</v>
      </c>
      <c r="E434" s="439">
        <v>9</v>
      </c>
      <c r="F434" s="401">
        <v>4534</v>
      </c>
      <c r="G434" s="402">
        <v>4618</v>
      </c>
      <c r="H434" s="401">
        <v>17740</v>
      </c>
      <c r="I434" s="402">
        <v>18076</v>
      </c>
      <c r="J434" s="401"/>
      <c r="K434" s="402"/>
      <c r="L434" s="401"/>
      <c r="M434" s="402"/>
      <c r="N434" s="401"/>
      <c r="O434" s="402"/>
      <c r="P434" s="401"/>
      <c r="Q434" s="402"/>
      <c r="R434" s="401"/>
      <c r="S434" s="402"/>
      <c r="T434" s="401"/>
      <c r="U434" s="402"/>
      <c r="V434" s="401"/>
      <c r="W434" s="402"/>
      <c r="X434" s="401"/>
      <c r="Y434" s="402"/>
      <c r="Z434" s="401"/>
      <c r="AA434" s="402"/>
      <c r="AB434" s="401"/>
      <c r="AC434" s="402"/>
      <c r="AD434" s="401"/>
      <c r="AE434" s="402"/>
      <c r="AF434" s="401"/>
      <c r="AG434" s="402"/>
      <c r="AH434" s="401"/>
      <c r="AI434" s="402"/>
      <c r="AJ434" s="401"/>
      <c r="AK434" s="402"/>
      <c r="AL434" s="401"/>
      <c r="AM434" s="402"/>
      <c r="AN434" s="401"/>
      <c r="AO434" s="402"/>
    </row>
    <row r="435" spans="1:44" s="179" customFormat="1" ht="15.75" hidden="1" customHeight="1">
      <c r="A435" s="225" t="s">
        <v>393</v>
      </c>
      <c r="B435" s="226" t="s">
        <v>412</v>
      </c>
      <c r="C435" s="491"/>
      <c r="D435" s="436">
        <v>221096</v>
      </c>
      <c r="E435" s="439">
        <v>9</v>
      </c>
      <c r="F435" s="401">
        <v>4554</v>
      </c>
      <c r="G435" s="402">
        <v>4638</v>
      </c>
      <c r="H435" s="401">
        <v>17760</v>
      </c>
      <c r="I435" s="402">
        <v>18096</v>
      </c>
      <c r="J435" s="401"/>
      <c r="K435" s="402"/>
      <c r="L435" s="401"/>
      <c r="M435" s="402"/>
      <c r="N435" s="401"/>
      <c r="O435" s="402"/>
      <c r="P435" s="401"/>
      <c r="Q435" s="402"/>
      <c r="R435" s="401"/>
      <c r="S435" s="402"/>
      <c r="T435" s="401"/>
      <c r="U435" s="402"/>
      <c r="V435" s="401"/>
      <c r="W435" s="402"/>
      <c r="X435" s="401"/>
      <c r="Y435" s="402"/>
      <c r="Z435" s="401"/>
      <c r="AA435" s="402"/>
      <c r="AB435" s="401"/>
      <c r="AC435" s="402"/>
      <c r="AD435" s="401"/>
      <c r="AE435" s="402"/>
      <c r="AF435" s="401"/>
      <c r="AG435" s="402"/>
      <c r="AH435" s="401"/>
      <c r="AI435" s="402"/>
      <c r="AJ435" s="401"/>
      <c r="AK435" s="402"/>
      <c r="AL435" s="401"/>
      <c r="AM435" s="402"/>
      <c r="AN435" s="401"/>
      <c r="AO435" s="402"/>
    </row>
    <row r="436" spans="1:44" s="179" customFormat="1" ht="15.75" hidden="1" customHeight="1">
      <c r="A436" s="225" t="s">
        <v>393</v>
      </c>
      <c r="B436" s="226" t="s">
        <v>413</v>
      </c>
      <c r="C436" s="491"/>
      <c r="D436" s="436">
        <v>221908</v>
      </c>
      <c r="E436" s="439">
        <v>9</v>
      </c>
      <c r="F436" s="401">
        <v>4560</v>
      </c>
      <c r="G436" s="402">
        <v>4644</v>
      </c>
      <c r="H436" s="401">
        <v>17766</v>
      </c>
      <c r="I436" s="402">
        <v>18102</v>
      </c>
      <c r="J436" s="401"/>
      <c r="K436" s="402"/>
      <c r="L436" s="401"/>
      <c r="M436" s="402"/>
      <c r="N436" s="401"/>
      <c r="O436" s="402"/>
      <c r="P436" s="401"/>
      <c r="Q436" s="402"/>
      <c r="R436" s="401"/>
      <c r="S436" s="402"/>
      <c r="T436" s="401"/>
      <c r="U436" s="402"/>
      <c r="V436" s="401"/>
      <c r="W436" s="402"/>
      <c r="X436" s="401"/>
      <c r="Y436" s="402"/>
      <c r="Z436" s="401"/>
      <c r="AA436" s="402"/>
      <c r="AB436" s="401"/>
      <c r="AC436" s="402"/>
      <c r="AD436" s="401"/>
      <c r="AE436" s="402"/>
      <c r="AF436" s="401"/>
      <c r="AG436" s="402"/>
      <c r="AH436" s="401"/>
      <c r="AI436" s="402"/>
      <c r="AJ436" s="401"/>
      <c r="AK436" s="402"/>
      <c r="AL436" s="401"/>
      <c r="AM436" s="402"/>
      <c r="AN436" s="401"/>
      <c r="AO436" s="402"/>
    </row>
    <row r="437" spans="1:44" s="179" customFormat="1" ht="15.75" hidden="1" customHeight="1">
      <c r="A437" s="225" t="s">
        <v>393</v>
      </c>
      <c r="B437" s="226" t="s">
        <v>414</v>
      </c>
      <c r="C437" s="491"/>
      <c r="D437" s="436">
        <v>221397</v>
      </c>
      <c r="E437" s="439">
        <v>9</v>
      </c>
      <c r="F437" s="401">
        <v>4552</v>
      </c>
      <c r="G437" s="402">
        <v>4636</v>
      </c>
      <c r="H437" s="401">
        <v>17758</v>
      </c>
      <c r="I437" s="402">
        <v>18094</v>
      </c>
      <c r="J437" s="401"/>
      <c r="K437" s="402"/>
      <c r="L437" s="401"/>
      <c r="M437" s="402"/>
      <c r="N437" s="401"/>
      <c r="O437" s="402"/>
      <c r="P437" s="401"/>
      <c r="Q437" s="402"/>
      <c r="R437" s="401"/>
      <c r="S437" s="402"/>
      <c r="T437" s="401"/>
      <c r="U437" s="402"/>
      <c r="V437" s="401"/>
      <c r="W437" s="402"/>
      <c r="X437" s="401"/>
      <c r="Y437" s="402"/>
      <c r="Z437" s="401"/>
      <c r="AA437" s="402"/>
      <c r="AB437" s="401"/>
      <c r="AC437" s="402"/>
      <c r="AD437" s="401"/>
      <c r="AE437" s="402"/>
      <c r="AF437" s="401"/>
      <c r="AG437" s="402"/>
      <c r="AH437" s="401"/>
      <c r="AI437" s="402"/>
      <c r="AJ437" s="401"/>
      <c r="AK437" s="402"/>
      <c r="AL437" s="401"/>
      <c r="AM437" s="402"/>
      <c r="AN437" s="401"/>
      <c r="AO437" s="402"/>
    </row>
    <row r="438" spans="1:44" s="179" customFormat="1" ht="15.75" hidden="1" customHeight="1">
      <c r="A438" s="225" t="s">
        <v>393</v>
      </c>
      <c r="B438" s="226" t="s">
        <v>415</v>
      </c>
      <c r="C438" s="491"/>
      <c r="D438" s="436">
        <v>222062</v>
      </c>
      <c r="E438" s="439">
        <v>9</v>
      </c>
      <c r="F438" s="401">
        <v>4537</v>
      </c>
      <c r="G438" s="402">
        <v>4621</v>
      </c>
      <c r="H438" s="401">
        <v>17743</v>
      </c>
      <c r="I438" s="402">
        <v>18079</v>
      </c>
      <c r="J438" s="401"/>
      <c r="K438" s="402"/>
      <c r="L438" s="401"/>
      <c r="M438" s="402"/>
      <c r="N438" s="401"/>
      <c r="O438" s="402"/>
      <c r="P438" s="401"/>
      <c r="Q438" s="402"/>
      <c r="R438" s="401"/>
      <c r="S438" s="402"/>
      <c r="T438" s="401"/>
      <c r="U438" s="402"/>
      <c r="V438" s="401"/>
      <c r="W438" s="402"/>
      <c r="X438" s="401"/>
      <c r="Y438" s="402"/>
      <c r="Z438" s="401"/>
      <c r="AA438" s="402"/>
      <c r="AB438" s="401"/>
      <c r="AC438" s="402"/>
      <c r="AD438" s="401"/>
      <c r="AE438" s="402"/>
      <c r="AF438" s="401"/>
      <c r="AG438" s="402"/>
      <c r="AH438" s="401"/>
      <c r="AI438" s="402"/>
      <c r="AJ438" s="401"/>
      <c r="AK438" s="402"/>
      <c r="AL438" s="401"/>
      <c r="AM438" s="402"/>
      <c r="AN438" s="401"/>
      <c r="AO438" s="402"/>
    </row>
    <row r="439" spans="1:44" s="179" customFormat="1" ht="15.75" hidden="1" customHeight="1">
      <c r="A439" s="225" t="s">
        <v>393</v>
      </c>
      <c r="B439" s="226" t="s">
        <v>410</v>
      </c>
      <c r="C439" s="490"/>
      <c r="D439" s="436">
        <v>220057</v>
      </c>
      <c r="E439" s="439">
        <v>10</v>
      </c>
      <c r="F439" s="401">
        <v>4548</v>
      </c>
      <c r="G439" s="402">
        <v>4632</v>
      </c>
      <c r="H439" s="401">
        <v>17754</v>
      </c>
      <c r="I439" s="402">
        <v>18090</v>
      </c>
      <c r="J439" s="401"/>
      <c r="K439" s="402"/>
      <c r="L439" s="401"/>
      <c r="M439" s="402"/>
      <c r="N439" s="401"/>
      <c r="O439" s="402"/>
      <c r="P439" s="401"/>
      <c r="Q439" s="402"/>
      <c r="R439" s="401"/>
      <c r="S439" s="402"/>
      <c r="T439" s="401"/>
      <c r="U439" s="402"/>
      <c r="V439" s="401"/>
      <c r="W439" s="402"/>
      <c r="X439" s="401"/>
      <c r="Y439" s="402"/>
      <c r="Z439" s="401"/>
      <c r="AA439" s="402"/>
      <c r="AB439" s="401"/>
      <c r="AC439" s="402"/>
      <c r="AD439" s="401"/>
      <c r="AE439" s="402"/>
      <c r="AF439" s="401"/>
      <c r="AG439" s="402"/>
      <c r="AH439" s="401"/>
      <c r="AI439" s="402"/>
      <c r="AJ439" s="401"/>
      <c r="AK439" s="402"/>
      <c r="AL439" s="401"/>
      <c r="AM439" s="402"/>
      <c r="AN439" s="401"/>
      <c r="AO439" s="402"/>
    </row>
    <row r="440" spans="1:44" hidden="1">
      <c r="A440" s="225" t="s">
        <v>393</v>
      </c>
      <c r="B440" s="226" t="s">
        <v>418</v>
      </c>
      <c r="C440" s="495"/>
      <c r="D440" s="436">
        <v>219596</v>
      </c>
      <c r="E440" s="439">
        <v>13</v>
      </c>
      <c r="F440" s="401">
        <v>3936</v>
      </c>
      <c r="G440" s="402">
        <v>4008</v>
      </c>
      <c r="H440" s="401"/>
      <c r="I440" s="402"/>
      <c r="J440" s="401"/>
      <c r="K440" s="402"/>
      <c r="L440" s="401"/>
      <c r="M440" s="402"/>
      <c r="N440" s="401"/>
      <c r="O440" s="402"/>
      <c r="P440" s="401"/>
      <c r="Q440" s="402"/>
      <c r="R440" s="401"/>
      <c r="S440" s="402"/>
      <c r="T440" s="401"/>
      <c r="U440" s="402"/>
      <c r="V440" s="401"/>
      <c r="W440" s="402"/>
      <c r="X440" s="401"/>
      <c r="Y440" s="402"/>
      <c r="Z440" s="401"/>
      <c r="AA440" s="402"/>
      <c r="AB440" s="401"/>
      <c r="AC440" s="402"/>
      <c r="AD440" s="401"/>
      <c r="AE440" s="402"/>
      <c r="AF440" s="401"/>
      <c r="AG440" s="402"/>
      <c r="AH440" s="401"/>
      <c r="AI440" s="402"/>
      <c r="AJ440" s="401"/>
      <c r="AK440" s="402"/>
      <c r="AL440" s="401"/>
      <c r="AM440" s="402"/>
      <c r="AN440" s="401"/>
      <c r="AO440" s="402"/>
      <c r="AP440" s="53"/>
      <c r="AQ440" s="53"/>
      <c r="AR440" s="53"/>
    </row>
    <row r="441" spans="1:44" s="179" customFormat="1" ht="15.75" hidden="1" customHeight="1">
      <c r="A441" s="225" t="s">
        <v>393</v>
      </c>
      <c r="B441" s="226" t="s">
        <v>416</v>
      </c>
      <c r="C441" s="490"/>
      <c r="D441" s="436" t="s">
        <v>417</v>
      </c>
      <c r="E441" s="439">
        <v>13</v>
      </c>
      <c r="F441" s="401">
        <v>3936</v>
      </c>
      <c r="G441" s="402">
        <v>4008</v>
      </c>
      <c r="H441" s="401"/>
      <c r="I441" s="402"/>
      <c r="J441" s="401"/>
      <c r="K441" s="402"/>
      <c r="L441" s="401"/>
      <c r="M441" s="402"/>
      <c r="N441" s="401"/>
      <c r="O441" s="402"/>
      <c r="P441" s="401"/>
      <c r="Q441" s="402"/>
      <c r="R441" s="401"/>
      <c r="S441" s="402"/>
      <c r="T441" s="401"/>
      <c r="U441" s="402"/>
      <c r="V441" s="401"/>
      <c r="W441" s="402"/>
      <c r="X441" s="401"/>
      <c r="Y441" s="402"/>
      <c r="Z441" s="401"/>
      <c r="AA441" s="402"/>
      <c r="AB441" s="401"/>
      <c r="AC441" s="402"/>
      <c r="AD441" s="401"/>
      <c r="AE441" s="402"/>
      <c r="AF441" s="401"/>
      <c r="AG441" s="402"/>
      <c r="AH441" s="401"/>
      <c r="AI441" s="402"/>
      <c r="AJ441" s="401"/>
      <c r="AK441" s="402"/>
      <c r="AL441" s="401"/>
      <c r="AM441" s="402"/>
      <c r="AN441" s="401"/>
      <c r="AO441" s="402"/>
    </row>
    <row r="442" spans="1:44" hidden="1">
      <c r="A442" s="225" t="s">
        <v>393</v>
      </c>
      <c r="B442" s="226" t="s">
        <v>419</v>
      </c>
      <c r="C442" s="495"/>
      <c r="D442" s="436">
        <v>219921</v>
      </c>
      <c r="E442" s="439">
        <v>13</v>
      </c>
      <c r="F442" s="401">
        <v>3936</v>
      </c>
      <c r="G442" s="402">
        <v>4008</v>
      </c>
      <c r="H442" s="401"/>
      <c r="I442" s="402"/>
      <c r="J442" s="401"/>
      <c r="K442" s="402"/>
      <c r="L442" s="401"/>
      <c r="M442" s="402"/>
      <c r="N442" s="401"/>
      <c r="O442" s="402"/>
      <c r="P442" s="401"/>
      <c r="Q442" s="402"/>
      <c r="R442" s="401"/>
      <c r="S442" s="402"/>
      <c r="T442" s="401"/>
      <c r="U442" s="402"/>
      <c r="V442" s="401"/>
      <c r="W442" s="402"/>
      <c r="X442" s="401"/>
      <c r="Y442" s="402"/>
      <c r="Z442" s="401"/>
      <c r="AA442" s="402"/>
      <c r="AB442" s="401"/>
      <c r="AC442" s="402"/>
      <c r="AD442" s="401"/>
      <c r="AE442" s="402"/>
      <c r="AF442" s="401"/>
      <c r="AG442" s="402"/>
      <c r="AH442" s="401"/>
      <c r="AI442" s="402"/>
      <c r="AJ442" s="401"/>
      <c r="AK442" s="402"/>
      <c r="AL442" s="401"/>
      <c r="AM442" s="402"/>
      <c r="AN442" s="401"/>
      <c r="AO442" s="402"/>
      <c r="AP442" s="53"/>
      <c r="AQ442" s="53"/>
      <c r="AR442" s="53"/>
    </row>
    <row r="443" spans="1:44" hidden="1">
      <c r="A443" s="225" t="s">
        <v>393</v>
      </c>
      <c r="B443" s="226" t="s">
        <v>420</v>
      </c>
      <c r="C443" s="495"/>
      <c r="D443" s="436">
        <v>221591</v>
      </c>
      <c r="E443" s="439">
        <v>13</v>
      </c>
      <c r="F443" s="401">
        <v>3936</v>
      </c>
      <c r="G443" s="402">
        <v>4008</v>
      </c>
      <c r="H443" s="401"/>
      <c r="I443" s="402"/>
      <c r="J443" s="401"/>
      <c r="K443" s="402"/>
      <c r="L443" s="401"/>
      <c r="M443" s="402"/>
      <c r="N443" s="401"/>
      <c r="O443" s="402"/>
      <c r="P443" s="401"/>
      <c r="Q443" s="402"/>
      <c r="R443" s="401"/>
      <c r="S443" s="402"/>
      <c r="T443" s="401"/>
      <c r="U443" s="402"/>
      <c r="V443" s="401"/>
      <c r="W443" s="402"/>
      <c r="X443" s="401"/>
      <c r="Y443" s="402"/>
      <c r="Z443" s="401"/>
      <c r="AA443" s="402"/>
      <c r="AB443" s="401"/>
      <c r="AC443" s="402"/>
      <c r="AD443" s="401"/>
      <c r="AE443" s="402"/>
      <c r="AF443" s="401"/>
      <c r="AG443" s="402"/>
      <c r="AH443" s="401"/>
      <c r="AI443" s="402"/>
      <c r="AJ443" s="401"/>
      <c r="AK443" s="402"/>
      <c r="AL443" s="401"/>
      <c r="AM443" s="402"/>
      <c r="AN443" s="401"/>
      <c r="AO443" s="402"/>
      <c r="AP443" s="53"/>
      <c r="AQ443" s="53"/>
      <c r="AR443" s="53"/>
    </row>
    <row r="444" spans="1:44" hidden="1">
      <c r="A444" s="225" t="s">
        <v>393</v>
      </c>
      <c r="B444" s="226" t="s">
        <v>421</v>
      </c>
      <c r="C444" s="495"/>
      <c r="D444" s="436">
        <v>221430</v>
      </c>
      <c r="E444" s="439">
        <v>13</v>
      </c>
      <c r="F444" s="401">
        <v>3936</v>
      </c>
      <c r="G444" s="402">
        <v>4008</v>
      </c>
      <c r="H444" s="401"/>
      <c r="I444" s="402"/>
      <c r="J444" s="401"/>
      <c r="K444" s="402"/>
      <c r="L444" s="401"/>
      <c r="M444" s="402"/>
      <c r="N444" s="401"/>
      <c r="O444" s="402"/>
      <c r="P444" s="401"/>
      <c r="Q444" s="402"/>
      <c r="R444" s="401"/>
      <c r="S444" s="402"/>
      <c r="T444" s="401"/>
      <c r="U444" s="402"/>
      <c r="V444" s="401"/>
      <c r="W444" s="402"/>
      <c r="X444" s="401"/>
      <c r="Y444" s="402"/>
      <c r="Z444" s="401"/>
      <c r="AA444" s="402"/>
      <c r="AB444" s="401"/>
      <c r="AC444" s="402"/>
      <c r="AD444" s="401"/>
      <c r="AE444" s="402"/>
      <c r="AF444" s="401"/>
      <c r="AG444" s="402"/>
      <c r="AH444" s="401"/>
      <c r="AI444" s="402"/>
      <c r="AJ444" s="401"/>
      <c r="AK444" s="402"/>
      <c r="AL444" s="401"/>
      <c r="AM444" s="402"/>
      <c r="AN444" s="401"/>
      <c r="AO444" s="402"/>
      <c r="AP444" s="53"/>
      <c r="AQ444" s="53"/>
      <c r="AR444" s="53"/>
    </row>
    <row r="445" spans="1:44" hidden="1">
      <c r="A445" s="225" t="s">
        <v>393</v>
      </c>
      <c r="B445" s="226" t="s">
        <v>422</v>
      </c>
      <c r="C445" s="495"/>
      <c r="D445" s="436">
        <v>219994</v>
      </c>
      <c r="E445" s="439">
        <v>13</v>
      </c>
      <c r="F445" s="401">
        <v>3936</v>
      </c>
      <c r="G445" s="402">
        <v>4008</v>
      </c>
      <c r="H445" s="401"/>
      <c r="I445" s="402"/>
      <c r="J445" s="401"/>
      <c r="K445" s="402"/>
      <c r="L445" s="401"/>
      <c r="M445" s="402"/>
      <c r="N445" s="401"/>
      <c r="O445" s="402"/>
      <c r="P445" s="401"/>
      <c r="Q445" s="402"/>
      <c r="R445" s="401"/>
      <c r="S445" s="402"/>
      <c r="T445" s="401"/>
      <c r="U445" s="402"/>
      <c r="V445" s="401"/>
      <c r="W445" s="402"/>
      <c r="X445" s="401"/>
      <c r="Y445" s="402"/>
      <c r="Z445" s="401"/>
      <c r="AA445" s="402"/>
      <c r="AB445" s="401"/>
      <c r="AC445" s="402"/>
      <c r="AD445" s="401"/>
      <c r="AE445" s="402"/>
      <c r="AF445" s="401"/>
      <c r="AG445" s="402"/>
      <c r="AH445" s="401"/>
      <c r="AI445" s="402"/>
      <c r="AJ445" s="401"/>
      <c r="AK445" s="402"/>
      <c r="AL445" s="401"/>
      <c r="AM445" s="402"/>
      <c r="AN445" s="401"/>
      <c r="AO445" s="402"/>
      <c r="AP445" s="53"/>
      <c r="AQ445" s="53"/>
      <c r="AR445" s="53"/>
    </row>
    <row r="446" spans="1:44" hidden="1">
      <c r="A446" s="225" t="s">
        <v>393</v>
      </c>
      <c r="B446" s="226" t="s">
        <v>423</v>
      </c>
      <c r="C446" s="495"/>
      <c r="D446" s="436">
        <v>220127</v>
      </c>
      <c r="E446" s="439">
        <v>13</v>
      </c>
      <c r="F446" s="401">
        <v>3936</v>
      </c>
      <c r="G446" s="402">
        <v>4008</v>
      </c>
      <c r="H446" s="401"/>
      <c r="I446" s="402"/>
      <c r="J446" s="401"/>
      <c r="K446" s="402"/>
      <c r="L446" s="401"/>
      <c r="M446" s="402"/>
      <c r="N446" s="401"/>
      <c r="O446" s="402"/>
      <c r="P446" s="401"/>
      <c r="Q446" s="402"/>
      <c r="R446" s="401"/>
      <c r="S446" s="402"/>
      <c r="T446" s="401"/>
      <c r="U446" s="402"/>
      <c r="V446" s="401"/>
      <c r="W446" s="402"/>
      <c r="X446" s="401"/>
      <c r="Y446" s="402"/>
      <c r="Z446" s="401"/>
      <c r="AA446" s="402"/>
      <c r="AB446" s="401"/>
      <c r="AC446" s="402"/>
      <c r="AD446" s="401"/>
      <c r="AE446" s="402"/>
      <c r="AF446" s="401"/>
      <c r="AG446" s="402"/>
      <c r="AH446" s="401"/>
      <c r="AI446" s="402"/>
      <c r="AJ446" s="401"/>
      <c r="AK446" s="402"/>
      <c r="AL446" s="401"/>
      <c r="AM446" s="402"/>
      <c r="AN446" s="401"/>
      <c r="AO446" s="402"/>
      <c r="AP446" s="53"/>
      <c r="AQ446" s="53"/>
      <c r="AR446" s="53"/>
    </row>
    <row r="447" spans="1:44" hidden="1">
      <c r="A447" s="225" t="s">
        <v>393</v>
      </c>
      <c r="B447" s="226" t="s">
        <v>424</v>
      </c>
      <c r="C447" s="495"/>
      <c r="D447" s="436">
        <v>220251</v>
      </c>
      <c r="E447" s="439">
        <v>13</v>
      </c>
      <c r="F447" s="401">
        <v>3936</v>
      </c>
      <c r="G447" s="402">
        <v>4008</v>
      </c>
      <c r="H447" s="401"/>
      <c r="I447" s="402"/>
      <c r="J447" s="401"/>
      <c r="K447" s="402"/>
      <c r="L447" s="401"/>
      <c r="M447" s="402"/>
      <c r="N447" s="401"/>
      <c r="O447" s="402"/>
      <c r="P447" s="401"/>
      <c r="Q447" s="402"/>
      <c r="R447" s="401"/>
      <c r="S447" s="402"/>
      <c r="T447" s="401"/>
      <c r="U447" s="402"/>
      <c r="V447" s="401"/>
      <c r="W447" s="402"/>
      <c r="X447" s="401"/>
      <c r="Y447" s="402"/>
      <c r="Z447" s="401"/>
      <c r="AA447" s="402"/>
      <c r="AB447" s="401"/>
      <c r="AC447" s="402"/>
      <c r="AD447" s="401"/>
      <c r="AE447" s="402"/>
      <c r="AF447" s="401"/>
      <c r="AG447" s="402"/>
      <c r="AH447" s="401"/>
      <c r="AI447" s="402"/>
      <c r="AJ447" s="401"/>
      <c r="AK447" s="402"/>
      <c r="AL447" s="401"/>
      <c r="AM447" s="402"/>
      <c r="AN447" s="401"/>
      <c r="AO447" s="402"/>
      <c r="AP447" s="53"/>
      <c r="AQ447" s="53"/>
      <c r="AR447" s="53"/>
    </row>
    <row r="448" spans="1:44" hidden="1">
      <c r="A448" s="225" t="s">
        <v>393</v>
      </c>
      <c r="B448" s="226" t="s">
        <v>425</v>
      </c>
      <c r="C448" s="495"/>
      <c r="D448" s="436">
        <v>220279</v>
      </c>
      <c r="E448" s="439">
        <v>13</v>
      </c>
      <c r="F448" s="401">
        <v>3936</v>
      </c>
      <c r="G448" s="402">
        <v>4008</v>
      </c>
      <c r="H448" s="401"/>
      <c r="I448" s="402"/>
      <c r="J448" s="401"/>
      <c r="K448" s="402"/>
      <c r="L448" s="401"/>
      <c r="M448" s="402"/>
      <c r="N448" s="401"/>
      <c r="O448" s="402"/>
      <c r="P448" s="401"/>
      <c r="Q448" s="402"/>
      <c r="R448" s="401"/>
      <c r="S448" s="402"/>
      <c r="T448" s="401"/>
      <c r="U448" s="402"/>
      <c r="V448" s="401"/>
      <c r="W448" s="402"/>
      <c r="X448" s="401"/>
      <c r="Y448" s="402"/>
      <c r="Z448" s="401"/>
      <c r="AA448" s="402"/>
      <c r="AB448" s="401"/>
      <c r="AC448" s="402"/>
      <c r="AD448" s="401"/>
      <c r="AE448" s="402"/>
      <c r="AF448" s="401"/>
      <c r="AG448" s="402"/>
      <c r="AH448" s="401"/>
      <c r="AI448" s="402"/>
      <c r="AJ448" s="401"/>
      <c r="AK448" s="402"/>
      <c r="AL448" s="401"/>
      <c r="AM448" s="402"/>
      <c r="AN448" s="401"/>
      <c r="AO448" s="402"/>
      <c r="AP448" s="53"/>
      <c r="AQ448" s="53"/>
      <c r="AR448" s="53"/>
    </row>
    <row r="449" spans="1:44" hidden="1">
      <c r="A449" s="225" t="s">
        <v>393</v>
      </c>
      <c r="B449" s="226" t="s">
        <v>426</v>
      </c>
      <c r="C449" s="495"/>
      <c r="D449" s="436">
        <v>220321</v>
      </c>
      <c r="E449" s="439">
        <v>13</v>
      </c>
      <c r="F449" s="401">
        <v>3936</v>
      </c>
      <c r="G449" s="402">
        <v>4008</v>
      </c>
      <c r="H449" s="401"/>
      <c r="I449" s="402"/>
      <c r="J449" s="401"/>
      <c r="K449" s="402"/>
      <c r="L449" s="401"/>
      <c r="M449" s="402"/>
      <c r="N449" s="401"/>
      <c r="O449" s="402"/>
      <c r="P449" s="401"/>
      <c r="Q449" s="402"/>
      <c r="R449" s="401"/>
      <c r="S449" s="402"/>
      <c r="T449" s="401"/>
      <c r="U449" s="402"/>
      <c r="V449" s="401"/>
      <c r="W449" s="402"/>
      <c r="X449" s="401"/>
      <c r="Y449" s="402"/>
      <c r="Z449" s="401"/>
      <c r="AA449" s="402"/>
      <c r="AB449" s="401"/>
      <c r="AC449" s="402"/>
      <c r="AD449" s="401"/>
      <c r="AE449" s="402"/>
      <c r="AF449" s="401"/>
      <c r="AG449" s="402"/>
      <c r="AH449" s="401"/>
      <c r="AI449" s="402"/>
      <c r="AJ449" s="401"/>
      <c r="AK449" s="402"/>
      <c r="AL449" s="401"/>
      <c r="AM449" s="402"/>
      <c r="AN449" s="401"/>
      <c r="AO449" s="402"/>
      <c r="AP449" s="53"/>
      <c r="AQ449" s="53"/>
      <c r="AR449" s="53"/>
    </row>
    <row r="450" spans="1:44" hidden="1">
      <c r="A450" s="225" t="s">
        <v>393</v>
      </c>
      <c r="B450" s="226" t="s">
        <v>427</v>
      </c>
      <c r="C450" s="495"/>
      <c r="D450" s="436">
        <v>220394</v>
      </c>
      <c r="E450" s="439">
        <v>13</v>
      </c>
      <c r="F450" s="401">
        <v>3936</v>
      </c>
      <c r="G450" s="402">
        <v>4008</v>
      </c>
      <c r="H450" s="401"/>
      <c r="I450" s="402"/>
      <c r="J450" s="401"/>
      <c r="K450" s="402"/>
      <c r="L450" s="401"/>
      <c r="M450" s="402"/>
      <c r="N450" s="401"/>
      <c r="O450" s="402"/>
      <c r="P450" s="401"/>
      <c r="Q450" s="402"/>
      <c r="R450" s="401"/>
      <c r="S450" s="402"/>
      <c r="T450" s="401"/>
      <c r="U450" s="402"/>
      <c r="V450" s="401"/>
      <c r="W450" s="402"/>
      <c r="X450" s="401"/>
      <c r="Y450" s="402"/>
      <c r="Z450" s="401"/>
      <c r="AA450" s="402"/>
      <c r="AB450" s="401"/>
      <c r="AC450" s="402"/>
      <c r="AD450" s="401"/>
      <c r="AE450" s="402"/>
      <c r="AF450" s="401"/>
      <c r="AG450" s="402"/>
      <c r="AH450" s="401"/>
      <c r="AI450" s="402"/>
      <c r="AJ450" s="401"/>
      <c r="AK450" s="402"/>
      <c r="AL450" s="401"/>
      <c r="AM450" s="402"/>
      <c r="AN450" s="401"/>
      <c r="AO450" s="402"/>
      <c r="AP450" s="53"/>
      <c r="AQ450" s="53"/>
      <c r="AR450" s="53"/>
    </row>
    <row r="451" spans="1:44" hidden="1">
      <c r="A451" s="225" t="s">
        <v>393</v>
      </c>
      <c r="B451" s="226" t="s">
        <v>428</v>
      </c>
      <c r="C451" s="495"/>
      <c r="D451" s="436">
        <v>221616</v>
      </c>
      <c r="E451" s="439">
        <v>13</v>
      </c>
      <c r="F451" s="401">
        <v>3936</v>
      </c>
      <c r="G451" s="402">
        <v>4008</v>
      </c>
      <c r="H451" s="401"/>
      <c r="I451" s="402"/>
      <c r="J451" s="401"/>
      <c r="K451" s="402"/>
      <c r="L451" s="401"/>
      <c r="M451" s="402"/>
      <c r="N451" s="401"/>
      <c r="O451" s="402"/>
      <c r="P451" s="401"/>
      <c r="Q451" s="402"/>
      <c r="R451" s="401"/>
      <c r="S451" s="402"/>
      <c r="T451" s="401"/>
      <c r="U451" s="402"/>
      <c r="V451" s="401"/>
      <c r="W451" s="402"/>
      <c r="X451" s="401"/>
      <c r="Y451" s="402"/>
      <c r="Z451" s="401"/>
      <c r="AA451" s="402"/>
      <c r="AB451" s="401"/>
      <c r="AC451" s="402"/>
      <c r="AD451" s="401"/>
      <c r="AE451" s="402"/>
      <c r="AF451" s="401"/>
      <c r="AG451" s="402"/>
      <c r="AH451" s="401"/>
      <c r="AI451" s="402"/>
      <c r="AJ451" s="401"/>
      <c r="AK451" s="402"/>
      <c r="AL451" s="401"/>
      <c r="AM451" s="402"/>
      <c r="AN451" s="401"/>
      <c r="AO451" s="402"/>
      <c r="AP451" s="53"/>
      <c r="AQ451" s="53"/>
      <c r="AR451" s="53"/>
    </row>
    <row r="452" spans="1:44" hidden="1">
      <c r="A452" s="225" t="s">
        <v>393</v>
      </c>
      <c r="B452" s="226" t="s">
        <v>429</v>
      </c>
      <c r="C452" s="495"/>
      <c r="D452" s="436">
        <v>221625</v>
      </c>
      <c r="E452" s="439">
        <v>13</v>
      </c>
      <c r="F452" s="401">
        <v>3936</v>
      </c>
      <c r="G452" s="402">
        <v>4008</v>
      </c>
      <c r="H452" s="401"/>
      <c r="I452" s="402"/>
      <c r="J452" s="401"/>
      <c r="K452" s="402"/>
      <c r="L452" s="401"/>
      <c r="M452" s="402"/>
      <c r="N452" s="401"/>
      <c r="O452" s="402"/>
      <c r="P452" s="401"/>
      <c r="Q452" s="402"/>
      <c r="R452" s="401"/>
      <c r="S452" s="402"/>
      <c r="T452" s="401"/>
      <c r="U452" s="402"/>
      <c r="V452" s="401"/>
      <c r="W452" s="402"/>
      <c r="X452" s="401"/>
      <c r="Y452" s="402"/>
      <c r="Z452" s="401"/>
      <c r="AA452" s="402"/>
      <c r="AB452" s="401"/>
      <c r="AC452" s="402"/>
      <c r="AD452" s="401"/>
      <c r="AE452" s="402"/>
      <c r="AF452" s="401"/>
      <c r="AG452" s="402"/>
      <c r="AH452" s="401"/>
      <c r="AI452" s="402"/>
      <c r="AJ452" s="401"/>
      <c r="AK452" s="402"/>
      <c r="AL452" s="401"/>
      <c r="AM452" s="402"/>
      <c r="AN452" s="401"/>
      <c r="AO452" s="402"/>
      <c r="AP452" s="53"/>
      <c r="AQ452" s="53"/>
      <c r="AR452" s="53"/>
    </row>
    <row r="453" spans="1:44" hidden="1">
      <c r="A453" s="225" t="s">
        <v>393</v>
      </c>
      <c r="B453" s="226" t="s">
        <v>430</v>
      </c>
      <c r="C453" s="495"/>
      <c r="D453" s="436">
        <v>220640</v>
      </c>
      <c r="E453" s="439">
        <v>13</v>
      </c>
      <c r="F453" s="401">
        <v>3936</v>
      </c>
      <c r="G453" s="402">
        <v>4008</v>
      </c>
      <c r="H453" s="401"/>
      <c r="I453" s="402"/>
      <c r="J453" s="401"/>
      <c r="K453" s="402"/>
      <c r="L453" s="401"/>
      <c r="M453" s="402"/>
      <c r="N453" s="401"/>
      <c r="O453" s="402"/>
      <c r="P453" s="401"/>
      <c r="Q453" s="402"/>
      <c r="R453" s="401"/>
      <c r="S453" s="402"/>
      <c r="T453" s="401"/>
      <c r="U453" s="402"/>
      <c r="V453" s="401"/>
      <c r="W453" s="402"/>
      <c r="X453" s="401"/>
      <c r="Y453" s="402"/>
      <c r="Z453" s="401"/>
      <c r="AA453" s="402"/>
      <c r="AB453" s="401"/>
      <c r="AC453" s="402"/>
      <c r="AD453" s="401"/>
      <c r="AE453" s="402"/>
      <c r="AF453" s="401"/>
      <c r="AG453" s="402"/>
      <c r="AH453" s="401"/>
      <c r="AI453" s="402"/>
      <c r="AJ453" s="401"/>
      <c r="AK453" s="402"/>
      <c r="AL453" s="401"/>
      <c r="AM453" s="402"/>
      <c r="AN453" s="401"/>
      <c r="AO453" s="402"/>
      <c r="AP453" s="53"/>
      <c r="AQ453" s="53"/>
      <c r="AR453" s="53"/>
    </row>
    <row r="454" spans="1:44" hidden="1">
      <c r="A454" s="225" t="s">
        <v>393</v>
      </c>
      <c r="B454" s="226" t="s">
        <v>431</v>
      </c>
      <c r="C454" s="495"/>
      <c r="D454" s="436">
        <v>220756</v>
      </c>
      <c r="E454" s="439">
        <v>13</v>
      </c>
      <c r="F454" s="401">
        <v>3936</v>
      </c>
      <c r="G454" s="402">
        <v>4008</v>
      </c>
      <c r="H454" s="401"/>
      <c r="I454" s="402"/>
      <c r="J454" s="401"/>
      <c r="K454" s="402"/>
      <c r="L454" s="401"/>
      <c r="M454" s="402"/>
      <c r="N454" s="401"/>
      <c r="O454" s="402"/>
      <c r="P454" s="401"/>
      <c r="Q454" s="402"/>
      <c r="R454" s="401"/>
      <c r="S454" s="402"/>
      <c r="T454" s="401"/>
      <c r="U454" s="402"/>
      <c r="V454" s="401"/>
      <c r="W454" s="402"/>
      <c r="X454" s="401"/>
      <c r="Y454" s="402"/>
      <c r="Z454" s="401"/>
      <c r="AA454" s="402"/>
      <c r="AB454" s="401"/>
      <c r="AC454" s="402"/>
      <c r="AD454" s="401"/>
      <c r="AE454" s="402"/>
      <c r="AF454" s="401"/>
      <c r="AG454" s="402"/>
      <c r="AH454" s="401"/>
      <c r="AI454" s="402"/>
      <c r="AJ454" s="401"/>
      <c r="AK454" s="402"/>
      <c r="AL454" s="401"/>
      <c r="AM454" s="402"/>
      <c r="AN454" s="401"/>
      <c r="AO454" s="402"/>
      <c r="AP454" s="53"/>
      <c r="AQ454" s="53"/>
      <c r="AR454" s="53"/>
    </row>
    <row r="455" spans="1:44" hidden="1">
      <c r="A455" s="225" t="s">
        <v>393</v>
      </c>
      <c r="B455" s="226" t="s">
        <v>432</v>
      </c>
      <c r="C455" s="495"/>
      <c r="D455" s="436">
        <v>221607</v>
      </c>
      <c r="E455" s="439">
        <v>13</v>
      </c>
      <c r="F455" s="401">
        <v>3936</v>
      </c>
      <c r="G455" s="402">
        <v>4008</v>
      </c>
      <c r="H455" s="401"/>
      <c r="I455" s="402"/>
      <c r="J455" s="401"/>
      <c r="K455" s="402"/>
      <c r="L455" s="401"/>
      <c r="M455" s="402"/>
      <c r="N455" s="401"/>
      <c r="O455" s="402"/>
      <c r="P455" s="401"/>
      <c r="Q455" s="402"/>
      <c r="R455" s="401"/>
      <c r="S455" s="402"/>
      <c r="T455" s="401"/>
      <c r="U455" s="402"/>
      <c r="V455" s="401"/>
      <c r="W455" s="402"/>
      <c r="X455" s="401"/>
      <c r="Y455" s="402"/>
      <c r="Z455" s="401"/>
      <c r="AA455" s="402"/>
      <c r="AB455" s="401"/>
      <c r="AC455" s="402"/>
      <c r="AD455" s="401"/>
      <c r="AE455" s="402"/>
      <c r="AF455" s="401"/>
      <c r="AG455" s="402"/>
      <c r="AH455" s="401"/>
      <c r="AI455" s="402"/>
      <c r="AJ455" s="401"/>
      <c r="AK455" s="402"/>
      <c r="AL455" s="401"/>
      <c r="AM455" s="402"/>
      <c r="AN455" s="401"/>
      <c r="AO455" s="402"/>
      <c r="AP455" s="53"/>
      <c r="AQ455" s="53"/>
      <c r="AR455" s="53"/>
    </row>
    <row r="456" spans="1:44" hidden="1">
      <c r="A456" s="225" t="s">
        <v>393</v>
      </c>
      <c r="B456" s="226" t="s">
        <v>433</v>
      </c>
      <c r="C456" s="376" t="s">
        <v>912</v>
      </c>
      <c r="D456" s="436">
        <v>220853</v>
      </c>
      <c r="E456" s="439">
        <v>13</v>
      </c>
      <c r="F456" s="401">
        <v>3936</v>
      </c>
      <c r="G456" s="402">
        <v>4008</v>
      </c>
      <c r="H456" s="401"/>
      <c r="I456" s="402"/>
      <c r="J456" s="401"/>
      <c r="K456" s="402"/>
      <c r="L456" s="401"/>
      <c r="M456" s="402"/>
      <c r="N456" s="401"/>
      <c r="O456" s="402"/>
      <c r="P456" s="401"/>
      <c r="Q456" s="402"/>
      <c r="R456" s="401"/>
      <c r="S456" s="402"/>
      <c r="T456" s="401"/>
      <c r="U456" s="402"/>
      <c r="V456" s="401"/>
      <c r="W456" s="402"/>
      <c r="X456" s="401"/>
      <c r="Y456" s="402"/>
      <c r="Z456" s="401"/>
      <c r="AA456" s="402"/>
      <c r="AB456" s="401"/>
      <c r="AC456" s="402"/>
      <c r="AD456" s="401"/>
      <c r="AE456" s="402"/>
      <c r="AF456" s="401"/>
      <c r="AG456" s="402"/>
      <c r="AH456" s="401"/>
      <c r="AI456" s="402"/>
      <c r="AJ456" s="401"/>
      <c r="AK456" s="402"/>
      <c r="AL456" s="401"/>
      <c r="AM456" s="402"/>
      <c r="AN456" s="401"/>
      <c r="AO456" s="402"/>
      <c r="AP456" s="53"/>
      <c r="AQ456" s="53"/>
      <c r="AR456" s="53"/>
    </row>
    <row r="457" spans="1:44" hidden="1">
      <c r="A457" s="225" t="s">
        <v>393</v>
      </c>
      <c r="B457" s="226" t="s">
        <v>434</v>
      </c>
      <c r="C457" s="495"/>
      <c r="D457" s="436">
        <v>221050</v>
      </c>
      <c r="E457" s="439">
        <v>13</v>
      </c>
      <c r="F457" s="401">
        <v>3936</v>
      </c>
      <c r="G457" s="402">
        <v>4008</v>
      </c>
      <c r="H457" s="401"/>
      <c r="I457" s="402"/>
      <c r="J457" s="401"/>
      <c r="K457" s="402"/>
      <c r="L457" s="401"/>
      <c r="M457" s="402"/>
      <c r="N457" s="401"/>
      <c r="O457" s="402"/>
      <c r="P457" s="401"/>
      <c r="Q457" s="402"/>
      <c r="R457" s="401"/>
      <c r="S457" s="402"/>
      <c r="T457" s="401"/>
      <c r="U457" s="402"/>
      <c r="V457" s="401"/>
      <c r="W457" s="402"/>
      <c r="X457" s="401"/>
      <c r="Y457" s="402"/>
      <c r="Z457" s="401"/>
      <c r="AA457" s="402"/>
      <c r="AB457" s="401"/>
      <c r="AC457" s="402"/>
      <c r="AD457" s="401"/>
      <c r="AE457" s="402"/>
      <c r="AF457" s="401"/>
      <c r="AG457" s="402"/>
      <c r="AH457" s="401"/>
      <c r="AI457" s="402"/>
      <c r="AJ457" s="401"/>
      <c r="AK457" s="402"/>
      <c r="AL457" s="401"/>
      <c r="AM457" s="402"/>
      <c r="AN457" s="401"/>
      <c r="AO457" s="402"/>
      <c r="AP457" s="53"/>
      <c r="AQ457" s="53"/>
      <c r="AR457" s="53"/>
    </row>
    <row r="458" spans="1:44" hidden="1">
      <c r="A458" s="225" t="s">
        <v>393</v>
      </c>
      <c r="B458" s="279" t="s">
        <v>435</v>
      </c>
      <c r="C458" s="495"/>
      <c r="D458" s="436">
        <v>221102</v>
      </c>
      <c r="E458" s="439">
        <v>13</v>
      </c>
      <c r="F458" s="401">
        <v>3936</v>
      </c>
      <c r="G458" s="402">
        <v>4008</v>
      </c>
      <c r="H458" s="401"/>
      <c r="I458" s="402"/>
      <c r="J458" s="401"/>
      <c r="K458" s="402"/>
      <c r="L458" s="401"/>
      <c r="M458" s="402"/>
      <c r="N458" s="401"/>
      <c r="O458" s="402"/>
      <c r="P458" s="401"/>
      <c r="Q458" s="402"/>
      <c r="R458" s="401"/>
      <c r="S458" s="402"/>
      <c r="T458" s="401"/>
      <c r="U458" s="402"/>
      <c r="V458" s="401"/>
      <c r="W458" s="402"/>
      <c r="X458" s="401"/>
      <c r="Y458" s="402"/>
      <c r="Z458" s="401"/>
      <c r="AA458" s="402"/>
      <c r="AB458" s="401"/>
      <c r="AC458" s="402"/>
      <c r="AD458" s="401"/>
      <c r="AE458" s="402"/>
      <c r="AF458" s="401"/>
      <c r="AG458" s="402"/>
      <c r="AH458" s="401"/>
      <c r="AI458" s="402"/>
      <c r="AJ458" s="401"/>
      <c r="AK458" s="402"/>
      <c r="AL458" s="401"/>
      <c r="AM458" s="402"/>
      <c r="AN458" s="401"/>
      <c r="AO458" s="402"/>
      <c r="AP458" s="53"/>
      <c r="AQ458" s="53"/>
      <c r="AR458" s="53"/>
    </row>
    <row r="459" spans="1:44" hidden="1">
      <c r="A459" s="225" t="s">
        <v>393</v>
      </c>
      <c r="B459" s="226" t="s">
        <v>436</v>
      </c>
      <c r="C459" s="495"/>
      <c r="D459" s="436">
        <v>248925</v>
      </c>
      <c r="E459" s="439">
        <v>13</v>
      </c>
      <c r="F459" s="401">
        <v>3936</v>
      </c>
      <c r="G459" s="402">
        <v>4008</v>
      </c>
      <c r="H459" s="401"/>
      <c r="I459" s="402"/>
      <c r="J459" s="401"/>
      <c r="K459" s="402"/>
      <c r="L459" s="401"/>
      <c r="M459" s="402"/>
      <c r="N459" s="401"/>
      <c r="O459" s="402"/>
      <c r="P459" s="401"/>
      <c r="Q459" s="402"/>
      <c r="R459" s="401"/>
      <c r="S459" s="402"/>
      <c r="T459" s="401"/>
      <c r="U459" s="402"/>
      <c r="V459" s="401"/>
      <c r="W459" s="402"/>
      <c r="X459" s="401"/>
      <c r="Y459" s="402"/>
      <c r="Z459" s="401"/>
      <c r="AA459" s="402"/>
      <c r="AB459" s="401"/>
      <c r="AC459" s="402"/>
      <c r="AD459" s="401"/>
      <c r="AE459" s="402"/>
      <c r="AF459" s="401"/>
      <c r="AG459" s="402"/>
      <c r="AH459" s="401"/>
      <c r="AI459" s="402"/>
      <c r="AJ459" s="401"/>
      <c r="AK459" s="402"/>
      <c r="AL459" s="401"/>
      <c r="AM459" s="402"/>
      <c r="AN459" s="401"/>
      <c r="AO459" s="402"/>
      <c r="AP459" s="53"/>
      <c r="AQ459" s="53"/>
      <c r="AR459" s="53"/>
    </row>
    <row r="460" spans="1:44" hidden="1">
      <c r="A460" s="225" t="s">
        <v>393</v>
      </c>
      <c r="B460" s="226" t="s">
        <v>437</v>
      </c>
      <c r="C460" s="495"/>
      <c r="D460" s="436">
        <v>221236</v>
      </c>
      <c r="E460" s="439">
        <v>13</v>
      </c>
      <c r="F460" s="401">
        <v>3936</v>
      </c>
      <c r="G460" s="402">
        <v>4008</v>
      </c>
      <c r="H460" s="401"/>
      <c r="I460" s="402"/>
      <c r="J460" s="401"/>
      <c r="K460" s="402"/>
      <c r="L460" s="401"/>
      <c r="M460" s="402"/>
      <c r="N460" s="401"/>
      <c r="O460" s="402"/>
      <c r="P460" s="401"/>
      <c r="Q460" s="402"/>
      <c r="R460" s="401"/>
      <c r="S460" s="402"/>
      <c r="T460" s="401"/>
      <c r="U460" s="402"/>
      <c r="V460" s="401"/>
      <c r="W460" s="402"/>
      <c r="X460" s="401"/>
      <c r="Y460" s="402"/>
      <c r="Z460" s="401"/>
      <c r="AA460" s="402"/>
      <c r="AB460" s="401"/>
      <c r="AC460" s="402"/>
      <c r="AD460" s="401"/>
      <c r="AE460" s="402"/>
      <c r="AF460" s="401"/>
      <c r="AG460" s="402"/>
      <c r="AH460" s="401"/>
      <c r="AI460" s="402"/>
      <c r="AJ460" s="401"/>
      <c r="AK460" s="402"/>
      <c r="AL460" s="401"/>
      <c r="AM460" s="402"/>
      <c r="AN460" s="401"/>
      <c r="AO460" s="402"/>
      <c r="AP460" s="53"/>
      <c r="AQ460" s="53"/>
      <c r="AR460" s="53"/>
    </row>
    <row r="461" spans="1:44" hidden="1">
      <c r="A461" s="225" t="s">
        <v>393</v>
      </c>
      <c r="B461" s="226" t="s">
        <v>438</v>
      </c>
      <c r="C461" s="495"/>
      <c r="D461" s="436">
        <v>221582</v>
      </c>
      <c r="E461" s="439">
        <v>13</v>
      </c>
      <c r="F461" s="401">
        <v>3936</v>
      </c>
      <c r="G461" s="402">
        <v>4008</v>
      </c>
      <c r="H461" s="401"/>
      <c r="I461" s="402"/>
      <c r="J461" s="401"/>
      <c r="K461" s="402"/>
      <c r="L461" s="401"/>
      <c r="M461" s="402"/>
      <c r="N461" s="401"/>
      <c r="O461" s="402"/>
      <c r="P461" s="401"/>
      <c r="Q461" s="402"/>
      <c r="R461" s="401"/>
      <c r="S461" s="402"/>
      <c r="T461" s="401"/>
      <c r="U461" s="402"/>
      <c r="V461" s="401"/>
      <c r="W461" s="402"/>
      <c r="X461" s="401"/>
      <c r="Y461" s="402"/>
      <c r="Z461" s="401"/>
      <c r="AA461" s="402"/>
      <c r="AB461" s="401"/>
      <c r="AC461" s="402"/>
      <c r="AD461" s="401"/>
      <c r="AE461" s="402"/>
      <c r="AF461" s="401"/>
      <c r="AG461" s="402"/>
      <c r="AH461" s="401"/>
      <c r="AI461" s="402"/>
      <c r="AJ461" s="401"/>
      <c r="AK461" s="402"/>
      <c r="AL461" s="401"/>
      <c r="AM461" s="402"/>
      <c r="AN461" s="401"/>
      <c r="AO461" s="402"/>
      <c r="AP461" s="53"/>
      <c r="AQ461" s="53"/>
      <c r="AR461" s="53"/>
    </row>
    <row r="462" spans="1:44" hidden="1">
      <c r="A462" s="225" t="s">
        <v>393</v>
      </c>
      <c r="B462" s="226" t="s">
        <v>439</v>
      </c>
      <c r="C462" s="495"/>
      <c r="D462" s="436">
        <v>221281</v>
      </c>
      <c r="E462" s="439">
        <v>13</v>
      </c>
      <c r="F462" s="401">
        <v>3936</v>
      </c>
      <c r="G462" s="402">
        <v>4008</v>
      </c>
      <c r="H462" s="401"/>
      <c r="I462" s="402"/>
      <c r="J462" s="401"/>
      <c r="K462" s="402"/>
      <c r="L462" s="401"/>
      <c r="M462" s="402"/>
      <c r="N462" s="401"/>
      <c r="O462" s="402"/>
      <c r="P462" s="401"/>
      <c r="Q462" s="402"/>
      <c r="R462" s="401"/>
      <c r="S462" s="402"/>
      <c r="T462" s="401"/>
      <c r="U462" s="402"/>
      <c r="V462" s="401"/>
      <c r="W462" s="402"/>
      <c r="X462" s="401"/>
      <c r="Y462" s="402"/>
      <c r="Z462" s="401"/>
      <c r="AA462" s="402"/>
      <c r="AB462" s="401"/>
      <c r="AC462" s="402"/>
      <c r="AD462" s="401"/>
      <c r="AE462" s="402"/>
      <c r="AF462" s="401"/>
      <c r="AG462" s="402"/>
      <c r="AH462" s="401"/>
      <c r="AI462" s="402"/>
      <c r="AJ462" s="401"/>
      <c r="AK462" s="402"/>
      <c r="AL462" s="401"/>
      <c r="AM462" s="402"/>
      <c r="AN462" s="401"/>
      <c r="AO462" s="402"/>
      <c r="AP462" s="53"/>
      <c r="AQ462" s="53"/>
      <c r="AR462" s="53"/>
    </row>
    <row r="463" spans="1:44" hidden="1">
      <c r="A463" s="225" t="s">
        <v>393</v>
      </c>
      <c r="B463" s="226" t="s">
        <v>440</v>
      </c>
      <c r="C463" s="495"/>
      <c r="D463" s="436">
        <v>221333</v>
      </c>
      <c r="E463" s="439">
        <v>13</v>
      </c>
      <c r="F463" s="401">
        <v>3936</v>
      </c>
      <c r="G463" s="402">
        <v>4008</v>
      </c>
      <c r="H463" s="401"/>
      <c r="I463" s="402"/>
      <c r="J463" s="401"/>
      <c r="K463" s="402"/>
      <c r="L463" s="401"/>
      <c r="M463" s="402"/>
      <c r="N463" s="401"/>
      <c r="O463" s="402"/>
      <c r="P463" s="401"/>
      <c r="Q463" s="402"/>
      <c r="R463" s="401"/>
      <c r="S463" s="402"/>
      <c r="T463" s="401"/>
      <c r="U463" s="402"/>
      <c r="V463" s="401"/>
      <c r="W463" s="402"/>
      <c r="X463" s="401"/>
      <c r="Y463" s="402"/>
      <c r="Z463" s="401"/>
      <c r="AA463" s="402"/>
      <c r="AB463" s="401"/>
      <c r="AC463" s="402"/>
      <c r="AD463" s="401"/>
      <c r="AE463" s="402"/>
      <c r="AF463" s="401"/>
      <c r="AG463" s="402"/>
      <c r="AH463" s="401"/>
      <c r="AI463" s="402"/>
      <c r="AJ463" s="401"/>
      <c r="AK463" s="402"/>
      <c r="AL463" s="401"/>
      <c r="AM463" s="402"/>
      <c r="AN463" s="401"/>
      <c r="AO463" s="402"/>
      <c r="AP463" s="53"/>
      <c r="AQ463" s="53"/>
      <c r="AR463" s="53"/>
    </row>
    <row r="464" spans="1:44" hidden="1">
      <c r="A464" s="225" t="s">
        <v>393</v>
      </c>
      <c r="B464" s="226" t="s">
        <v>441</v>
      </c>
      <c r="C464" s="495"/>
      <c r="D464" s="436">
        <v>221388</v>
      </c>
      <c r="E464" s="439">
        <v>13</v>
      </c>
      <c r="F464" s="401">
        <v>3936</v>
      </c>
      <c r="G464" s="402">
        <v>4008</v>
      </c>
      <c r="H464" s="401"/>
      <c r="I464" s="402"/>
      <c r="J464" s="401"/>
      <c r="K464" s="402"/>
      <c r="L464" s="401"/>
      <c r="M464" s="402"/>
      <c r="N464" s="401"/>
      <c r="O464" s="402"/>
      <c r="P464" s="401"/>
      <c r="Q464" s="402"/>
      <c r="R464" s="401"/>
      <c r="S464" s="402"/>
      <c r="T464" s="401"/>
      <c r="U464" s="402"/>
      <c r="V464" s="401"/>
      <c r="W464" s="402"/>
      <c r="X464" s="401"/>
      <c r="Y464" s="402"/>
      <c r="Z464" s="401"/>
      <c r="AA464" s="402"/>
      <c r="AB464" s="401"/>
      <c r="AC464" s="402"/>
      <c r="AD464" s="401"/>
      <c r="AE464" s="402"/>
      <c r="AF464" s="401"/>
      <c r="AG464" s="402"/>
      <c r="AH464" s="401"/>
      <c r="AI464" s="402"/>
      <c r="AJ464" s="401"/>
      <c r="AK464" s="402"/>
      <c r="AL464" s="401"/>
      <c r="AM464" s="402"/>
      <c r="AN464" s="401"/>
      <c r="AO464" s="402"/>
      <c r="AP464" s="53"/>
      <c r="AQ464" s="53"/>
      <c r="AR464" s="53"/>
    </row>
    <row r="465" spans="1:44" hidden="1">
      <c r="A465" s="225" t="s">
        <v>393</v>
      </c>
      <c r="B465" s="226" t="s">
        <v>442</v>
      </c>
      <c r="C465" s="495"/>
      <c r="D465" s="436">
        <v>221494</v>
      </c>
      <c r="E465" s="439">
        <v>13</v>
      </c>
      <c r="F465" s="401">
        <v>3936</v>
      </c>
      <c r="G465" s="402">
        <v>4008</v>
      </c>
      <c r="H465" s="401"/>
      <c r="I465" s="402"/>
      <c r="J465" s="401"/>
      <c r="K465" s="402"/>
      <c r="L465" s="401"/>
      <c r="M465" s="402"/>
      <c r="N465" s="401"/>
      <c r="O465" s="402"/>
      <c r="P465" s="401"/>
      <c r="Q465" s="402"/>
      <c r="R465" s="401"/>
      <c r="S465" s="402"/>
      <c r="T465" s="401"/>
      <c r="U465" s="402"/>
      <c r="V465" s="401"/>
      <c r="W465" s="402"/>
      <c r="X465" s="401"/>
      <c r="Y465" s="402"/>
      <c r="Z465" s="401"/>
      <c r="AA465" s="402"/>
      <c r="AB465" s="401"/>
      <c r="AC465" s="402"/>
      <c r="AD465" s="401"/>
      <c r="AE465" s="402"/>
      <c r="AF465" s="401"/>
      <c r="AG465" s="402"/>
      <c r="AH465" s="401"/>
      <c r="AI465" s="402"/>
      <c r="AJ465" s="401"/>
      <c r="AK465" s="402"/>
      <c r="AL465" s="401"/>
      <c r="AM465" s="402"/>
      <c r="AN465" s="401"/>
      <c r="AO465" s="402"/>
      <c r="AP465" s="53"/>
      <c r="AQ465" s="53"/>
      <c r="AR465" s="53"/>
    </row>
    <row r="466" spans="1:44" hidden="1">
      <c r="A466" s="225" t="s">
        <v>393</v>
      </c>
      <c r="B466" s="226" t="s">
        <v>443</v>
      </c>
      <c r="C466" s="495"/>
      <c r="D466" s="436">
        <v>221634</v>
      </c>
      <c r="E466" s="439">
        <v>13</v>
      </c>
      <c r="F466" s="401">
        <v>3936</v>
      </c>
      <c r="G466" s="402">
        <v>4008</v>
      </c>
      <c r="H466" s="401"/>
      <c r="I466" s="402"/>
      <c r="J466" s="401"/>
      <c r="K466" s="402"/>
      <c r="L466" s="401"/>
      <c r="M466" s="402"/>
      <c r="N466" s="401"/>
      <c r="O466" s="402"/>
      <c r="P466" s="401"/>
      <c r="Q466" s="402"/>
      <c r="R466" s="401"/>
      <c r="S466" s="402"/>
      <c r="T466" s="401"/>
      <c r="U466" s="402"/>
      <c r="V466" s="401"/>
      <c r="W466" s="402"/>
      <c r="X466" s="401"/>
      <c r="Y466" s="402"/>
      <c r="Z466" s="401"/>
      <c r="AA466" s="402"/>
      <c r="AB466" s="401"/>
      <c r="AC466" s="402"/>
      <c r="AD466" s="401"/>
      <c r="AE466" s="402"/>
      <c r="AF466" s="401"/>
      <c r="AG466" s="402"/>
      <c r="AH466" s="401"/>
      <c r="AI466" s="402"/>
      <c r="AJ466" s="401"/>
      <c r="AK466" s="402"/>
      <c r="AL466" s="401"/>
      <c r="AM466" s="402"/>
      <c r="AN466" s="401"/>
      <c r="AO466" s="402"/>
      <c r="AP466" s="53"/>
      <c r="AQ466" s="53"/>
      <c r="AR466" s="53"/>
    </row>
    <row r="467" spans="1:44" s="53" customFormat="1" hidden="1">
      <c r="A467" s="225" t="s">
        <v>393</v>
      </c>
      <c r="B467" s="226" t="s">
        <v>444</v>
      </c>
      <c r="C467" s="438"/>
      <c r="D467" s="436">
        <v>221704</v>
      </c>
      <c r="E467" s="439">
        <v>15</v>
      </c>
      <c r="F467" s="390"/>
      <c r="G467" s="391"/>
      <c r="H467" s="390"/>
      <c r="I467" s="391"/>
      <c r="J467" s="390"/>
      <c r="K467" s="391"/>
      <c r="L467" s="390"/>
      <c r="M467" s="391"/>
      <c r="N467" s="390"/>
      <c r="O467" s="391"/>
      <c r="P467" s="390"/>
      <c r="Q467" s="391"/>
      <c r="R467" s="390">
        <v>39466</v>
      </c>
      <c r="S467" s="391">
        <v>39776</v>
      </c>
      <c r="T467" s="390">
        <v>65389</v>
      </c>
      <c r="U467" s="391">
        <v>57060</v>
      </c>
      <c r="V467" s="390">
        <v>38387</v>
      </c>
      <c r="W467" s="391">
        <v>40289</v>
      </c>
      <c r="X467" s="390">
        <v>77147</v>
      </c>
      <c r="Y467" s="391">
        <v>79049</v>
      </c>
      <c r="Z467" s="390">
        <v>27685.5</v>
      </c>
      <c r="AA467" s="391">
        <v>30234</v>
      </c>
      <c r="AB467" s="390">
        <v>32689.5</v>
      </c>
      <c r="AC467" s="391">
        <v>35238</v>
      </c>
      <c r="AD467" s="390"/>
      <c r="AE467" s="391"/>
      <c r="AF467" s="390"/>
      <c r="AG467" s="391"/>
      <c r="AH467" s="390"/>
      <c r="AI467" s="391"/>
      <c r="AJ467" s="390"/>
      <c r="AK467" s="391"/>
      <c r="AL467" s="390"/>
      <c r="AM467" s="391"/>
      <c r="AN467" s="390"/>
      <c r="AO467" s="391"/>
    </row>
    <row r="468" spans="1:44">
      <c r="A468" s="259" t="s">
        <v>507</v>
      </c>
      <c r="B468" s="260" t="s">
        <v>715</v>
      </c>
      <c r="C468" s="463"/>
      <c r="D468" s="464">
        <v>228723</v>
      </c>
      <c r="E468" s="496">
        <v>1</v>
      </c>
      <c r="F468" s="401">
        <v>12098</v>
      </c>
      <c r="G468" s="402">
        <v>12716</v>
      </c>
      <c r="H468" s="401">
        <v>39136</v>
      </c>
      <c r="I468" s="402">
        <v>39528</v>
      </c>
      <c r="J468" s="401">
        <v>10708</v>
      </c>
      <c r="K468" s="402">
        <v>10920</v>
      </c>
      <c r="L468" s="401">
        <v>22982.666666666701</v>
      </c>
      <c r="M468" s="402">
        <v>23629.333333333299</v>
      </c>
      <c r="N468" s="401"/>
      <c r="O468" s="402"/>
      <c r="P468" s="401"/>
      <c r="Q468" s="402"/>
      <c r="R468" s="401"/>
      <c r="S468" s="402"/>
      <c r="T468" s="401"/>
      <c r="U468" s="402"/>
      <c r="V468" s="401"/>
      <c r="W468" s="402"/>
      <c r="X468" s="401"/>
      <c r="Y468" s="402"/>
      <c r="Z468" s="401"/>
      <c r="AA468" s="402"/>
      <c r="AB468" s="401"/>
      <c r="AC468" s="402"/>
      <c r="AD468" s="401"/>
      <c r="AE468" s="402"/>
      <c r="AF468" s="401"/>
      <c r="AG468" s="402"/>
      <c r="AH468" s="401"/>
      <c r="AI468" s="402"/>
      <c r="AJ468" s="401"/>
      <c r="AK468" s="402"/>
      <c r="AL468" s="401">
        <v>31430.400000000001</v>
      </c>
      <c r="AM468" s="402">
        <v>35541.333333333299</v>
      </c>
      <c r="AN468" s="401">
        <v>49426.8</v>
      </c>
      <c r="AO468" s="402">
        <v>56477.333333333299</v>
      </c>
      <c r="AP468" s="53"/>
      <c r="AQ468" s="53"/>
      <c r="AR468" s="53"/>
    </row>
    <row r="469" spans="1:44">
      <c r="A469" s="259" t="s">
        <v>507</v>
      </c>
      <c r="B469" s="260" t="s">
        <v>716</v>
      </c>
      <c r="C469" s="463"/>
      <c r="D469" s="464">
        <v>229115</v>
      </c>
      <c r="E469" s="496">
        <v>1</v>
      </c>
      <c r="F469" s="401">
        <v>11234</v>
      </c>
      <c r="G469" s="402">
        <v>11468</v>
      </c>
      <c r="H469" s="401">
        <v>23870</v>
      </c>
      <c r="I469" s="402">
        <v>24122</v>
      </c>
      <c r="J469" s="401">
        <v>11386.666666666701</v>
      </c>
      <c r="K469" s="402">
        <v>11588</v>
      </c>
      <c r="L469" s="401">
        <v>21202.666666666701</v>
      </c>
      <c r="M469" s="402">
        <v>21404</v>
      </c>
      <c r="N469" s="401">
        <v>21617.142857142899</v>
      </c>
      <c r="O469" s="402">
        <v>21617.142857142899</v>
      </c>
      <c r="P469" s="413">
        <v>30713.142857142899</v>
      </c>
      <c r="Q469" s="402">
        <v>30689.142857142899</v>
      </c>
      <c r="R469" s="401"/>
      <c r="S469" s="402"/>
      <c r="T469" s="401"/>
      <c r="U469" s="402"/>
      <c r="V469" s="401"/>
      <c r="W469" s="402"/>
      <c r="X469" s="401"/>
      <c r="Y469" s="402"/>
      <c r="Z469" s="401"/>
      <c r="AA469" s="402"/>
      <c r="AB469" s="401"/>
      <c r="AC469" s="402"/>
      <c r="AD469" s="401"/>
      <c r="AE469" s="402"/>
      <c r="AF469" s="401"/>
      <c r="AG469" s="402"/>
      <c r="AH469" s="401"/>
      <c r="AI469" s="402"/>
      <c r="AJ469" s="401"/>
      <c r="AK469" s="402"/>
      <c r="AL469" s="401"/>
      <c r="AM469" s="402"/>
      <c r="AN469" s="401"/>
      <c r="AO469" s="402"/>
      <c r="AP469" s="53"/>
      <c r="AQ469" s="53"/>
      <c r="AR469" s="53"/>
    </row>
    <row r="470" spans="1:44">
      <c r="A470" s="259" t="s">
        <v>507</v>
      </c>
      <c r="B470" s="260" t="s">
        <v>717</v>
      </c>
      <c r="C470" s="463"/>
      <c r="D470" s="464">
        <v>225511</v>
      </c>
      <c r="E470" s="496">
        <v>1</v>
      </c>
      <c r="F470" s="401">
        <v>12386</v>
      </c>
      <c r="G470" s="402">
        <v>12772</v>
      </c>
      <c r="H470" s="401">
        <v>26839</v>
      </c>
      <c r="I470" s="402">
        <v>27110</v>
      </c>
      <c r="J470" s="401">
        <v>11944</v>
      </c>
      <c r="K470" s="402">
        <v>10616</v>
      </c>
      <c r="L470" s="401">
        <v>24304</v>
      </c>
      <c r="M470" s="402">
        <v>22808</v>
      </c>
      <c r="N470" s="401">
        <v>24912.48</v>
      </c>
      <c r="O470" s="402">
        <v>24912.48</v>
      </c>
      <c r="P470" s="413">
        <v>36720.480000000003</v>
      </c>
      <c r="Q470" s="402">
        <v>36720.480000000003</v>
      </c>
      <c r="R470" s="401"/>
      <c r="S470" s="402"/>
      <c r="T470" s="401"/>
      <c r="U470" s="402"/>
      <c r="V470" s="401"/>
      <c r="W470" s="402"/>
      <c r="X470" s="401"/>
      <c r="Y470" s="402"/>
      <c r="Z470" s="401">
        <v>10152</v>
      </c>
      <c r="AA470" s="402">
        <v>27640</v>
      </c>
      <c r="AB470" s="401">
        <v>22344</v>
      </c>
      <c r="AC470" s="402">
        <v>47960</v>
      </c>
      <c r="AD470" s="401">
        <v>6807</v>
      </c>
      <c r="AE470" s="402">
        <v>16181.4</v>
      </c>
      <c r="AF470" s="401">
        <v>19023</v>
      </c>
      <c r="AG470" s="402">
        <v>28373.4</v>
      </c>
      <c r="AH470" s="401"/>
      <c r="AI470" s="402"/>
      <c r="AJ470" s="401"/>
      <c r="AK470" s="402"/>
      <c r="AL470" s="401"/>
      <c r="AM470" s="402"/>
      <c r="AN470" s="401"/>
      <c r="AO470" s="402"/>
      <c r="AP470" s="53"/>
      <c r="AQ470" s="53"/>
      <c r="AR470" s="53"/>
    </row>
    <row r="471" spans="1:44">
      <c r="A471" s="259" t="s">
        <v>507</v>
      </c>
      <c r="B471" s="260" t="s">
        <v>718</v>
      </c>
      <c r="C471" s="463"/>
      <c r="D471" s="464">
        <v>227216</v>
      </c>
      <c r="E471" s="496">
        <v>1</v>
      </c>
      <c r="F471" s="401">
        <v>11952</v>
      </c>
      <c r="G471" s="402">
        <v>11938</v>
      </c>
      <c r="H471" s="401">
        <v>24654</v>
      </c>
      <c r="I471" s="402">
        <v>24234</v>
      </c>
      <c r="J471" s="401">
        <v>10968</v>
      </c>
      <c r="K471" s="402">
        <v>11568</v>
      </c>
      <c r="L471" s="401">
        <v>21096</v>
      </c>
      <c r="M471" s="402">
        <v>21360</v>
      </c>
      <c r="N471" s="401"/>
      <c r="O471" s="402"/>
      <c r="P471" s="413"/>
      <c r="Q471" s="402"/>
      <c r="R471" s="401"/>
      <c r="S471" s="402"/>
      <c r="T471" s="401"/>
      <c r="U471" s="402"/>
      <c r="V471" s="401"/>
      <c r="W471" s="402"/>
      <c r="X471" s="401"/>
      <c r="Y471" s="402"/>
      <c r="Z471" s="401"/>
      <c r="AA471" s="402"/>
      <c r="AB471" s="401"/>
      <c r="AC471" s="402"/>
      <c r="AD471" s="401"/>
      <c r="AE471" s="402"/>
      <c r="AF471" s="401"/>
      <c r="AG471" s="402"/>
      <c r="AH471" s="401"/>
      <c r="AI471" s="402"/>
      <c r="AJ471" s="401"/>
      <c r="AK471" s="402"/>
      <c r="AL471" s="401"/>
      <c r="AM471" s="402"/>
      <c r="AN471" s="401"/>
      <c r="AO471" s="402"/>
      <c r="AP471" s="53"/>
      <c r="AQ471" s="53"/>
      <c r="AR471" s="53"/>
    </row>
    <row r="472" spans="1:44">
      <c r="A472" s="259" t="s">
        <v>507</v>
      </c>
      <c r="B472" s="260" t="s">
        <v>719</v>
      </c>
      <c r="C472" s="463"/>
      <c r="D472" s="464">
        <v>228769</v>
      </c>
      <c r="E472" s="496">
        <v>1</v>
      </c>
      <c r="F472" s="401">
        <v>11376</v>
      </c>
      <c r="G472" s="402">
        <v>11728</v>
      </c>
      <c r="H472" s="401">
        <v>28500</v>
      </c>
      <c r="I472" s="402">
        <v>28278</v>
      </c>
      <c r="J472" s="401">
        <v>15205.333333333299</v>
      </c>
      <c r="K472" s="402">
        <v>15661.333333333299</v>
      </c>
      <c r="L472" s="401">
        <v>33882.666666666701</v>
      </c>
      <c r="M472" s="402">
        <v>34797.333333333299</v>
      </c>
      <c r="N472" s="401"/>
      <c r="O472" s="402"/>
      <c r="P472" s="413"/>
      <c r="Q472" s="402"/>
      <c r="R472" s="401"/>
      <c r="S472" s="402"/>
      <c r="T472" s="401"/>
      <c r="U472" s="402"/>
      <c r="V472" s="401"/>
      <c r="W472" s="402"/>
      <c r="X472" s="401"/>
      <c r="Y472" s="402"/>
      <c r="Z472" s="401"/>
      <c r="AA472" s="402"/>
      <c r="AB472" s="401"/>
      <c r="AC472" s="402"/>
      <c r="AD472" s="401"/>
      <c r="AE472" s="402"/>
      <c r="AF472" s="401"/>
      <c r="AG472" s="402"/>
      <c r="AH472" s="401"/>
      <c r="AI472" s="402"/>
      <c r="AJ472" s="401"/>
      <c r="AK472" s="402"/>
      <c r="AL472" s="401"/>
      <c r="AM472" s="402"/>
      <c r="AN472" s="401"/>
      <c r="AO472" s="402"/>
      <c r="AP472" s="53"/>
      <c r="AQ472" s="53"/>
      <c r="AR472" s="53"/>
    </row>
    <row r="473" spans="1:44">
      <c r="A473" s="259" t="s">
        <v>507</v>
      </c>
      <c r="B473" s="260" t="s">
        <v>720</v>
      </c>
      <c r="C473" s="463"/>
      <c r="D473" s="464">
        <v>228778</v>
      </c>
      <c r="E473" s="496">
        <v>1</v>
      </c>
      <c r="F473" s="401">
        <v>11448</v>
      </c>
      <c r="G473" s="402">
        <v>11752</v>
      </c>
      <c r="H473" s="401">
        <v>37670</v>
      </c>
      <c r="I473" s="402">
        <v>38650</v>
      </c>
      <c r="J473" s="401">
        <v>14072</v>
      </c>
      <c r="K473" s="402">
        <v>14072</v>
      </c>
      <c r="L473" s="401">
        <v>25760</v>
      </c>
      <c r="M473" s="402">
        <v>25760</v>
      </c>
      <c r="N473" s="401">
        <v>29143.200000000001</v>
      </c>
      <c r="O473" s="402">
        <v>29143.200000000001</v>
      </c>
      <c r="P473" s="413">
        <v>43276.800000000003</v>
      </c>
      <c r="Q473" s="402">
        <v>43276.800000000003</v>
      </c>
      <c r="R473" s="401"/>
      <c r="S473" s="402"/>
      <c r="T473" s="401"/>
      <c r="U473" s="402"/>
      <c r="V473" s="401"/>
      <c r="W473" s="402"/>
      <c r="X473" s="401"/>
      <c r="Y473" s="402"/>
      <c r="Z473" s="401">
        <v>21548</v>
      </c>
      <c r="AA473" s="402">
        <v>21548</v>
      </c>
      <c r="AB473" s="401">
        <v>49240</v>
      </c>
      <c r="AC473" s="402">
        <v>49240</v>
      </c>
      <c r="AD473" s="401"/>
      <c r="AE473" s="402"/>
      <c r="AF473" s="401"/>
      <c r="AG473" s="402"/>
      <c r="AH473" s="401"/>
      <c r="AI473" s="402"/>
      <c r="AJ473" s="401"/>
      <c r="AK473" s="402"/>
      <c r="AL473" s="401"/>
      <c r="AM473" s="402"/>
      <c r="AN473" s="401"/>
      <c r="AO473" s="402"/>
      <c r="AP473" s="53"/>
      <c r="AQ473" s="53"/>
      <c r="AR473" s="53"/>
    </row>
    <row r="474" spans="1:44">
      <c r="A474" s="259" t="s">
        <v>507</v>
      </c>
      <c r="B474" s="260" t="s">
        <v>721</v>
      </c>
      <c r="C474" s="463"/>
      <c r="D474" s="464">
        <v>228787</v>
      </c>
      <c r="E474" s="496">
        <v>1</v>
      </c>
      <c r="F474" s="401">
        <v>15114</v>
      </c>
      <c r="G474" s="402">
        <v>16412</v>
      </c>
      <c r="H474" s="401">
        <v>39050</v>
      </c>
      <c r="I474" s="402">
        <v>39880</v>
      </c>
      <c r="J474" s="401">
        <v>19712</v>
      </c>
      <c r="K474" s="402">
        <v>21856</v>
      </c>
      <c r="L474" s="401">
        <v>38445.333333333299</v>
      </c>
      <c r="M474" s="402">
        <v>40765.333333333299</v>
      </c>
      <c r="N474" s="401"/>
      <c r="O474" s="402"/>
      <c r="P474" s="413"/>
      <c r="Q474" s="402"/>
      <c r="R474" s="401"/>
      <c r="S474" s="402"/>
      <c r="T474" s="401"/>
      <c r="U474" s="402"/>
      <c r="V474" s="401"/>
      <c r="W474" s="402"/>
      <c r="X474" s="401"/>
      <c r="Y474" s="402"/>
      <c r="Z474" s="401"/>
      <c r="AA474" s="402"/>
      <c r="AB474" s="401"/>
      <c r="AC474" s="402"/>
      <c r="AD474" s="401"/>
      <c r="AE474" s="402"/>
      <c r="AF474" s="401"/>
      <c r="AG474" s="402"/>
      <c r="AH474" s="401"/>
      <c r="AI474" s="402"/>
      <c r="AJ474" s="401"/>
      <c r="AK474" s="402"/>
      <c r="AL474" s="401"/>
      <c r="AM474" s="402"/>
      <c r="AN474" s="401"/>
      <c r="AO474" s="402"/>
      <c r="AP474" s="53"/>
      <c r="AQ474" s="53"/>
      <c r="AR474" s="53"/>
    </row>
    <row r="475" spans="1:44" s="179" customFormat="1" ht="15.75" customHeight="1">
      <c r="A475" s="259" t="s">
        <v>507</v>
      </c>
      <c r="B475" s="260" t="s">
        <v>722</v>
      </c>
      <c r="C475" s="466"/>
      <c r="D475" s="464">
        <v>229027</v>
      </c>
      <c r="E475" s="496">
        <v>1</v>
      </c>
      <c r="F475" s="401">
        <v>10760</v>
      </c>
      <c r="G475" s="402">
        <v>11644</v>
      </c>
      <c r="H475" s="401">
        <v>25606</v>
      </c>
      <c r="I475" s="402">
        <v>26352</v>
      </c>
      <c r="J475" s="401">
        <v>12064</v>
      </c>
      <c r="K475" s="402">
        <v>12482.666666666701</v>
      </c>
      <c r="L475" s="401">
        <v>35418.666666666701</v>
      </c>
      <c r="M475" s="402">
        <v>36413.333333333299</v>
      </c>
      <c r="N475" s="401"/>
      <c r="O475" s="402"/>
      <c r="P475" s="413"/>
      <c r="Q475" s="402"/>
      <c r="R475" s="401"/>
      <c r="S475" s="402"/>
      <c r="T475" s="401"/>
      <c r="U475" s="402"/>
      <c r="V475" s="401"/>
      <c r="W475" s="402"/>
      <c r="X475" s="401"/>
      <c r="Y475" s="402"/>
      <c r="Z475" s="401"/>
      <c r="AA475" s="402"/>
      <c r="AB475" s="401"/>
      <c r="AC475" s="402"/>
      <c r="AD475" s="401"/>
      <c r="AE475" s="402"/>
      <c r="AF475" s="401"/>
      <c r="AG475" s="402"/>
      <c r="AH475" s="401"/>
      <c r="AI475" s="402"/>
      <c r="AJ475" s="401"/>
      <c r="AK475" s="402"/>
      <c r="AL475" s="401"/>
      <c r="AM475" s="402"/>
      <c r="AN475" s="401"/>
      <c r="AO475" s="402"/>
    </row>
    <row r="476" spans="1:44" s="179" customFormat="1" ht="15.75" customHeight="1">
      <c r="A476" s="259" t="s">
        <v>507</v>
      </c>
      <c r="B476" s="280" t="s">
        <v>723</v>
      </c>
      <c r="C476" s="466"/>
      <c r="D476" s="464">
        <v>228459</v>
      </c>
      <c r="E476" s="496">
        <v>2</v>
      </c>
      <c r="F476" s="401">
        <v>11550</v>
      </c>
      <c r="G476" s="402">
        <v>11850</v>
      </c>
      <c r="H476" s="401">
        <v>23820</v>
      </c>
      <c r="I476" s="402">
        <v>24100</v>
      </c>
      <c r="J476" s="401">
        <v>10746.666666666701</v>
      </c>
      <c r="K476" s="402">
        <v>11013.333333333299</v>
      </c>
      <c r="L476" s="401">
        <v>20560</v>
      </c>
      <c r="M476" s="402">
        <v>20800</v>
      </c>
      <c r="N476" s="401"/>
      <c r="O476" s="402"/>
      <c r="P476" s="413"/>
      <c r="Q476" s="402"/>
      <c r="R476" s="401"/>
      <c r="S476" s="402"/>
      <c r="T476" s="401"/>
      <c r="U476" s="402"/>
      <c r="V476" s="401"/>
      <c r="W476" s="402"/>
      <c r="X476" s="401"/>
      <c r="Y476" s="402"/>
      <c r="Z476" s="401"/>
      <c r="AA476" s="402"/>
      <c r="AB476" s="401"/>
      <c r="AC476" s="402"/>
      <c r="AD476" s="401"/>
      <c r="AE476" s="402"/>
      <c r="AF476" s="401"/>
      <c r="AG476" s="402"/>
      <c r="AH476" s="401"/>
      <c r="AI476" s="402"/>
      <c r="AJ476" s="401"/>
      <c r="AK476" s="402"/>
      <c r="AL476" s="401"/>
      <c r="AM476" s="402"/>
      <c r="AN476" s="401"/>
      <c r="AO476" s="402"/>
    </row>
    <row r="477" spans="1:44" s="179" customFormat="1" ht="15.75" customHeight="1">
      <c r="A477" s="259" t="s">
        <v>507</v>
      </c>
      <c r="B477" s="260" t="s">
        <v>724</v>
      </c>
      <c r="C477" s="381" t="s">
        <v>1017</v>
      </c>
      <c r="D477" s="464">
        <v>229179</v>
      </c>
      <c r="E477" s="496">
        <v>2</v>
      </c>
      <c r="F477" s="401">
        <v>10158</v>
      </c>
      <c r="G477" s="402">
        <v>10332</v>
      </c>
      <c r="H477" s="401">
        <v>22290</v>
      </c>
      <c r="I477" s="402">
        <v>22230</v>
      </c>
      <c r="J477" s="401">
        <v>10224</v>
      </c>
      <c r="K477" s="402">
        <v>10368</v>
      </c>
      <c r="L477" s="401">
        <v>20352</v>
      </c>
      <c r="M477" s="402">
        <v>20184</v>
      </c>
      <c r="N477" s="401"/>
      <c r="O477" s="402"/>
      <c r="P477" s="413"/>
      <c r="Q477" s="402"/>
      <c r="R477" s="401"/>
      <c r="S477" s="402"/>
      <c r="T477" s="401"/>
      <c r="U477" s="402"/>
      <c r="V477" s="401"/>
      <c r="W477" s="402"/>
      <c r="X477" s="401"/>
      <c r="Y477" s="402"/>
      <c r="Z477" s="401"/>
      <c r="AA477" s="402"/>
      <c r="AB477" s="401"/>
      <c r="AC477" s="402"/>
      <c r="AD477" s="401"/>
      <c r="AE477" s="402"/>
      <c r="AF477" s="401"/>
      <c r="AG477" s="402"/>
      <c r="AH477" s="401"/>
      <c r="AI477" s="402"/>
      <c r="AJ477" s="401"/>
      <c r="AK477" s="402"/>
      <c r="AL477" s="401"/>
      <c r="AM477" s="402"/>
      <c r="AN477" s="401"/>
      <c r="AO477" s="402"/>
    </row>
    <row r="478" spans="1:44" s="179" customFormat="1" ht="15.75" customHeight="1">
      <c r="A478" s="259" t="s">
        <v>507</v>
      </c>
      <c r="B478" s="260" t="s">
        <v>725</v>
      </c>
      <c r="C478" s="381" t="s">
        <v>1017</v>
      </c>
      <c r="D478" s="464">
        <v>228796</v>
      </c>
      <c r="E478" s="496">
        <v>2</v>
      </c>
      <c r="F478" s="401">
        <v>9538</v>
      </c>
      <c r="G478" s="402">
        <v>10222</v>
      </c>
      <c r="H478" s="401">
        <v>23718</v>
      </c>
      <c r="I478" s="402">
        <v>24775</v>
      </c>
      <c r="J478" s="401">
        <v>8920</v>
      </c>
      <c r="K478" s="402">
        <v>9201.3333333333303</v>
      </c>
      <c r="L478" s="401">
        <v>21218.666666666701</v>
      </c>
      <c r="M478" s="402">
        <v>22144</v>
      </c>
      <c r="N478" s="401"/>
      <c r="O478" s="402"/>
      <c r="P478" s="413"/>
      <c r="Q478" s="402"/>
      <c r="R478" s="401"/>
      <c r="S478" s="402"/>
      <c r="T478" s="401"/>
      <c r="U478" s="402"/>
      <c r="V478" s="401"/>
      <c r="W478" s="402"/>
      <c r="X478" s="401"/>
      <c r="Y478" s="402"/>
      <c r="Z478" s="401"/>
      <c r="AA478" s="402"/>
      <c r="AB478" s="401"/>
      <c r="AC478" s="402"/>
      <c r="AD478" s="401"/>
      <c r="AE478" s="402"/>
      <c r="AF478" s="401"/>
      <c r="AG478" s="402"/>
      <c r="AH478" s="401"/>
      <c r="AI478" s="402"/>
      <c r="AJ478" s="401"/>
      <c r="AK478" s="402"/>
      <c r="AL478" s="401"/>
      <c r="AM478" s="402"/>
      <c r="AN478" s="401"/>
      <c r="AO478" s="402"/>
    </row>
    <row r="479" spans="1:44" s="179" customFormat="1" ht="15.75" customHeight="1">
      <c r="A479" s="259" t="s">
        <v>507</v>
      </c>
      <c r="B479" s="260" t="s">
        <v>726</v>
      </c>
      <c r="C479" s="381"/>
      <c r="D479" s="464">
        <v>222831</v>
      </c>
      <c r="E479" s="496">
        <v>3</v>
      </c>
      <c r="F479" s="401">
        <v>9010</v>
      </c>
      <c r="G479" s="402">
        <v>9310</v>
      </c>
      <c r="H479" s="401">
        <v>21280</v>
      </c>
      <c r="I479" s="402">
        <v>21550</v>
      </c>
      <c r="J479" s="401">
        <v>9378.6666666666697</v>
      </c>
      <c r="K479" s="402">
        <v>9662.6666666666697</v>
      </c>
      <c r="L479" s="401">
        <v>19194.666666666701</v>
      </c>
      <c r="M479" s="402">
        <v>19453.333333333299</v>
      </c>
      <c r="N479" s="401"/>
      <c r="O479" s="402"/>
      <c r="P479" s="413"/>
      <c r="Q479" s="402"/>
      <c r="R479" s="401"/>
      <c r="S479" s="402"/>
      <c r="T479" s="401"/>
      <c r="U479" s="402"/>
      <c r="V479" s="401"/>
      <c r="W479" s="402"/>
      <c r="X479" s="401"/>
      <c r="Y479" s="402"/>
      <c r="Z479" s="401"/>
      <c r="AA479" s="402"/>
      <c r="AB479" s="401"/>
      <c r="AC479" s="402"/>
      <c r="AD479" s="401"/>
      <c r="AE479" s="402"/>
      <c r="AF479" s="401"/>
      <c r="AG479" s="402"/>
      <c r="AH479" s="401"/>
      <c r="AI479" s="402"/>
      <c r="AJ479" s="401"/>
      <c r="AK479" s="402"/>
      <c r="AL479" s="401"/>
      <c r="AM479" s="402"/>
      <c r="AN479" s="401"/>
      <c r="AO479" s="402"/>
    </row>
    <row r="480" spans="1:44" s="179" customFormat="1" ht="15.75" customHeight="1">
      <c r="A480" s="259" t="s">
        <v>507</v>
      </c>
      <c r="B480" s="260" t="s">
        <v>727</v>
      </c>
      <c r="C480" s="381" t="s">
        <v>1018</v>
      </c>
      <c r="D480" s="464">
        <v>226091</v>
      </c>
      <c r="E480" s="496">
        <v>3</v>
      </c>
      <c r="F480" s="401">
        <v>10462</v>
      </c>
      <c r="G480" s="402">
        <v>11032</v>
      </c>
      <c r="H480" s="401">
        <v>22734</v>
      </c>
      <c r="I480" s="402">
        <v>22856</v>
      </c>
      <c r="J480" s="401">
        <v>11114.666666666701</v>
      </c>
      <c r="K480" s="402">
        <v>11213.333333333299</v>
      </c>
      <c r="L480" s="401">
        <v>20930.666666666701</v>
      </c>
      <c r="M480" s="402">
        <v>21029.333333333299</v>
      </c>
      <c r="N480" s="401"/>
      <c r="O480" s="402"/>
      <c r="P480" s="413"/>
      <c r="Q480" s="402"/>
      <c r="R480" s="401"/>
      <c r="S480" s="402"/>
      <c r="T480" s="401"/>
      <c r="U480" s="402"/>
      <c r="V480" s="401"/>
      <c r="W480" s="402"/>
      <c r="X480" s="401"/>
      <c r="Y480" s="402"/>
      <c r="Z480" s="401"/>
      <c r="AA480" s="402"/>
      <c r="AB480" s="401"/>
      <c r="AC480" s="402"/>
      <c r="AD480" s="401"/>
      <c r="AE480" s="402"/>
      <c r="AF480" s="401"/>
      <c r="AG480" s="402"/>
      <c r="AH480" s="401"/>
      <c r="AI480" s="402"/>
      <c r="AJ480" s="401"/>
      <c r="AK480" s="402"/>
      <c r="AL480" s="401"/>
      <c r="AM480" s="402"/>
      <c r="AN480" s="401"/>
      <c r="AO480" s="402"/>
    </row>
    <row r="481" spans="1:41" s="179" customFormat="1" ht="15.75" customHeight="1">
      <c r="A481" s="282" t="s">
        <v>507</v>
      </c>
      <c r="B481" s="260" t="s">
        <v>728</v>
      </c>
      <c r="C481" s="381"/>
      <c r="D481" s="464">
        <v>226833</v>
      </c>
      <c r="E481" s="496">
        <v>3</v>
      </c>
      <c r="F481" s="401">
        <v>9954</v>
      </c>
      <c r="G481" s="402">
        <v>10138</v>
      </c>
      <c r="H481" s="401">
        <v>11746</v>
      </c>
      <c r="I481" s="402">
        <v>11904</v>
      </c>
      <c r="J481" s="401">
        <v>9192</v>
      </c>
      <c r="K481" s="402">
        <v>9322.6666666666697</v>
      </c>
      <c r="L481" s="401">
        <v>10752</v>
      </c>
      <c r="M481" s="402">
        <v>10882.666666666701</v>
      </c>
      <c r="N481" s="401"/>
      <c r="O481" s="402"/>
      <c r="P481" s="413"/>
      <c r="Q481" s="402"/>
      <c r="R481" s="401"/>
      <c r="S481" s="402"/>
      <c r="T481" s="401"/>
      <c r="U481" s="402"/>
      <c r="V481" s="401"/>
      <c r="W481" s="402"/>
      <c r="X481" s="401"/>
      <c r="Y481" s="402"/>
      <c r="Z481" s="401"/>
      <c r="AA481" s="402"/>
      <c r="AB481" s="401"/>
      <c r="AC481" s="402"/>
      <c r="AD481" s="401"/>
      <c r="AE481" s="402"/>
      <c r="AF481" s="401"/>
      <c r="AG481" s="402"/>
      <c r="AH481" s="401"/>
      <c r="AI481" s="402"/>
      <c r="AJ481" s="401"/>
      <c r="AK481" s="402"/>
      <c r="AL481" s="401"/>
      <c r="AM481" s="402"/>
      <c r="AN481" s="401"/>
      <c r="AO481" s="402"/>
    </row>
    <row r="482" spans="1:41" s="179" customFormat="1" ht="15.75" customHeight="1">
      <c r="A482" s="282" t="s">
        <v>507</v>
      </c>
      <c r="B482" s="260" t="s">
        <v>729</v>
      </c>
      <c r="C482" s="381"/>
      <c r="D482" s="464">
        <v>227526</v>
      </c>
      <c r="E482" s="496">
        <v>3</v>
      </c>
      <c r="F482" s="401">
        <v>10676</v>
      </c>
      <c r="G482" s="402">
        <v>10950</v>
      </c>
      <c r="H482" s="401">
        <v>26398</v>
      </c>
      <c r="I482" s="402">
        <v>26874</v>
      </c>
      <c r="J482" s="401">
        <v>10468</v>
      </c>
      <c r="K482" s="402">
        <v>10656</v>
      </c>
      <c r="L482" s="401">
        <v>22761.333333333299</v>
      </c>
      <c r="M482" s="402">
        <v>23170.666666666701</v>
      </c>
      <c r="N482" s="401"/>
      <c r="O482" s="402"/>
      <c r="P482" s="413"/>
      <c r="Q482" s="402"/>
      <c r="R482" s="401"/>
      <c r="S482" s="402"/>
      <c r="T482" s="401"/>
      <c r="U482" s="402"/>
      <c r="V482" s="401"/>
      <c r="W482" s="402"/>
      <c r="X482" s="401"/>
      <c r="Y482" s="402"/>
      <c r="Z482" s="401"/>
      <c r="AA482" s="402"/>
      <c r="AB482" s="401"/>
      <c r="AC482" s="402"/>
      <c r="AD482" s="401"/>
      <c r="AE482" s="402"/>
      <c r="AF482" s="401"/>
      <c r="AG482" s="402"/>
      <c r="AH482" s="401"/>
      <c r="AI482" s="402"/>
      <c r="AJ482" s="401"/>
      <c r="AK482" s="402"/>
      <c r="AL482" s="401"/>
      <c r="AM482" s="402"/>
      <c r="AN482" s="401"/>
      <c r="AO482" s="402"/>
    </row>
    <row r="483" spans="1:41" s="179" customFormat="1" ht="15.75" customHeight="1">
      <c r="A483" s="263" t="s">
        <v>507</v>
      </c>
      <c r="B483" s="260" t="s">
        <v>730</v>
      </c>
      <c r="C483" s="381" t="s">
        <v>1018</v>
      </c>
      <c r="D483" s="464">
        <v>227881</v>
      </c>
      <c r="E483" s="496">
        <v>3</v>
      </c>
      <c r="F483" s="401">
        <v>10806</v>
      </c>
      <c r="G483" s="402">
        <v>11106</v>
      </c>
      <c r="H483" s="401">
        <v>23026</v>
      </c>
      <c r="I483" s="402">
        <v>23274</v>
      </c>
      <c r="J483" s="401">
        <v>12277.333333333299</v>
      </c>
      <c r="K483" s="402">
        <v>12757.333333333299</v>
      </c>
      <c r="L483" s="401">
        <v>23184</v>
      </c>
      <c r="M483" s="402">
        <v>23637.333333333299</v>
      </c>
      <c r="N483" s="401"/>
      <c r="O483" s="402"/>
      <c r="P483" s="413"/>
      <c r="Q483" s="402"/>
      <c r="R483" s="401"/>
      <c r="S483" s="402"/>
      <c r="T483" s="401"/>
      <c r="U483" s="402"/>
      <c r="V483" s="401"/>
      <c r="W483" s="402"/>
      <c r="X483" s="401"/>
      <c r="Y483" s="402"/>
      <c r="Z483" s="401"/>
      <c r="AA483" s="402"/>
      <c r="AB483" s="401"/>
      <c r="AC483" s="402"/>
      <c r="AD483" s="401"/>
      <c r="AE483" s="402"/>
      <c r="AF483" s="401"/>
      <c r="AG483" s="402"/>
      <c r="AH483" s="401"/>
      <c r="AI483" s="402"/>
      <c r="AJ483" s="401"/>
      <c r="AK483" s="402"/>
      <c r="AL483" s="401"/>
      <c r="AM483" s="402"/>
      <c r="AN483" s="401"/>
      <c r="AO483" s="402"/>
    </row>
    <row r="484" spans="1:41" s="179" customFormat="1" ht="15.75" customHeight="1">
      <c r="A484" s="263" t="s">
        <v>507</v>
      </c>
      <c r="B484" s="260" t="s">
        <v>731</v>
      </c>
      <c r="C484" s="381"/>
      <c r="D484" s="464">
        <v>228431</v>
      </c>
      <c r="E484" s="496">
        <v>3</v>
      </c>
      <c r="F484" s="401">
        <v>10704</v>
      </c>
      <c r="G484" s="402">
        <v>10600</v>
      </c>
      <c r="H484" s="401">
        <v>22870</v>
      </c>
      <c r="I484" s="402">
        <v>22870</v>
      </c>
      <c r="J484" s="401">
        <v>9912</v>
      </c>
      <c r="K484" s="402">
        <v>9912</v>
      </c>
      <c r="L484" s="401">
        <v>19728</v>
      </c>
      <c r="M484" s="402">
        <v>19728</v>
      </c>
      <c r="N484" s="401"/>
      <c r="O484" s="402"/>
      <c r="P484" s="413"/>
      <c r="Q484" s="402"/>
      <c r="R484" s="401"/>
      <c r="S484" s="402"/>
      <c r="T484" s="401"/>
      <c r="U484" s="402"/>
      <c r="V484" s="401"/>
      <c r="W484" s="402"/>
      <c r="X484" s="401"/>
      <c r="Y484" s="402"/>
      <c r="Z484" s="401"/>
      <c r="AA484" s="402"/>
      <c r="AB484" s="401"/>
      <c r="AC484" s="402"/>
      <c r="AD484" s="401"/>
      <c r="AE484" s="402"/>
      <c r="AF484" s="401"/>
      <c r="AG484" s="402"/>
      <c r="AH484" s="401"/>
      <c r="AI484" s="402"/>
      <c r="AJ484" s="401"/>
      <c r="AK484" s="402"/>
      <c r="AL484" s="401"/>
      <c r="AM484" s="402"/>
      <c r="AN484" s="401"/>
      <c r="AO484" s="402"/>
    </row>
    <row r="485" spans="1:41" s="179" customFormat="1" ht="15.75" customHeight="1">
      <c r="A485" s="259" t="s">
        <v>507</v>
      </c>
      <c r="B485" s="260" t="s">
        <v>732</v>
      </c>
      <c r="C485" s="381"/>
      <c r="D485" s="464">
        <v>228501</v>
      </c>
      <c r="E485" s="496">
        <v>3</v>
      </c>
      <c r="F485" s="401">
        <v>8808</v>
      </c>
      <c r="G485" s="402">
        <v>9020</v>
      </c>
      <c r="H485" s="401">
        <v>21046</v>
      </c>
      <c r="I485" s="402">
        <v>21274</v>
      </c>
      <c r="J485" s="401">
        <v>7662.6666666666697</v>
      </c>
      <c r="K485" s="402">
        <v>7880</v>
      </c>
      <c r="L485" s="401">
        <v>17477.333333333299</v>
      </c>
      <c r="M485" s="402">
        <v>17696</v>
      </c>
      <c r="N485" s="401"/>
      <c r="O485" s="402"/>
      <c r="P485" s="413"/>
      <c r="Q485" s="402"/>
      <c r="R485" s="401"/>
      <c r="S485" s="402"/>
      <c r="T485" s="401"/>
      <c r="U485" s="402"/>
      <c r="V485" s="401"/>
      <c r="W485" s="402"/>
      <c r="X485" s="401"/>
      <c r="Y485" s="402"/>
      <c r="Z485" s="401"/>
      <c r="AA485" s="402"/>
      <c r="AB485" s="401"/>
      <c r="AC485" s="402"/>
      <c r="AD485" s="401"/>
      <c r="AE485" s="402"/>
      <c r="AF485" s="401"/>
      <c r="AG485" s="402"/>
      <c r="AH485" s="401"/>
      <c r="AI485" s="402"/>
      <c r="AJ485" s="401"/>
      <c r="AK485" s="402"/>
      <c r="AL485" s="401"/>
      <c r="AM485" s="402"/>
      <c r="AN485" s="401"/>
      <c r="AO485" s="402"/>
    </row>
    <row r="486" spans="1:41" s="179" customFormat="1" ht="15.75" customHeight="1">
      <c r="A486" s="259" t="s">
        <v>507</v>
      </c>
      <c r="B486" s="260" t="s">
        <v>733</v>
      </c>
      <c r="C486" s="381"/>
      <c r="D486" s="464">
        <v>228529</v>
      </c>
      <c r="E486" s="496">
        <v>3</v>
      </c>
      <c r="F486" s="401">
        <v>10312</v>
      </c>
      <c r="G486" s="402">
        <v>10528</v>
      </c>
      <c r="H486" s="401">
        <v>21799</v>
      </c>
      <c r="I486" s="402">
        <v>21998</v>
      </c>
      <c r="J486" s="401">
        <v>9880</v>
      </c>
      <c r="K486" s="402">
        <v>11428</v>
      </c>
      <c r="L486" s="401">
        <v>19696</v>
      </c>
      <c r="M486" s="402">
        <v>21244</v>
      </c>
      <c r="N486" s="401"/>
      <c r="O486" s="402"/>
      <c r="P486" s="413"/>
      <c r="Q486" s="402"/>
      <c r="R486" s="401"/>
      <c r="S486" s="402"/>
      <c r="T486" s="401"/>
      <c r="U486" s="402"/>
      <c r="V486" s="401"/>
      <c r="W486" s="402"/>
      <c r="X486" s="401"/>
      <c r="Y486" s="402"/>
      <c r="Z486" s="401"/>
      <c r="AA486" s="402"/>
      <c r="AB486" s="401"/>
      <c r="AC486" s="402"/>
      <c r="AD486" s="401"/>
      <c r="AE486" s="402"/>
      <c r="AF486" s="401"/>
      <c r="AG486" s="402"/>
      <c r="AH486" s="401"/>
      <c r="AI486" s="402"/>
      <c r="AJ486" s="401"/>
      <c r="AK486" s="402"/>
      <c r="AL486" s="401"/>
      <c r="AM486" s="402"/>
      <c r="AN486" s="401"/>
      <c r="AO486" s="402"/>
    </row>
    <row r="487" spans="1:41" s="179" customFormat="1" ht="15.75" customHeight="1">
      <c r="A487" s="259" t="s">
        <v>507</v>
      </c>
      <c r="B487" s="260" t="s">
        <v>734</v>
      </c>
      <c r="C487" s="381"/>
      <c r="D487" s="464">
        <v>226152</v>
      </c>
      <c r="E487" s="496">
        <v>3</v>
      </c>
      <c r="F487" s="401">
        <v>9254</v>
      </c>
      <c r="G487" s="402">
        <v>9450</v>
      </c>
      <c r="H487" s="401">
        <v>23390</v>
      </c>
      <c r="I487" s="402">
        <v>23882</v>
      </c>
      <c r="J487" s="401">
        <v>8612</v>
      </c>
      <c r="K487" s="402">
        <v>8792</v>
      </c>
      <c r="L487" s="401">
        <v>20141.333333333299</v>
      </c>
      <c r="M487" s="402">
        <v>20562.666666666701</v>
      </c>
      <c r="N487" s="401"/>
      <c r="O487" s="402"/>
      <c r="P487" s="413"/>
      <c r="Q487" s="402"/>
      <c r="R487" s="401"/>
      <c r="S487" s="402"/>
      <c r="T487" s="401"/>
      <c r="U487" s="402"/>
      <c r="V487" s="401"/>
      <c r="W487" s="402"/>
      <c r="X487" s="401"/>
      <c r="Y487" s="402"/>
      <c r="Z487" s="401"/>
      <c r="AA487" s="402"/>
      <c r="AB487" s="401"/>
      <c r="AC487" s="402"/>
      <c r="AD487" s="401"/>
      <c r="AE487" s="402"/>
      <c r="AF487" s="401"/>
      <c r="AG487" s="402"/>
      <c r="AH487" s="401"/>
      <c r="AI487" s="402"/>
      <c r="AJ487" s="401"/>
      <c r="AK487" s="402"/>
      <c r="AL487" s="401"/>
      <c r="AM487" s="402"/>
      <c r="AN487" s="401"/>
      <c r="AO487" s="402"/>
    </row>
    <row r="488" spans="1:41" s="179" customFormat="1" ht="15.75" customHeight="1">
      <c r="A488" s="259" t="s">
        <v>507</v>
      </c>
      <c r="B488" s="260" t="s">
        <v>735</v>
      </c>
      <c r="C488" s="381" t="s">
        <v>1018</v>
      </c>
      <c r="D488" s="464">
        <v>224554</v>
      </c>
      <c r="E488" s="496">
        <v>3</v>
      </c>
      <c r="F488" s="401">
        <v>9820</v>
      </c>
      <c r="G488" s="402">
        <v>10026</v>
      </c>
      <c r="H488" s="401">
        <v>22090</v>
      </c>
      <c r="I488" s="402">
        <v>22266</v>
      </c>
      <c r="J488" s="401">
        <v>9584</v>
      </c>
      <c r="K488" s="402">
        <v>9782.6666666666697</v>
      </c>
      <c r="L488" s="401">
        <v>19400</v>
      </c>
      <c r="M488" s="402">
        <v>19574.666666666701</v>
      </c>
      <c r="N488" s="401"/>
      <c r="O488" s="402"/>
      <c r="P488" s="413"/>
      <c r="Q488" s="402"/>
      <c r="R488" s="401"/>
      <c r="S488" s="402"/>
      <c r="T488" s="401"/>
      <c r="U488" s="402"/>
      <c r="V488" s="401"/>
      <c r="W488" s="402"/>
      <c r="X488" s="401"/>
      <c r="Y488" s="402"/>
      <c r="Z488" s="401"/>
      <c r="AA488" s="402"/>
      <c r="AB488" s="401"/>
      <c r="AC488" s="402"/>
      <c r="AD488" s="401"/>
      <c r="AE488" s="402"/>
      <c r="AF488" s="401"/>
      <c r="AG488" s="402"/>
      <c r="AH488" s="401"/>
      <c r="AI488" s="402"/>
      <c r="AJ488" s="401"/>
      <c r="AK488" s="402"/>
      <c r="AL488" s="401"/>
      <c r="AM488" s="402"/>
      <c r="AN488" s="401"/>
      <c r="AO488" s="402"/>
    </row>
    <row r="489" spans="1:41" s="179" customFormat="1" ht="15.75" customHeight="1">
      <c r="A489" s="259" t="s">
        <v>507</v>
      </c>
      <c r="B489" s="260" t="s">
        <v>736</v>
      </c>
      <c r="C489" s="381" t="s">
        <v>1018</v>
      </c>
      <c r="D489" s="464">
        <v>224147</v>
      </c>
      <c r="E489" s="496">
        <v>3</v>
      </c>
      <c r="F489" s="401">
        <v>10142</v>
      </c>
      <c r="G489" s="402">
        <v>10642</v>
      </c>
      <c r="H489" s="401">
        <v>23937</v>
      </c>
      <c r="I489" s="402">
        <v>24409</v>
      </c>
      <c r="J489" s="401">
        <v>10312</v>
      </c>
      <c r="K489" s="402">
        <v>9569.3333333333303</v>
      </c>
      <c r="L489" s="401">
        <v>23130.666666666701</v>
      </c>
      <c r="M489" s="402">
        <v>21325.333333333299</v>
      </c>
      <c r="N489" s="401"/>
      <c r="O489" s="402"/>
      <c r="P489" s="413"/>
      <c r="Q489" s="402"/>
      <c r="R489" s="401"/>
      <c r="S489" s="402"/>
      <c r="T489" s="401"/>
      <c r="U489" s="402"/>
      <c r="V489" s="401"/>
      <c r="W489" s="402"/>
      <c r="X489" s="401"/>
      <c r="Y489" s="402"/>
      <c r="Z489" s="401"/>
      <c r="AA489" s="402"/>
      <c r="AB489" s="401"/>
      <c r="AC489" s="402"/>
      <c r="AD489" s="401"/>
      <c r="AE489" s="402"/>
      <c r="AF489" s="401"/>
      <c r="AG489" s="402"/>
      <c r="AH489" s="401"/>
      <c r="AI489" s="402"/>
      <c r="AJ489" s="401"/>
      <c r="AK489" s="402"/>
      <c r="AL489" s="401"/>
      <c r="AM489" s="402"/>
      <c r="AN489" s="401"/>
      <c r="AO489" s="402"/>
    </row>
    <row r="490" spans="1:41" s="179" customFormat="1" ht="15.75" customHeight="1">
      <c r="A490" s="259" t="s">
        <v>507</v>
      </c>
      <c r="B490" s="260" t="s">
        <v>737</v>
      </c>
      <c r="C490" s="381"/>
      <c r="D490" s="464">
        <v>228705</v>
      </c>
      <c r="E490" s="496">
        <v>3</v>
      </c>
      <c r="F490" s="401">
        <v>8914</v>
      </c>
      <c r="G490" s="402">
        <v>9272</v>
      </c>
      <c r="H490" s="401">
        <v>25266</v>
      </c>
      <c r="I490" s="402">
        <v>25266</v>
      </c>
      <c r="J490" s="401">
        <v>8040</v>
      </c>
      <c r="K490" s="402">
        <v>8038.6666666666697</v>
      </c>
      <c r="L490" s="401">
        <v>18756</v>
      </c>
      <c r="M490" s="402">
        <v>18754.666666666701</v>
      </c>
      <c r="N490" s="401"/>
      <c r="O490" s="402"/>
      <c r="P490" s="413"/>
      <c r="Q490" s="402"/>
      <c r="R490" s="401"/>
      <c r="S490" s="402"/>
      <c r="T490" s="401"/>
      <c r="U490" s="402"/>
      <c r="V490" s="401"/>
      <c r="W490" s="402"/>
      <c r="X490" s="401"/>
      <c r="Y490" s="402"/>
      <c r="Z490" s="401"/>
      <c r="AA490" s="402"/>
      <c r="AB490" s="401"/>
      <c r="AC490" s="402"/>
      <c r="AD490" s="401"/>
      <c r="AE490" s="402"/>
      <c r="AF490" s="401"/>
      <c r="AG490" s="402"/>
      <c r="AH490" s="401"/>
      <c r="AI490" s="402"/>
      <c r="AJ490" s="401"/>
      <c r="AK490" s="402"/>
      <c r="AL490" s="401"/>
      <c r="AM490" s="402"/>
      <c r="AN490" s="401"/>
      <c r="AO490" s="402"/>
    </row>
    <row r="491" spans="1:41" s="179" customFormat="1" ht="15.75" customHeight="1">
      <c r="A491" s="259" t="s">
        <v>507</v>
      </c>
      <c r="B491" s="260" t="s">
        <v>738</v>
      </c>
      <c r="C491" s="381"/>
      <c r="D491" s="464">
        <v>229063</v>
      </c>
      <c r="E491" s="496">
        <v>3</v>
      </c>
      <c r="F491" s="401">
        <v>9174</v>
      </c>
      <c r="G491" s="402">
        <v>9174</v>
      </c>
      <c r="H491" s="401">
        <v>21834</v>
      </c>
      <c r="I491" s="402">
        <v>23149</v>
      </c>
      <c r="J491" s="401">
        <v>10212</v>
      </c>
      <c r="K491" s="402">
        <v>10233.333333333299</v>
      </c>
      <c r="L491" s="401">
        <v>20146.666666666701</v>
      </c>
      <c r="M491" s="402">
        <v>18924</v>
      </c>
      <c r="N491" s="401">
        <v>21037.71</v>
      </c>
      <c r="O491" s="402">
        <v>21037.71</v>
      </c>
      <c r="P491" s="413">
        <v>28694.71</v>
      </c>
      <c r="Q491" s="402">
        <v>28694.71</v>
      </c>
      <c r="R491" s="401"/>
      <c r="S491" s="402"/>
      <c r="T491" s="401"/>
      <c r="U491" s="402"/>
      <c r="V491" s="401"/>
      <c r="W491" s="402"/>
      <c r="X491" s="401"/>
      <c r="Y491" s="402"/>
      <c r="Z491" s="401">
        <v>20512</v>
      </c>
      <c r="AA491" s="402">
        <v>12780</v>
      </c>
      <c r="AB491" s="401">
        <v>33392</v>
      </c>
      <c r="AC491" s="402">
        <v>20484</v>
      </c>
      <c r="AD491" s="401"/>
      <c r="AE491" s="402"/>
      <c r="AF491" s="401"/>
      <c r="AG491" s="402"/>
      <c r="AH491" s="401"/>
      <c r="AI491" s="402"/>
      <c r="AJ491" s="401"/>
      <c r="AK491" s="402"/>
      <c r="AL491" s="401"/>
      <c r="AM491" s="402"/>
      <c r="AN491" s="401"/>
      <c r="AO491" s="402"/>
    </row>
    <row r="492" spans="1:41" s="179" customFormat="1" ht="15.75" customHeight="1">
      <c r="A492" s="259" t="s">
        <v>507</v>
      </c>
      <c r="B492" s="260" t="s">
        <v>739</v>
      </c>
      <c r="C492" s="381"/>
      <c r="D492" s="464">
        <v>225414</v>
      </c>
      <c r="E492" s="496">
        <v>3</v>
      </c>
      <c r="F492" s="401">
        <v>9314</v>
      </c>
      <c r="G492" s="402">
        <v>9288</v>
      </c>
      <c r="H492" s="401">
        <v>25772</v>
      </c>
      <c r="I492" s="402">
        <v>25704</v>
      </c>
      <c r="J492" s="401">
        <v>13122.666666666701</v>
      </c>
      <c r="K492" s="402">
        <v>12080</v>
      </c>
      <c r="L492" s="401">
        <v>25674.666666666701</v>
      </c>
      <c r="M492" s="402">
        <v>24632</v>
      </c>
      <c r="N492" s="401"/>
      <c r="O492" s="402"/>
      <c r="P492" s="413"/>
      <c r="Q492" s="402"/>
      <c r="R492" s="401"/>
      <c r="S492" s="402"/>
      <c r="T492" s="401"/>
      <c r="U492" s="402"/>
      <c r="V492" s="401"/>
      <c r="W492" s="402"/>
      <c r="X492" s="401"/>
      <c r="Y492" s="402"/>
      <c r="Z492" s="401"/>
      <c r="AA492" s="402"/>
      <c r="AB492" s="401"/>
      <c r="AC492" s="402"/>
      <c r="AD492" s="401"/>
      <c r="AE492" s="402"/>
      <c r="AF492" s="401"/>
      <c r="AG492" s="402"/>
      <c r="AH492" s="401"/>
      <c r="AI492" s="402"/>
      <c r="AJ492" s="401"/>
      <c r="AK492" s="402"/>
      <c r="AL492" s="401"/>
      <c r="AM492" s="402"/>
      <c r="AN492" s="401"/>
      <c r="AO492" s="402"/>
    </row>
    <row r="493" spans="1:41" s="179" customFormat="1" ht="15.75" customHeight="1">
      <c r="A493" s="259" t="s">
        <v>507</v>
      </c>
      <c r="B493" s="260" t="s">
        <v>740</v>
      </c>
      <c r="C493" s="381"/>
      <c r="D493" s="464">
        <v>228802</v>
      </c>
      <c r="E493" s="496">
        <v>3</v>
      </c>
      <c r="F493" s="401">
        <v>8982</v>
      </c>
      <c r="G493" s="402">
        <v>9338</v>
      </c>
      <c r="H493" s="401">
        <v>23736</v>
      </c>
      <c r="I493" s="402">
        <v>25016</v>
      </c>
      <c r="J493" s="401">
        <v>10536</v>
      </c>
      <c r="K493" s="402">
        <v>11106.666666666701</v>
      </c>
      <c r="L493" s="401">
        <v>22136</v>
      </c>
      <c r="M493" s="402">
        <v>23418.666666666701</v>
      </c>
      <c r="N493" s="401"/>
      <c r="O493" s="402"/>
      <c r="P493" s="413"/>
      <c r="Q493" s="402"/>
      <c r="R493" s="401"/>
      <c r="S493" s="402"/>
      <c r="T493" s="401"/>
      <c r="U493" s="402"/>
      <c r="V493" s="401"/>
      <c r="W493" s="402"/>
      <c r="X493" s="401"/>
      <c r="Y493" s="402"/>
      <c r="Z493" s="401"/>
      <c r="AA493" s="402"/>
      <c r="AB493" s="401"/>
      <c r="AC493" s="402"/>
      <c r="AD493" s="401"/>
      <c r="AE493" s="402"/>
      <c r="AF493" s="401"/>
      <c r="AG493" s="402"/>
      <c r="AH493" s="401"/>
      <c r="AI493" s="402"/>
      <c r="AJ493" s="401"/>
      <c r="AK493" s="402"/>
      <c r="AL493" s="401"/>
      <c r="AM493" s="402"/>
      <c r="AN493" s="401"/>
      <c r="AO493" s="402"/>
    </row>
    <row r="494" spans="1:41" s="179" customFormat="1" ht="15.75" customHeight="1">
      <c r="A494" s="259" t="s">
        <v>507</v>
      </c>
      <c r="B494" s="283" t="s">
        <v>741</v>
      </c>
      <c r="C494" s="381"/>
      <c r="D494" s="464">
        <v>229018</v>
      </c>
      <c r="E494" s="496">
        <v>3</v>
      </c>
      <c r="F494" s="401">
        <v>8686</v>
      </c>
      <c r="G494" s="402">
        <v>9294</v>
      </c>
      <c r="H494" s="401">
        <v>21076</v>
      </c>
      <c r="I494" s="402">
        <v>21506</v>
      </c>
      <c r="J494" s="401">
        <v>8586.6666666666697</v>
      </c>
      <c r="K494" s="402">
        <v>8968</v>
      </c>
      <c r="L494" s="401">
        <v>18402.666666666701</v>
      </c>
      <c r="M494" s="402">
        <v>18784</v>
      </c>
      <c r="N494" s="401"/>
      <c r="O494" s="402"/>
      <c r="P494" s="413"/>
      <c r="Q494" s="402"/>
      <c r="R494" s="401"/>
      <c r="S494" s="402"/>
      <c r="T494" s="401"/>
      <c r="U494" s="402"/>
      <c r="V494" s="401"/>
      <c r="W494" s="402"/>
      <c r="X494" s="401"/>
      <c r="Y494" s="402"/>
      <c r="Z494" s="401"/>
      <c r="AA494" s="402"/>
      <c r="AB494" s="401"/>
      <c r="AC494" s="402"/>
      <c r="AD494" s="401"/>
      <c r="AE494" s="402"/>
      <c r="AF494" s="401"/>
      <c r="AG494" s="402"/>
      <c r="AH494" s="401"/>
      <c r="AI494" s="402"/>
      <c r="AJ494" s="401"/>
      <c r="AK494" s="402"/>
      <c r="AL494" s="401"/>
      <c r="AM494" s="402"/>
      <c r="AN494" s="401"/>
      <c r="AO494" s="402"/>
    </row>
    <row r="495" spans="1:41" s="179" customFormat="1" ht="15.75" customHeight="1">
      <c r="A495" s="263" t="s">
        <v>507</v>
      </c>
      <c r="B495" s="280" t="s">
        <v>742</v>
      </c>
      <c r="C495" s="381" t="s">
        <v>1018</v>
      </c>
      <c r="D495" s="464">
        <v>227368</v>
      </c>
      <c r="E495" s="496">
        <v>3</v>
      </c>
      <c r="F495" s="401">
        <v>8090</v>
      </c>
      <c r="G495" s="402">
        <v>8568</v>
      </c>
      <c r="H495" s="401">
        <v>21187</v>
      </c>
      <c r="I495" s="402">
        <v>21781</v>
      </c>
      <c r="J495" s="401">
        <v>10385.333333333299</v>
      </c>
      <c r="K495" s="402">
        <v>11110.666666666701</v>
      </c>
      <c r="L495" s="401">
        <v>20201.333333333299</v>
      </c>
      <c r="M495" s="402">
        <v>20902.666666666701</v>
      </c>
      <c r="N495" s="401"/>
      <c r="O495" s="402"/>
      <c r="P495" s="413"/>
      <c r="Q495" s="402"/>
      <c r="R495" s="401"/>
      <c r="S495" s="402"/>
      <c r="T495" s="401"/>
      <c r="U495" s="402"/>
      <c r="V495" s="401"/>
      <c r="W495" s="402"/>
      <c r="X495" s="401"/>
      <c r="Y495" s="402"/>
      <c r="Z495" s="401"/>
      <c r="AA495" s="402"/>
      <c r="AB495" s="401"/>
      <c r="AC495" s="402"/>
      <c r="AD495" s="401"/>
      <c r="AE495" s="402"/>
      <c r="AF495" s="401"/>
      <c r="AG495" s="402"/>
      <c r="AH495" s="401"/>
      <c r="AI495" s="402"/>
      <c r="AJ495" s="401"/>
      <c r="AK495" s="402"/>
      <c r="AL495" s="401"/>
      <c r="AM495" s="402"/>
      <c r="AN495" s="401"/>
      <c r="AO495" s="402"/>
    </row>
    <row r="496" spans="1:41" s="179" customFormat="1" ht="15.75" customHeight="1">
      <c r="A496" s="259" t="s">
        <v>507</v>
      </c>
      <c r="B496" s="260" t="s">
        <v>743</v>
      </c>
      <c r="C496" s="381"/>
      <c r="D496" s="464">
        <v>229814</v>
      </c>
      <c r="E496" s="496">
        <v>3</v>
      </c>
      <c r="F496" s="401">
        <v>9030</v>
      </c>
      <c r="G496" s="402">
        <v>9220</v>
      </c>
      <c r="H496" s="401">
        <v>23342</v>
      </c>
      <c r="I496" s="402">
        <v>23732</v>
      </c>
      <c r="J496" s="401">
        <v>9556</v>
      </c>
      <c r="K496" s="402">
        <v>9716</v>
      </c>
      <c r="L496" s="401">
        <v>20468</v>
      </c>
      <c r="M496" s="402">
        <v>20773.333333333299</v>
      </c>
      <c r="N496" s="401"/>
      <c r="O496" s="402"/>
      <c r="P496" s="413"/>
      <c r="Q496" s="402"/>
      <c r="R496" s="401"/>
      <c r="S496" s="402"/>
      <c r="T496" s="401"/>
      <c r="U496" s="402"/>
      <c r="V496" s="401"/>
      <c r="W496" s="402"/>
      <c r="X496" s="401"/>
      <c r="Y496" s="402"/>
      <c r="Z496" s="401"/>
      <c r="AA496" s="402"/>
      <c r="AB496" s="401"/>
      <c r="AC496" s="402"/>
      <c r="AD496" s="401"/>
      <c r="AE496" s="402"/>
      <c r="AF496" s="401"/>
      <c r="AG496" s="402"/>
      <c r="AH496" s="401"/>
      <c r="AI496" s="402"/>
      <c r="AJ496" s="401"/>
      <c r="AK496" s="402"/>
      <c r="AL496" s="401"/>
      <c r="AM496" s="402"/>
      <c r="AN496" s="401"/>
      <c r="AO496" s="402"/>
    </row>
    <row r="497" spans="1:41" s="179" customFormat="1" ht="15.75" customHeight="1">
      <c r="A497" s="259" t="s">
        <v>507</v>
      </c>
      <c r="B497" s="260" t="s">
        <v>744</v>
      </c>
      <c r="C497" s="381" t="s">
        <v>1019</v>
      </c>
      <c r="D497" s="464">
        <v>224545</v>
      </c>
      <c r="E497" s="496">
        <v>4</v>
      </c>
      <c r="F497" s="401">
        <v>8722</v>
      </c>
      <c r="G497" s="402">
        <v>8896</v>
      </c>
      <c r="H497" s="401">
        <v>24523</v>
      </c>
      <c r="I497" s="402">
        <v>23254</v>
      </c>
      <c r="J497" s="401">
        <v>7617.3333333333303</v>
      </c>
      <c r="K497" s="402">
        <v>7658.6666666666697</v>
      </c>
      <c r="L497" s="401">
        <v>19992</v>
      </c>
      <c r="M497" s="402">
        <v>20033.333333333299</v>
      </c>
      <c r="N497" s="401"/>
      <c r="O497" s="402"/>
      <c r="P497" s="413"/>
      <c r="Q497" s="402"/>
      <c r="R497" s="401"/>
      <c r="S497" s="402"/>
      <c r="T497" s="401"/>
      <c r="U497" s="402"/>
      <c r="V497" s="401"/>
      <c r="W497" s="402"/>
      <c r="X497" s="401"/>
      <c r="Y497" s="402"/>
      <c r="Z497" s="401"/>
      <c r="AA497" s="402"/>
      <c r="AB497" s="401"/>
      <c r="AC497" s="402"/>
      <c r="AD497" s="401"/>
      <c r="AE497" s="402"/>
      <c r="AF497" s="401"/>
      <c r="AG497" s="402"/>
      <c r="AH497" s="401"/>
      <c r="AI497" s="402"/>
      <c r="AJ497" s="401"/>
      <c r="AK497" s="402"/>
      <c r="AL497" s="401"/>
      <c r="AM497" s="402"/>
      <c r="AN497" s="401"/>
      <c r="AO497" s="402"/>
    </row>
    <row r="498" spans="1:41" s="179" customFormat="1" ht="15.75" customHeight="1">
      <c r="A498" s="259" t="s">
        <v>507</v>
      </c>
      <c r="B498" s="260" t="s">
        <v>745</v>
      </c>
      <c r="C498" s="381"/>
      <c r="D498" s="464">
        <v>483036</v>
      </c>
      <c r="E498" s="2">
        <v>3</v>
      </c>
      <c r="F498" s="401">
        <v>6986</v>
      </c>
      <c r="G498" s="402"/>
      <c r="H498" s="401">
        <v>16299</v>
      </c>
      <c r="I498" s="402">
        <v>0</v>
      </c>
      <c r="J498" s="401">
        <v>8262.6666666666697</v>
      </c>
      <c r="K498" s="402">
        <v>0</v>
      </c>
      <c r="L498" s="401">
        <v>19169.333333333299</v>
      </c>
      <c r="M498" s="402">
        <v>0</v>
      </c>
      <c r="N498" s="401"/>
      <c r="O498" s="402"/>
      <c r="P498" s="413"/>
      <c r="Q498" s="402"/>
      <c r="R498" s="401"/>
      <c r="S498" s="402"/>
      <c r="T498" s="401"/>
      <c r="U498" s="402"/>
      <c r="V498" s="401"/>
      <c r="W498" s="402"/>
      <c r="X498" s="401"/>
      <c r="Y498" s="402"/>
      <c r="Z498" s="401"/>
      <c r="AA498" s="402"/>
      <c r="AB498" s="401"/>
      <c r="AC498" s="402"/>
      <c r="AD498" s="401"/>
      <c r="AE498" s="402"/>
      <c r="AF498" s="401"/>
      <c r="AG498" s="402"/>
      <c r="AH498" s="401"/>
      <c r="AI498" s="402"/>
      <c r="AJ498" s="401"/>
      <c r="AK498" s="402"/>
      <c r="AL498" s="401"/>
      <c r="AM498" s="402"/>
      <c r="AN498" s="401"/>
      <c r="AO498" s="402"/>
    </row>
    <row r="499" spans="1:41" s="179" customFormat="1" ht="15.75" customHeight="1">
      <c r="A499" s="259" t="s">
        <v>507</v>
      </c>
      <c r="B499" s="260" t="s">
        <v>746</v>
      </c>
      <c r="C499" s="381" t="s">
        <v>1019</v>
      </c>
      <c r="D499" s="464">
        <v>225432</v>
      </c>
      <c r="E499" s="496">
        <v>4</v>
      </c>
      <c r="F499" s="401">
        <v>8686</v>
      </c>
      <c r="G499" s="402">
        <v>8828</v>
      </c>
      <c r="H499" s="401">
        <v>20874</v>
      </c>
      <c r="I499" s="402">
        <v>21098</v>
      </c>
      <c r="J499" s="401">
        <v>13209.333333333299</v>
      </c>
      <c r="K499" s="402">
        <v>13545.333333333299</v>
      </c>
      <c r="L499" s="401">
        <v>21825.333333333299</v>
      </c>
      <c r="M499" s="402">
        <v>22161.333333333299</v>
      </c>
      <c r="N499" s="401"/>
      <c r="O499" s="402"/>
      <c r="P499" s="413"/>
      <c r="Q499" s="402"/>
      <c r="R499" s="401"/>
      <c r="S499" s="402"/>
      <c r="T499" s="401"/>
      <c r="U499" s="402"/>
      <c r="V499" s="401"/>
      <c r="W499" s="402"/>
      <c r="X499" s="401"/>
      <c r="Y499" s="402"/>
      <c r="Z499" s="401"/>
      <c r="AA499" s="402"/>
      <c r="AB499" s="401"/>
      <c r="AC499" s="402"/>
      <c r="AD499" s="401"/>
      <c r="AE499" s="402"/>
      <c r="AF499" s="401"/>
      <c r="AG499" s="402"/>
      <c r="AH499" s="401"/>
      <c r="AI499" s="402"/>
      <c r="AJ499" s="401"/>
      <c r="AK499" s="402"/>
      <c r="AL499" s="401"/>
      <c r="AM499" s="402"/>
      <c r="AN499" s="401"/>
      <c r="AO499" s="402"/>
    </row>
    <row r="500" spans="1:41" s="179" customFormat="1" ht="15.75" customHeight="1">
      <c r="A500" s="259" t="s">
        <v>507</v>
      </c>
      <c r="B500" s="260" t="s">
        <v>747</v>
      </c>
      <c r="C500" s="381" t="s">
        <v>1019</v>
      </c>
      <c r="D500" s="464">
        <v>225502</v>
      </c>
      <c r="E500" s="496">
        <v>4</v>
      </c>
      <c r="F500" s="401">
        <v>8544</v>
      </c>
      <c r="G500" s="402">
        <v>8766</v>
      </c>
      <c r="H500" s="401">
        <v>20814</v>
      </c>
      <c r="I500" s="402">
        <v>21038</v>
      </c>
      <c r="J500" s="401">
        <v>10805.333333333299</v>
      </c>
      <c r="K500" s="402">
        <v>11088</v>
      </c>
      <c r="L500" s="401">
        <v>20621.333333333299</v>
      </c>
      <c r="M500" s="402">
        <v>19704</v>
      </c>
      <c r="N500" s="401"/>
      <c r="O500" s="402"/>
      <c r="P500" s="413"/>
      <c r="Q500" s="402"/>
      <c r="R500" s="401"/>
      <c r="S500" s="402"/>
      <c r="T500" s="401"/>
      <c r="U500" s="402"/>
      <c r="V500" s="401"/>
      <c r="W500" s="402"/>
      <c r="X500" s="401"/>
      <c r="Y500" s="402"/>
      <c r="Z500" s="401"/>
      <c r="AA500" s="402"/>
      <c r="AB500" s="401"/>
      <c r="AC500" s="402"/>
      <c r="AD500" s="401"/>
      <c r="AE500" s="402"/>
      <c r="AF500" s="401"/>
      <c r="AG500" s="402"/>
      <c r="AH500" s="401"/>
      <c r="AI500" s="402"/>
      <c r="AJ500" s="401"/>
      <c r="AK500" s="402"/>
      <c r="AL500" s="401"/>
      <c r="AM500" s="402"/>
      <c r="AN500" s="401"/>
      <c r="AO500" s="402"/>
    </row>
    <row r="501" spans="1:41" s="179" customFormat="1" ht="15.75" customHeight="1">
      <c r="A501" s="259" t="s">
        <v>507</v>
      </c>
      <c r="B501" s="260" t="s">
        <v>748</v>
      </c>
      <c r="C501" s="381" t="s">
        <v>1020</v>
      </c>
      <c r="D501" s="464" t="s">
        <v>749</v>
      </c>
      <c r="E501" s="496">
        <v>5</v>
      </c>
      <c r="F501" s="401">
        <v>8808</v>
      </c>
      <c r="G501" s="402">
        <v>9020</v>
      </c>
      <c r="H501" s="401">
        <v>21046</v>
      </c>
      <c r="I501" s="402">
        <v>21274</v>
      </c>
      <c r="J501" s="401">
        <v>7662.6666666666697</v>
      </c>
      <c r="K501" s="402">
        <v>7880</v>
      </c>
      <c r="L501" s="401">
        <v>17477.333333333299</v>
      </c>
      <c r="M501" s="402">
        <v>17696</v>
      </c>
      <c r="N501" s="401"/>
      <c r="O501" s="402"/>
      <c r="P501" s="413"/>
      <c r="Q501" s="402"/>
      <c r="R501" s="401"/>
      <c r="S501" s="402"/>
      <c r="T501" s="401"/>
      <c r="U501" s="402"/>
      <c r="V501" s="401"/>
      <c r="W501" s="402"/>
      <c r="X501" s="401"/>
      <c r="Y501" s="402"/>
      <c r="Z501" s="401"/>
      <c r="AA501" s="402"/>
      <c r="AB501" s="401"/>
      <c r="AC501" s="402"/>
      <c r="AD501" s="401"/>
      <c r="AE501" s="402"/>
      <c r="AF501" s="401"/>
      <c r="AG501" s="402"/>
      <c r="AH501" s="401"/>
      <c r="AI501" s="402"/>
      <c r="AJ501" s="401"/>
      <c r="AK501" s="402"/>
      <c r="AL501" s="401"/>
      <c r="AM501" s="402"/>
      <c r="AN501" s="401"/>
      <c r="AO501" s="402"/>
    </row>
    <row r="502" spans="1:41" s="179" customFormat="1" ht="15.75" customHeight="1">
      <c r="A502" s="259" t="s">
        <v>507</v>
      </c>
      <c r="B502" s="260" t="s">
        <v>750</v>
      </c>
      <c r="C502" s="381" t="s">
        <v>1020</v>
      </c>
      <c r="D502" s="464">
        <v>228714</v>
      </c>
      <c r="E502" s="496">
        <v>5</v>
      </c>
      <c r="F502" s="401">
        <v>10118</v>
      </c>
      <c r="G502" s="402">
        <v>12730</v>
      </c>
      <c r="H502" s="401">
        <v>39533</v>
      </c>
      <c r="I502" s="402">
        <v>40332</v>
      </c>
      <c r="J502" s="401">
        <v>11710.666666666701</v>
      </c>
      <c r="K502" s="402">
        <v>11949.333333333299</v>
      </c>
      <c r="L502" s="401">
        <v>23984</v>
      </c>
      <c r="M502" s="402">
        <v>24658.666666666701</v>
      </c>
      <c r="N502" s="401"/>
      <c r="O502" s="402"/>
      <c r="P502" s="413"/>
      <c r="Q502" s="402"/>
      <c r="R502" s="401"/>
      <c r="S502" s="402"/>
      <c r="T502" s="401"/>
      <c r="U502" s="402"/>
      <c r="V502" s="401"/>
      <c r="W502" s="402"/>
      <c r="X502" s="401"/>
      <c r="Y502" s="402"/>
      <c r="Z502" s="401"/>
      <c r="AA502" s="402"/>
      <c r="AB502" s="401"/>
      <c r="AC502" s="402"/>
      <c r="AD502" s="401"/>
      <c r="AE502" s="402"/>
      <c r="AF502" s="401"/>
      <c r="AG502" s="402"/>
      <c r="AH502" s="401"/>
      <c r="AI502" s="402"/>
      <c r="AJ502" s="401"/>
      <c r="AK502" s="402"/>
      <c r="AL502" s="401"/>
      <c r="AM502" s="402"/>
      <c r="AN502" s="401"/>
      <c r="AO502" s="402"/>
    </row>
    <row r="503" spans="1:41" s="179" customFormat="1" ht="15.75" customHeight="1">
      <c r="A503" s="259" t="s">
        <v>507</v>
      </c>
      <c r="B503" s="260" t="s">
        <v>751</v>
      </c>
      <c r="C503" s="381" t="s">
        <v>1020</v>
      </c>
      <c r="D503" s="464">
        <v>870501</v>
      </c>
      <c r="E503" s="2">
        <v>4</v>
      </c>
      <c r="F503" s="401">
        <v>8900</v>
      </c>
      <c r="G503" s="402"/>
      <c r="H503" s="401">
        <v>22168</v>
      </c>
      <c r="I503" s="402">
        <v>0</v>
      </c>
      <c r="J503" s="401">
        <v>8802.6666666666697</v>
      </c>
      <c r="K503" s="402">
        <v>0</v>
      </c>
      <c r="L503" s="401">
        <v>19125.333333333299</v>
      </c>
      <c r="M503" s="402">
        <v>0</v>
      </c>
      <c r="N503" s="401"/>
      <c r="O503" s="402"/>
      <c r="P503" s="413"/>
      <c r="Q503" s="402"/>
      <c r="R503" s="401"/>
      <c r="S503" s="402"/>
      <c r="T503" s="401"/>
      <c r="U503" s="402"/>
      <c r="V503" s="401"/>
      <c r="W503" s="402"/>
      <c r="X503" s="401"/>
      <c r="Y503" s="402"/>
      <c r="Z503" s="401"/>
      <c r="AA503" s="402"/>
      <c r="AB503" s="401"/>
      <c r="AC503" s="402"/>
      <c r="AD503" s="401"/>
      <c r="AE503" s="402"/>
      <c r="AF503" s="401"/>
      <c r="AG503" s="402"/>
      <c r="AH503" s="401"/>
      <c r="AI503" s="402"/>
      <c r="AJ503" s="401"/>
      <c r="AK503" s="402"/>
      <c r="AL503" s="401"/>
      <c r="AM503" s="402"/>
      <c r="AN503" s="401"/>
      <c r="AO503" s="402"/>
    </row>
    <row r="504" spans="1:41" s="179" customFormat="1" ht="15.75" hidden="1" customHeight="1">
      <c r="A504" s="259" t="s">
        <v>507</v>
      </c>
      <c r="B504" s="260" t="s">
        <v>752</v>
      </c>
      <c r="C504" s="497" t="s">
        <v>1021</v>
      </c>
      <c r="D504" s="464">
        <v>223506</v>
      </c>
      <c r="E504" s="496">
        <v>7</v>
      </c>
      <c r="F504" s="401">
        <v>2714</v>
      </c>
      <c r="G504" s="402"/>
      <c r="H504" s="401">
        <v>5355</v>
      </c>
      <c r="I504" s="402">
        <v>0</v>
      </c>
      <c r="J504" s="401">
        <v>0</v>
      </c>
      <c r="K504" s="402">
        <v>0</v>
      </c>
      <c r="L504" s="401">
        <v>0</v>
      </c>
      <c r="M504" s="402">
        <v>0</v>
      </c>
      <c r="N504" s="401"/>
      <c r="O504" s="402"/>
      <c r="P504" s="413"/>
      <c r="Q504" s="402"/>
      <c r="R504" s="401"/>
      <c r="S504" s="402"/>
      <c r="T504" s="401"/>
      <c r="U504" s="402"/>
      <c r="V504" s="401"/>
      <c r="W504" s="402"/>
      <c r="X504" s="401"/>
      <c r="Y504" s="402"/>
      <c r="Z504" s="401"/>
      <c r="AA504" s="402"/>
      <c r="AB504" s="401"/>
      <c r="AC504" s="402"/>
      <c r="AD504" s="401"/>
      <c r="AE504" s="402"/>
      <c r="AF504" s="401"/>
      <c r="AG504" s="402"/>
      <c r="AH504" s="401"/>
      <c r="AI504" s="402"/>
      <c r="AJ504" s="401"/>
      <c r="AK504" s="402"/>
      <c r="AL504" s="401"/>
      <c r="AM504" s="402"/>
      <c r="AN504" s="401"/>
      <c r="AO504" s="402"/>
    </row>
    <row r="505" spans="1:41" s="179" customFormat="1" ht="15.75" hidden="1" customHeight="1">
      <c r="A505" s="259" t="s">
        <v>507</v>
      </c>
      <c r="B505" s="260" t="s">
        <v>753</v>
      </c>
      <c r="C505" s="497" t="s">
        <v>1021</v>
      </c>
      <c r="D505" s="464">
        <v>226806</v>
      </c>
      <c r="E505" s="496">
        <v>7</v>
      </c>
      <c r="F505" s="401">
        <v>2878</v>
      </c>
      <c r="G505" s="402">
        <v>3176</v>
      </c>
      <c r="H505" s="401">
        <v>5610</v>
      </c>
      <c r="I505" s="402">
        <v>5880</v>
      </c>
      <c r="J505" s="401">
        <v>0</v>
      </c>
      <c r="K505" s="402">
        <v>0</v>
      </c>
      <c r="L505" s="401">
        <v>0</v>
      </c>
      <c r="M505" s="402">
        <v>0</v>
      </c>
      <c r="N505" s="401"/>
      <c r="O505" s="402"/>
      <c r="P505" s="413"/>
      <c r="Q505" s="402"/>
      <c r="R505" s="401"/>
      <c r="S505" s="402"/>
      <c r="T505" s="401"/>
      <c r="U505" s="402"/>
      <c r="V505" s="401"/>
      <c r="W505" s="402"/>
      <c r="X505" s="401"/>
      <c r="Y505" s="402"/>
      <c r="Z505" s="401"/>
      <c r="AA505" s="402"/>
      <c r="AB505" s="401"/>
      <c r="AC505" s="402"/>
      <c r="AD505" s="401"/>
      <c r="AE505" s="402"/>
      <c r="AF505" s="401"/>
      <c r="AG505" s="402"/>
      <c r="AH505" s="401"/>
      <c r="AI505" s="402"/>
      <c r="AJ505" s="401"/>
      <c r="AK505" s="402"/>
      <c r="AL505" s="401"/>
      <c r="AM505" s="402"/>
      <c r="AN505" s="401"/>
      <c r="AO505" s="402"/>
    </row>
    <row r="506" spans="1:41" s="179" customFormat="1" ht="15.75" hidden="1" customHeight="1">
      <c r="A506" s="259" t="s">
        <v>507</v>
      </c>
      <c r="B506" s="260" t="s">
        <v>754</v>
      </c>
      <c r="C506" s="497" t="s">
        <v>1022</v>
      </c>
      <c r="D506" s="464">
        <v>409315</v>
      </c>
      <c r="E506" s="496">
        <v>7</v>
      </c>
      <c r="F506" s="401">
        <v>4550</v>
      </c>
      <c r="G506" s="402">
        <v>5066</v>
      </c>
      <c r="H506" s="401">
        <v>7770</v>
      </c>
      <c r="I506" s="402">
        <v>7770</v>
      </c>
      <c r="J506" s="401">
        <v>0</v>
      </c>
      <c r="K506" s="402">
        <v>0</v>
      </c>
      <c r="L506" s="401">
        <v>0</v>
      </c>
      <c r="M506" s="402">
        <v>0</v>
      </c>
      <c r="N506" s="401"/>
      <c r="O506" s="402"/>
      <c r="P506" s="413"/>
      <c r="Q506" s="402"/>
      <c r="R506" s="401"/>
      <c r="S506" s="402"/>
      <c r="T506" s="401"/>
      <c r="U506" s="402"/>
      <c r="V506" s="401"/>
      <c r="W506" s="402"/>
      <c r="X506" s="401"/>
      <c r="Y506" s="402"/>
      <c r="Z506" s="401"/>
      <c r="AA506" s="402"/>
      <c r="AB506" s="401"/>
      <c r="AC506" s="402"/>
      <c r="AD506" s="401"/>
      <c r="AE506" s="402"/>
      <c r="AF506" s="401"/>
      <c r="AG506" s="402"/>
      <c r="AH506" s="401"/>
      <c r="AI506" s="402"/>
      <c r="AJ506" s="401"/>
      <c r="AK506" s="402"/>
      <c r="AL506" s="401"/>
      <c r="AM506" s="402"/>
      <c r="AN506" s="401"/>
      <c r="AO506" s="402"/>
    </row>
    <row r="507" spans="1:41" s="179" customFormat="1" ht="15.75" hidden="1" customHeight="1">
      <c r="A507" s="282" t="s">
        <v>507</v>
      </c>
      <c r="B507" s="260" t="s">
        <v>755</v>
      </c>
      <c r="C507" s="497"/>
      <c r="D507" s="464">
        <v>222576</v>
      </c>
      <c r="E507" s="496">
        <v>8</v>
      </c>
      <c r="F507" s="401">
        <v>2710</v>
      </c>
      <c r="G507" s="402">
        <v>2710</v>
      </c>
      <c r="H507" s="401">
        <v>5880</v>
      </c>
      <c r="I507" s="402">
        <v>5880</v>
      </c>
      <c r="J507" s="401">
        <v>0</v>
      </c>
      <c r="K507" s="402">
        <v>0</v>
      </c>
      <c r="L507" s="401">
        <v>0</v>
      </c>
      <c r="M507" s="402">
        <v>0</v>
      </c>
      <c r="N507" s="401"/>
      <c r="O507" s="402"/>
      <c r="P507" s="413"/>
      <c r="Q507" s="402"/>
      <c r="R507" s="401"/>
      <c r="S507" s="402"/>
      <c r="T507" s="401"/>
      <c r="U507" s="402"/>
      <c r="V507" s="401"/>
      <c r="W507" s="402"/>
      <c r="X507" s="401"/>
      <c r="Y507" s="402"/>
      <c r="Z507" s="401"/>
      <c r="AA507" s="402"/>
      <c r="AB507" s="401"/>
      <c r="AC507" s="402"/>
      <c r="AD507" s="401"/>
      <c r="AE507" s="402"/>
      <c r="AF507" s="401"/>
      <c r="AG507" s="402"/>
      <c r="AH507" s="401"/>
      <c r="AI507" s="402"/>
      <c r="AJ507" s="401"/>
      <c r="AK507" s="402"/>
      <c r="AL507" s="401"/>
      <c r="AM507" s="402"/>
      <c r="AN507" s="401"/>
      <c r="AO507" s="402"/>
    </row>
    <row r="508" spans="1:41" s="179" customFormat="1" ht="15.75" hidden="1" customHeight="1">
      <c r="A508" s="282" t="s">
        <v>507</v>
      </c>
      <c r="B508" s="260" t="s">
        <v>756</v>
      </c>
      <c r="C508" s="497"/>
      <c r="D508" s="464">
        <v>222992</v>
      </c>
      <c r="E508" s="496">
        <v>8</v>
      </c>
      <c r="F508" s="401">
        <v>3866</v>
      </c>
      <c r="G508" s="402">
        <v>3852</v>
      </c>
      <c r="H508" s="401">
        <v>13020</v>
      </c>
      <c r="I508" s="402">
        <v>13020</v>
      </c>
      <c r="J508" s="401">
        <v>0</v>
      </c>
      <c r="K508" s="402">
        <v>0</v>
      </c>
      <c r="L508" s="401">
        <v>0</v>
      </c>
      <c r="M508" s="402">
        <v>0</v>
      </c>
      <c r="N508" s="401"/>
      <c r="O508" s="402"/>
      <c r="P508" s="413"/>
      <c r="Q508" s="402"/>
      <c r="R508" s="401"/>
      <c r="S508" s="402"/>
      <c r="T508" s="401"/>
      <c r="U508" s="402"/>
      <c r="V508" s="401"/>
      <c r="W508" s="402"/>
      <c r="X508" s="401"/>
      <c r="Y508" s="402"/>
      <c r="Z508" s="401"/>
      <c r="AA508" s="402"/>
      <c r="AB508" s="401"/>
      <c r="AC508" s="402"/>
      <c r="AD508" s="401"/>
      <c r="AE508" s="402"/>
      <c r="AF508" s="401"/>
      <c r="AG508" s="402"/>
      <c r="AH508" s="401"/>
      <c r="AI508" s="402"/>
      <c r="AJ508" s="401"/>
      <c r="AK508" s="402"/>
      <c r="AL508" s="401"/>
      <c r="AM508" s="402"/>
      <c r="AN508" s="401"/>
      <c r="AO508" s="402"/>
    </row>
    <row r="509" spans="1:41" s="179" customFormat="1" ht="15.75" hidden="1" customHeight="1">
      <c r="A509" s="282" t="s">
        <v>507</v>
      </c>
      <c r="B509" s="260" t="s">
        <v>758</v>
      </c>
      <c r="C509" s="497" t="s">
        <v>1023</v>
      </c>
      <c r="D509" s="464">
        <v>223427</v>
      </c>
      <c r="E509" s="496">
        <v>8</v>
      </c>
      <c r="F509" s="401">
        <v>6150</v>
      </c>
      <c r="G509" s="402">
        <v>6270</v>
      </c>
      <c r="H509" s="401">
        <v>10470</v>
      </c>
      <c r="I509" s="402">
        <v>10530</v>
      </c>
      <c r="J509" s="401">
        <v>0</v>
      </c>
      <c r="K509" s="402">
        <v>0</v>
      </c>
      <c r="L509" s="401">
        <v>0</v>
      </c>
      <c r="M509" s="402">
        <v>0</v>
      </c>
      <c r="N509" s="401"/>
      <c r="O509" s="402"/>
      <c r="P509" s="413"/>
      <c r="Q509" s="402"/>
      <c r="R509" s="401"/>
      <c r="S509" s="402"/>
      <c r="T509" s="401"/>
      <c r="U509" s="402"/>
      <c r="V509" s="401"/>
      <c r="W509" s="402"/>
      <c r="X509" s="401"/>
      <c r="Y509" s="402"/>
      <c r="Z509" s="401"/>
      <c r="AA509" s="402"/>
      <c r="AB509" s="401"/>
      <c r="AC509" s="402"/>
      <c r="AD509" s="401"/>
      <c r="AE509" s="402"/>
      <c r="AF509" s="401"/>
      <c r="AG509" s="402"/>
      <c r="AH509" s="401"/>
      <c r="AI509" s="402"/>
      <c r="AJ509" s="401"/>
      <c r="AK509" s="402"/>
      <c r="AL509" s="401"/>
      <c r="AM509" s="402"/>
      <c r="AN509" s="401"/>
      <c r="AO509" s="402"/>
    </row>
    <row r="510" spans="1:41" s="179" customFormat="1" ht="15.75" hidden="1" customHeight="1">
      <c r="A510" s="282" t="s">
        <v>507</v>
      </c>
      <c r="B510" s="260" t="s">
        <v>759</v>
      </c>
      <c r="C510" s="497"/>
      <c r="D510" s="464">
        <v>223524</v>
      </c>
      <c r="E510" s="496">
        <v>8</v>
      </c>
      <c r="F510" s="401">
        <v>2370</v>
      </c>
      <c r="G510" s="402">
        <v>2370</v>
      </c>
      <c r="H510" s="401">
        <v>6000</v>
      </c>
      <c r="I510" s="402">
        <v>6000</v>
      </c>
      <c r="J510" s="401">
        <v>0</v>
      </c>
      <c r="K510" s="402">
        <v>0</v>
      </c>
      <c r="L510" s="401">
        <v>0</v>
      </c>
      <c r="M510" s="402">
        <v>0</v>
      </c>
      <c r="N510" s="401"/>
      <c r="O510" s="402"/>
      <c r="P510" s="413"/>
      <c r="Q510" s="402"/>
      <c r="R510" s="401"/>
      <c r="S510" s="402"/>
      <c r="T510" s="401"/>
      <c r="U510" s="402"/>
      <c r="V510" s="401"/>
      <c r="W510" s="402"/>
      <c r="X510" s="401"/>
      <c r="Y510" s="402"/>
      <c r="Z510" s="401"/>
      <c r="AA510" s="402"/>
      <c r="AB510" s="401"/>
      <c r="AC510" s="402"/>
      <c r="AD510" s="401"/>
      <c r="AE510" s="402"/>
      <c r="AF510" s="401"/>
      <c r="AG510" s="402"/>
      <c r="AH510" s="401"/>
      <c r="AI510" s="402"/>
      <c r="AJ510" s="401"/>
      <c r="AK510" s="402"/>
      <c r="AL510" s="401"/>
      <c r="AM510" s="402"/>
      <c r="AN510" s="401"/>
      <c r="AO510" s="402"/>
    </row>
    <row r="511" spans="1:41" s="179" customFormat="1" ht="15.75" hidden="1" customHeight="1">
      <c r="A511" s="282" t="s">
        <v>507</v>
      </c>
      <c r="B511" s="260" t="s">
        <v>760</v>
      </c>
      <c r="C511" s="497"/>
      <c r="D511" s="464">
        <v>223816</v>
      </c>
      <c r="E511" s="496">
        <v>8</v>
      </c>
      <c r="F511" s="401">
        <v>2710</v>
      </c>
      <c r="G511" s="402">
        <v>2896</v>
      </c>
      <c r="H511" s="401">
        <v>7200</v>
      </c>
      <c r="I511" s="402">
        <v>7500</v>
      </c>
      <c r="J511" s="401">
        <v>0</v>
      </c>
      <c r="K511" s="402">
        <v>0</v>
      </c>
      <c r="L511" s="401">
        <v>0</v>
      </c>
      <c r="M511" s="402">
        <v>0</v>
      </c>
      <c r="N511" s="401"/>
      <c r="O511" s="402"/>
      <c r="P511" s="413"/>
      <c r="Q511" s="402"/>
      <c r="R511" s="401"/>
      <c r="S511" s="402"/>
      <c r="T511" s="401"/>
      <c r="U511" s="402"/>
      <c r="V511" s="401"/>
      <c r="W511" s="402"/>
      <c r="X511" s="401"/>
      <c r="Y511" s="402"/>
      <c r="Z511" s="401"/>
      <c r="AA511" s="402"/>
      <c r="AB511" s="401"/>
      <c r="AC511" s="402"/>
      <c r="AD511" s="401"/>
      <c r="AE511" s="402"/>
      <c r="AF511" s="401"/>
      <c r="AG511" s="402"/>
      <c r="AH511" s="401"/>
      <c r="AI511" s="402"/>
      <c r="AJ511" s="401"/>
      <c r="AK511" s="402"/>
      <c r="AL511" s="401"/>
      <c r="AM511" s="402"/>
      <c r="AN511" s="401"/>
      <c r="AO511" s="402"/>
    </row>
    <row r="512" spans="1:41" s="179" customFormat="1" ht="15.75" hidden="1" customHeight="1">
      <c r="A512" s="282" t="s">
        <v>507</v>
      </c>
      <c r="B512" s="260" t="s">
        <v>761</v>
      </c>
      <c r="C512" s="497"/>
      <c r="D512" s="464">
        <v>247834</v>
      </c>
      <c r="E512" s="496">
        <v>8</v>
      </c>
      <c r="F512" s="401">
        <v>1684</v>
      </c>
      <c r="G512" s="402">
        <v>1714</v>
      </c>
      <c r="H512" s="401">
        <v>5060</v>
      </c>
      <c r="I512" s="402">
        <v>5150</v>
      </c>
      <c r="J512" s="401">
        <v>0</v>
      </c>
      <c r="K512" s="402">
        <v>0</v>
      </c>
      <c r="L512" s="401">
        <v>0</v>
      </c>
      <c r="M512" s="402">
        <v>0</v>
      </c>
      <c r="N512" s="401"/>
      <c r="O512" s="402"/>
      <c r="P512" s="413"/>
      <c r="Q512" s="402"/>
      <c r="R512" s="401"/>
      <c r="S512" s="402"/>
      <c r="T512" s="401"/>
      <c r="U512" s="402"/>
      <c r="V512" s="401"/>
      <c r="W512" s="402"/>
      <c r="X512" s="401"/>
      <c r="Y512" s="402"/>
      <c r="Z512" s="401"/>
      <c r="AA512" s="402"/>
      <c r="AB512" s="401"/>
      <c r="AC512" s="402"/>
      <c r="AD512" s="401"/>
      <c r="AE512" s="402"/>
      <c r="AF512" s="401"/>
      <c r="AG512" s="402"/>
      <c r="AH512" s="401"/>
      <c r="AI512" s="402"/>
      <c r="AJ512" s="401"/>
      <c r="AK512" s="402"/>
      <c r="AL512" s="401"/>
      <c r="AM512" s="402"/>
      <c r="AN512" s="401"/>
      <c r="AO512" s="402"/>
    </row>
    <row r="513" spans="1:41" s="179" customFormat="1" ht="15.75" hidden="1" customHeight="1">
      <c r="A513" s="282" t="s">
        <v>507</v>
      </c>
      <c r="B513" s="260" t="s">
        <v>762</v>
      </c>
      <c r="C513" s="497"/>
      <c r="D513" s="464">
        <v>224350</v>
      </c>
      <c r="E513" s="496">
        <v>8</v>
      </c>
      <c r="F513" s="401">
        <v>3320</v>
      </c>
      <c r="G513" s="402">
        <v>3320</v>
      </c>
      <c r="H513" s="401">
        <v>5930</v>
      </c>
      <c r="I513" s="402">
        <v>5930</v>
      </c>
      <c r="J513" s="401">
        <v>0</v>
      </c>
      <c r="K513" s="402">
        <v>0</v>
      </c>
      <c r="L513" s="401">
        <v>0</v>
      </c>
      <c r="M513" s="402">
        <v>0</v>
      </c>
      <c r="N513" s="401"/>
      <c r="O513" s="402"/>
      <c r="P513" s="413"/>
      <c r="Q513" s="402"/>
      <c r="R513" s="401"/>
      <c r="S513" s="402"/>
      <c r="T513" s="401"/>
      <c r="U513" s="402"/>
      <c r="V513" s="401"/>
      <c r="W513" s="402"/>
      <c r="X513" s="401"/>
      <c r="Y513" s="402"/>
      <c r="Z513" s="401"/>
      <c r="AA513" s="402"/>
      <c r="AB513" s="401"/>
      <c r="AC513" s="402"/>
      <c r="AD513" s="401"/>
      <c r="AE513" s="402"/>
      <c r="AF513" s="401"/>
      <c r="AG513" s="402"/>
      <c r="AH513" s="401"/>
      <c r="AI513" s="402"/>
      <c r="AJ513" s="401"/>
      <c r="AK513" s="402"/>
      <c r="AL513" s="401"/>
      <c r="AM513" s="402"/>
      <c r="AN513" s="401"/>
      <c r="AO513" s="402"/>
    </row>
    <row r="514" spans="1:41" s="179" customFormat="1" ht="15.75" hidden="1" customHeight="1">
      <c r="A514" s="282" t="s">
        <v>507</v>
      </c>
      <c r="B514" s="260" t="s">
        <v>763</v>
      </c>
      <c r="C514" s="497" t="s">
        <v>1024</v>
      </c>
      <c r="D514" s="464">
        <v>224572</v>
      </c>
      <c r="E514" s="496">
        <v>8</v>
      </c>
      <c r="F514" s="401">
        <v>2370</v>
      </c>
      <c r="G514" s="402">
        <v>2370</v>
      </c>
      <c r="H514" s="401">
        <v>6000</v>
      </c>
      <c r="I514" s="402">
        <v>6000</v>
      </c>
      <c r="J514" s="401">
        <v>0</v>
      </c>
      <c r="K514" s="402">
        <v>0</v>
      </c>
      <c r="L514" s="401">
        <v>0</v>
      </c>
      <c r="M514" s="402">
        <v>0</v>
      </c>
      <c r="N514" s="401"/>
      <c r="O514" s="402"/>
      <c r="P514" s="413"/>
      <c r="Q514" s="402"/>
      <c r="R514" s="401"/>
      <c r="S514" s="402"/>
      <c r="T514" s="401"/>
      <c r="U514" s="402"/>
      <c r="V514" s="401"/>
      <c r="W514" s="402"/>
      <c r="X514" s="401"/>
      <c r="Y514" s="402"/>
      <c r="Z514" s="401"/>
      <c r="AA514" s="402"/>
      <c r="AB514" s="401"/>
      <c r="AC514" s="402"/>
      <c r="AD514" s="401"/>
      <c r="AE514" s="402"/>
      <c r="AF514" s="401"/>
      <c r="AG514" s="402"/>
      <c r="AH514" s="401"/>
      <c r="AI514" s="402"/>
      <c r="AJ514" s="401"/>
      <c r="AK514" s="402"/>
      <c r="AL514" s="401"/>
      <c r="AM514" s="402"/>
      <c r="AN514" s="401"/>
      <c r="AO514" s="402"/>
    </row>
    <row r="515" spans="1:41" s="179" customFormat="1" ht="15.75" hidden="1" customHeight="1">
      <c r="A515" s="263" t="s">
        <v>507</v>
      </c>
      <c r="B515" s="260" t="s">
        <v>764</v>
      </c>
      <c r="C515" s="497" t="s">
        <v>1024</v>
      </c>
      <c r="D515" s="464">
        <v>224615</v>
      </c>
      <c r="E515" s="496">
        <v>8</v>
      </c>
      <c r="F515" s="401">
        <v>2370</v>
      </c>
      <c r="G515" s="402">
        <v>2370</v>
      </c>
      <c r="H515" s="401">
        <v>6000</v>
      </c>
      <c r="I515" s="402">
        <v>6000</v>
      </c>
      <c r="J515" s="401">
        <v>0</v>
      </c>
      <c r="K515" s="402">
        <v>0</v>
      </c>
      <c r="L515" s="401">
        <v>0</v>
      </c>
      <c r="M515" s="402">
        <v>0</v>
      </c>
      <c r="N515" s="401"/>
      <c r="O515" s="402"/>
      <c r="P515" s="413"/>
      <c r="Q515" s="402"/>
      <c r="R515" s="401"/>
      <c r="S515" s="402"/>
      <c r="T515" s="401"/>
      <c r="U515" s="402"/>
      <c r="V515" s="401"/>
      <c r="W515" s="402"/>
      <c r="X515" s="401"/>
      <c r="Y515" s="402"/>
      <c r="Z515" s="401"/>
      <c r="AA515" s="402"/>
      <c r="AB515" s="401"/>
      <c r="AC515" s="402"/>
      <c r="AD515" s="401"/>
      <c r="AE515" s="402"/>
      <c r="AF515" s="401"/>
      <c r="AG515" s="402"/>
      <c r="AH515" s="401"/>
      <c r="AI515" s="402"/>
      <c r="AJ515" s="401"/>
      <c r="AK515" s="402"/>
      <c r="AL515" s="401"/>
      <c r="AM515" s="402"/>
      <c r="AN515" s="401"/>
      <c r="AO515" s="402"/>
    </row>
    <row r="516" spans="1:41" s="179" customFormat="1" ht="15.75" hidden="1" customHeight="1">
      <c r="A516" s="263" t="s">
        <v>507</v>
      </c>
      <c r="B516" s="260" t="s">
        <v>765</v>
      </c>
      <c r="C516" s="497"/>
      <c r="D516" s="464">
        <v>224642</v>
      </c>
      <c r="E516" s="496">
        <v>8</v>
      </c>
      <c r="F516" s="401">
        <v>4120</v>
      </c>
      <c r="G516" s="402">
        <v>4120</v>
      </c>
      <c r="H516" s="401">
        <v>6630</v>
      </c>
      <c r="I516" s="402">
        <v>6630</v>
      </c>
      <c r="J516" s="401">
        <v>0</v>
      </c>
      <c r="K516" s="402">
        <v>0</v>
      </c>
      <c r="L516" s="401">
        <v>0</v>
      </c>
      <c r="M516" s="402">
        <v>0</v>
      </c>
      <c r="N516" s="401"/>
      <c r="O516" s="402"/>
      <c r="P516" s="413"/>
      <c r="Q516" s="402"/>
      <c r="R516" s="401"/>
      <c r="S516" s="402"/>
      <c r="T516" s="401"/>
      <c r="U516" s="402"/>
      <c r="V516" s="401"/>
      <c r="W516" s="402"/>
      <c r="X516" s="401"/>
      <c r="Y516" s="402"/>
      <c r="Z516" s="401"/>
      <c r="AA516" s="402"/>
      <c r="AB516" s="401"/>
      <c r="AC516" s="402"/>
      <c r="AD516" s="401"/>
      <c r="AE516" s="402"/>
      <c r="AF516" s="401"/>
      <c r="AG516" s="402"/>
      <c r="AH516" s="401"/>
      <c r="AI516" s="402"/>
      <c r="AJ516" s="401"/>
      <c r="AK516" s="402"/>
      <c r="AL516" s="401"/>
      <c r="AM516" s="402"/>
      <c r="AN516" s="401"/>
      <c r="AO516" s="402"/>
    </row>
    <row r="517" spans="1:41" s="179" customFormat="1" ht="15.75" hidden="1" customHeight="1">
      <c r="A517" s="263" t="s">
        <v>507</v>
      </c>
      <c r="B517" s="260" t="s">
        <v>766</v>
      </c>
      <c r="C517" s="497"/>
      <c r="D517" s="464">
        <v>225423</v>
      </c>
      <c r="E517" s="496">
        <v>8</v>
      </c>
      <c r="F517" s="401">
        <v>2542</v>
      </c>
      <c r="G517" s="402">
        <v>2542</v>
      </c>
      <c r="H517" s="401">
        <v>6570</v>
      </c>
      <c r="I517" s="402">
        <v>6822</v>
      </c>
      <c r="J517" s="401">
        <v>0</v>
      </c>
      <c r="K517" s="402">
        <v>0</v>
      </c>
      <c r="L517" s="401">
        <v>0</v>
      </c>
      <c r="M517" s="402">
        <v>0</v>
      </c>
      <c r="N517" s="401"/>
      <c r="O517" s="402"/>
      <c r="P517" s="413"/>
      <c r="Q517" s="402"/>
      <c r="R517" s="401"/>
      <c r="S517" s="402"/>
      <c r="T517" s="401"/>
      <c r="U517" s="402"/>
      <c r="V517" s="401"/>
      <c r="W517" s="402"/>
      <c r="X517" s="401"/>
      <c r="Y517" s="402"/>
      <c r="Z517" s="401"/>
      <c r="AA517" s="402"/>
      <c r="AB517" s="401"/>
      <c r="AC517" s="402"/>
      <c r="AD517" s="401"/>
      <c r="AE517" s="402"/>
      <c r="AF517" s="401"/>
      <c r="AG517" s="402"/>
      <c r="AH517" s="401"/>
      <c r="AI517" s="402"/>
      <c r="AJ517" s="401"/>
      <c r="AK517" s="402"/>
      <c r="AL517" s="401"/>
      <c r="AM517" s="402"/>
      <c r="AN517" s="401"/>
      <c r="AO517" s="402"/>
    </row>
    <row r="518" spans="1:41" s="179" customFormat="1" ht="15.75" hidden="1" customHeight="1">
      <c r="A518" s="263" t="s">
        <v>507</v>
      </c>
      <c r="B518" s="260" t="s">
        <v>767</v>
      </c>
      <c r="C518" s="497"/>
      <c r="D518" s="464">
        <v>226134</v>
      </c>
      <c r="E518" s="496">
        <v>8</v>
      </c>
      <c r="F518" s="401">
        <v>4110</v>
      </c>
      <c r="G518" s="402">
        <v>4130</v>
      </c>
      <c r="H518" s="401">
        <v>7140</v>
      </c>
      <c r="I518" s="402">
        <v>7120</v>
      </c>
      <c r="J518" s="401">
        <v>0</v>
      </c>
      <c r="K518" s="402">
        <v>0</v>
      </c>
      <c r="L518" s="401">
        <v>0</v>
      </c>
      <c r="M518" s="402">
        <v>0</v>
      </c>
      <c r="N518" s="401"/>
      <c r="O518" s="402"/>
      <c r="P518" s="413"/>
      <c r="Q518" s="402"/>
      <c r="R518" s="401"/>
      <c r="S518" s="402"/>
      <c r="T518" s="401"/>
      <c r="U518" s="402"/>
      <c r="V518" s="401"/>
      <c r="W518" s="402"/>
      <c r="X518" s="401"/>
      <c r="Y518" s="402"/>
      <c r="Z518" s="401"/>
      <c r="AA518" s="402"/>
      <c r="AB518" s="401"/>
      <c r="AC518" s="402"/>
      <c r="AD518" s="401"/>
      <c r="AE518" s="402"/>
      <c r="AF518" s="401"/>
      <c r="AG518" s="402"/>
      <c r="AH518" s="401"/>
      <c r="AI518" s="402"/>
      <c r="AJ518" s="401"/>
      <c r="AK518" s="402"/>
      <c r="AL518" s="401"/>
      <c r="AM518" s="402"/>
      <c r="AN518" s="401"/>
      <c r="AO518" s="402"/>
    </row>
    <row r="519" spans="1:41" s="179" customFormat="1" ht="15.75" hidden="1" customHeight="1">
      <c r="A519" s="259" t="s">
        <v>507</v>
      </c>
      <c r="B519" s="260" t="s">
        <v>768</v>
      </c>
      <c r="C519" s="497"/>
      <c r="D519" s="464">
        <v>227182</v>
      </c>
      <c r="E519" s="496">
        <v>8</v>
      </c>
      <c r="F519" s="401">
        <v>2758</v>
      </c>
      <c r="G519" s="402">
        <v>2760</v>
      </c>
      <c r="H519" s="401">
        <v>7695</v>
      </c>
      <c r="I519" s="402">
        <v>7680</v>
      </c>
      <c r="J519" s="401">
        <v>0</v>
      </c>
      <c r="K519" s="402">
        <v>0</v>
      </c>
      <c r="L519" s="401">
        <v>0</v>
      </c>
      <c r="M519" s="402">
        <v>0</v>
      </c>
      <c r="N519" s="401"/>
      <c r="O519" s="402"/>
      <c r="P519" s="413"/>
      <c r="Q519" s="402"/>
      <c r="R519" s="401"/>
      <c r="S519" s="402"/>
      <c r="T519" s="401"/>
      <c r="U519" s="402"/>
      <c r="V519" s="401"/>
      <c r="W519" s="402"/>
      <c r="X519" s="401"/>
      <c r="Y519" s="402"/>
      <c r="Z519" s="401"/>
      <c r="AA519" s="402"/>
      <c r="AB519" s="401"/>
      <c r="AC519" s="402"/>
      <c r="AD519" s="401"/>
      <c r="AE519" s="402"/>
      <c r="AF519" s="401"/>
      <c r="AG519" s="402"/>
      <c r="AH519" s="401"/>
      <c r="AI519" s="402"/>
      <c r="AJ519" s="401"/>
      <c r="AK519" s="402"/>
      <c r="AL519" s="401"/>
      <c r="AM519" s="402"/>
      <c r="AN519" s="401"/>
      <c r="AO519" s="402"/>
    </row>
    <row r="520" spans="1:41" s="179" customFormat="1" ht="15.75" hidden="1" customHeight="1">
      <c r="A520" s="259" t="s">
        <v>507</v>
      </c>
      <c r="B520" s="260" t="s">
        <v>769</v>
      </c>
      <c r="C520" s="497"/>
      <c r="D520" s="464">
        <v>226578</v>
      </c>
      <c r="E520" s="496">
        <v>8</v>
      </c>
      <c r="F520" s="401">
        <v>3700</v>
      </c>
      <c r="G520" s="402">
        <v>3700</v>
      </c>
      <c r="H520" s="401">
        <v>5910</v>
      </c>
      <c r="I520" s="402">
        <v>5910</v>
      </c>
      <c r="J520" s="401">
        <v>0</v>
      </c>
      <c r="K520" s="402">
        <v>0</v>
      </c>
      <c r="L520" s="401">
        <v>0</v>
      </c>
      <c r="M520" s="402">
        <v>0</v>
      </c>
      <c r="N520" s="401"/>
      <c r="O520" s="402"/>
      <c r="P520" s="413"/>
      <c r="Q520" s="402"/>
      <c r="R520" s="401"/>
      <c r="S520" s="402"/>
      <c r="T520" s="401"/>
      <c r="U520" s="402"/>
      <c r="V520" s="401"/>
      <c r="W520" s="402"/>
      <c r="X520" s="401"/>
      <c r="Y520" s="402"/>
      <c r="Z520" s="401"/>
      <c r="AA520" s="402"/>
      <c r="AB520" s="401"/>
      <c r="AC520" s="402"/>
      <c r="AD520" s="401"/>
      <c r="AE520" s="402"/>
      <c r="AF520" s="401"/>
      <c r="AG520" s="402"/>
      <c r="AH520" s="401"/>
      <c r="AI520" s="402"/>
      <c r="AJ520" s="401"/>
      <c r="AK520" s="402"/>
      <c r="AL520" s="401"/>
      <c r="AM520" s="402"/>
      <c r="AN520" s="401"/>
      <c r="AO520" s="402"/>
    </row>
    <row r="521" spans="1:41" s="179" customFormat="1" ht="15.75" hidden="1" customHeight="1">
      <c r="A521" s="259" t="s">
        <v>507</v>
      </c>
      <c r="B521" s="260" t="s">
        <v>770</v>
      </c>
      <c r="C521" s="497" t="s">
        <v>1024</v>
      </c>
      <c r="D521" s="464">
        <v>226930</v>
      </c>
      <c r="E521" s="496">
        <v>8</v>
      </c>
      <c r="F521" s="401">
        <v>2370</v>
      </c>
      <c r="G521" s="402">
        <v>2370</v>
      </c>
      <c r="H521" s="401">
        <v>6000</v>
      </c>
      <c r="I521" s="402">
        <v>6000</v>
      </c>
      <c r="J521" s="401">
        <v>0</v>
      </c>
      <c r="K521" s="402">
        <v>0</v>
      </c>
      <c r="L521" s="401">
        <v>0</v>
      </c>
      <c r="M521" s="402">
        <v>0</v>
      </c>
      <c r="N521" s="401"/>
      <c r="O521" s="402"/>
      <c r="P521" s="413"/>
      <c r="Q521" s="402"/>
      <c r="R521" s="401"/>
      <c r="S521" s="402"/>
      <c r="T521" s="401"/>
      <c r="U521" s="402"/>
      <c r="V521" s="401"/>
      <c r="W521" s="402"/>
      <c r="X521" s="401"/>
      <c r="Y521" s="402"/>
      <c r="Z521" s="401"/>
      <c r="AA521" s="402"/>
      <c r="AB521" s="401"/>
      <c r="AC521" s="402"/>
      <c r="AD521" s="401"/>
      <c r="AE521" s="402"/>
      <c r="AF521" s="401"/>
      <c r="AG521" s="402"/>
      <c r="AH521" s="401"/>
      <c r="AI521" s="402"/>
      <c r="AJ521" s="401"/>
      <c r="AK521" s="402"/>
      <c r="AL521" s="401"/>
      <c r="AM521" s="402"/>
      <c r="AN521" s="401"/>
      <c r="AO521" s="402"/>
    </row>
    <row r="522" spans="1:41" s="179" customFormat="1" ht="15.75" hidden="1" customHeight="1">
      <c r="A522" s="259" t="s">
        <v>507</v>
      </c>
      <c r="B522" s="260" t="s">
        <v>771</v>
      </c>
      <c r="C522" s="497" t="s">
        <v>1025</v>
      </c>
      <c r="D522" s="464">
        <v>227146</v>
      </c>
      <c r="E522" s="496">
        <v>8</v>
      </c>
      <c r="F522" s="401">
        <v>4642</v>
      </c>
      <c r="G522" s="402">
        <v>4642</v>
      </c>
      <c r="H522" s="401">
        <v>6368</v>
      </c>
      <c r="I522" s="402">
        <v>6368</v>
      </c>
      <c r="J522" s="401">
        <v>0</v>
      </c>
      <c r="K522" s="402">
        <v>0</v>
      </c>
      <c r="L522" s="401">
        <v>0</v>
      </c>
      <c r="M522" s="402">
        <v>0</v>
      </c>
      <c r="N522" s="401"/>
      <c r="O522" s="402"/>
      <c r="P522" s="413"/>
      <c r="Q522" s="402"/>
      <c r="R522" s="401"/>
      <c r="S522" s="402"/>
      <c r="T522" s="401"/>
      <c r="U522" s="402"/>
      <c r="V522" s="401"/>
      <c r="W522" s="402"/>
      <c r="X522" s="401"/>
      <c r="Y522" s="402"/>
      <c r="Z522" s="401"/>
      <c r="AA522" s="402"/>
      <c r="AB522" s="401"/>
      <c r="AC522" s="402"/>
      <c r="AD522" s="401"/>
      <c r="AE522" s="402"/>
      <c r="AF522" s="401"/>
      <c r="AG522" s="402"/>
      <c r="AH522" s="401"/>
      <c r="AI522" s="402"/>
      <c r="AJ522" s="401"/>
      <c r="AK522" s="402"/>
      <c r="AL522" s="401"/>
      <c r="AM522" s="402"/>
      <c r="AN522" s="401"/>
      <c r="AO522" s="402"/>
    </row>
    <row r="523" spans="1:41" s="179" customFormat="1" ht="15.75" hidden="1" customHeight="1">
      <c r="A523" s="259" t="s">
        <v>507</v>
      </c>
      <c r="B523" s="260" t="s">
        <v>772</v>
      </c>
      <c r="C523" s="497"/>
      <c r="D523" s="464">
        <v>224110</v>
      </c>
      <c r="E523" s="496">
        <v>8</v>
      </c>
      <c r="F523" s="401">
        <v>3000</v>
      </c>
      <c r="G523" s="402">
        <v>3000</v>
      </c>
      <c r="H523" s="401">
        <v>8850</v>
      </c>
      <c r="I523" s="402">
        <v>8850</v>
      </c>
      <c r="J523" s="401">
        <v>0</v>
      </c>
      <c r="K523" s="402">
        <v>0</v>
      </c>
      <c r="L523" s="401">
        <v>0</v>
      </c>
      <c r="M523" s="402">
        <v>0</v>
      </c>
      <c r="N523" s="401"/>
      <c r="O523" s="402"/>
      <c r="P523" s="413"/>
      <c r="Q523" s="402"/>
      <c r="R523" s="401"/>
      <c r="S523" s="402"/>
      <c r="T523" s="401"/>
      <c r="U523" s="402"/>
      <c r="V523" s="401"/>
      <c r="W523" s="402"/>
      <c r="X523" s="401"/>
      <c r="Y523" s="402"/>
      <c r="Z523" s="401"/>
      <c r="AA523" s="402"/>
      <c r="AB523" s="401"/>
      <c r="AC523" s="402"/>
      <c r="AD523" s="401"/>
      <c r="AE523" s="402"/>
      <c r="AF523" s="401"/>
      <c r="AG523" s="402"/>
      <c r="AH523" s="401"/>
      <c r="AI523" s="402"/>
      <c r="AJ523" s="401"/>
      <c r="AK523" s="402"/>
      <c r="AL523" s="401"/>
      <c r="AM523" s="402"/>
      <c r="AN523" s="401"/>
      <c r="AO523" s="402"/>
    </row>
    <row r="524" spans="1:41" s="179" customFormat="1" ht="15.75" hidden="1" customHeight="1">
      <c r="A524" s="259" t="s">
        <v>507</v>
      </c>
      <c r="B524" s="260" t="s">
        <v>773</v>
      </c>
      <c r="C524" s="497" t="s">
        <v>1024</v>
      </c>
      <c r="D524" s="464">
        <v>227191</v>
      </c>
      <c r="E524" s="496">
        <v>8</v>
      </c>
      <c r="F524" s="401">
        <v>2370</v>
      </c>
      <c r="G524" s="402">
        <v>2370</v>
      </c>
      <c r="H524" s="401">
        <v>6000</v>
      </c>
      <c r="I524" s="402">
        <v>6000</v>
      </c>
      <c r="J524" s="401">
        <v>0</v>
      </c>
      <c r="K524" s="402">
        <v>0</v>
      </c>
      <c r="L524" s="401">
        <v>0</v>
      </c>
      <c r="M524" s="402">
        <v>0</v>
      </c>
      <c r="N524" s="401"/>
      <c r="O524" s="402"/>
      <c r="P524" s="413"/>
      <c r="Q524" s="402"/>
      <c r="R524" s="401"/>
      <c r="S524" s="402"/>
      <c r="T524" s="401"/>
      <c r="U524" s="402"/>
      <c r="V524" s="401"/>
      <c r="W524" s="402"/>
      <c r="X524" s="401"/>
      <c r="Y524" s="402"/>
      <c r="Z524" s="401"/>
      <c r="AA524" s="402"/>
      <c r="AB524" s="401"/>
      <c r="AC524" s="402"/>
      <c r="AD524" s="401"/>
      <c r="AE524" s="402"/>
      <c r="AF524" s="401"/>
      <c r="AG524" s="402"/>
      <c r="AH524" s="401"/>
      <c r="AI524" s="402"/>
      <c r="AJ524" s="401"/>
      <c r="AK524" s="402"/>
      <c r="AL524" s="401"/>
      <c r="AM524" s="402"/>
      <c r="AN524" s="401"/>
      <c r="AO524" s="402"/>
    </row>
    <row r="525" spans="1:41" s="179" customFormat="1" ht="15.75" hidden="1" customHeight="1">
      <c r="A525" s="259" t="s">
        <v>507</v>
      </c>
      <c r="B525" s="260" t="s">
        <v>774</v>
      </c>
      <c r="C525" s="497"/>
      <c r="D525" s="464">
        <v>420398</v>
      </c>
      <c r="E525" s="496">
        <v>8</v>
      </c>
      <c r="F525" s="401">
        <v>3140</v>
      </c>
      <c r="G525" s="402"/>
      <c r="H525" s="401">
        <v>0</v>
      </c>
      <c r="I525" s="402">
        <v>14122</v>
      </c>
      <c r="J525" s="401">
        <v>0</v>
      </c>
      <c r="K525" s="402">
        <v>0</v>
      </c>
      <c r="L525" s="401">
        <v>0</v>
      </c>
      <c r="M525" s="402">
        <v>0</v>
      </c>
      <c r="N525" s="401"/>
      <c r="O525" s="402"/>
      <c r="P525" s="413"/>
      <c r="Q525" s="402"/>
      <c r="R525" s="401"/>
      <c r="S525" s="402"/>
      <c r="T525" s="401"/>
      <c r="U525" s="402"/>
      <c r="V525" s="401"/>
      <c r="W525" s="402"/>
      <c r="X525" s="401"/>
      <c r="Y525" s="402"/>
      <c r="Z525" s="401"/>
      <c r="AA525" s="402"/>
      <c r="AB525" s="401"/>
      <c r="AC525" s="402"/>
      <c r="AD525" s="401"/>
      <c r="AE525" s="402"/>
      <c r="AF525" s="401"/>
      <c r="AG525" s="402"/>
      <c r="AH525" s="401"/>
      <c r="AI525" s="402"/>
      <c r="AJ525" s="401"/>
      <c r="AK525" s="402"/>
      <c r="AL525" s="401"/>
      <c r="AM525" s="402"/>
      <c r="AN525" s="401"/>
      <c r="AO525" s="402"/>
    </row>
    <row r="526" spans="1:41" s="179" customFormat="1" ht="15.75" hidden="1" customHeight="1">
      <c r="A526" s="259" t="s">
        <v>507</v>
      </c>
      <c r="B526" s="260" t="s">
        <v>775</v>
      </c>
      <c r="C526" s="497" t="s">
        <v>1025</v>
      </c>
      <c r="D526" s="464">
        <v>246354</v>
      </c>
      <c r="E526" s="496">
        <v>8</v>
      </c>
      <c r="F526" s="401">
        <v>3140</v>
      </c>
      <c r="G526" s="402"/>
      <c r="H526" s="401">
        <v>0</v>
      </c>
      <c r="I526" s="402">
        <v>14122</v>
      </c>
      <c r="J526" s="401">
        <v>0</v>
      </c>
      <c r="K526" s="402">
        <v>0</v>
      </c>
      <c r="L526" s="401">
        <v>0</v>
      </c>
      <c r="M526" s="402">
        <v>0</v>
      </c>
      <c r="N526" s="401"/>
      <c r="O526" s="402"/>
      <c r="P526" s="413"/>
      <c r="Q526" s="402"/>
      <c r="R526" s="401"/>
      <c r="S526" s="402"/>
      <c r="T526" s="401"/>
      <c r="U526" s="402"/>
      <c r="V526" s="401"/>
      <c r="W526" s="402"/>
      <c r="X526" s="401"/>
      <c r="Y526" s="402"/>
      <c r="Z526" s="401"/>
      <c r="AA526" s="402"/>
      <c r="AB526" s="401"/>
      <c r="AC526" s="402"/>
      <c r="AD526" s="401"/>
      <c r="AE526" s="402"/>
      <c r="AF526" s="401"/>
      <c r="AG526" s="402"/>
      <c r="AH526" s="401"/>
      <c r="AI526" s="402"/>
      <c r="AJ526" s="401"/>
      <c r="AK526" s="402"/>
      <c r="AL526" s="401"/>
      <c r="AM526" s="402"/>
      <c r="AN526" s="401"/>
      <c r="AO526" s="402"/>
    </row>
    <row r="527" spans="1:41" s="179" customFormat="1" ht="15.75" hidden="1" customHeight="1">
      <c r="A527" s="259" t="s">
        <v>507</v>
      </c>
      <c r="B527" s="260" t="s">
        <v>776</v>
      </c>
      <c r="C527" s="497" t="s">
        <v>1024</v>
      </c>
      <c r="D527" s="464">
        <v>227766</v>
      </c>
      <c r="E527" s="496">
        <v>8</v>
      </c>
      <c r="F527" s="401">
        <v>2370</v>
      </c>
      <c r="G527" s="402">
        <v>2370</v>
      </c>
      <c r="H527" s="401">
        <v>6000</v>
      </c>
      <c r="I527" s="402">
        <v>6000</v>
      </c>
      <c r="J527" s="401">
        <v>0</v>
      </c>
      <c r="K527" s="402">
        <v>0</v>
      </c>
      <c r="L527" s="401">
        <v>0</v>
      </c>
      <c r="M527" s="402">
        <v>0</v>
      </c>
      <c r="N527" s="401"/>
      <c r="O527" s="402"/>
      <c r="P527" s="413"/>
      <c r="Q527" s="402"/>
      <c r="R527" s="401"/>
      <c r="S527" s="402"/>
      <c r="T527" s="401"/>
      <c r="U527" s="402"/>
      <c r="V527" s="401"/>
      <c r="W527" s="402"/>
      <c r="X527" s="401"/>
      <c r="Y527" s="402"/>
      <c r="Z527" s="401"/>
      <c r="AA527" s="402"/>
      <c r="AB527" s="401"/>
      <c r="AC527" s="402"/>
      <c r="AD527" s="401"/>
      <c r="AE527" s="402"/>
      <c r="AF527" s="401"/>
      <c r="AG527" s="402"/>
      <c r="AH527" s="401"/>
      <c r="AI527" s="402"/>
      <c r="AJ527" s="401"/>
      <c r="AK527" s="402"/>
      <c r="AL527" s="401"/>
      <c r="AM527" s="402"/>
      <c r="AN527" s="401"/>
      <c r="AO527" s="402"/>
    </row>
    <row r="528" spans="1:41" s="179" customFormat="1" ht="15.75" hidden="1" customHeight="1">
      <c r="A528" s="259" t="s">
        <v>507</v>
      </c>
      <c r="B528" s="260" t="s">
        <v>777</v>
      </c>
      <c r="C528" s="497"/>
      <c r="D528" s="464">
        <v>227924</v>
      </c>
      <c r="E528" s="496">
        <v>8</v>
      </c>
      <c r="F528" s="401">
        <v>3140</v>
      </c>
      <c r="G528" s="402"/>
      <c r="H528" s="401">
        <v>0</v>
      </c>
      <c r="I528" s="402">
        <v>14122</v>
      </c>
      <c r="J528" s="401">
        <v>0</v>
      </c>
      <c r="K528" s="402">
        <v>0</v>
      </c>
      <c r="L528" s="401">
        <v>0</v>
      </c>
      <c r="M528" s="402">
        <v>0</v>
      </c>
      <c r="N528" s="401"/>
      <c r="O528" s="402"/>
      <c r="P528" s="413"/>
      <c r="Q528" s="402"/>
      <c r="R528" s="401"/>
      <c r="S528" s="402"/>
      <c r="T528" s="401"/>
      <c r="U528" s="402"/>
      <c r="V528" s="401"/>
      <c r="W528" s="402"/>
      <c r="X528" s="401"/>
      <c r="Y528" s="402"/>
      <c r="Z528" s="401"/>
      <c r="AA528" s="402"/>
      <c r="AB528" s="401"/>
      <c r="AC528" s="402"/>
      <c r="AD528" s="401"/>
      <c r="AE528" s="402"/>
      <c r="AF528" s="401"/>
      <c r="AG528" s="402"/>
      <c r="AH528" s="401"/>
      <c r="AI528" s="402"/>
      <c r="AJ528" s="401"/>
      <c r="AK528" s="402"/>
      <c r="AL528" s="401"/>
      <c r="AM528" s="402"/>
      <c r="AN528" s="401"/>
      <c r="AO528" s="402"/>
    </row>
    <row r="529" spans="1:41" s="179" customFormat="1" ht="15.75" hidden="1" customHeight="1">
      <c r="A529" s="259" t="s">
        <v>507</v>
      </c>
      <c r="B529" s="260" t="s">
        <v>778</v>
      </c>
      <c r="C529" s="497"/>
      <c r="D529" s="464">
        <v>227979</v>
      </c>
      <c r="E529" s="496">
        <v>8</v>
      </c>
      <c r="F529" s="401">
        <v>2340</v>
      </c>
      <c r="G529" s="402"/>
      <c r="H529" s="401">
        <v>6300</v>
      </c>
      <c r="I529" s="402">
        <v>0</v>
      </c>
      <c r="J529" s="401">
        <v>0</v>
      </c>
      <c r="K529" s="402">
        <v>0</v>
      </c>
      <c r="L529" s="401">
        <v>0</v>
      </c>
      <c r="M529" s="402">
        <v>0</v>
      </c>
      <c r="N529" s="401"/>
      <c r="O529" s="402"/>
      <c r="P529" s="413"/>
      <c r="Q529" s="402"/>
      <c r="R529" s="401"/>
      <c r="S529" s="402"/>
      <c r="T529" s="401"/>
      <c r="U529" s="402"/>
      <c r="V529" s="401"/>
      <c r="W529" s="402"/>
      <c r="X529" s="401"/>
      <c r="Y529" s="402"/>
      <c r="Z529" s="401"/>
      <c r="AA529" s="402"/>
      <c r="AB529" s="401"/>
      <c r="AC529" s="402"/>
      <c r="AD529" s="401"/>
      <c r="AE529" s="402"/>
      <c r="AF529" s="401"/>
      <c r="AG529" s="402"/>
      <c r="AH529" s="401"/>
      <c r="AI529" s="402"/>
      <c r="AJ529" s="401"/>
      <c r="AK529" s="402"/>
      <c r="AL529" s="401"/>
      <c r="AM529" s="402"/>
      <c r="AN529" s="401"/>
      <c r="AO529" s="402"/>
    </row>
    <row r="530" spans="1:41" s="179" customFormat="1" ht="15.75" hidden="1" customHeight="1">
      <c r="A530" s="259" t="s">
        <v>507</v>
      </c>
      <c r="B530" s="260" t="s">
        <v>779</v>
      </c>
      <c r="C530" s="497"/>
      <c r="D530" s="464">
        <v>228158</v>
      </c>
      <c r="E530" s="496">
        <v>8</v>
      </c>
      <c r="F530" s="401">
        <v>5588</v>
      </c>
      <c r="G530" s="402">
        <v>5588</v>
      </c>
      <c r="H530" s="401">
        <v>5907</v>
      </c>
      <c r="I530" s="402">
        <v>5907</v>
      </c>
      <c r="J530" s="401">
        <v>0</v>
      </c>
      <c r="K530" s="402">
        <v>0</v>
      </c>
      <c r="L530" s="401">
        <v>0</v>
      </c>
      <c r="M530" s="402">
        <v>0</v>
      </c>
      <c r="N530" s="401"/>
      <c r="O530" s="402"/>
      <c r="P530" s="413"/>
      <c r="Q530" s="402"/>
      <c r="R530" s="401"/>
      <c r="S530" s="402"/>
      <c r="T530" s="401"/>
      <c r="U530" s="402"/>
      <c r="V530" s="401"/>
      <c r="W530" s="402"/>
      <c r="X530" s="401"/>
      <c r="Y530" s="402"/>
      <c r="Z530" s="401"/>
      <c r="AA530" s="402"/>
      <c r="AB530" s="401"/>
      <c r="AC530" s="402"/>
      <c r="AD530" s="401"/>
      <c r="AE530" s="402"/>
      <c r="AF530" s="401"/>
      <c r="AG530" s="402"/>
      <c r="AH530" s="401"/>
      <c r="AI530" s="402"/>
      <c r="AJ530" s="401"/>
      <c r="AK530" s="402"/>
      <c r="AL530" s="401"/>
      <c r="AM530" s="402"/>
      <c r="AN530" s="401"/>
      <c r="AO530" s="402"/>
    </row>
    <row r="531" spans="1:41" s="179" customFormat="1" ht="15.75" hidden="1" customHeight="1">
      <c r="A531" s="259" t="s">
        <v>507</v>
      </c>
      <c r="B531" s="260" t="s">
        <v>780</v>
      </c>
      <c r="C531" s="497"/>
      <c r="D531" s="464">
        <v>227854</v>
      </c>
      <c r="E531" s="496">
        <v>8</v>
      </c>
      <c r="F531" s="401">
        <v>3140</v>
      </c>
      <c r="G531" s="402"/>
      <c r="H531" s="401">
        <v>0</v>
      </c>
      <c r="I531" s="402">
        <v>14122</v>
      </c>
      <c r="J531" s="401">
        <v>0</v>
      </c>
      <c r="K531" s="402">
        <v>0</v>
      </c>
      <c r="L531" s="401">
        <v>0</v>
      </c>
      <c r="M531" s="402">
        <v>0</v>
      </c>
      <c r="N531" s="401"/>
      <c r="O531" s="402"/>
      <c r="P531" s="413"/>
      <c r="Q531" s="402"/>
      <c r="R531" s="401"/>
      <c r="S531" s="402"/>
      <c r="T531" s="401"/>
      <c r="U531" s="402"/>
      <c r="V531" s="401"/>
      <c r="W531" s="402"/>
      <c r="X531" s="401"/>
      <c r="Y531" s="402"/>
      <c r="Z531" s="401"/>
      <c r="AA531" s="402"/>
      <c r="AB531" s="401"/>
      <c r="AC531" s="402"/>
      <c r="AD531" s="401"/>
      <c r="AE531" s="402"/>
      <c r="AF531" s="401"/>
      <c r="AG531" s="402"/>
      <c r="AH531" s="401"/>
      <c r="AI531" s="402"/>
      <c r="AJ531" s="401"/>
      <c r="AK531" s="402"/>
      <c r="AL531" s="401"/>
      <c r="AM531" s="402"/>
      <c r="AN531" s="401"/>
      <c r="AO531" s="402"/>
    </row>
    <row r="532" spans="1:41" s="179" customFormat="1" ht="15.75" hidden="1" customHeight="1">
      <c r="A532" s="259" t="s">
        <v>507</v>
      </c>
      <c r="B532" s="260" t="s">
        <v>781</v>
      </c>
      <c r="C532" s="497"/>
      <c r="D532" s="464">
        <v>228547</v>
      </c>
      <c r="E532" s="496">
        <v>8</v>
      </c>
      <c r="F532" s="401">
        <v>1920</v>
      </c>
      <c r="G532" s="402">
        <v>1920</v>
      </c>
      <c r="H532" s="401">
        <v>9150</v>
      </c>
      <c r="I532" s="402">
        <v>9150</v>
      </c>
      <c r="J532" s="401">
        <v>0</v>
      </c>
      <c r="K532" s="402">
        <v>0</v>
      </c>
      <c r="L532" s="401">
        <v>0</v>
      </c>
      <c r="M532" s="402">
        <v>0</v>
      </c>
      <c r="N532" s="401"/>
      <c r="O532" s="402"/>
      <c r="P532" s="413"/>
      <c r="Q532" s="402"/>
      <c r="R532" s="401"/>
      <c r="S532" s="402"/>
      <c r="T532" s="401"/>
      <c r="U532" s="402"/>
      <c r="V532" s="401"/>
      <c r="W532" s="402"/>
      <c r="X532" s="401"/>
      <c r="Y532" s="402"/>
      <c r="Z532" s="401"/>
      <c r="AA532" s="402"/>
      <c r="AB532" s="401"/>
      <c r="AC532" s="402"/>
      <c r="AD532" s="401"/>
      <c r="AE532" s="402"/>
      <c r="AF532" s="401"/>
      <c r="AG532" s="402"/>
      <c r="AH532" s="401"/>
      <c r="AI532" s="402"/>
      <c r="AJ532" s="401"/>
      <c r="AK532" s="402"/>
      <c r="AL532" s="401"/>
      <c r="AM532" s="402"/>
      <c r="AN532" s="401"/>
      <c r="AO532" s="402"/>
    </row>
    <row r="533" spans="1:41" s="179" customFormat="1" ht="15.75" hidden="1" customHeight="1">
      <c r="A533" s="259" t="s">
        <v>507</v>
      </c>
      <c r="B533" s="260" t="s">
        <v>782</v>
      </c>
      <c r="C533" s="497" t="s">
        <v>1025</v>
      </c>
      <c r="D533" s="464">
        <v>225308</v>
      </c>
      <c r="E533" s="496">
        <v>8</v>
      </c>
      <c r="F533" s="401">
        <v>2836</v>
      </c>
      <c r="G533" s="402">
        <v>2836</v>
      </c>
      <c r="H533" s="401">
        <v>5970</v>
      </c>
      <c r="I533" s="402">
        <v>5970</v>
      </c>
      <c r="J533" s="401">
        <v>0</v>
      </c>
      <c r="K533" s="402">
        <v>0</v>
      </c>
      <c r="L533" s="401">
        <v>0</v>
      </c>
      <c r="M533" s="402">
        <v>0</v>
      </c>
      <c r="N533" s="401"/>
      <c r="O533" s="402"/>
      <c r="P533" s="413"/>
      <c r="Q533" s="402"/>
      <c r="R533" s="401"/>
      <c r="S533" s="402"/>
      <c r="T533" s="401"/>
      <c r="U533" s="402"/>
      <c r="V533" s="401"/>
      <c r="W533" s="402"/>
      <c r="X533" s="401"/>
      <c r="Y533" s="402"/>
      <c r="Z533" s="401"/>
      <c r="AA533" s="402"/>
      <c r="AB533" s="401"/>
      <c r="AC533" s="402"/>
      <c r="AD533" s="401"/>
      <c r="AE533" s="402"/>
      <c r="AF533" s="401"/>
      <c r="AG533" s="402"/>
      <c r="AH533" s="401"/>
      <c r="AI533" s="402"/>
      <c r="AJ533" s="401"/>
      <c r="AK533" s="402"/>
      <c r="AL533" s="401"/>
      <c r="AM533" s="402"/>
      <c r="AN533" s="401"/>
      <c r="AO533" s="402"/>
    </row>
    <row r="534" spans="1:41" s="179" customFormat="1" ht="15.75" hidden="1" customHeight="1">
      <c r="A534" s="259" t="s">
        <v>507</v>
      </c>
      <c r="B534" s="260" t="s">
        <v>783</v>
      </c>
      <c r="C534" s="497"/>
      <c r="D534" s="464">
        <v>229355</v>
      </c>
      <c r="E534" s="496">
        <v>8</v>
      </c>
      <c r="F534" s="401">
        <v>3442</v>
      </c>
      <c r="G534" s="402">
        <v>3442</v>
      </c>
      <c r="H534" s="401">
        <v>5482</v>
      </c>
      <c r="I534" s="402">
        <v>5482</v>
      </c>
      <c r="J534" s="401">
        <v>0</v>
      </c>
      <c r="K534" s="402">
        <v>0</v>
      </c>
      <c r="L534" s="401">
        <v>0</v>
      </c>
      <c r="M534" s="402">
        <v>0</v>
      </c>
      <c r="N534" s="401"/>
      <c r="O534" s="402"/>
      <c r="P534" s="413"/>
      <c r="Q534" s="402"/>
      <c r="R534" s="401"/>
      <c r="S534" s="402"/>
      <c r="T534" s="401"/>
      <c r="U534" s="402"/>
      <c r="V534" s="401"/>
      <c r="W534" s="402"/>
      <c r="X534" s="401"/>
      <c r="Y534" s="402"/>
      <c r="Z534" s="401"/>
      <c r="AA534" s="402"/>
      <c r="AB534" s="401"/>
      <c r="AC534" s="402"/>
      <c r="AD534" s="401"/>
      <c r="AE534" s="402"/>
      <c r="AF534" s="401"/>
      <c r="AG534" s="402"/>
      <c r="AH534" s="401"/>
      <c r="AI534" s="402"/>
      <c r="AJ534" s="401"/>
      <c r="AK534" s="402"/>
      <c r="AL534" s="401"/>
      <c r="AM534" s="402"/>
      <c r="AN534" s="401"/>
      <c r="AO534" s="402"/>
    </row>
    <row r="535" spans="1:41" s="179" customFormat="1" ht="15.75" hidden="1" customHeight="1">
      <c r="A535" s="259" t="s">
        <v>507</v>
      </c>
      <c r="B535" s="260" t="s">
        <v>784</v>
      </c>
      <c r="C535" s="497"/>
      <c r="D535" s="464">
        <v>222567</v>
      </c>
      <c r="E535" s="496">
        <v>9</v>
      </c>
      <c r="F535" s="401">
        <v>2030</v>
      </c>
      <c r="G535" s="402">
        <v>2030</v>
      </c>
      <c r="H535" s="401">
        <v>4910</v>
      </c>
      <c r="I535" s="402">
        <v>4910</v>
      </c>
      <c r="J535" s="401">
        <v>0</v>
      </c>
      <c r="K535" s="402">
        <v>0</v>
      </c>
      <c r="L535" s="401">
        <v>0</v>
      </c>
      <c r="M535" s="402">
        <v>0</v>
      </c>
      <c r="N535" s="401"/>
      <c r="O535" s="402"/>
      <c r="P535" s="413"/>
      <c r="Q535" s="402"/>
      <c r="R535" s="401"/>
      <c r="S535" s="402"/>
      <c r="T535" s="401"/>
      <c r="U535" s="402"/>
      <c r="V535" s="401"/>
      <c r="W535" s="402"/>
      <c r="X535" s="401"/>
      <c r="Y535" s="402"/>
      <c r="Z535" s="401"/>
      <c r="AA535" s="402"/>
      <c r="AB535" s="401"/>
      <c r="AC535" s="402"/>
      <c r="AD535" s="401"/>
      <c r="AE535" s="402"/>
      <c r="AF535" s="401"/>
      <c r="AG535" s="402"/>
      <c r="AH535" s="401"/>
      <c r="AI535" s="402"/>
      <c r="AJ535" s="401"/>
      <c r="AK535" s="402"/>
      <c r="AL535" s="401"/>
      <c r="AM535" s="402"/>
      <c r="AN535" s="401"/>
      <c r="AO535" s="402"/>
    </row>
    <row r="536" spans="1:41" s="179" customFormat="1" ht="15.75" hidden="1" customHeight="1">
      <c r="A536" s="259" t="s">
        <v>507</v>
      </c>
      <c r="B536" s="260" t="s">
        <v>785</v>
      </c>
      <c r="C536" s="497"/>
      <c r="D536" s="464">
        <v>222822</v>
      </c>
      <c r="E536" s="496">
        <v>9</v>
      </c>
      <c r="F536" s="401">
        <v>3072</v>
      </c>
      <c r="G536" s="402">
        <v>3552</v>
      </c>
      <c r="H536" s="401">
        <v>5920</v>
      </c>
      <c r="I536" s="402">
        <v>5920</v>
      </c>
      <c r="J536" s="401">
        <v>0</v>
      </c>
      <c r="K536" s="402">
        <v>0</v>
      </c>
      <c r="L536" s="401">
        <v>0</v>
      </c>
      <c r="M536" s="402">
        <v>0</v>
      </c>
      <c r="N536" s="401"/>
      <c r="O536" s="402"/>
      <c r="P536" s="413"/>
      <c r="Q536" s="402"/>
      <c r="R536" s="401"/>
      <c r="S536" s="402"/>
      <c r="T536" s="401"/>
      <c r="U536" s="402"/>
      <c r="V536" s="401"/>
      <c r="W536" s="402"/>
      <c r="X536" s="401"/>
      <c r="Y536" s="402"/>
      <c r="Z536" s="401"/>
      <c r="AA536" s="402"/>
      <c r="AB536" s="401"/>
      <c r="AC536" s="402"/>
      <c r="AD536" s="401"/>
      <c r="AE536" s="402"/>
      <c r="AF536" s="401"/>
      <c r="AG536" s="402"/>
      <c r="AH536" s="401"/>
      <c r="AI536" s="402"/>
      <c r="AJ536" s="401"/>
      <c r="AK536" s="402"/>
      <c r="AL536" s="401"/>
      <c r="AM536" s="402"/>
      <c r="AN536" s="401"/>
      <c r="AO536" s="402"/>
    </row>
    <row r="537" spans="1:41" s="179" customFormat="1" ht="15.75" hidden="1" customHeight="1">
      <c r="A537" s="259" t="s">
        <v>507</v>
      </c>
      <c r="B537" s="260" t="s">
        <v>786</v>
      </c>
      <c r="C537" s="497" t="s">
        <v>1024</v>
      </c>
      <c r="D537" s="464">
        <v>223773</v>
      </c>
      <c r="E537" s="496">
        <v>9</v>
      </c>
      <c r="F537" s="401">
        <v>2370</v>
      </c>
      <c r="G537" s="402">
        <v>2370</v>
      </c>
      <c r="H537" s="401">
        <v>6000</v>
      </c>
      <c r="I537" s="402">
        <v>6000</v>
      </c>
      <c r="J537" s="401">
        <v>0</v>
      </c>
      <c r="K537" s="402">
        <v>0</v>
      </c>
      <c r="L537" s="401">
        <v>0</v>
      </c>
      <c r="M537" s="402">
        <v>0</v>
      </c>
      <c r="N537" s="401"/>
      <c r="O537" s="402"/>
      <c r="P537" s="413"/>
      <c r="Q537" s="402"/>
      <c r="R537" s="401"/>
      <c r="S537" s="402"/>
      <c r="T537" s="401"/>
      <c r="U537" s="402"/>
      <c r="V537" s="401"/>
      <c r="W537" s="402"/>
      <c r="X537" s="401"/>
      <c r="Y537" s="402"/>
      <c r="Z537" s="401"/>
      <c r="AA537" s="402"/>
      <c r="AB537" s="401"/>
      <c r="AC537" s="402"/>
      <c r="AD537" s="401"/>
      <c r="AE537" s="402"/>
      <c r="AF537" s="401"/>
      <c r="AG537" s="402"/>
      <c r="AH537" s="401"/>
      <c r="AI537" s="402"/>
      <c r="AJ537" s="401"/>
      <c r="AK537" s="402"/>
      <c r="AL537" s="401"/>
      <c r="AM537" s="402"/>
      <c r="AN537" s="401"/>
      <c r="AO537" s="402"/>
    </row>
    <row r="538" spans="1:41" s="179" customFormat="1" ht="15.75" hidden="1" customHeight="1">
      <c r="A538" s="259" t="s">
        <v>507</v>
      </c>
      <c r="B538" s="280" t="s">
        <v>787</v>
      </c>
      <c r="C538" s="497"/>
      <c r="D538" s="464">
        <v>223898</v>
      </c>
      <c r="E538" s="496">
        <v>9</v>
      </c>
      <c r="F538" s="401">
        <v>4830</v>
      </c>
      <c r="G538" s="402">
        <v>4980</v>
      </c>
      <c r="H538" s="401">
        <v>5940</v>
      </c>
      <c r="I538" s="402">
        <v>6090</v>
      </c>
      <c r="J538" s="401">
        <v>0</v>
      </c>
      <c r="K538" s="402">
        <v>0</v>
      </c>
      <c r="L538" s="401">
        <v>0</v>
      </c>
      <c r="M538" s="402">
        <v>0</v>
      </c>
      <c r="N538" s="401"/>
      <c r="O538" s="402"/>
      <c r="P538" s="413"/>
      <c r="Q538" s="402"/>
      <c r="R538" s="401"/>
      <c r="S538" s="402"/>
      <c r="T538" s="401"/>
      <c r="U538" s="402"/>
      <c r="V538" s="401"/>
      <c r="W538" s="402"/>
      <c r="X538" s="401"/>
      <c r="Y538" s="402"/>
      <c r="Z538" s="401"/>
      <c r="AA538" s="402"/>
      <c r="AB538" s="401"/>
      <c r="AC538" s="402"/>
      <c r="AD538" s="401"/>
      <c r="AE538" s="402"/>
      <c r="AF538" s="401"/>
      <c r="AG538" s="402"/>
      <c r="AH538" s="401"/>
      <c r="AI538" s="402"/>
      <c r="AJ538" s="401"/>
      <c r="AK538" s="402"/>
      <c r="AL538" s="401"/>
      <c r="AM538" s="402"/>
      <c r="AN538" s="401"/>
      <c r="AO538" s="402"/>
    </row>
    <row r="539" spans="1:41" s="179" customFormat="1" ht="15.75" hidden="1" customHeight="1">
      <c r="A539" s="259" t="s">
        <v>507</v>
      </c>
      <c r="B539" s="260" t="s">
        <v>788</v>
      </c>
      <c r="C539" s="497"/>
      <c r="D539" s="464">
        <v>223320</v>
      </c>
      <c r="E539" s="496">
        <v>9</v>
      </c>
      <c r="F539" s="401">
        <v>4406</v>
      </c>
      <c r="G539" s="402">
        <v>2800</v>
      </c>
      <c r="H539" s="401">
        <v>4956</v>
      </c>
      <c r="I539" s="402">
        <v>4956</v>
      </c>
      <c r="J539" s="401">
        <v>0</v>
      </c>
      <c r="K539" s="402">
        <v>0</v>
      </c>
      <c r="L539" s="401">
        <v>0</v>
      </c>
      <c r="M539" s="402">
        <v>0</v>
      </c>
      <c r="N539" s="401"/>
      <c r="O539" s="402"/>
      <c r="P539" s="413"/>
      <c r="Q539" s="402"/>
      <c r="R539" s="401"/>
      <c r="S539" s="402"/>
      <c r="T539" s="401"/>
      <c r="U539" s="402"/>
      <c r="V539" s="401"/>
      <c r="W539" s="402"/>
      <c r="X539" s="401"/>
      <c r="Y539" s="402"/>
      <c r="Z539" s="401"/>
      <c r="AA539" s="402"/>
      <c r="AB539" s="401"/>
      <c r="AC539" s="402"/>
      <c r="AD539" s="401"/>
      <c r="AE539" s="402"/>
      <c r="AF539" s="401"/>
      <c r="AG539" s="402"/>
      <c r="AH539" s="401"/>
      <c r="AI539" s="402"/>
      <c r="AJ539" s="401"/>
      <c r="AK539" s="402"/>
      <c r="AL539" s="401"/>
      <c r="AM539" s="402"/>
      <c r="AN539" s="401"/>
      <c r="AO539" s="402"/>
    </row>
    <row r="540" spans="1:41" s="179" customFormat="1" ht="15.75" hidden="1" customHeight="1">
      <c r="A540" s="259" t="s">
        <v>507</v>
      </c>
      <c r="B540" s="260" t="s">
        <v>789</v>
      </c>
      <c r="C540" s="497"/>
      <c r="D540" s="464">
        <v>226408</v>
      </c>
      <c r="E540" s="496">
        <v>9</v>
      </c>
      <c r="F540" s="401">
        <v>1774</v>
      </c>
      <c r="G540" s="402">
        <v>1774</v>
      </c>
      <c r="H540" s="401">
        <v>3873</v>
      </c>
      <c r="I540" s="402">
        <v>3873</v>
      </c>
      <c r="J540" s="401">
        <v>0</v>
      </c>
      <c r="K540" s="402">
        <v>0</v>
      </c>
      <c r="L540" s="401">
        <v>0</v>
      </c>
      <c r="M540" s="402">
        <v>0</v>
      </c>
      <c r="N540" s="401"/>
      <c r="O540" s="402"/>
      <c r="P540" s="413"/>
      <c r="Q540" s="402"/>
      <c r="R540" s="401"/>
      <c r="S540" s="402"/>
      <c r="T540" s="401"/>
      <c r="U540" s="402"/>
      <c r="V540" s="401"/>
      <c r="W540" s="402"/>
      <c r="X540" s="401"/>
      <c r="Y540" s="402"/>
      <c r="Z540" s="401"/>
      <c r="AA540" s="402"/>
      <c r="AB540" s="401"/>
      <c r="AC540" s="402"/>
      <c r="AD540" s="401"/>
      <c r="AE540" s="402"/>
      <c r="AF540" s="401"/>
      <c r="AG540" s="402"/>
      <c r="AH540" s="401"/>
      <c r="AI540" s="402"/>
      <c r="AJ540" s="401"/>
      <c r="AK540" s="402"/>
      <c r="AL540" s="401"/>
      <c r="AM540" s="402"/>
      <c r="AN540" s="401"/>
      <c r="AO540" s="402"/>
    </row>
    <row r="541" spans="1:41" s="179" customFormat="1" ht="15.75" hidden="1" customHeight="1">
      <c r="A541" s="282" t="s">
        <v>507</v>
      </c>
      <c r="B541" s="280" t="s">
        <v>790</v>
      </c>
      <c r="C541" s="497"/>
      <c r="D541" s="464">
        <v>225070</v>
      </c>
      <c r="E541" s="496">
        <v>9</v>
      </c>
      <c r="F541" s="401">
        <v>3476</v>
      </c>
      <c r="G541" s="402">
        <v>3316</v>
      </c>
      <c r="H541" s="401">
        <v>5312</v>
      </c>
      <c r="I541" s="402">
        <v>5482</v>
      </c>
      <c r="J541" s="401">
        <v>0</v>
      </c>
      <c r="K541" s="402">
        <v>0</v>
      </c>
      <c r="L541" s="401">
        <v>0</v>
      </c>
      <c r="M541" s="402">
        <v>0</v>
      </c>
      <c r="N541" s="401"/>
      <c r="O541" s="402"/>
      <c r="P541" s="413"/>
      <c r="Q541" s="402"/>
      <c r="R541" s="401"/>
      <c r="S541" s="402"/>
      <c r="T541" s="401"/>
      <c r="U541" s="402"/>
      <c r="V541" s="401"/>
      <c r="W541" s="402"/>
      <c r="X541" s="401"/>
      <c r="Y541" s="402"/>
      <c r="Z541" s="401"/>
      <c r="AA541" s="402"/>
      <c r="AB541" s="401"/>
      <c r="AC541" s="402"/>
      <c r="AD541" s="401"/>
      <c r="AE541" s="402"/>
      <c r="AF541" s="401"/>
      <c r="AG541" s="402"/>
      <c r="AH541" s="401"/>
      <c r="AI541" s="402"/>
      <c r="AJ541" s="401"/>
      <c r="AK541" s="402"/>
      <c r="AL541" s="401"/>
      <c r="AM541" s="402"/>
      <c r="AN541" s="401"/>
      <c r="AO541" s="402"/>
    </row>
    <row r="542" spans="1:41" s="179" customFormat="1" ht="15.75" hidden="1" customHeight="1">
      <c r="A542" s="282" t="s">
        <v>507</v>
      </c>
      <c r="B542" s="260" t="s">
        <v>791</v>
      </c>
      <c r="C542" s="497"/>
      <c r="D542" s="464">
        <v>225371</v>
      </c>
      <c r="E542" s="496">
        <v>9</v>
      </c>
      <c r="F542" s="401">
        <v>3224</v>
      </c>
      <c r="G542" s="402">
        <v>3224</v>
      </c>
      <c r="H542" s="401">
        <v>4140</v>
      </c>
      <c r="I542" s="402">
        <v>4140</v>
      </c>
      <c r="J542" s="401">
        <v>0</v>
      </c>
      <c r="K542" s="402">
        <v>0</v>
      </c>
      <c r="L542" s="401">
        <v>0</v>
      </c>
      <c r="M542" s="402">
        <v>0</v>
      </c>
      <c r="N542" s="401"/>
      <c r="O542" s="402"/>
      <c r="P542" s="413"/>
      <c r="Q542" s="402"/>
      <c r="R542" s="401"/>
      <c r="S542" s="402"/>
      <c r="T542" s="401"/>
      <c r="U542" s="402"/>
      <c r="V542" s="401"/>
      <c r="W542" s="402"/>
      <c r="X542" s="401"/>
      <c r="Y542" s="402"/>
      <c r="Z542" s="401"/>
      <c r="AA542" s="402"/>
      <c r="AB542" s="401"/>
      <c r="AC542" s="402"/>
      <c r="AD542" s="401"/>
      <c r="AE542" s="402"/>
      <c r="AF542" s="401"/>
      <c r="AG542" s="402"/>
      <c r="AH542" s="401"/>
      <c r="AI542" s="402"/>
      <c r="AJ542" s="401"/>
      <c r="AK542" s="402"/>
      <c r="AL542" s="401"/>
      <c r="AM542" s="402"/>
      <c r="AN542" s="401"/>
      <c r="AO542" s="402"/>
    </row>
    <row r="543" spans="1:41" s="179" customFormat="1" ht="15.75" hidden="1" customHeight="1">
      <c r="A543" s="259" t="s">
        <v>507</v>
      </c>
      <c r="B543" s="260" t="s">
        <v>792</v>
      </c>
      <c r="C543" s="497"/>
      <c r="D543" s="464">
        <v>225520</v>
      </c>
      <c r="E543" s="496">
        <v>9</v>
      </c>
      <c r="F543" s="401">
        <v>2610</v>
      </c>
      <c r="G543" s="402"/>
      <c r="H543" s="401">
        <v>0</v>
      </c>
      <c r="I543" s="402">
        <v>5430</v>
      </c>
      <c r="J543" s="401">
        <v>0</v>
      </c>
      <c r="K543" s="402">
        <v>0</v>
      </c>
      <c r="L543" s="401">
        <v>0</v>
      </c>
      <c r="M543" s="402">
        <v>0</v>
      </c>
      <c r="N543" s="401"/>
      <c r="O543" s="402"/>
      <c r="P543" s="413"/>
      <c r="Q543" s="402"/>
      <c r="R543" s="401"/>
      <c r="S543" s="402"/>
      <c r="T543" s="401"/>
      <c r="U543" s="402"/>
      <c r="V543" s="401"/>
      <c r="W543" s="402"/>
      <c r="X543" s="401"/>
      <c r="Y543" s="402"/>
      <c r="Z543" s="401"/>
      <c r="AA543" s="402"/>
      <c r="AB543" s="401"/>
      <c r="AC543" s="402"/>
      <c r="AD543" s="401"/>
      <c r="AE543" s="402"/>
      <c r="AF543" s="401"/>
      <c r="AG543" s="402"/>
      <c r="AH543" s="401"/>
      <c r="AI543" s="402"/>
      <c r="AJ543" s="401"/>
      <c r="AK543" s="402"/>
      <c r="AL543" s="401"/>
      <c r="AM543" s="402"/>
      <c r="AN543" s="401"/>
      <c r="AO543" s="402"/>
    </row>
    <row r="544" spans="1:41" s="179" customFormat="1" ht="15.75" hidden="1" customHeight="1">
      <c r="A544" s="259" t="s">
        <v>507</v>
      </c>
      <c r="B544" s="260" t="s">
        <v>793</v>
      </c>
      <c r="C544" s="497"/>
      <c r="D544" s="464">
        <v>226019</v>
      </c>
      <c r="E544" s="496">
        <v>9</v>
      </c>
      <c r="F544" s="401">
        <v>2970</v>
      </c>
      <c r="G544" s="402">
        <v>3266</v>
      </c>
      <c r="H544" s="401">
        <v>6570</v>
      </c>
      <c r="I544" s="402">
        <v>6570</v>
      </c>
      <c r="J544" s="401">
        <v>0</v>
      </c>
      <c r="K544" s="402">
        <v>0</v>
      </c>
      <c r="L544" s="401">
        <v>0</v>
      </c>
      <c r="M544" s="402">
        <v>0</v>
      </c>
      <c r="N544" s="401"/>
      <c r="O544" s="402"/>
      <c r="P544" s="413"/>
      <c r="Q544" s="402"/>
      <c r="R544" s="401"/>
      <c r="S544" s="402"/>
      <c r="T544" s="401"/>
      <c r="U544" s="402"/>
      <c r="V544" s="401"/>
      <c r="W544" s="402"/>
      <c r="X544" s="401"/>
      <c r="Y544" s="402"/>
      <c r="Z544" s="401"/>
      <c r="AA544" s="402"/>
      <c r="AB544" s="401"/>
      <c r="AC544" s="402"/>
      <c r="AD544" s="401"/>
      <c r="AE544" s="402"/>
      <c r="AF544" s="401"/>
      <c r="AG544" s="402"/>
      <c r="AH544" s="401"/>
      <c r="AI544" s="402"/>
      <c r="AJ544" s="401"/>
      <c r="AK544" s="402"/>
      <c r="AL544" s="401"/>
      <c r="AM544" s="402"/>
      <c r="AN544" s="401"/>
      <c r="AO544" s="402"/>
    </row>
    <row r="545" spans="1:44" s="179" customFormat="1" ht="15.75" hidden="1" customHeight="1">
      <c r="A545" s="259" t="s">
        <v>507</v>
      </c>
      <c r="B545" s="260" t="s">
        <v>794</v>
      </c>
      <c r="C545" s="497"/>
      <c r="D545" s="464">
        <v>441760</v>
      </c>
      <c r="E545" s="496">
        <v>9</v>
      </c>
      <c r="F545" s="401">
        <v>4400</v>
      </c>
      <c r="G545" s="402"/>
      <c r="H545" s="401">
        <v>15320</v>
      </c>
      <c r="I545" s="402">
        <v>0</v>
      </c>
      <c r="J545" s="401">
        <v>0</v>
      </c>
      <c r="K545" s="402">
        <v>0</v>
      </c>
      <c r="L545" s="401">
        <v>0</v>
      </c>
      <c r="M545" s="402">
        <v>0</v>
      </c>
      <c r="N545" s="401"/>
      <c r="O545" s="402"/>
      <c r="P545" s="413"/>
      <c r="Q545" s="402"/>
      <c r="R545" s="401"/>
      <c r="S545" s="402"/>
      <c r="T545" s="401"/>
      <c r="U545" s="402"/>
      <c r="V545" s="401"/>
      <c r="W545" s="402"/>
      <c r="X545" s="401"/>
      <c r="Y545" s="402"/>
      <c r="Z545" s="401"/>
      <c r="AA545" s="402"/>
      <c r="AB545" s="401"/>
      <c r="AC545" s="402"/>
      <c r="AD545" s="401"/>
      <c r="AE545" s="402"/>
      <c r="AF545" s="401"/>
      <c r="AG545" s="402"/>
      <c r="AH545" s="401"/>
      <c r="AI545" s="402"/>
      <c r="AJ545" s="401"/>
      <c r="AK545" s="402"/>
      <c r="AL545" s="401"/>
      <c r="AM545" s="402"/>
      <c r="AN545" s="401"/>
      <c r="AO545" s="402"/>
    </row>
    <row r="546" spans="1:44" s="179" customFormat="1" ht="15" hidden="1" customHeight="1">
      <c r="A546" s="259" t="s">
        <v>507</v>
      </c>
      <c r="B546" s="260" t="s">
        <v>795</v>
      </c>
      <c r="C546" s="414" t="s">
        <v>1026</v>
      </c>
      <c r="D546" s="464">
        <v>226204</v>
      </c>
      <c r="E546" s="496">
        <v>9</v>
      </c>
      <c r="F546" s="401">
        <v>2684</v>
      </c>
      <c r="G546" s="402">
        <v>2684</v>
      </c>
      <c r="H546" s="401">
        <v>5313</v>
      </c>
      <c r="I546" s="402">
        <v>5313</v>
      </c>
      <c r="J546" s="401">
        <v>0</v>
      </c>
      <c r="K546" s="402">
        <v>0</v>
      </c>
      <c r="L546" s="401">
        <v>0</v>
      </c>
      <c r="M546" s="402">
        <v>0</v>
      </c>
      <c r="N546" s="401"/>
      <c r="O546" s="402"/>
      <c r="P546" s="413"/>
      <c r="Q546" s="402"/>
      <c r="R546" s="401"/>
      <c r="S546" s="402"/>
      <c r="T546" s="401"/>
      <c r="U546" s="402"/>
      <c r="V546" s="401"/>
      <c r="W546" s="402"/>
      <c r="X546" s="401"/>
      <c r="Y546" s="402"/>
      <c r="Z546" s="401"/>
      <c r="AA546" s="402"/>
      <c r="AB546" s="401"/>
      <c r="AC546" s="402"/>
      <c r="AD546" s="401"/>
      <c r="AE546" s="402"/>
      <c r="AF546" s="401"/>
      <c r="AG546" s="402"/>
      <c r="AH546" s="401"/>
      <c r="AI546" s="402"/>
      <c r="AJ546" s="401"/>
      <c r="AK546" s="402"/>
      <c r="AL546" s="401"/>
      <c r="AM546" s="402"/>
      <c r="AN546" s="401"/>
      <c r="AO546" s="402"/>
    </row>
    <row r="547" spans="1:44" hidden="1">
      <c r="A547" s="259" t="s">
        <v>507</v>
      </c>
      <c r="B547" s="260" t="s">
        <v>796</v>
      </c>
      <c r="C547" s="414" t="s">
        <v>1027</v>
      </c>
      <c r="D547" s="464">
        <v>227225</v>
      </c>
      <c r="E547" s="496">
        <v>9</v>
      </c>
      <c r="F547" s="401">
        <v>3390</v>
      </c>
      <c r="G547" s="402">
        <v>3398</v>
      </c>
      <c r="H547" s="401">
        <v>6449</v>
      </c>
      <c r="I547" s="402">
        <v>6449</v>
      </c>
      <c r="J547" s="401">
        <v>0</v>
      </c>
      <c r="K547" s="402">
        <v>0</v>
      </c>
      <c r="L547" s="401">
        <v>0</v>
      </c>
      <c r="M547" s="402">
        <v>0</v>
      </c>
      <c r="N547" s="401"/>
      <c r="O547" s="402"/>
      <c r="P547" s="413"/>
      <c r="Q547" s="402"/>
      <c r="R547" s="401"/>
      <c r="S547" s="402"/>
      <c r="T547" s="401"/>
      <c r="U547" s="402"/>
      <c r="V547" s="401"/>
      <c r="W547" s="402"/>
      <c r="X547" s="401"/>
      <c r="Y547" s="402"/>
      <c r="Z547" s="401"/>
      <c r="AA547" s="402"/>
      <c r="AB547" s="401"/>
      <c r="AC547" s="402"/>
      <c r="AD547" s="401"/>
      <c r="AE547" s="402"/>
      <c r="AF547" s="401"/>
      <c r="AG547" s="402"/>
      <c r="AH547" s="401"/>
      <c r="AI547" s="402"/>
      <c r="AJ547" s="401"/>
      <c r="AK547" s="402"/>
      <c r="AL547" s="401"/>
      <c r="AM547" s="402"/>
      <c r="AN547" s="401"/>
      <c r="AO547" s="402"/>
      <c r="AP547" s="53"/>
      <c r="AQ547" s="53"/>
      <c r="AR547" s="53"/>
    </row>
    <row r="548" spans="1:44" hidden="1">
      <c r="A548" s="259" t="s">
        <v>507</v>
      </c>
      <c r="B548" s="260" t="s">
        <v>797</v>
      </c>
      <c r="C548" s="498"/>
      <c r="D548" s="464">
        <v>227304</v>
      </c>
      <c r="E548" s="496">
        <v>9</v>
      </c>
      <c r="F548" s="401">
        <v>2920</v>
      </c>
      <c r="G548" s="402">
        <v>2920</v>
      </c>
      <c r="H548" s="401">
        <v>5610</v>
      </c>
      <c r="I548" s="402">
        <v>5610</v>
      </c>
      <c r="J548" s="401">
        <v>0</v>
      </c>
      <c r="K548" s="402">
        <v>0</v>
      </c>
      <c r="L548" s="401">
        <v>0</v>
      </c>
      <c r="M548" s="402">
        <v>0</v>
      </c>
      <c r="N548" s="401"/>
      <c r="O548" s="402"/>
      <c r="P548" s="413"/>
      <c r="Q548" s="402"/>
      <c r="R548" s="401"/>
      <c r="S548" s="402"/>
      <c r="T548" s="401"/>
      <c r="U548" s="402"/>
      <c r="V548" s="401"/>
      <c r="W548" s="402"/>
      <c r="X548" s="401"/>
      <c r="Y548" s="402"/>
      <c r="Z548" s="401"/>
      <c r="AA548" s="402"/>
      <c r="AB548" s="401"/>
      <c r="AC548" s="402"/>
      <c r="AD548" s="401"/>
      <c r="AE548" s="402"/>
      <c r="AF548" s="401"/>
      <c r="AG548" s="402"/>
      <c r="AH548" s="401"/>
      <c r="AI548" s="402"/>
      <c r="AJ548" s="401"/>
      <c r="AK548" s="402"/>
      <c r="AL548" s="401"/>
      <c r="AM548" s="402"/>
      <c r="AN548" s="401"/>
      <c r="AO548" s="402"/>
      <c r="AP548" s="53"/>
      <c r="AQ548" s="53"/>
      <c r="AR548" s="53"/>
    </row>
    <row r="549" spans="1:44" hidden="1">
      <c r="A549" s="259" t="s">
        <v>507</v>
      </c>
      <c r="B549" s="260" t="s">
        <v>798</v>
      </c>
      <c r="C549" s="498"/>
      <c r="D549" s="464">
        <v>227401</v>
      </c>
      <c r="E549" s="496">
        <v>9</v>
      </c>
      <c r="F549" s="401">
        <v>3960</v>
      </c>
      <c r="G549" s="402">
        <v>3960</v>
      </c>
      <c r="H549" s="401">
        <v>5460</v>
      </c>
      <c r="I549" s="402">
        <v>5460</v>
      </c>
      <c r="J549" s="401">
        <v>0</v>
      </c>
      <c r="K549" s="402">
        <v>0</v>
      </c>
      <c r="L549" s="401">
        <v>0</v>
      </c>
      <c r="M549" s="402">
        <v>0</v>
      </c>
      <c r="N549" s="401"/>
      <c r="O549" s="402"/>
      <c r="P549" s="413"/>
      <c r="Q549" s="402"/>
      <c r="R549" s="401"/>
      <c r="S549" s="402"/>
      <c r="T549" s="401"/>
      <c r="U549" s="402"/>
      <c r="V549" s="401"/>
      <c r="W549" s="402"/>
      <c r="X549" s="401"/>
      <c r="Y549" s="402"/>
      <c r="Z549" s="401"/>
      <c r="AA549" s="402"/>
      <c r="AB549" s="401"/>
      <c r="AC549" s="402"/>
      <c r="AD549" s="401"/>
      <c r="AE549" s="402"/>
      <c r="AF549" s="401"/>
      <c r="AG549" s="402"/>
      <c r="AH549" s="401"/>
      <c r="AI549" s="402"/>
      <c r="AJ549" s="401"/>
      <c r="AK549" s="402"/>
      <c r="AL549" s="401"/>
      <c r="AM549" s="402"/>
      <c r="AN549" s="401"/>
      <c r="AO549" s="402"/>
      <c r="AP549" s="53"/>
      <c r="AQ549" s="53"/>
      <c r="AR549" s="53"/>
    </row>
    <row r="550" spans="1:44" hidden="1">
      <c r="A550" s="259" t="s">
        <v>507</v>
      </c>
      <c r="B550" s="260" t="s">
        <v>799</v>
      </c>
      <c r="C550" s="498"/>
      <c r="D550" s="464">
        <v>228316</v>
      </c>
      <c r="E550" s="496">
        <v>9</v>
      </c>
      <c r="F550" s="401">
        <v>3174</v>
      </c>
      <c r="G550" s="402">
        <v>3176</v>
      </c>
      <c r="H550" s="401">
        <v>7612</v>
      </c>
      <c r="I550" s="402">
        <v>7612</v>
      </c>
      <c r="J550" s="401">
        <v>0</v>
      </c>
      <c r="K550" s="402">
        <v>0</v>
      </c>
      <c r="L550" s="401">
        <v>0</v>
      </c>
      <c r="M550" s="402">
        <v>0</v>
      </c>
      <c r="N550" s="401"/>
      <c r="O550" s="402"/>
      <c r="P550" s="413"/>
      <c r="Q550" s="402"/>
      <c r="R550" s="401"/>
      <c r="S550" s="402"/>
      <c r="T550" s="401"/>
      <c r="U550" s="402"/>
      <c r="V550" s="401"/>
      <c r="W550" s="402"/>
      <c r="X550" s="401"/>
      <c r="Y550" s="402"/>
      <c r="Z550" s="401"/>
      <c r="AA550" s="402"/>
      <c r="AB550" s="401"/>
      <c r="AC550" s="402"/>
      <c r="AD550" s="401"/>
      <c r="AE550" s="402"/>
      <c r="AF550" s="401"/>
      <c r="AG550" s="402"/>
      <c r="AH550" s="401"/>
      <c r="AI550" s="402"/>
      <c r="AJ550" s="401"/>
      <c r="AK550" s="402"/>
      <c r="AL550" s="401"/>
      <c r="AM550" s="402"/>
      <c r="AN550" s="401"/>
      <c r="AO550" s="402"/>
      <c r="AP550" s="53"/>
      <c r="AQ550" s="53"/>
      <c r="AR550" s="53"/>
    </row>
    <row r="551" spans="1:44" hidden="1">
      <c r="A551" s="259" t="s">
        <v>507</v>
      </c>
      <c r="B551" s="260" t="s">
        <v>800</v>
      </c>
      <c r="C551" s="498"/>
      <c r="D551" s="464">
        <v>228608</v>
      </c>
      <c r="E551" s="496">
        <v>9</v>
      </c>
      <c r="F551" s="401">
        <v>3428</v>
      </c>
      <c r="G551" s="402">
        <v>3428</v>
      </c>
      <c r="H551" s="401">
        <v>10500</v>
      </c>
      <c r="I551" s="402">
        <v>10500</v>
      </c>
      <c r="J551" s="401">
        <v>0</v>
      </c>
      <c r="K551" s="402">
        <v>0</v>
      </c>
      <c r="L551" s="401">
        <v>0</v>
      </c>
      <c r="M551" s="402">
        <v>0</v>
      </c>
      <c r="N551" s="401"/>
      <c r="O551" s="402"/>
      <c r="P551" s="413"/>
      <c r="Q551" s="402"/>
      <c r="R551" s="401"/>
      <c r="S551" s="402"/>
      <c r="T551" s="401"/>
      <c r="U551" s="402"/>
      <c r="V551" s="401"/>
      <c r="W551" s="402"/>
      <c r="X551" s="401"/>
      <c r="Y551" s="402"/>
      <c r="Z551" s="401"/>
      <c r="AA551" s="402"/>
      <c r="AB551" s="401"/>
      <c r="AC551" s="402"/>
      <c r="AD551" s="401"/>
      <c r="AE551" s="402"/>
      <c r="AF551" s="401"/>
      <c r="AG551" s="402"/>
      <c r="AH551" s="401"/>
      <c r="AI551" s="402"/>
      <c r="AJ551" s="401"/>
      <c r="AK551" s="402"/>
      <c r="AL551" s="401"/>
      <c r="AM551" s="402"/>
      <c r="AN551" s="401"/>
      <c r="AO551" s="402"/>
      <c r="AP551" s="53"/>
      <c r="AQ551" s="53"/>
      <c r="AR551" s="53"/>
    </row>
    <row r="552" spans="1:44" hidden="1">
      <c r="A552" s="259" t="s">
        <v>507</v>
      </c>
      <c r="B552" s="260" t="s">
        <v>801</v>
      </c>
      <c r="C552" s="498"/>
      <c r="D552" s="464">
        <v>228699</v>
      </c>
      <c r="E552" s="496">
        <v>9</v>
      </c>
      <c r="F552" s="401">
        <v>3140</v>
      </c>
      <c r="G552" s="402">
        <v>3140</v>
      </c>
      <c r="H552" s="401">
        <v>6520</v>
      </c>
      <c r="I552" s="402">
        <v>6520</v>
      </c>
      <c r="J552" s="401">
        <v>0</v>
      </c>
      <c r="K552" s="402">
        <v>0</v>
      </c>
      <c r="L552" s="401">
        <v>0</v>
      </c>
      <c r="M552" s="402">
        <v>0</v>
      </c>
      <c r="N552" s="401"/>
      <c r="O552" s="402"/>
      <c r="P552" s="413"/>
      <c r="Q552" s="402"/>
      <c r="R552" s="401"/>
      <c r="S552" s="402"/>
      <c r="T552" s="401"/>
      <c r="U552" s="402"/>
      <c r="V552" s="401"/>
      <c r="W552" s="402"/>
      <c r="X552" s="401"/>
      <c r="Y552" s="402"/>
      <c r="Z552" s="401"/>
      <c r="AA552" s="402"/>
      <c r="AB552" s="401"/>
      <c r="AC552" s="402"/>
      <c r="AD552" s="401"/>
      <c r="AE552" s="402"/>
      <c r="AF552" s="401"/>
      <c r="AG552" s="402"/>
      <c r="AH552" s="401"/>
      <c r="AI552" s="402"/>
      <c r="AJ552" s="401"/>
      <c r="AK552" s="402"/>
      <c r="AL552" s="401"/>
      <c r="AM552" s="402"/>
      <c r="AN552" s="401"/>
      <c r="AO552" s="402"/>
      <c r="AP552" s="53"/>
      <c r="AQ552" s="53"/>
      <c r="AR552" s="53"/>
    </row>
    <row r="553" spans="1:44" hidden="1">
      <c r="A553" s="259" t="s">
        <v>507</v>
      </c>
      <c r="B553" s="260" t="s">
        <v>802</v>
      </c>
      <c r="C553" s="498" t="s">
        <v>803</v>
      </c>
      <c r="D553" s="499">
        <v>227377</v>
      </c>
      <c r="E553" s="496">
        <v>9</v>
      </c>
      <c r="F553" s="401">
        <v>3850</v>
      </c>
      <c r="G553" s="402">
        <v>3850</v>
      </c>
      <c r="H553" s="401">
        <v>6100</v>
      </c>
      <c r="I553" s="402">
        <v>6100</v>
      </c>
      <c r="J553" s="401">
        <v>0</v>
      </c>
      <c r="K553" s="402">
        <v>0</v>
      </c>
      <c r="L553" s="401">
        <v>0</v>
      </c>
      <c r="M553" s="402">
        <v>0</v>
      </c>
      <c r="N553" s="401"/>
      <c r="O553" s="402"/>
      <c r="P553" s="413"/>
      <c r="Q553" s="402"/>
      <c r="R553" s="401"/>
      <c r="S553" s="402"/>
      <c r="T553" s="401"/>
      <c r="U553" s="402"/>
      <c r="V553" s="401"/>
      <c r="W553" s="402"/>
      <c r="X553" s="401"/>
      <c r="Y553" s="402"/>
      <c r="Z553" s="401"/>
      <c r="AA553" s="402"/>
      <c r="AB553" s="401"/>
      <c r="AC553" s="402"/>
      <c r="AD553" s="401"/>
      <c r="AE553" s="402"/>
      <c r="AF553" s="401"/>
      <c r="AG553" s="402"/>
      <c r="AH553" s="401"/>
      <c r="AI553" s="402"/>
      <c r="AJ553" s="401"/>
      <c r="AK553" s="402"/>
      <c r="AL553" s="401"/>
      <c r="AM553" s="402"/>
      <c r="AN553" s="401"/>
      <c r="AO553" s="402"/>
      <c r="AP553" s="53"/>
      <c r="AQ553" s="53"/>
      <c r="AR553" s="53"/>
    </row>
    <row r="554" spans="1:44" hidden="1">
      <c r="A554" s="259" t="s">
        <v>507</v>
      </c>
      <c r="B554" s="260" t="s">
        <v>804</v>
      </c>
      <c r="C554" s="498"/>
      <c r="D554" s="464">
        <v>229319</v>
      </c>
      <c r="E554" s="496">
        <v>9</v>
      </c>
      <c r="F554" s="401">
        <v>6322</v>
      </c>
      <c r="G554" s="402">
        <v>7900</v>
      </c>
      <c r="H554" s="401">
        <v>0</v>
      </c>
      <c r="I554" s="402">
        <v>0</v>
      </c>
      <c r="J554" s="401">
        <v>0</v>
      </c>
      <c r="K554" s="402">
        <v>0</v>
      </c>
      <c r="L554" s="401">
        <v>0</v>
      </c>
      <c r="M554" s="402">
        <v>0</v>
      </c>
      <c r="N554" s="401"/>
      <c r="O554" s="402"/>
      <c r="P554" s="413"/>
      <c r="Q554" s="402"/>
      <c r="R554" s="401"/>
      <c r="S554" s="402"/>
      <c r="T554" s="401"/>
      <c r="U554" s="402"/>
      <c r="V554" s="401"/>
      <c r="W554" s="402"/>
      <c r="X554" s="401"/>
      <c r="Y554" s="402"/>
      <c r="Z554" s="401"/>
      <c r="AA554" s="402"/>
      <c r="AB554" s="401"/>
      <c r="AC554" s="402"/>
      <c r="AD554" s="401"/>
      <c r="AE554" s="402"/>
      <c r="AF554" s="401"/>
      <c r="AG554" s="402"/>
      <c r="AH554" s="401"/>
      <c r="AI554" s="402"/>
      <c r="AJ554" s="401"/>
      <c r="AK554" s="402"/>
      <c r="AL554" s="401"/>
      <c r="AM554" s="402"/>
      <c r="AN554" s="401"/>
      <c r="AO554" s="402"/>
      <c r="AP554" s="53"/>
      <c r="AQ554" s="53"/>
      <c r="AR554" s="53"/>
    </row>
    <row r="555" spans="1:44" hidden="1">
      <c r="A555" s="259" t="s">
        <v>507</v>
      </c>
      <c r="B555" s="260" t="s">
        <v>805</v>
      </c>
      <c r="C555" s="498"/>
      <c r="D555" s="464">
        <v>228680</v>
      </c>
      <c r="E555" s="496">
        <v>9</v>
      </c>
      <c r="F555" s="401">
        <v>6322</v>
      </c>
      <c r="G555" s="402">
        <v>7900</v>
      </c>
      <c r="H555" s="401">
        <v>10530</v>
      </c>
      <c r="I555" s="402">
        <v>11250</v>
      </c>
      <c r="J555" s="401">
        <v>0</v>
      </c>
      <c r="K555" s="402">
        <v>0</v>
      </c>
      <c r="L555" s="401">
        <v>0</v>
      </c>
      <c r="M555" s="402">
        <v>0</v>
      </c>
      <c r="N555" s="401"/>
      <c r="O555" s="402"/>
      <c r="P555" s="413"/>
      <c r="Q555" s="402"/>
      <c r="R555" s="401"/>
      <c r="S555" s="402"/>
      <c r="T555" s="401"/>
      <c r="U555" s="402"/>
      <c r="V555" s="401"/>
      <c r="W555" s="402"/>
      <c r="X555" s="401"/>
      <c r="Y555" s="402"/>
      <c r="Z555" s="401"/>
      <c r="AA555" s="402"/>
      <c r="AB555" s="401"/>
      <c r="AC555" s="402"/>
      <c r="AD555" s="401"/>
      <c r="AE555" s="402"/>
      <c r="AF555" s="401"/>
      <c r="AG555" s="402"/>
      <c r="AH555" s="401"/>
      <c r="AI555" s="402"/>
      <c r="AJ555" s="401"/>
      <c r="AK555" s="402"/>
      <c r="AL555" s="401"/>
      <c r="AM555" s="402"/>
      <c r="AN555" s="401"/>
      <c r="AO555" s="402"/>
      <c r="AP555" s="53"/>
      <c r="AQ555" s="53"/>
      <c r="AR555" s="53"/>
    </row>
    <row r="556" spans="1:44" hidden="1">
      <c r="A556" s="259" t="s">
        <v>507</v>
      </c>
      <c r="B556" s="260" t="s">
        <v>806</v>
      </c>
      <c r="C556" s="498" t="s">
        <v>1027</v>
      </c>
      <c r="D556" s="464">
        <v>229504</v>
      </c>
      <c r="E556" s="496">
        <v>9</v>
      </c>
      <c r="F556" s="401">
        <v>3096</v>
      </c>
      <c r="G556" s="402">
        <v>3400</v>
      </c>
      <c r="H556" s="401">
        <v>6600</v>
      </c>
      <c r="I556" s="402">
        <v>6900</v>
      </c>
      <c r="J556" s="401">
        <v>0</v>
      </c>
      <c r="K556" s="402">
        <v>0</v>
      </c>
      <c r="L556" s="401">
        <v>0</v>
      </c>
      <c r="M556" s="402">
        <v>0</v>
      </c>
      <c r="N556" s="401"/>
      <c r="O556" s="402"/>
      <c r="P556" s="413"/>
      <c r="Q556" s="402"/>
      <c r="R556" s="401"/>
      <c r="S556" s="402"/>
      <c r="T556" s="401"/>
      <c r="U556" s="402"/>
      <c r="V556" s="401"/>
      <c r="W556" s="402"/>
      <c r="X556" s="401"/>
      <c r="Y556" s="402"/>
      <c r="Z556" s="401"/>
      <c r="AA556" s="402"/>
      <c r="AB556" s="401"/>
      <c r="AC556" s="402"/>
      <c r="AD556" s="401"/>
      <c r="AE556" s="402"/>
      <c r="AF556" s="401"/>
      <c r="AG556" s="402"/>
      <c r="AH556" s="401"/>
      <c r="AI556" s="402"/>
      <c r="AJ556" s="401"/>
      <c r="AK556" s="402"/>
      <c r="AL556" s="401"/>
      <c r="AM556" s="402"/>
      <c r="AN556" s="401"/>
      <c r="AO556" s="402"/>
      <c r="AP556" s="53"/>
      <c r="AQ556" s="53"/>
      <c r="AR556" s="53"/>
    </row>
    <row r="557" spans="1:44" hidden="1">
      <c r="A557" s="259" t="s">
        <v>507</v>
      </c>
      <c r="B557" s="260" t="s">
        <v>807</v>
      </c>
      <c r="C557" s="498" t="s">
        <v>1028</v>
      </c>
      <c r="D557" s="464">
        <v>229540</v>
      </c>
      <c r="E557" s="496">
        <v>9</v>
      </c>
      <c r="F557" s="401">
        <v>4288</v>
      </c>
      <c r="G557" s="402">
        <v>4706</v>
      </c>
      <c r="H557" s="401">
        <v>5880</v>
      </c>
      <c r="I557" s="402">
        <v>6090</v>
      </c>
      <c r="J557" s="401">
        <v>0</v>
      </c>
      <c r="K557" s="402">
        <v>0</v>
      </c>
      <c r="L557" s="401">
        <v>0</v>
      </c>
      <c r="M557" s="402">
        <v>0</v>
      </c>
      <c r="N557" s="401"/>
      <c r="O557" s="402"/>
      <c r="P557" s="413"/>
      <c r="Q557" s="402"/>
      <c r="R557" s="401"/>
      <c r="S557" s="402"/>
      <c r="T557" s="401"/>
      <c r="U557" s="402"/>
      <c r="V557" s="401"/>
      <c r="W557" s="402"/>
      <c r="X557" s="401"/>
      <c r="Y557" s="402"/>
      <c r="Z557" s="401"/>
      <c r="AA557" s="402"/>
      <c r="AB557" s="401"/>
      <c r="AC557" s="402"/>
      <c r="AD557" s="401"/>
      <c r="AE557" s="402"/>
      <c r="AF557" s="401"/>
      <c r="AG557" s="402"/>
      <c r="AH557" s="401"/>
      <c r="AI557" s="402"/>
      <c r="AJ557" s="401"/>
      <c r="AK557" s="402"/>
      <c r="AL557" s="401"/>
      <c r="AM557" s="402"/>
      <c r="AN557" s="401"/>
      <c r="AO557" s="402"/>
      <c r="AP557" s="53"/>
      <c r="AQ557" s="53"/>
      <c r="AR557" s="53"/>
    </row>
    <row r="558" spans="1:44" hidden="1">
      <c r="A558" s="259" t="s">
        <v>507</v>
      </c>
      <c r="B558" s="260" t="s">
        <v>808</v>
      </c>
      <c r="C558" s="463"/>
      <c r="D558" s="464">
        <v>229799</v>
      </c>
      <c r="E558" s="496">
        <v>9</v>
      </c>
      <c r="F558" s="401">
        <v>3348</v>
      </c>
      <c r="G558" s="402">
        <v>3708</v>
      </c>
      <c r="H558" s="401">
        <v>7000</v>
      </c>
      <c r="I558" s="402">
        <v>7600</v>
      </c>
      <c r="J558" s="401">
        <v>0</v>
      </c>
      <c r="K558" s="402">
        <v>0</v>
      </c>
      <c r="L558" s="401">
        <v>0</v>
      </c>
      <c r="M558" s="402">
        <v>0</v>
      </c>
      <c r="N558" s="401"/>
      <c r="O558" s="402"/>
      <c r="P558" s="413"/>
      <c r="Q558" s="402"/>
      <c r="R558" s="401"/>
      <c r="S558" s="402"/>
      <c r="T558" s="401"/>
      <c r="U558" s="402"/>
      <c r="V558" s="401"/>
      <c r="W558" s="402"/>
      <c r="X558" s="401"/>
      <c r="Y558" s="402"/>
      <c r="Z558" s="401"/>
      <c r="AA558" s="402"/>
      <c r="AB558" s="401"/>
      <c r="AC558" s="402"/>
      <c r="AD558" s="401"/>
      <c r="AE558" s="402"/>
      <c r="AF558" s="401"/>
      <c r="AG558" s="402"/>
      <c r="AH558" s="401"/>
      <c r="AI558" s="402"/>
      <c r="AJ558" s="401"/>
      <c r="AK558" s="402"/>
      <c r="AL558" s="401"/>
      <c r="AM558" s="402"/>
      <c r="AN558" s="401"/>
      <c r="AO558" s="402"/>
      <c r="AP558" s="53"/>
      <c r="AQ558" s="53"/>
      <c r="AR558" s="53"/>
    </row>
    <row r="559" spans="1:44" hidden="1">
      <c r="A559" s="259" t="s">
        <v>507</v>
      </c>
      <c r="B559" s="260" t="s">
        <v>809</v>
      </c>
      <c r="C559" s="463"/>
      <c r="D559" s="464">
        <v>229841</v>
      </c>
      <c r="E559" s="496">
        <v>9</v>
      </c>
      <c r="F559" s="401">
        <v>2980</v>
      </c>
      <c r="G559" s="402">
        <v>2980</v>
      </c>
      <c r="H559" s="401">
        <v>6360</v>
      </c>
      <c r="I559" s="402">
        <v>6360</v>
      </c>
      <c r="J559" s="401">
        <v>0</v>
      </c>
      <c r="K559" s="402">
        <v>0</v>
      </c>
      <c r="L559" s="401">
        <v>0</v>
      </c>
      <c r="M559" s="402">
        <v>0</v>
      </c>
      <c r="N559" s="401"/>
      <c r="O559" s="402"/>
      <c r="P559" s="413"/>
      <c r="Q559" s="402"/>
      <c r="R559" s="401"/>
      <c r="S559" s="402"/>
      <c r="T559" s="401"/>
      <c r="U559" s="402"/>
      <c r="V559" s="401"/>
      <c r="W559" s="402"/>
      <c r="X559" s="401"/>
      <c r="Y559" s="402"/>
      <c r="Z559" s="401"/>
      <c r="AA559" s="402"/>
      <c r="AB559" s="401"/>
      <c r="AC559" s="402"/>
      <c r="AD559" s="401"/>
      <c r="AE559" s="402"/>
      <c r="AF559" s="401"/>
      <c r="AG559" s="402"/>
      <c r="AH559" s="401"/>
      <c r="AI559" s="402"/>
      <c r="AJ559" s="401"/>
      <c r="AK559" s="402"/>
      <c r="AL559" s="401"/>
      <c r="AM559" s="402"/>
      <c r="AN559" s="401"/>
      <c r="AO559" s="402"/>
      <c r="AP559" s="53"/>
      <c r="AQ559" s="53"/>
      <c r="AR559" s="53"/>
    </row>
    <row r="560" spans="1:44" hidden="1">
      <c r="A560" s="259" t="s">
        <v>507</v>
      </c>
      <c r="B560" s="260" t="s">
        <v>810</v>
      </c>
      <c r="C560" s="463"/>
      <c r="D560" s="464">
        <v>223922</v>
      </c>
      <c r="E560" s="496">
        <v>10</v>
      </c>
      <c r="F560" s="401">
        <v>3840</v>
      </c>
      <c r="G560" s="402">
        <v>3840</v>
      </c>
      <c r="H560" s="401">
        <v>5220</v>
      </c>
      <c r="I560" s="402">
        <v>5220</v>
      </c>
      <c r="J560" s="401">
        <v>0</v>
      </c>
      <c r="K560" s="402">
        <v>0</v>
      </c>
      <c r="L560" s="401">
        <v>0</v>
      </c>
      <c r="M560" s="402">
        <v>0</v>
      </c>
      <c r="N560" s="401"/>
      <c r="O560" s="402"/>
      <c r="P560" s="413"/>
      <c r="Q560" s="402"/>
      <c r="R560" s="401"/>
      <c r="S560" s="402"/>
      <c r="T560" s="401"/>
      <c r="U560" s="402"/>
      <c r="V560" s="401"/>
      <c r="W560" s="402"/>
      <c r="X560" s="401"/>
      <c r="Y560" s="402"/>
      <c r="Z560" s="401"/>
      <c r="AA560" s="402"/>
      <c r="AB560" s="401"/>
      <c r="AC560" s="402"/>
      <c r="AD560" s="401"/>
      <c r="AE560" s="402"/>
      <c r="AF560" s="401"/>
      <c r="AG560" s="402"/>
      <c r="AH560" s="401"/>
      <c r="AI560" s="402"/>
      <c r="AJ560" s="401"/>
      <c r="AK560" s="402"/>
      <c r="AL560" s="401"/>
      <c r="AM560" s="402"/>
      <c r="AN560" s="401"/>
      <c r="AO560" s="402"/>
      <c r="AP560" s="53"/>
      <c r="AQ560" s="53"/>
      <c r="AR560" s="53"/>
    </row>
    <row r="561" spans="1:44" hidden="1">
      <c r="A561" s="259" t="s">
        <v>507</v>
      </c>
      <c r="B561" s="260" t="s">
        <v>811</v>
      </c>
      <c r="C561" s="463"/>
      <c r="D561" s="464">
        <v>224891</v>
      </c>
      <c r="E561" s="496">
        <v>10</v>
      </c>
      <c r="F561" s="401">
        <v>3272</v>
      </c>
      <c r="G561" s="402">
        <v>3272</v>
      </c>
      <c r="H561" s="401">
        <v>4294</v>
      </c>
      <c r="I561" s="402">
        <v>4294</v>
      </c>
      <c r="J561" s="401">
        <v>0</v>
      </c>
      <c r="K561" s="402">
        <v>0</v>
      </c>
      <c r="L561" s="401">
        <v>0</v>
      </c>
      <c r="M561" s="402">
        <v>0</v>
      </c>
      <c r="N561" s="401"/>
      <c r="O561" s="402"/>
      <c r="P561" s="413"/>
      <c r="Q561" s="402"/>
      <c r="R561" s="401"/>
      <c r="S561" s="402"/>
      <c r="T561" s="401"/>
      <c r="U561" s="402"/>
      <c r="V561" s="401"/>
      <c r="W561" s="402"/>
      <c r="X561" s="401"/>
      <c r="Y561" s="402"/>
      <c r="Z561" s="401"/>
      <c r="AA561" s="402"/>
      <c r="AB561" s="401"/>
      <c r="AC561" s="402"/>
      <c r="AD561" s="401"/>
      <c r="AE561" s="402"/>
      <c r="AF561" s="401"/>
      <c r="AG561" s="402"/>
      <c r="AH561" s="401"/>
      <c r="AI561" s="402"/>
      <c r="AJ561" s="401"/>
      <c r="AK561" s="402"/>
      <c r="AL561" s="401"/>
      <c r="AM561" s="402"/>
      <c r="AN561" s="401"/>
      <c r="AO561" s="402"/>
      <c r="AP561" s="53"/>
      <c r="AQ561" s="53"/>
      <c r="AR561" s="53"/>
    </row>
    <row r="562" spans="1:44" hidden="1">
      <c r="A562" s="259" t="s">
        <v>507</v>
      </c>
      <c r="B562" s="260" t="s">
        <v>812</v>
      </c>
      <c r="C562" s="463"/>
      <c r="D562" s="464">
        <v>224961</v>
      </c>
      <c r="E562" s="496">
        <v>10</v>
      </c>
      <c r="F562" s="401">
        <v>2338</v>
      </c>
      <c r="G562" s="402"/>
      <c r="H562" s="401">
        <v>5200</v>
      </c>
      <c r="I562" s="402">
        <v>0</v>
      </c>
      <c r="J562" s="401">
        <v>0</v>
      </c>
      <c r="K562" s="402">
        <v>0</v>
      </c>
      <c r="L562" s="401">
        <v>0</v>
      </c>
      <c r="M562" s="402">
        <v>0</v>
      </c>
      <c r="N562" s="401"/>
      <c r="O562" s="402"/>
      <c r="P562" s="413"/>
      <c r="Q562" s="402"/>
      <c r="R562" s="401"/>
      <c r="S562" s="402"/>
      <c r="T562" s="401"/>
      <c r="U562" s="402"/>
      <c r="V562" s="401"/>
      <c r="W562" s="402"/>
      <c r="X562" s="401"/>
      <c r="Y562" s="402"/>
      <c r="Z562" s="401"/>
      <c r="AA562" s="402"/>
      <c r="AB562" s="401"/>
      <c r="AC562" s="402"/>
      <c r="AD562" s="401"/>
      <c r="AE562" s="402"/>
      <c r="AF562" s="401"/>
      <c r="AG562" s="402"/>
      <c r="AH562" s="401"/>
      <c r="AI562" s="402"/>
      <c r="AJ562" s="401"/>
      <c r="AK562" s="402"/>
      <c r="AL562" s="401"/>
      <c r="AM562" s="402"/>
      <c r="AN562" s="401"/>
      <c r="AO562" s="402"/>
      <c r="AP562" s="53"/>
      <c r="AQ562" s="53"/>
      <c r="AR562" s="53"/>
    </row>
    <row r="563" spans="1:44" hidden="1">
      <c r="A563" s="259" t="s">
        <v>507</v>
      </c>
      <c r="B563" s="260" t="s">
        <v>813</v>
      </c>
      <c r="C563" s="463"/>
      <c r="D563" s="464">
        <v>226107</v>
      </c>
      <c r="E563" s="496">
        <v>10</v>
      </c>
      <c r="F563" s="401">
        <v>4046</v>
      </c>
      <c r="G563" s="402">
        <v>3608</v>
      </c>
      <c r="H563" s="401">
        <v>16650</v>
      </c>
      <c r="I563" s="402">
        <v>16650</v>
      </c>
      <c r="J563" s="401">
        <v>0</v>
      </c>
      <c r="K563" s="402">
        <v>0</v>
      </c>
      <c r="L563" s="401">
        <v>0</v>
      </c>
      <c r="M563" s="402">
        <v>0</v>
      </c>
      <c r="N563" s="401"/>
      <c r="O563" s="402"/>
      <c r="P563" s="413"/>
      <c r="Q563" s="402"/>
      <c r="R563" s="401"/>
      <c r="S563" s="402"/>
      <c r="T563" s="401"/>
      <c r="U563" s="402"/>
      <c r="V563" s="401"/>
      <c r="W563" s="402"/>
      <c r="X563" s="401"/>
      <c r="Y563" s="402"/>
      <c r="Z563" s="401"/>
      <c r="AA563" s="402"/>
      <c r="AB563" s="401"/>
      <c r="AC563" s="402"/>
      <c r="AD563" s="401"/>
      <c r="AE563" s="402"/>
      <c r="AF563" s="401"/>
      <c r="AG563" s="402"/>
      <c r="AH563" s="401"/>
      <c r="AI563" s="402"/>
      <c r="AJ563" s="401"/>
      <c r="AK563" s="402"/>
      <c r="AL563" s="401"/>
      <c r="AM563" s="402"/>
      <c r="AN563" s="401"/>
      <c r="AO563" s="402"/>
      <c r="AP563" s="53"/>
      <c r="AQ563" s="53"/>
      <c r="AR563" s="53"/>
    </row>
    <row r="564" spans="1:44" s="179" customFormat="1" ht="15.75" hidden="1" customHeight="1">
      <c r="A564" s="259" t="s">
        <v>507</v>
      </c>
      <c r="B564" s="260" t="s">
        <v>814</v>
      </c>
      <c r="C564" s="500" t="s">
        <v>641</v>
      </c>
      <c r="D564" s="464">
        <v>226116</v>
      </c>
      <c r="E564" s="496">
        <v>10</v>
      </c>
      <c r="F564" s="401">
        <v>4332</v>
      </c>
      <c r="G564" s="402">
        <v>3540</v>
      </c>
      <c r="H564" s="401">
        <v>16602</v>
      </c>
      <c r="I564" s="402">
        <v>16602</v>
      </c>
      <c r="J564" s="401">
        <v>0</v>
      </c>
      <c r="K564" s="402">
        <v>0</v>
      </c>
      <c r="L564" s="401">
        <v>0</v>
      </c>
      <c r="M564" s="402">
        <v>0</v>
      </c>
      <c r="N564" s="401"/>
      <c r="O564" s="402"/>
      <c r="P564" s="413"/>
      <c r="Q564" s="402"/>
      <c r="R564" s="401"/>
      <c r="S564" s="402"/>
      <c r="T564" s="401"/>
      <c r="U564" s="402"/>
      <c r="V564" s="401"/>
      <c r="W564" s="402"/>
      <c r="X564" s="401"/>
      <c r="Y564" s="402"/>
      <c r="Z564" s="401"/>
      <c r="AA564" s="402"/>
      <c r="AB564" s="401"/>
      <c r="AC564" s="402"/>
      <c r="AD564" s="401"/>
      <c r="AE564" s="402"/>
      <c r="AF564" s="401"/>
      <c r="AG564" s="402"/>
      <c r="AH564" s="401"/>
      <c r="AI564" s="402"/>
      <c r="AJ564" s="401"/>
      <c r="AK564" s="402"/>
      <c r="AL564" s="401"/>
      <c r="AM564" s="402"/>
      <c r="AN564" s="401"/>
      <c r="AO564" s="402"/>
    </row>
    <row r="565" spans="1:44" s="179" customFormat="1" ht="15.75" hidden="1" customHeight="1">
      <c r="A565" s="259" t="s">
        <v>507</v>
      </c>
      <c r="B565" s="260" t="s">
        <v>815</v>
      </c>
      <c r="C565" s="501"/>
      <c r="D565" s="464">
        <v>488730</v>
      </c>
      <c r="E565" s="502">
        <v>9</v>
      </c>
      <c r="F565" s="401">
        <v>3140</v>
      </c>
      <c r="G565" s="402"/>
      <c r="H565" s="401">
        <v>0</v>
      </c>
      <c r="I565" s="402">
        <v>14122</v>
      </c>
      <c r="J565" s="401">
        <v>0</v>
      </c>
      <c r="K565" s="402">
        <v>0</v>
      </c>
      <c r="L565" s="401">
        <v>0</v>
      </c>
      <c r="M565" s="402">
        <v>0</v>
      </c>
      <c r="N565" s="401"/>
      <c r="O565" s="402"/>
      <c r="P565" s="413"/>
      <c r="Q565" s="402"/>
      <c r="R565" s="401"/>
      <c r="S565" s="402"/>
      <c r="T565" s="401"/>
      <c r="U565" s="402"/>
      <c r="V565" s="401"/>
      <c r="W565" s="402"/>
      <c r="X565" s="401"/>
      <c r="Y565" s="402"/>
      <c r="Z565" s="401"/>
      <c r="AA565" s="402"/>
      <c r="AB565" s="401"/>
      <c r="AC565" s="402"/>
      <c r="AD565" s="401"/>
      <c r="AE565" s="402"/>
      <c r="AF565" s="401"/>
      <c r="AG565" s="402"/>
      <c r="AH565" s="401"/>
      <c r="AI565" s="402"/>
      <c r="AJ565" s="401"/>
      <c r="AK565" s="402"/>
      <c r="AL565" s="401"/>
      <c r="AM565" s="402"/>
      <c r="AN565" s="401"/>
      <c r="AO565" s="402"/>
    </row>
    <row r="566" spans="1:44" hidden="1">
      <c r="A566" s="259" t="s">
        <v>507</v>
      </c>
      <c r="B566" s="260" t="s">
        <v>816</v>
      </c>
      <c r="C566" s="463"/>
      <c r="D566" s="464">
        <v>227386</v>
      </c>
      <c r="E566" s="496">
        <v>10</v>
      </c>
      <c r="F566" s="401">
        <v>2900</v>
      </c>
      <c r="G566" s="402">
        <v>2980</v>
      </c>
      <c r="H566" s="401">
        <v>5700</v>
      </c>
      <c r="I566" s="402">
        <v>5850</v>
      </c>
      <c r="J566" s="401">
        <v>0</v>
      </c>
      <c r="K566" s="402">
        <v>0</v>
      </c>
      <c r="L566" s="401">
        <v>0</v>
      </c>
      <c r="M566" s="402">
        <v>0</v>
      </c>
      <c r="N566" s="401"/>
      <c r="O566" s="402"/>
      <c r="P566" s="413"/>
      <c r="Q566" s="402"/>
      <c r="R566" s="401"/>
      <c r="S566" s="402"/>
      <c r="T566" s="401"/>
      <c r="U566" s="402"/>
      <c r="V566" s="401"/>
      <c r="W566" s="402"/>
      <c r="X566" s="401"/>
      <c r="Y566" s="402"/>
      <c r="Z566" s="401"/>
      <c r="AA566" s="402"/>
      <c r="AB566" s="401"/>
      <c r="AC566" s="402"/>
      <c r="AD566" s="401"/>
      <c r="AE566" s="402"/>
      <c r="AF566" s="401"/>
      <c r="AG566" s="402"/>
      <c r="AH566" s="401"/>
      <c r="AI566" s="402"/>
      <c r="AJ566" s="401"/>
      <c r="AK566" s="402"/>
      <c r="AL566" s="401"/>
      <c r="AM566" s="402"/>
      <c r="AN566" s="401"/>
      <c r="AO566" s="402"/>
      <c r="AP566" s="53"/>
      <c r="AQ566" s="53"/>
      <c r="AR566" s="53"/>
    </row>
    <row r="567" spans="1:44" hidden="1">
      <c r="A567" s="259" t="s">
        <v>507</v>
      </c>
      <c r="B567" s="260" t="s">
        <v>817</v>
      </c>
      <c r="C567" s="463"/>
      <c r="D567" s="464">
        <v>227687</v>
      </c>
      <c r="E567" s="496">
        <v>10</v>
      </c>
      <c r="F567" s="401">
        <v>4990</v>
      </c>
      <c r="G567" s="402">
        <v>6240</v>
      </c>
      <c r="H567" s="401">
        <v>6010</v>
      </c>
      <c r="I567" s="402">
        <v>7400</v>
      </c>
      <c r="J567" s="401">
        <v>0</v>
      </c>
      <c r="K567" s="402">
        <v>0</v>
      </c>
      <c r="L567" s="401">
        <v>0</v>
      </c>
      <c r="M567" s="402">
        <v>0</v>
      </c>
      <c r="N567" s="401"/>
      <c r="O567" s="402"/>
      <c r="P567" s="413"/>
      <c r="Q567" s="402"/>
      <c r="R567" s="401"/>
      <c r="S567" s="402"/>
      <c r="T567" s="401"/>
      <c r="U567" s="402"/>
      <c r="V567" s="401"/>
      <c r="W567" s="402"/>
      <c r="X567" s="401"/>
      <c r="Y567" s="402"/>
      <c r="Z567" s="401"/>
      <c r="AA567" s="402"/>
      <c r="AB567" s="401"/>
      <c r="AC567" s="402"/>
      <c r="AD567" s="401"/>
      <c r="AE567" s="402"/>
      <c r="AF567" s="401"/>
      <c r="AG567" s="402"/>
      <c r="AH567" s="401"/>
      <c r="AI567" s="402"/>
      <c r="AJ567" s="401"/>
      <c r="AK567" s="402"/>
      <c r="AL567" s="401"/>
      <c r="AM567" s="402"/>
      <c r="AN567" s="401"/>
      <c r="AO567" s="402"/>
      <c r="AP567" s="53"/>
      <c r="AQ567" s="53"/>
      <c r="AR567" s="53"/>
    </row>
    <row r="568" spans="1:44" hidden="1">
      <c r="A568" s="259" t="s">
        <v>507</v>
      </c>
      <c r="B568" s="260" t="s">
        <v>818</v>
      </c>
      <c r="C568" s="463"/>
      <c r="D568" s="464">
        <v>382911</v>
      </c>
      <c r="E568" s="496">
        <v>10</v>
      </c>
      <c r="F568" s="401">
        <v>2610</v>
      </c>
      <c r="G568" s="402"/>
      <c r="H568" s="401">
        <v>0</v>
      </c>
      <c r="I568" s="402">
        <v>5430</v>
      </c>
      <c r="J568" s="401">
        <v>0</v>
      </c>
      <c r="K568" s="402">
        <v>0</v>
      </c>
      <c r="L568" s="401">
        <v>0</v>
      </c>
      <c r="M568" s="402">
        <v>0</v>
      </c>
      <c r="N568" s="401"/>
      <c r="O568" s="402"/>
      <c r="P568" s="413"/>
      <c r="Q568" s="402"/>
      <c r="R568" s="401"/>
      <c r="S568" s="402"/>
      <c r="T568" s="401"/>
      <c r="U568" s="402"/>
      <c r="V568" s="401"/>
      <c r="W568" s="402"/>
      <c r="X568" s="401"/>
      <c r="Y568" s="402"/>
      <c r="Z568" s="401"/>
      <c r="AA568" s="402"/>
      <c r="AB568" s="401"/>
      <c r="AC568" s="402"/>
      <c r="AD568" s="401"/>
      <c r="AE568" s="402"/>
      <c r="AF568" s="401"/>
      <c r="AG568" s="402"/>
      <c r="AH568" s="401"/>
      <c r="AI568" s="402"/>
      <c r="AJ568" s="401"/>
      <c r="AK568" s="402"/>
      <c r="AL568" s="401"/>
      <c r="AM568" s="402"/>
      <c r="AN568" s="401"/>
      <c r="AO568" s="402"/>
      <c r="AP568" s="53"/>
      <c r="AQ568" s="53"/>
      <c r="AR568" s="53"/>
    </row>
    <row r="569" spans="1:44" hidden="1">
      <c r="A569" s="259" t="s">
        <v>507</v>
      </c>
      <c r="B569" s="280" t="s">
        <v>819</v>
      </c>
      <c r="C569" s="463"/>
      <c r="D569" s="503" t="s">
        <v>84</v>
      </c>
      <c r="E569" s="496">
        <v>10</v>
      </c>
      <c r="F569" s="401">
        <v>6322</v>
      </c>
      <c r="G569" s="402">
        <v>7900</v>
      </c>
      <c r="H569" s="401">
        <v>0</v>
      </c>
      <c r="I569" s="402">
        <v>0</v>
      </c>
      <c r="J569" s="401">
        <v>0</v>
      </c>
      <c r="K569" s="402">
        <v>0</v>
      </c>
      <c r="L569" s="401">
        <v>0</v>
      </c>
      <c r="M569" s="402">
        <v>0</v>
      </c>
      <c r="N569" s="401"/>
      <c r="O569" s="402"/>
      <c r="P569" s="413"/>
      <c r="Q569" s="402"/>
      <c r="R569" s="401"/>
      <c r="S569" s="402"/>
      <c r="T569" s="401"/>
      <c r="U569" s="402"/>
      <c r="V569" s="401"/>
      <c r="W569" s="402"/>
      <c r="X569" s="401"/>
      <c r="Y569" s="402"/>
      <c r="Z569" s="401"/>
      <c r="AA569" s="402"/>
      <c r="AB569" s="401"/>
      <c r="AC569" s="402"/>
      <c r="AD569" s="401"/>
      <c r="AE569" s="402"/>
      <c r="AF569" s="401"/>
      <c r="AG569" s="402"/>
      <c r="AH569" s="401"/>
      <c r="AI569" s="402"/>
      <c r="AJ569" s="401"/>
      <c r="AK569" s="402"/>
      <c r="AL569" s="401"/>
      <c r="AM569" s="402"/>
      <c r="AN569" s="401"/>
      <c r="AO569" s="402"/>
      <c r="AP569" s="53"/>
      <c r="AQ569" s="53"/>
      <c r="AR569" s="53"/>
    </row>
    <row r="570" spans="1:44" hidden="1">
      <c r="A570" s="259" t="s">
        <v>507</v>
      </c>
      <c r="B570" s="260" t="s">
        <v>820</v>
      </c>
      <c r="C570" s="463"/>
      <c r="D570" s="464">
        <v>408394</v>
      </c>
      <c r="E570" s="496">
        <v>10</v>
      </c>
      <c r="F570" s="401">
        <v>6322</v>
      </c>
      <c r="G570" s="402">
        <v>7900</v>
      </c>
      <c r="H570" s="401">
        <v>0</v>
      </c>
      <c r="I570" s="402">
        <v>0</v>
      </c>
      <c r="J570" s="401">
        <v>0</v>
      </c>
      <c r="K570" s="402">
        <v>0</v>
      </c>
      <c r="L570" s="401">
        <v>0</v>
      </c>
      <c r="M570" s="402">
        <v>0</v>
      </c>
      <c r="N570" s="401"/>
      <c r="O570" s="402"/>
      <c r="P570" s="413"/>
      <c r="Q570" s="402"/>
      <c r="R570" s="401"/>
      <c r="S570" s="402"/>
      <c r="T570" s="401"/>
      <c r="U570" s="402"/>
      <c r="V570" s="401"/>
      <c r="W570" s="402"/>
      <c r="X570" s="401"/>
      <c r="Y570" s="402"/>
      <c r="Z570" s="401"/>
      <c r="AA570" s="402"/>
      <c r="AB570" s="401"/>
      <c r="AC570" s="402"/>
      <c r="AD570" s="401"/>
      <c r="AE570" s="402"/>
      <c r="AF570" s="401"/>
      <c r="AG570" s="402"/>
      <c r="AH570" s="401"/>
      <c r="AI570" s="402"/>
      <c r="AJ570" s="401"/>
      <c r="AK570" s="402"/>
      <c r="AL570" s="401"/>
      <c r="AM570" s="402"/>
      <c r="AN570" s="401"/>
      <c r="AO570" s="402"/>
      <c r="AP570" s="53"/>
      <c r="AQ570" s="53"/>
      <c r="AR570" s="53"/>
    </row>
    <row r="571" spans="1:44" hidden="1">
      <c r="A571" s="259" t="s">
        <v>507</v>
      </c>
      <c r="B571" s="280" t="s">
        <v>821</v>
      </c>
      <c r="C571" s="463"/>
      <c r="D571" s="503" t="s">
        <v>84</v>
      </c>
      <c r="E571" s="496">
        <v>10</v>
      </c>
      <c r="F571" s="401">
        <v>6322</v>
      </c>
      <c r="G571" s="402">
        <v>7900</v>
      </c>
      <c r="H571" s="401">
        <v>0</v>
      </c>
      <c r="I571" s="402">
        <v>0</v>
      </c>
      <c r="J571" s="401">
        <v>0</v>
      </c>
      <c r="K571" s="402">
        <v>0</v>
      </c>
      <c r="L571" s="401">
        <v>0</v>
      </c>
      <c r="M571" s="402">
        <v>0</v>
      </c>
      <c r="N571" s="401"/>
      <c r="O571" s="402"/>
      <c r="P571" s="413"/>
      <c r="Q571" s="402"/>
      <c r="R571" s="401"/>
      <c r="S571" s="402"/>
      <c r="T571" s="401"/>
      <c r="U571" s="402"/>
      <c r="V571" s="401"/>
      <c r="W571" s="402"/>
      <c r="X571" s="401"/>
      <c r="Y571" s="402"/>
      <c r="Z571" s="401"/>
      <c r="AA571" s="402"/>
      <c r="AB571" s="401"/>
      <c r="AC571" s="402"/>
      <c r="AD571" s="401"/>
      <c r="AE571" s="402"/>
      <c r="AF571" s="401"/>
      <c r="AG571" s="402"/>
      <c r="AH571" s="401"/>
      <c r="AI571" s="402"/>
      <c r="AJ571" s="401"/>
      <c r="AK571" s="402"/>
      <c r="AL571" s="401"/>
      <c r="AM571" s="402"/>
      <c r="AN571" s="401"/>
      <c r="AO571" s="402"/>
      <c r="AP571" s="53"/>
      <c r="AQ571" s="53"/>
      <c r="AR571" s="53"/>
    </row>
    <row r="572" spans="1:44" hidden="1">
      <c r="A572" s="259" t="s">
        <v>507</v>
      </c>
      <c r="B572" s="260" t="s">
        <v>822</v>
      </c>
      <c r="C572" s="463"/>
      <c r="D572" s="464">
        <v>229328</v>
      </c>
      <c r="E572" s="496">
        <v>10</v>
      </c>
      <c r="F572" s="401">
        <v>6322</v>
      </c>
      <c r="G572" s="402">
        <v>7900</v>
      </c>
      <c r="H572" s="401">
        <v>0</v>
      </c>
      <c r="I572" s="402">
        <v>0</v>
      </c>
      <c r="J572" s="401">
        <v>0</v>
      </c>
      <c r="K572" s="402">
        <v>0</v>
      </c>
      <c r="L572" s="401">
        <v>0</v>
      </c>
      <c r="M572" s="402">
        <v>0</v>
      </c>
      <c r="N572" s="401"/>
      <c r="O572" s="402"/>
      <c r="P572" s="413"/>
      <c r="Q572" s="402"/>
      <c r="R572" s="401"/>
      <c r="S572" s="402"/>
      <c r="T572" s="401"/>
      <c r="U572" s="402"/>
      <c r="V572" s="401"/>
      <c r="W572" s="402"/>
      <c r="X572" s="401"/>
      <c r="Y572" s="402"/>
      <c r="Z572" s="401"/>
      <c r="AA572" s="402"/>
      <c r="AB572" s="401"/>
      <c r="AC572" s="402"/>
      <c r="AD572" s="401"/>
      <c r="AE572" s="402"/>
      <c r="AF572" s="401"/>
      <c r="AG572" s="402"/>
      <c r="AH572" s="401"/>
      <c r="AI572" s="402"/>
      <c r="AJ572" s="401"/>
      <c r="AK572" s="402"/>
      <c r="AL572" s="401"/>
      <c r="AM572" s="402"/>
      <c r="AN572" s="401"/>
      <c r="AO572" s="402"/>
      <c r="AP572" s="53"/>
      <c r="AQ572" s="53"/>
      <c r="AR572" s="53"/>
    </row>
    <row r="573" spans="1:44" hidden="1">
      <c r="A573" s="259" t="s">
        <v>507</v>
      </c>
      <c r="B573" s="260" t="s">
        <v>823</v>
      </c>
      <c r="C573" s="463"/>
      <c r="D573" s="464">
        <v>229832</v>
      </c>
      <c r="E573" s="496">
        <v>10</v>
      </c>
      <c r="F573" s="401">
        <v>2860</v>
      </c>
      <c r="G573" s="402">
        <v>3040</v>
      </c>
      <c r="H573" s="401">
        <v>5160</v>
      </c>
      <c r="I573" s="402">
        <v>5340</v>
      </c>
      <c r="J573" s="401">
        <v>0</v>
      </c>
      <c r="K573" s="402">
        <v>0</v>
      </c>
      <c r="L573" s="401">
        <v>0</v>
      </c>
      <c r="M573" s="402">
        <v>0</v>
      </c>
      <c r="N573" s="401"/>
      <c r="O573" s="402"/>
      <c r="P573" s="413"/>
      <c r="Q573" s="402"/>
      <c r="R573" s="401"/>
      <c r="S573" s="402"/>
      <c r="T573" s="401"/>
      <c r="U573" s="402"/>
      <c r="V573" s="401"/>
      <c r="W573" s="402"/>
      <c r="X573" s="401"/>
      <c r="Y573" s="402"/>
      <c r="Z573" s="401"/>
      <c r="AA573" s="402"/>
      <c r="AB573" s="401"/>
      <c r="AC573" s="402"/>
      <c r="AD573" s="401"/>
      <c r="AE573" s="402"/>
      <c r="AF573" s="401"/>
      <c r="AG573" s="402"/>
      <c r="AH573" s="401"/>
      <c r="AI573" s="402"/>
      <c r="AJ573" s="401"/>
      <c r="AK573" s="402"/>
      <c r="AL573" s="401"/>
      <c r="AM573" s="402"/>
      <c r="AN573" s="401"/>
      <c r="AO573" s="402"/>
      <c r="AP573" s="53"/>
      <c r="AQ573" s="53"/>
      <c r="AR573" s="53"/>
    </row>
    <row r="574" spans="1:44" hidden="1">
      <c r="A574" s="259" t="s">
        <v>507</v>
      </c>
      <c r="B574" s="260" t="s">
        <v>824</v>
      </c>
      <c r="C574" s="463"/>
      <c r="D574" s="464">
        <v>223214</v>
      </c>
      <c r="E574" s="496">
        <v>15</v>
      </c>
      <c r="F574" s="401">
        <v>0</v>
      </c>
      <c r="G574" s="402">
        <v>0</v>
      </c>
      <c r="H574" s="401">
        <v>0</v>
      </c>
      <c r="I574" s="402">
        <v>0</v>
      </c>
      <c r="J574" s="401">
        <v>0</v>
      </c>
      <c r="K574" s="402">
        <v>0</v>
      </c>
      <c r="L574" s="401">
        <v>0</v>
      </c>
      <c r="M574" s="402">
        <v>0</v>
      </c>
      <c r="N574" s="401"/>
      <c r="O574" s="402"/>
      <c r="P574" s="413"/>
      <c r="Q574" s="402"/>
      <c r="R574" s="401">
        <v>28200</v>
      </c>
      <c r="S574" s="402">
        <v>29520</v>
      </c>
      <c r="T574" s="401">
        <v>45666.666666666701</v>
      </c>
      <c r="U574" s="402">
        <v>46986.666666666701</v>
      </c>
      <c r="V574" s="401">
        <v>42836</v>
      </c>
      <c r="W574" s="402">
        <v>50912</v>
      </c>
      <c r="X574" s="401">
        <v>57236</v>
      </c>
      <c r="Y574" s="402">
        <v>65312</v>
      </c>
      <c r="Z574" s="401"/>
      <c r="AA574" s="402"/>
      <c r="AB574" s="401"/>
      <c r="AC574" s="402"/>
      <c r="AD574" s="401"/>
      <c r="AE574" s="402"/>
      <c r="AF574" s="401"/>
      <c r="AG574" s="402"/>
      <c r="AH574" s="401"/>
      <c r="AI574" s="402"/>
      <c r="AJ574" s="401"/>
      <c r="AK574" s="402"/>
      <c r="AL574" s="401"/>
      <c r="AM574" s="402"/>
      <c r="AN574" s="401"/>
      <c r="AO574" s="402"/>
      <c r="AP574" s="53"/>
      <c r="AQ574" s="53"/>
      <c r="AR574" s="53"/>
    </row>
    <row r="575" spans="1:44" customFormat="1" ht="12.75" hidden="1" customHeight="1">
      <c r="A575" s="259" t="s">
        <v>507</v>
      </c>
      <c r="B575" s="260" t="s">
        <v>825</v>
      </c>
      <c r="C575" s="463"/>
      <c r="D575" s="464">
        <v>229337</v>
      </c>
      <c r="E575" s="496">
        <v>15</v>
      </c>
      <c r="F575" s="401">
        <v>9914</v>
      </c>
      <c r="G575" s="402">
        <v>10174</v>
      </c>
      <c r="H575" s="401">
        <v>22420</v>
      </c>
      <c r="I575" s="402">
        <v>21520</v>
      </c>
      <c r="J575" s="401">
        <v>10472</v>
      </c>
      <c r="K575" s="402">
        <v>11088</v>
      </c>
      <c r="L575" s="401">
        <v>20600</v>
      </c>
      <c r="M575" s="402">
        <v>20904</v>
      </c>
      <c r="N575" s="401"/>
      <c r="O575" s="402"/>
      <c r="P575" s="413"/>
      <c r="Q575" s="402"/>
      <c r="R575" s="401">
        <v>27314.666666666701</v>
      </c>
      <c r="S575" s="402">
        <v>28998.666666666701</v>
      </c>
      <c r="T575" s="401">
        <v>45314.666666666701</v>
      </c>
      <c r="U575" s="402">
        <v>46465.333333333299</v>
      </c>
      <c r="V575" s="401"/>
      <c r="W575" s="402"/>
      <c r="X575" s="401"/>
      <c r="Y575" s="402"/>
      <c r="Z575" s="401">
        <v>24042.666666666701</v>
      </c>
      <c r="AA575" s="402">
        <v>24885.333333333299</v>
      </c>
      <c r="AB575" s="401">
        <v>47666.666666666701</v>
      </c>
      <c r="AC575" s="402">
        <v>46266.666666666701</v>
      </c>
      <c r="AD575" s="401"/>
      <c r="AE575" s="402"/>
      <c r="AF575" s="401"/>
      <c r="AG575" s="402"/>
      <c r="AH575" s="401"/>
      <c r="AI575" s="402"/>
      <c r="AJ575" s="401"/>
      <c r="AK575" s="402"/>
      <c r="AL575" s="401"/>
      <c r="AM575" s="402"/>
      <c r="AN575" s="401"/>
      <c r="AO575" s="402"/>
      <c r="AP575" s="53"/>
      <c r="AQ575" s="53"/>
      <c r="AR575" s="53"/>
    </row>
    <row r="576" spans="1:44" customFormat="1" ht="12.6" hidden="1" customHeight="1">
      <c r="A576" s="259" t="s">
        <v>507</v>
      </c>
      <c r="B576" s="260" t="s">
        <v>826</v>
      </c>
      <c r="C576" s="464"/>
      <c r="D576" s="464">
        <v>492689</v>
      </c>
      <c r="E576" s="496">
        <v>15</v>
      </c>
      <c r="F576" s="401">
        <v>11054</v>
      </c>
      <c r="G576" s="402">
        <v>11260</v>
      </c>
      <c r="H576" s="401">
        <v>25346</v>
      </c>
      <c r="I576" s="402">
        <v>20952</v>
      </c>
      <c r="J576" s="401">
        <v>6765.3333333333303</v>
      </c>
      <c r="K576" s="402">
        <v>6965.3333333333303</v>
      </c>
      <c r="L576" s="401">
        <v>17672</v>
      </c>
      <c r="M576" s="402">
        <v>17872</v>
      </c>
      <c r="N576" s="401"/>
      <c r="O576" s="402"/>
      <c r="P576" s="413"/>
      <c r="Q576" s="402"/>
      <c r="R576" s="401"/>
      <c r="S576" s="402"/>
      <c r="T576" s="401"/>
      <c r="U576" s="402"/>
      <c r="V576" s="401"/>
      <c r="W576" s="402"/>
      <c r="X576" s="401"/>
      <c r="Y576" s="402"/>
      <c r="Z576" s="401"/>
      <c r="AA576" s="402"/>
      <c r="AB576" s="401"/>
      <c r="AC576" s="402"/>
      <c r="AD576" s="401"/>
      <c r="AE576" s="402"/>
      <c r="AF576" s="401"/>
      <c r="AG576" s="402"/>
      <c r="AH576" s="401"/>
      <c r="AI576" s="402"/>
      <c r="AJ576" s="401"/>
      <c r="AK576" s="402"/>
      <c r="AL576" s="401"/>
      <c r="AM576" s="402"/>
      <c r="AN576" s="401"/>
      <c r="AO576" s="402"/>
      <c r="AP576" s="53"/>
      <c r="AQ576" s="53"/>
      <c r="AR576" s="53"/>
    </row>
    <row r="577" spans="1:44" customFormat="1" ht="12.6" customHeight="1">
      <c r="A577" s="259" t="s">
        <v>507</v>
      </c>
      <c r="B577" s="260" t="s">
        <v>827</v>
      </c>
      <c r="C577" s="464" t="s">
        <v>991</v>
      </c>
      <c r="D577" s="464">
        <v>484905</v>
      </c>
      <c r="E577" s="496">
        <v>4</v>
      </c>
      <c r="F577" s="401">
        <v>0</v>
      </c>
      <c r="G577" s="402">
        <v>0</v>
      </c>
      <c r="H577" s="401">
        <v>0</v>
      </c>
      <c r="I577" s="402">
        <v>0</v>
      </c>
      <c r="J577" s="401">
        <v>0</v>
      </c>
      <c r="K577" s="402">
        <v>0</v>
      </c>
      <c r="L577" s="401">
        <v>0</v>
      </c>
      <c r="M577" s="402">
        <v>0</v>
      </c>
      <c r="N577" s="401"/>
      <c r="O577" s="402"/>
      <c r="P577" s="413"/>
      <c r="Q577" s="402"/>
      <c r="R577" s="401"/>
      <c r="S577" s="402"/>
      <c r="T577" s="401"/>
      <c r="U577" s="402"/>
      <c r="V577" s="401"/>
      <c r="W577" s="402"/>
      <c r="X577" s="401"/>
      <c r="Y577" s="402"/>
      <c r="Z577" s="401"/>
      <c r="AA577" s="402"/>
      <c r="AB577" s="401"/>
      <c r="AC577" s="402"/>
      <c r="AD577" s="401"/>
      <c r="AE577" s="402"/>
      <c r="AF577" s="401"/>
      <c r="AG577" s="402"/>
      <c r="AH577" s="401"/>
      <c r="AI577" s="402"/>
      <c r="AJ577" s="401"/>
      <c r="AK577" s="402"/>
      <c r="AL577" s="401"/>
      <c r="AM577" s="402"/>
      <c r="AN577" s="401"/>
      <c r="AO577" s="402"/>
      <c r="AP577" s="53"/>
      <c r="AQ577" s="53"/>
      <c r="AR577" s="53"/>
    </row>
    <row r="578" spans="1:44" hidden="1">
      <c r="A578" s="259" t="s">
        <v>507</v>
      </c>
      <c r="B578" s="260" t="s">
        <v>828</v>
      </c>
      <c r="C578" s="463"/>
      <c r="D578" s="464">
        <v>228909</v>
      </c>
      <c r="E578" s="496">
        <v>15</v>
      </c>
      <c r="F578" s="401">
        <v>0</v>
      </c>
      <c r="G578" s="402">
        <v>0</v>
      </c>
      <c r="H578" s="401">
        <v>0</v>
      </c>
      <c r="I578" s="402">
        <v>0</v>
      </c>
      <c r="J578" s="401">
        <v>0</v>
      </c>
      <c r="K578" s="402">
        <v>0</v>
      </c>
      <c r="L578" s="401">
        <v>0</v>
      </c>
      <c r="M578" s="402">
        <v>0</v>
      </c>
      <c r="N578" s="401"/>
      <c r="O578" s="402"/>
      <c r="P578" s="413"/>
      <c r="Q578" s="402"/>
      <c r="R578" s="401">
        <v>27016</v>
      </c>
      <c r="S578" s="402">
        <v>26290.666666666701</v>
      </c>
      <c r="T578" s="401">
        <v>47933.333333333299</v>
      </c>
      <c r="U578" s="402">
        <v>47208</v>
      </c>
      <c r="V578" s="401"/>
      <c r="W578" s="402"/>
      <c r="X578" s="401"/>
      <c r="Y578" s="402"/>
      <c r="Z578" s="401"/>
      <c r="AA578" s="402"/>
      <c r="AB578" s="401"/>
      <c r="AC578" s="402"/>
      <c r="AD578" s="401"/>
      <c r="AE578" s="402"/>
      <c r="AF578" s="401"/>
      <c r="AG578" s="402"/>
      <c r="AH578" s="401">
        <v>27016</v>
      </c>
      <c r="AI578" s="402">
        <v>26290.666666666701</v>
      </c>
      <c r="AJ578" s="401">
        <v>47933.333333333299</v>
      </c>
      <c r="AK578" s="402">
        <v>47208</v>
      </c>
      <c r="AL578" s="401"/>
      <c r="AM578" s="402"/>
      <c r="AN578" s="401"/>
      <c r="AO578" s="402"/>
      <c r="AP578" s="53"/>
      <c r="AQ578" s="53"/>
      <c r="AR578" s="53"/>
    </row>
    <row r="579" spans="1:44" customFormat="1" ht="12.6" hidden="1" customHeight="1">
      <c r="A579" s="259" t="s">
        <v>507</v>
      </c>
      <c r="B579" s="260" t="s">
        <v>829</v>
      </c>
      <c r="C579" s="464"/>
      <c r="D579" s="464">
        <v>229300</v>
      </c>
      <c r="E579" s="496">
        <v>15</v>
      </c>
      <c r="F579" s="401">
        <v>8574</v>
      </c>
      <c r="G579" s="402">
        <v>9054</v>
      </c>
      <c r="H579" s="401">
        <v>34596</v>
      </c>
      <c r="I579" s="402">
        <v>36248</v>
      </c>
      <c r="J579" s="401">
        <v>10373.333333333299</v>
      </c>
      <c r="K579" s="402">
        <v>10909.333333333299</v>
      </c>
      <c r="L579" s="401">
        <v>29165.333333333299</v>
      </c>
      <c r="M579" s="402">
        <v>29605.333333333299</v>
      </c>
      <c r="N579" s="401"/>
      <c r="O579" s="402"/>
      <c r="P579" s="413"/>
      <c r="Q579" s="402"/>
      <c r="R579" s="401">
        <v>32992</v>
      </c>
      <c r="S579" s="402">
        <v>33737.333333333299</v>
      </c>
      <c r="T579" s="401">
        <v>43996</v>
      </c>
      <c r="U579" s="402">
        <v>43765.333333333299</v>
      </c>
      <c r="V579" s="401">
        <v>52044</v>
      </c>
      <c r="W579" s="402">
        <v>54764</v>
      </c>
      <c r="X579" s="401">
        <v>74232</v>
      </c>
      <c r="Y579" s="402">
        <v>79169.333333333299</v>
      </c>
      <c r="Z579" s="401"/>
      <c r="AA579" s="402"/>
      <c r="AB579" s="401"/>
      <c r="AC579" s="402"/>
      <c r="AD579" s="401"/>
      <c r="AE579" s="402"/>
      <c r="AF579" s="401"/>
      <c r="AG579" s="402"/>
      <c r="AH579" s="401"/>
      <c r="AI579" s="402"/>
      <c r="AJ579" s="401"/>
      <c r="AK579" s="402"/>
      <c r="AL579" s="401"/>
      <c r="AM579" s="402"/>
      <c r="AN579" s="401"/>
      <c r="AO579" s="402"/>
      <c r="AP579" s="53"/>
      <c r="AQ579" s="53"/>
      <c r="AR579" s="53"/>
    </row>
    <row r="580" spans="1:44" customFormat="1" ht="12.6" hidden="1" customHeight="1">
      <c r="A580" s="259" t="s">
        <v>507</v>
      </c>
      <c r="B580" s="260" t="s">
        <v>830</v>
      </c>
      <c r="C580" s="464"/>
      <c r="D580" s="464">
        <v>228644</v>
      </c>
      <c r="E580" s="496">
        <v>15</v>
      </c>
      <c r="F580" s="401">
        <v>9384</v>
      </c>
      <c r="G580" s="402">
        <v>9792</v>
      </c>
      <c r="H580" s="401">
        <v>25842</v>
      </c>
      <c r="I580" s="402">
        <v>25812</v>
      </c>
      <c r="J580" s="401">
        <v>11265.333333333299</v>
      </c>
      <c r="K580" s="402">
        <v>11265.333333333299</v>
      </c>
      <c r="L580" s="401">
        <v>24229.333333333299</v>
      </c>
      <c r="M580" s="402">
        <v>24205.333333333299</v>
      </c>
      <c r="N580" s="401"/>
      <c r="O580" s="402"/>
      <c r="P580" s="413"/>
      <c r="Q580" s="402"/>
      <c r="R580" s="401">
        <v>27596</v>
      </c>
      <c r="S580" s="402">
        <v>28476</v>
      </c>
      <c r="T580" s="401">
        <v>49817.333333333299</v>
      </c>
      <c r="U580" s="402">
        <v>51385.333333333299</v>
      </c>
      <c r="V580" s="401">
        <v>42208</v>
      </c>
      <c r="W580" s="402">
        <v>42208</v>
      </c>
      <c r="X580" s="401">
        <v>56608</v>
      </c>
      <c r="Y580" s="402">
        <v>56608</v>
      </c>
      <c r="Z580" s="401"/>
      <c r="AA580" s="402"/>
      <c r="AB580" s="401"/>
      <c r="AC580" s="402"/>
      <c r="AD580" s="401"/>
      <c r="AE580" s="402"/>
      <c r="AF580" s="401"/>
      <c r="AG580" s="402"/>
      <c r="AH580" s="401"/>
      <c r="AI580" s="402"/>
      <c r="AJ580" s="401"/>
      <c r="AK580" s="402"/>
      <c r="AL580" s="401"/>
      <c r="AM580" s="402"/>
      <c r="AN580" s="401"/>
      <c r="AO580" s="402"/>
      <c r="AP580" s="53"/>
      <c r="AQ580" s="53"/>
      <c r="AR580" s="53"/>
    </row>
    <row r="581" spans="1:44" customFormat="1" ht="12.6" hidden="1" customHeight="1">
      <c r="A581" s="259" t="s">
        <v>507</v>
      </c>
      <c r="B581" s="260" t="s">
        <v>831</v>
      </c>
      <c r="C581" s="464"/>
      <c r="D581" s="464">
        <v>416801</v>
      </c>
      <c r="E581" s="496">
        <v>15</v>
      </c>
      <c r="F581" s="401">
        <v>4024</v>
      </c>
      <c r="G581" s="402">
        <v>4222</v>
      </c>
      <c r="H581" s="401">
        <v>18584</v>
      </c>
      <c r="I581" s="402">
        <v>18878</v>
      </c>
      <c r="J581" s="401">
        <v>7725.3333333333303</v>
      </c>
      <c r="K581" s="402">
        <v>8077.3333333333303</v>
      </c>
      <c r="L581" s="401">
        <v>22904</v>
      </c>
      <c r="M581" s="402">
        <v>23720</v>
      </c>
      <c r="N581" s="401"/>
      <c r="O581" s="402"/>
      <c r="P581" s="413"/>
      <c r="Q581" s="402"/>
      <c r="R581" s="401">
        <v>24813.66</v>
      </c>
      <c r="S581" s="402">
        <v>25836.33</v>
      </c>
      <c r="T581" s="401">
        <v>33066.660000000003</v>
      </c>
      <c r="U581" s="402">
        <v>33357.33</v>
      </c>
      <c r="V581" s="401"/>
      <c r="W581" s="402"/>
      <c r="X581" s="401"/>
      <c r="Y581" s="402"/>
      <c r="Z581" s="401"/>
      <c r="AA581" s="402"/>
      <c r="AB581" s="401"/>
      <c r="AC581" s="402"/>
      <c r="AD581" s="401"/>
      <c r="AE581" s="402"/>
      <c r="AF581" s="401"/>
      <c r="AG581" s="402"/>
      <c r="AH581" s="401"/>
      <c r="AI581" s="402"/>
      <c r="AJ581" s="401"/>
      <c r="AK581" s="402"/>
      <c r="AL581" s="401"/>
      <c r="AM581" s="402"/>
      <c r="AN581" s="401"/>
      <c r="AO581" s="402"/>
      <c r="AP581" s="53"/>
      <c r="AQ581" s="53"/>
      <c r="AR581" s="53"/>
    </row>
    <row r="582" spans="1:44" customFormat="1" ht="12.75" hidden="1" customHeight="1">
      <c r="A582" s="259" t="s">
        <v>507</v>
      </c>
      <c r="B582" s="260" t="s">
        <v>832</v>
      </c>
      <c r="C582" s="464"/>
      <c r="D582" s="464">
        <v>228653</v>
      </c>
      <c r="E582" s="496">
        <v>15</v>
      </c>
      <c r="F582" s="401">
        <v>9258</v>
      </c>
      <c r="G582" s="402">
        <v>9630</v>
      </c>
      <c r="H582" s="401">
        <v>21017</v>
      </c>
      <c r="I582" s="402">
        <v>27344</v>
      </c>
      <c r="J582" s="401">
        <v>7106.6666666666697</v>
      </c>
      <c r="K582" s="402">
        <v>13173.333333333299</v>
      </c>
      <c r="L582" s="401">
        <v>17066.666666666701</v>
      </c>
      <c r="M582" s="402">
        <v>27742.666666666701</v>
      </c>
      <c r="N582" s="401"/>
      <c r="O582" s="402"/>
      <c r="P582" s="413"/>
      <c r="Q582" s="402"/>
      <c r="R582" s="401">
        <v>30357.333333333299</v>
      </c>
      <c r="S582" s="402">
        <v>31957.333333333299</v>
      </c>
      <c r="T582" s="406">
        <v>8769.3333333299997</v>
      </c>
      <c r="U582" s="402">
        <v>51702.666666666701</v>
      </c>
      <c r="V582" s="401"/>
      <c r="W582" s="402"/>
      <c r="X582" s="401"/>
      <c r="Y582" s="402"/>
      <c r="Z582" s="401"/>
      <c r="AA582" s="402"/>
      <c r="AB582" s="401"/>
      <c r="AC582" s="402"/>
      <c r="AD582" s="401"/>
      <c r="AE582" s="402"/>
      <c r="AF582" s="401"/>
      <c r="AG582" s="402"/>
      <c r="AH582" s="401"/>
      <c r="AI582" s="402"/>
      <c r="AJ582" s="401"/>
      <c r="AK582" s="402"/>
      <c r="AL582" s="401"/>
      <c r="AM582" s="402"/>
      <c r="AN582" s="401"/>
      <c r="AO582" s="402"/>
      <c r="AP582" s="53"/>
      <c r="AQ582" s="53"/>
      <c r="AR582" s="53"/>
    </row>
    <row r="583" spans="1:44" customFormat="1" ht="12.6" hidden="1" customHeight="1">
      <c r="A583" s="259" t="s">
        <v>507</v>
      </c>
      <c r="B583" s="260" t="s">
        <v>833</v>
      </c>
      <c r="C583" s="464"/>
      <c r="D583" s="464">
        <v>228635</v>
      </c>
      <c r="E583" s="496">
        <v>15</v>
      </c>
      <c r="F583" s="401">
        <v>0</v>
      </c>
      <c r="G583" s="402">
        <v>0</v>
      </c>
      <c r="H583" s="401">
        <v>0</v>
      </c>
      <c r="I583" s="402">
        <v>0</v>
      </c>
      <c r="J583" s="401">
        <v>9178.6666666666697</v>
      </c>
      <c r="K583" s="402">
        <v>9398.6666666666697</v>
      </c>
      <c r="L583" s="401">
        <v>19138.666666666701</v>
      </c>
      <c r="M583" s="402">
        <v>19358.666666666701</v>
      </c>
      <c r="N583" s="401"/>
      <c r="O583" s="402"/>
      <c r="P583" s="413"/>
      <c r="Q583" s="402"/>
      <c r="R583" s="401">
        <v>29465.333333333299</v>
      </c>
      <c r="S583" s="402">
        <v>30201.333333333299</v>
      </c>
      <c r="T583" s="401">
        <v>46932</v>
      </c>
      <c r="U583" s="402">
        <v>47668</v>
      </c>
      <c r="V583" s="401"/>
      <c r="W583" s="402"/>
      <c r="X583" s="401"/>
      <c r="Y583" s="402"/>
      <c r="Z583" s="401"/>
      <c r="AA583" s="402"/>
      <c r="AB583" s="401"/>
      <c r="AC583" s="402"/>
      <c r="AD583" s="401"/>
      <c r="AE583" s="402"/>
      <c r="AF583" s="401"/>
      <c r="AG583" s="402"/>
      <c r="AH583" s="401"/>
      <c r="AI583" s="402"/>
      <c r="AJ583" s="401"/>
      <c r="AK583" s="402"/>
      <c r="AL583" s="401"/>
      <c r="AM583" s="402"/>
      <c r="AN583" s="401"/>
      <c r="AO583" s="402"/>
      <c r="AP583" s="53"/>
      <c r="AQ583" s="53"/>
      <c r="AR583" s="53"/>
    </row>
    <row r="584" spans="1:44" customFormat="1" ht="12.6" hidden="1" customHeight="1">
      <c r="A584" s="259" t="s">
        <v>507</v>
      </c>
      <c r="B584" s="280" t="s">
        <v>834</v>
      </c>
      <c r="C584" s="464"/>
      <c r="D584" s="464">
        <v>485537</v>
      </c>
      <c r="E584" s="496">
        <v>15</v>
      </c>
      <c r="F584" s="401">
        <v>0</v>
      </c>
      <c r="G584" s="402">
        <v>0</v>
      </c>
      <c r="H584" s="401">
        <v>0</v>
      </c>
      <c r="I584" s="402">
        <v>0</v>
      </c>
      <c r="J584" s="401">
        <v>10101.333333333299</v>
      </c>
      <c r="K584" s="402">
        <v>10245.333333333299</v>
      </c>
      <c r="L584" s="401">
        <v>28341.333333333299</v>
      </c>
      <c r="M584" s="402">
        <v>28461.333333333299</v>
      </c>
      <c r="N584" s="401"/>
      <c r="O584" s="402"/>
      <c r="P584" s="413"/>
      <c r="Q584" s="402"/>
      <c r="R584" s="401">
        <v>6562.56</v>
      </c>
      <c r="S584" s="402">
        <v>25836.33</v>
      </c>
      <c r="T584" s="401">
        <v>24802.560000000001</v>
      </c>
      <c r="U584" s="402">
        <v>33357.33</v>
      </c>
      <c r="V584" s="401"/>
      <c r="W584" s="402"/>
      <c r="X584" s="401"/>
      <c r="Y584" s="402"/>
      <c r="Z584" s="401"/>
      <c r="AA584" s="402"/>
      <c r="AB584" s="401"/>
      <c r="AC584" s="402"/>
      <c r="AD584" s="401"/>
      <c r="AE584" s="402"/>
      <c r="AF584" s="401"/>
      <c r="AG584" s="402"/>
      <c r="AH584" s="401"/>
      <c r="AI584" s="402"/>
      <c r="AJ584" s="401"/>
      <c r="AK584" s="402"/>
      <c r="AL584" s="401"/>
      <c r="AM584" s="402"/>
      <c r="AN584" s="401"/>
      <c r="AO584" s="402"/>
      <c r="AP584" s="53"/>
      <c r="AQ584" s="53"/>
      <c r="AR584" s="53"/>
    </row>
    <row r="585" spans="1:44" hidden="1">
      <c r="A585" s="259" t="s">
        <v>507</v>
      </c>
      <c r="B585" s="280" t="s">
        <v>902</v>
      </c>
      <c r="C585" s="504" t="s">
        <v>992</v>
      </c>
      <c r="D585" s="464">
        <v>224615</v>
      </c>
      <c r="E585" s="496">
        <v>8</v>
      </c>
      <c r="F585" s="401"/>
      <c r="G585" s="402">
        <v>2370</v>
      </c>
      <c r="H585" s="401"/>
      <c r="I585" s="402">
        <v>6000</v>
      </c>
      <c r="J585" s="401"/>
      <c r="K585" s="402">
        <v>0</v>
      </c>
      <c r="L585" s="401"/>
      <c r="M585" s="402">
        <v>0</v>
      </c>
      <c r="N585" s="401"/>
      <c r="O585" s="402"/>
      <c r="P585" s="413"/>
      <c r="Q585" s="402"/>
      <c r="R585" s="401"/>
      <c r="S585" s="402"/>
      <c r="T585" s="401"/>
      <c r="U585" s="402"/>
      <c r="V585" s="401"/>
      <c r="W585" s="402"/>
      <c r="X585" s="401"/>
      <c r="Y585" s="402"/>
      <c r="Z585" s="401"/>
      <c r="AA585" s="402"/>
      <c r="AB585" s="401"/>
      <c r="AC585" s="402"/>
      <c r="AD585" s="401"/>
      <c r="AE585" s="402"/>
      <c r="AF585" s="401"/>
      <c r="AG585" s="402"/>
      <c r="AH585" s="401"/>
      <c r="AI585" s="402"/>
      <c r="AJ585" s="401"/>
      <c r="AK585" s="402"/>
      <c r="AL585" s="401"/>
      <c r="AM585" s="402"/>
      <c r="AN585" s="401"/>
      <c r="AO585" s="402"/>
      <c r="AP585" s="53"/>
      <c r="AQ585" s="53"/>
      <c r="AR585" s="53"/>
    </row>
    <row r="586" spans="1:44" s="179" customFormat="1" ht="14.45" customHeight="1">
      <c r="A586" s="229" t="s">
        <v>445</v>
      </c>
      <c r="B586" s="230" t="s">
        <v>446</v>
      </c>
      <c r="C586" s="505"/>
      <c r="D586" s="445">
        <v>232186</v>
      </c>
      <c r="E586" s="506">
        <v>1</v>
      </c>
      <c r="F586" s="390">
        <v>13014</v>
      </c>
      <c r="G586" s="391">
        <v>13119</v>
      </c>
      <c r="H586" s="390">
        <v>36474</v>
      </c>
      <c r="I586" s="391">
        <v>36579</v>
      </c>
      <c r="J586" s="390">
        <v>16097</v>
      </c>
      <c r="K586" s="391">
        <v>16644</v>
      </c>
      <c r="L586" s="390">
        <v>37410</v>
      </c>
      <c r="M586" s="391">
        <v>37956</v>
      </c>
      <c r="N586" s="390">
        <v>25354</v>
      </c>
      <c r="O586" s="391">
        <v>25875</v>
      </c>
      <c r="P586" s="390">
        <v>40740</v>
      </c>
      <c r="Q586" s="391">
        <v>41261</v>
      </c>
      <c r="R586" s="390"/>
      <c r="S586" s="391"/>
      <c r="T586" s="390"/>
      <c r="U586" s="391"/>
      <c r="V586" s="390"/>
      <c r="W586" s="391"/>
      <c r="X586" s="390"/>
      <c r="Y586" s="391"/>
      <c r="Z586" s="390"/>
      <c r="AA586" s="391"/>
      <c r="AB586" s="390"/>
      <c r="AC586" s="391"/>
      <c r="AD586" s="390"/>
      <c r="AE586" s="391"/>
      <c r="AF586" s="390"/>
      <c r="AG586" s="391"/>
      <c r="AH586" s="390"/>
      <c r="AI586" s="391"/>
      <c r="AJ586" s="390"/>
      <c r="AK586" s="391"/>
      <c r="AL586" s="390"/>
      <c r="AM586" s="391"/>
      <c r="AN586" s="390"/>
      <c r="AO586" s="391"/>
    </row>
    <row r="587" spans="1:44" s="179" customFormat="1" ht="14.45" customHeight="1">
      <c r="A587" s="229" t="s">
        <v>445</v>
      </c>
      <c r="B587" s="230" t="s">
        <v>447</v>
      </c>
      <c r="C587" s="505"/>
      <c r="D587" s="445">
        <v>232982</v>
      </c>
      <c r="E587" s="506">
        <v>1</v>
      </c>
      <c r="F587" s="390">
        <v>11160</v>
      </c>
      <c r="G587" s="391">
        <v>11160</v>
      </c>
      <c r="H587" s="390">
        <v>31320</v>
      </c>
      <c r="I587" s="391">
        <v>31320</v>
      </c>
      <c r="J587" s="390">
        <v>13584</v>
      </c>
      <c r="K587" s="391">
        <v>13584</v>
      </c>
      <c r="L587" s="390">
        <v>33648</v>
      </c>
      <c r="M587" s="391">
        <v>33648</v>
      </c>
      <c r="N587" s="390"/>
      <c r="O587" s="391"/>
      <c r="P587" s="390"/>
      <c r="Q587" s="391"/>
      <c r="R587" s="390"/>
      <c r="S587" s="391"/>
      <c r="T587" s="390"/>
      <c r="U587" s="391"/>
      <c r="V587" s="390"/>
      <c r="W587" s="391"/>
      <c r="X587" s="390"/>
      <c r="Y587" s="391"/>
      <c r="Z587" s="390"/>
      <c r="AA587" s="391"/>
      <c r="AB587" s="390"/>
      <c r="AC587" s="391"/>
      <c r="AD587" s="390"/>
      <c r="AE587" s="391"/>
      <c r="AF587" s="390"/>
      <c r="AG587" s="391"/>
      <c r="AH587" s="390"/>
      <c r="AI587" s="391"/>
      <c r="AJ587" s="390"/>
      <c r="AK587" s="391"/>
      <c r="AL587" s="390"/>
      <c r="AM587" s="391"/>
      <c r="AN587" s="390"/>
      <c r="AO587" s="391"/>
    </row>
    <row r="588" spans="1:44" s="53" customFormat="1">
      <c r="A588" s="229" t="s">
        <v>445</v>
      </c>
      <c r="B588" s="230" t="s">
        <v>448</v>
      </c>
      <c r="C588" s="507"/>
      <c r="D588" s="445">
        <v>234076</v>
      </c>
      <c r="E588" s="506">
        <v>1</v>
      </c>
      <c r="F588" s="390">
        <v>17296</v>
      </c>
      <c r="G588" s="391">
        <v>17410</v>
      </c>
      <c r="H588" s="390">
        <v>51826</v>
      </c>
      <c r="I588" s="391">
        <v>51940</v>
      </c>
      <c r="J588" s="390">
        <v>21454</v>
      </c>
      <c r="K588" s="391">
        <v>22302</v>
      </c>
      <c r="L588" s="390">
        <v>34716</v>
      </c>
      <c r="M588" s="391">
        <v>36068</v>
      </c>
      <c r="N588" s="390">
        <v>65460</v>
      </c>
      <c r="O588" s="391">
        <v>66460</v>
      </c>
      <c r="P588" s="390">
        <v>68460</v>
      </c>
      <c r="Q588" s="391">
        <v>69460</v>
      </c>
      <c r="R588" s="390">
        <v>46936</v>
      </c>
      <c r="S588" s="391">
        <v>48365</v>
      </c>
      <c r="T588" s="390">
        <v>57742</v>
      </c>
      <c r="U588" s="391">
        <v>59475</v>
      </c>
      <c r="V588" s="390"/>
      <c r="W588" s="391"/>
      <c r="X588" s="390"/>
      <c r="Y588" s="391"/>
      <c r="Z588" s="390"/>
      <c r="AA588" s="391"/>
      <c r="AB588" s="390"/>
      <c r="AC588" s="391"/>
      <c r="AD588" s="390"/>
      <c r="AE588" s="391"/>
      <c r="AF588" s="390"/>
      <c r="AG588" s="391"/>
      <c r="AH588" s="390"/>
      <c r="AI588" s="391"/>
      <c r="AJ588" s="390"/>
      <c r="AK588" s="391"/>
      <c r="AL588" s="390"/>
      <c r="AM588" s="391"/>
      <c r="AN588" s="390"/>
      <c r="AO588" s="391"/>
    </row>
    <row r="589" spans="1:44" s="53" customFormat="1">
      <c r="A589" s="229" t="s">
        <v>445</v>
      </c>
      <c r="B589" s="230" t="s">
        <v>449</v>
      </c>
      <c r="C589" s="508"/>
      <c r="D589" s="445">
        <v>234030</v>
      </c>
      <c r="E589" s="506">
        <v>1</v>
      </c>
      <c r="F589" s="390">
        <v>14710</v>
      </c>
      <c r="G589" s="391">
        <v>15118</v>
      </c>
      <c r="H589" s="390">
        <v>36048</v>
      </c>
      <c r="I589" s="391">
        <v>36456</v>
      </c>
      <c r="J589" s="390">
        <v>15200</v>
      </c>
      <c r="K589" s="391">
        <v>15518</v>
      </c>
      <c r="L589" s="390">
        <v>29228</v>
      </c>
      <c r="M589" s="391">
        <v>29546</v>
      </c>
      <c r="N589" s="390"/>
      <c r="O589" s="391"/>
      <c r="P589" s="390"/>
      <c r="Q589" s="391"/>
      <c r="R589" s="390">
        <v>37322</v>
      </c>
      <c r="S589" s="391">
        <v>37640</v>
      </c>
      <c r="T589" s="390">
        <v>60838</v>
      </c>
      <c r="U589" s="391">
        <v>61156</v>
      </c>
      <c r="V589" s="390">
        <v>60215</v>
      </c>
      <c r="W589" s="391">
        <v>61010</v>
      </c>
      <c r="X589" s="390">
        <v>93884</v>
      </c>
      <c r="Y589" s="391">
        <v>94679</v>
      </c>
      <c r="Z589" s="390">
        <v>31866</v>
      </c>
      <c r="AA589" s="391">
        <v>31984</v>
      </c>
      <c r="AB589" s="390">
        <v>45194</v>
      </c>
      <c r="AC589" s="391">
        <v>45312</v>
      </c>
      <c r="AD589" s="390"/>
      <c r="AE589" s="391"/>
      <c r="AF589" s="390"/>
      <c r="AG589" s="391"/>
      <c r="AH589" s="390"/>
      <c r="AI589" s="391"/>
      <c r="AJ589" s="390"/>
      <c r="AK589" s="391"/>
      <c r="AL589" s="390"/>
      <c r="AM589" s="391"/>
      <c r="AN589" s="390"/>
      <c r="AO589" s="391"/>
    </row>
    <row r="590" spans="1:44" s="53" customFormat="1">
      <c r="A590" s="229" t="s">
        <v>445</v>
      </c>
      <c r="B590" s="230" t="s">
        <v>450</v>
      </c>
      <c r="C590" s="507"/>
      <c r="D590" s="445">
        <v>233921</v>
      </c>
      <c r="E590" s="506">
        <v>1</v>
      </c>
      <c r="F590" s="390">
        <v>13749</v>
      </c>
      <c r="G590" s="391">
        <v>14175</v>
      </c>
      <c r="H590" s="390">
        <v>32893</v>
      </c>
      <c r="I590" s="391">
        <v>33857</v>
      </c>
      <c r="J590" s="390">
        <v>16030</v>
      </c>
      <c r="K590" s="391">
        <v>16522</v>
      </c>
      <c r="L590" s="390">
        <v>30547</v>
      </c>
      <c r="M590" s="391">
        <v>31443</v>
      </c>
      <c r="N590" s="390"/>
      <c r="O590" s="391"/>
      <c r="P590" s="390"/>
      <c r="Q590" s="391"/>
      <c r="R590" s="390">
        <v>54420</v>
      </c>
      <c r="S590" s="391">
        <v>56025</v>
      </c>
      <c r="T590" s="393">
        <v>54420</v>
      </c>
      <c r="U590" s="391">
        <v>56025</v>
      </c>
      <c r="V590" s="390"/>
      <c r="W590" s="391"/>
      <c r="X590" s="390"/>
      <c r="Y590" s="391"/>
      <c r="Z590" s="390"/>
      <c r="AA590" s="391"/>
      <c r="AB590" s="390"/>
      <c r="AC590" s="391"/>
      <c r="AD590" s="390"/>
      <c r="AE590" s="391"/>
      <c r="AF590" s="390"/>
      <c r="AG590" s="391"/>
      <c r="AH590" s="390"/>
      <c r="AI590" s="391"/>
      <c r="AJ590" s="390"/>
      <c r="AK590" s="391"/>
      <c r="AL590" s="390">
        <v>25435</v>
      </c>
      <c r="AM590" s="391">
        <v>26086</v>
      </c>
      <c r="AN590" s="390">
        <v>54568</v>
      </c>
      <c r="AO590" s="391">
        <v>55687</v>
      </c>
    </row>
    <row r="591" spans="1:44" s="53" customFormat="1">
      <c r="A591" s="229" t="s">
        <v>445</v>
      </c>
      <c r="B591" s="230" t="s">
        <v>1044</v>
      </c>
      <c r="C591" s="507" t="s">
        <v>1045</v>
      </c>
      <c r="D591" s="445">
        <v>231624</v>
      </c>
      <c r="E591" s="506">
        <v>2</v>
      </c>
      <c r="F591" s="390">
        <v>23628</v>
      </c>
      <c r="G591" s="391">
        <v>23812</v>
      </c>
      <c r="H591" s="390">
        <v>46854</v>
      </c>
      <c r="I591" s="391">
        <v>47038</v>
      </c>
      <c r="J591" s="390">
        <v>16440</v>
      </c>
      <c r="K591" s="391">
        <v>16618</v>
      </c>
      <c r="L591" s="390">
        <v>34800</v>
      </c>
      <c r="M591" s="391">
        <v>34978</v>
      </c>
      <c r="N591" s="390">
        <v>35000</v>
      </c>
      <c r="O591" s="391">
        <v>36199</v>
      </c>
      <c r="P591" s="390">
        <v>44000</v>
      </c>
      <c r="Q591" s="391">
        <v>45520</v>
      </c>
      <c r="R591" s="390"/>
      <c r="S591" s="391"/>
      <c r="T591" s="390"/>
      <c r="U591" s="391"/>
      <c r="V591" s="390"/>
      <c r="W591" s="391"/>
      <c r="X591" s="390"/>
      <c r="Y591" s="391"/>
      <c r="Z591" s="390"/>
      <c r="AA591" s="391"/>
      <c r="AB591" s="390"/>
      <c r="AC591" s="391"/>
      <c r="AD591" s="390"/>
      <c r="AE591" s="391"/>
      <c r="AF591" s="390"/>
      <c r="AG591" s="391"/>
      <c r="AH591" s="390"/>
      <c r="AI591" s="391"/>
      <c r="AJ591" s="390"/>
      <c r="AK591" s="391"/>
      <c r="AL591" s="390"/>
      <c r="AM591" s="391"/>
      <c r="AN591" s="390"/>
      <c r="AO591" s="391"/>
    </row>
    <row r="592" spans="1:44" s="179" customFormat="1" ht="14.45" customHeight="1">
      <c r="A592" s="229" t="s">
        <v>445</v>
      </c>
      <c r="B592" s="230" t="s">
        <v>452</v>
      </c>
      <c r="C592" s="509" t="s">
        <v>1018</v>
      </c>
      <c r="D592" s="445">
        <v>232423</v>
      </c>
      <c r="E592" s="506">
        <v>3</v>
      </c>
      <c r="F592" s="390">
        <v>12330</v>
      </c>
      <c r="G592" s="391">
        <v>12638</v>
      </c>
      <c r="H592" s="390">
        <v>29230</v>
      </c>
      <c r="I592" s="391">
        <v>29564</v>
      </c>
      <c r="J592" s="390">
        <v>11976</v>
      </c>
      <c r="K592" s="391">
        <v>12312</v>
      </c>
      <c r="L592" s="390">
        <v>29544</v>
      </c>
      <c r="M592" s="391">
        <v>29544</v>
      </c>
      <c r="N592" s="390"/>
      <c r="O592" s="391"/>
      <c r="P592" s="390"/>
      <c r="Q592" s="391"/>
      <c r="R592" s="390"/>
      <c r="S592" s="391"/>
      <c r="T592" s="390"/>
      <c r="U592" s="391"/>
      <c r="V592" s="390"/>
      <c r="W592" s="391"/>
      <c r="X592" s="390"/>
      <c r="Y592" s="391"/>
      <c r="Z592" s="390"/>
      <c r="AA592" s="391"/>
      <c r="AB592" s="390"/>
      <c r="AC592" s="391"/>
      <c r="AD592" s="390"/>
      <c r="AE592" s="391"/>
      <c r="AF592" s="390"/>
      <c r="AG592" s="391"/>
      <c r="AH592" s="390"/>
      <c r="AI592" s="391"/>
      <c r="AJ592" s="390"/>
      <c r="AK592" s="391"/>
      <c r="AL592" s="390"/>
      <c r="AM592" s="391"/>
      <c r="AN592" s="390"/>
      <c r="AO592" s="391"/>
    </row>
    <row r="593" spans="1:41" s="179" customFormat="1" ht="14.45" customHeight="1">
      <c r="A593" s="229" t="s">
        <v>445</v>
      </c>
      <c r="B593" s="230" t="s">
        <v>453</v>
      </c>
      <c r="C593" s="510"/>
      <c r="D593" s="469">
        <v>232566</v>
      </c>
      <c r="E593" s="511">
        <v>5</v>
      </c>
      <c r="F593" s="390">
        <v>13910</v>
      </c>
      <c r="G593" s="391">
        <v>14090</v>
      </c>
      <c r="H593" s="390">
        <v>30350</v>
      </c>
      <c r="I593" s="391">
        <v>26510</v>
      </c>
      <c r="J593" s="390">
        <v>12072</v>
      </c>
      <c r="K593" s="391">
        <v>12168</v>
      </c>
      <c r="L593" s="390">
        <v>27792</v>
      </c>
      <c r="M593" s="391">
        <v>27888</v>
      </c>
      <c r="N593" s="390"/>
      <c r="O593" s="391"/>
      <c r="P593" s="390"/>
      <c r="Q593" s="391"/>
      <c r="R593" s="390"/>
      <c r="S593" s="391"/>
      <c r="T593" s="390"/>
      <c r="U593" s="391"/>
      <c r="V593" s="390"/>
      <c r="W593" s="391"/>
      <c r="X593" s="390"/>
      <c r="Y593" s="391"/>
      <c r="Z593" s="390"/>
      <c r="AA593" s="391"/>
      <c r="AB593" s="390"/>
      <c r="AC593" s="391"/>
      <c r="AD593" s="390"/>
      <c r="AE593" s="391"/>
      <c r="AF593" s="390"/>
      <c r="AG593" s="391"/>
      <c r="AH593" s="390"/>
      <c r="AI593" s="391"/>
      <c r="AJ593" s="390"/>
      <c r="AK593" s="391"/>
      <c r="AL593" s="390"/>
      <c r="AM593" s="391"/>
      <c r="AN593" s="390"/>
      <c r="AO593" s="391"/>
    </row>
    <row r="594" spans="1:41" s="179" customFormat="1" ht="14.45" customHeight="1">
      <c r="A594" s="229" t="s">
        <v>445</v>
      </c>
      <c r="B594" s="230" t="s">
        <v>454</v>
      </c>
      <c r="C594" s="510"/>
      <c r="D594" s="469">
        <v>232937</v>
      </c>
      <c r="E594" s="511">
        <v>4</v>
      </c>
      <c r="F594" s="390">
        <v>9622</v>
      </c>
      <c r="G594" s="391">
        <v>9622</v>
      </c>
      <c r="H594" s="390">
        <v>21550</v>
      </c>
      <c r="I594" s="391">
        <v>21550</v>
      </c>
      <c r="J594" s="390">
        <v>12690</v>
      </c>
      <c r="K594" s="391">
        <v>12690</v>
      </c>
      <c r="L594" s="390">
        <v>25502</v>
      </c>
      <c r="M594" s="391">
        <v>25502</v>
      </c>
      <c r="N594" s="390"/>
      <c r="O594" s="391"/>
      <c r="P594" s="390"/>
      <c r="Q594" s="391"/>
      <c r="R594" s="390"/>
      <c r="S594" s="391"/>
      <c r="T594" s="390"/>
      <c r="U594" s="391"/>
      <c r="V594" s="390"/>
      <c r="W594" s="391"/>
      <c r="X594" s="390"/>
      <c r="Y594" s="391"/>
      <c r="Z594" s="390"/>
      <c r="AA594" s="391"/>
      <c r="AB594" s="390"/>
      <c r="AC594" s="391"/>
      <c r="AD594" s="390"/>
      <c r="AE594" s="391"/>
      <c r="AF594" s="390"/>
      <c r="AG594" s="391"/>
      <c r="AH594" s="390"/>
      <c r="AI594" s="391"/>
      <c r="AJ594" s="390"/>
      <c r="AK594" s="391"/>
      <c r="AL594" s="390"/>
      <c r="AM594" s="391"/>
      <c r="AN594" s="390"/>
      <c r="AO594" s="391"/>
    </row>
    <row r="595" spans="1:41" s="179" customFormat="1" ht="14.45" customHeight="1">
      <c r="A595" s="229" t="s">
        <v>445</v>
      </c>
      <c r="B595" s="230" t="s">
        <v>455</v>
      </c>
      <c r="C595" s="505"/>
      <c r="D595" s="445">
        <v>233277</v>
      </c>
      <c r="E595" s="506">
        <v>3</v>
      </c>
      <c r="F595" s="390">
        <v>11416</v>
      </c>
      <c r="G595" s="391">
        <v>11542</v>
      </c>
      <c r="H595" s="390">
        <v>23498</v>
      </c>
      <c r="I595" s="391">
        <v>23624</v>
      </c>
      <c r="J595" s="390">
        <v>12409</v>
      </c>
      <c r="K595" s="391">
        <v>12535</v>
      </c>
      <c r="L595" s="390">
        <v>21382</v>
      </c>
      <c r="M595" s="391">
        <v>21508</v>
      </c>
      <c r="N595" s="390"/>
      <c r="O595" s="391"/>
      <c r="P595" s="390"/>
      <c r="Q595" s="391"/>
      <c r="R595" s="390"/>
      <c r="S595" s="391"/>
      <c r="T595" s="390"/>
      <c r="U595" s="391"/>
      <c r="V595" s="390"/>
      <c r="W595" s="391"/>
      <c r="X595" s="390"/>
      <c r="Y595" s="391"/>
      <c r="Z595" s="390"/>
      <c r="AA595" s="391"/>
      <c r="AB595" s="390"/>
      <c r="AC595" s="391"/>
      <c r="AD595" s="390"/>
      <c r="AE595" s="391"/>
      <c r="AF595" s="390"/>
      <c r="AG595" s="391"/>
      <c r="AH595" s="390"/>
      <c r="AI595" s="391"/>
      <c r="AJ595" s="390"/>
      <c r="AK595" s="391"/>
      <c r="AL595" s="390"/>
      <c r="AM595" s="391"/>
      <c r="AN595" s="390"/>
      <c r="AO595" s="391"/>
    </row>
    <row r="596" spans="1:41" s="179" customFormat="1" ht="14.45" customHeight="1">
      <c r="A596" s="229" t="s">
        <v>445</v>
      </c>
      <c r="B596" s="230" t="s">
        <v>456</v>
      </c>
      <c r="C596" s="510"/>
      <c r="D596" s="469">
        <v>232681</v>
      </c>
      <c r="E596" s="511">
        <v>5</v>
      </c>
      <c r="F596" s="390">
        <v>13574</v>
      </c>
      <c r="G596" s="391">
        <v>13830</v>
      </c>
      <c r="H596" s="390">
        <v>30000</v>
      </c>
      <c r="I596" s="391">
        <v>30256</v>
      </c>
      <c r="J596" s="390">
        <v>11250</v>
      </c>
      <c r="K596" s="391">
        <v>11418</v>
      </c>
      <c r="L596" s="390">
        <v>20970</v>
      </c>
      <c r="M596" s="391">
        <v>21138</v>
      </c>
      <c r="N596" s="390"/>
      <c r="O596" s="391"/>
      <c r="P596" s="390"/>
      <c r="Q596" s="391"/>
      <c r="R596" s="390"/>
      <c r="S596" s="391"/>
      <c r="T596" s="390"/>
      <c r="U596" s="391"/>
      <c r="V596" s="390"/>
      <c r="W596" s="391"/>
      <c r="X596" s="390"/>
      <c r="Y596" s="391"/>
      <c r="Z596" s="390"/>
      <c r="AA596" s="391"/>
      <c r="AB596" s="390"/>
      <c r="AC596" s="391"/>
      <c r="AD596" s="390"/>
      <c r="AE596" s="391"/>
      <c r="AF596" s="390"/>
      <c r="AG596" s="391"/>
      <c r="AH596" s="390"/>
      <c r="AI596" s="391"/>
      <c r="AJ596" s="390"/>
      <c r="AK596" s="391"/>
      <c r="AL596" s="390"/>
      <c r="AM596" s="391"/>
      <c r="AN596" s="390"/>
      <c r="AO596" s="391"/>
    </row>
    <row r="597" spans="1:41" s="179" customFormat="1" ht="14.45" customHeight="1">
      <c r="A597" s="229" t="s">
        <v>445</v>
      </c>
      <c r="B597" s="230" t="s">
        <v>457</v>
      </c>
      <c r="C597" s="505"/>
      <c r="D597" s="445">
        <v>234155</v>
      </c>
      <c r="E597" s="506">
        <v>3</v>
      </c>
      <c r="F597" s="390">
        <v>9154</v>
      </c>
      <c r="G597" s="391">
        <v>9154</v>
      </c>
      <c r="H597" s="390">
        <v>20909</v>
      </c>
      <c r="I597" s="391">
        <v>20909</v>
      </c>
      <c r="J597" s="390">
        <v>11989</v>
      </c>
      <c r="K597" s="391">
        <v>11989</v>
      </c>
      <c r="L597" s="390">
        <v>22994</v>
      </c>
      <c r="M597" s="391">
        <v>22994</v>
      </c>
      <c r="N597" s="390"/>
      <c r="O597" s="391"/>
      <c r="P597" s="390"/>
      <c r="Q597" s="391"/>
      <c r="R597" s="390"/>
      <c r="S597" s="391"/>
      <c r="T597" s="390"/>
      <c r="U597" s="391"/>
      <c r="V597" s="390"/>
      <c r="W597" s="391"/>
      <c r="X597" s="390"/>
      <c r="Y597" s="391"/>
      <c r="Z597" s="390"/>
      <c r="AA597" s="391"/>
      <c r="AB597" s="390"/>
      <c r="AC597" s="391"/>
      <c r="AD597" s="390"/>
      <c r="AE597" s="391"/>
      <c r="AF597" s="390"/>
      <c r="AG597" s="391"/>
      <c r="AH597" s="390"/>
      <c r="AI597" s="391"/>
      <c r="AJ597" s="390"/>
      <c r="AK597" s="391"/>
      <c r="AL597" s="390"/>
      <c r="AM597" s="391"/>
      <c r="AN597" s="390"/>
      <c r="AO597" s="391"/>
    </row>
    <row r="598" spans="1:41" s="179" customFormat="1" ht="14.45" customHeight="1">
      <c r="A598" s="229" t="s">
        <v>445</v>
      </c>
      <c r="B598" s="230" t="s">
        <v>458</v>
      </c>
      <c r="C598" s="505"/>
      <c r="D598" s="445">
        <v>231712</v>
      </c>
      <c r="E598" s="506">
        <v>5</v>
      </c>
      <c r="F598" s="390">
        <v>14924</v>
      </c>
      <c r="G598" s="391">
        <v>14924</v>
      </c>
      <c r="H598" s="390">
        <v>27790</v>
      </c>
      <c r="I598" s="391">
        <v>27790</v>
      </c>
      <c r="J598" s="390"/>
      <c r="K598" s="391"/>
      <c r="L598" s="390"/>
      <c r="M598" s="391"/>
      <c r="N598" s="390"/>
      <c r="O598" s="391"/>
      <c r="P598" s="390"/>
      <c r="Q598" s="391"/>
      <c r="R598" s="390"/>
      <c r="S598" s="391"/>
      <c r="T598" s="390"/>
      <c r="U598" s="391"/>
      <c r="V598" s="390"/>
      <c r="W598" s="391"/>
      <c r="X598" s="390"/>
      <c r="Y598" s="391"/>
      <c r="Z598" s="390"/>
      <c r="AA598" s="391"/>
      <c r="AB598" s="390"/>
      <c r="AC598" s="391"/>
      <c r="AD598" s="390"/>
      <c r="AE598" s="391"/>
      <c r="AF598" s="390"/>
      <c r="AG598" s="391"/>
      <c r="AH598" s="390"/>
      <c r="AI598" s="391"/>
      <c r="AJ598" s="390"/>
      <c r="AK598" s="391"/>
      <c r="AL598" s="390"/>
      <c r="AM598" s="391"/>
      <c r="AN598" s="390"/>
      <c r="AO598" s="391"/>
    </row>
    <row r="599" spans="1:41" s="179" customFormat="1" ht="14.45" customHeight="1">
      <c r="A599" s="229" t="s">
        <v>445</v>
      </c>
      <c r="B599" s="230" t="s">
        <v>459</v>
      </c>
      <c r="C599" s="505"/>
      <c r="D599" s="445">
        <v>233897</v>
      </c>
      <c r="E599" s="506">
        <v>6</v>
      </c>
      <c r="F599" s="390">
        <v>10837</v>
      </c>
      <c r="G599" s="391">
        <v>11161</v>
      </c>
      <c r="H599" s="390">
        <v>29950</v>
      </c>
      <c r="I599" s="391">
        <v>30328</v>
      </c>
      <c r="J599" s="390"/>
      <c r="K599" s="391"/>
      <c r="L599" s="390"/>
      <c r="M599" s="391"/>
      <c r="N599" s="390"/>
      <c r="O599" s="391"/>
      <c r="P599" s="390"/>
      <c r="Q599" s="391"/>
      <c r="R599" s="390"/>
      <c r="S599" s="391"/>
      <c r="T599" s="390"/>
      <c r="U599" s="391"/>
      <c r="V599" s="390"/>
      <c r="W599" s="391"/>
      <c r="X599" s="390"/>
      <c r="Y599" s="391"/>
      <c r="Z599" s="390"/>
      <c r="AA599" s="391"/>
      <c r="AB599" s="390"/>
      <c r="AC599" s="391"/>
      <c r="AD599" s="390"/>
      <c r="AE599" s="391"/>
      <c r="AF599" s="390"/>
      <c r="AG599" s="391"/>
      <c r="AH599" s="390"/>
      <c r="AI599" s="391"/>
      <c r="AJ599" s="390"/>
      <c r="AK599" s="391"/>
      <c r="AL599" s="390"/>
      <c r="AM599" s="391"/>
      <c r="AN599" s="390"/>
      <c r="AO599" s="391"/>
    </row>
    <row r="600" spans="1:41" s="179" customFormat="1" ht="14.45" hidden="1" customHeight="1">
      <c r="A600" s="229" t="s">
        <v>445</v>
      </c>
      <c r="B600" s="230" t="s">
        <v>460</v>
      </c>
      <c r="C600" s="505" t="s">
        <v>1033</v>
      </c>
      <c r="D600" s="445">
        <v>232414</v>
      </c>
      <c r="E600" s="506">
        <v>8</v>
      </c>
      <c r="F600" s="390">
        <v>4620.1000000000004</v>
      </c>
      <c r="G600" s="391">
        <v>4620</v>
      </c>
      <c r="H600" s="390">
        <v>10623</v>
      </c>
      <c r="I600" s="391">
        <v>10622.9</v>
      </c>
      <c r="J600" s="390"/>
      <c r="K600" s="391"/>
      <c r="L600" s="390"/>
      <c r="M600" s="391"/>
      <c r="N600" s="390"/>
      <c r="O600" s="391"/>
      <c r="P600" s="390"/>
      <c r="Q600" s="391"/>
      <c r="R600" s="390"/>
      <c r="S600" s="391"/>
      <c r="T600" s="390"/>
      <c r="U600" s="391"/>
      <c r="V600" s="390"/>
      <c r="W600" s="391"/>
      <c r="X600" s="390"/>
      <c r="Y600" s="391"/>
      <c r="Z600" s="390"/>
      <c r="AA600" s="391"/>
      <c r="AB600" s="390"/>
      <c r="AC600" s="391"/>
      <c r="AD600" s="390"/>
      <c r="AE600" s="391"/>
      <c r="AF600" s="390"/>
      <c r="AG600" s="391"/>
      <c r="AH600" s="390"/>
      <c r="AI600" s="391"/>
      <c r="AJ600" s="390"/>
      <c r="AK600" s="391"/>
      <c r="AL600" s="390"/>
      <c r="AM600" s="391"/>
      <c r="AN600" s="390"/>
      <c r="AO600" s="391"/>
    </row>
    <row r="601" spans="1:41" s="179" customFormat="1" ht="14.45" hidden="1" customHeight="1">
      <c r="A601" s="229" t="s">
        <v>445</v>
      </c>
      <c r="B601" s="230" t="s">
        <v>1036</v>
      </c>
      <c r="C601" s="232" t="s">
        <v>1034</v>
      </c>
      <c r="D601" s="445">
        <v>232450</v>
      </c>
      <c r="E601" s="506">
        <v>8</v>
      </c>
      <c r="F601" s="390">
        <v>4620.1000000000004</v>
      </c>
      <c r="G601" s="391">
        <v>4620</v>
      </c>
      <c r="H601" s="390">
        <v>10623</v>
      </c>
      <c r="I601" s="391">
        <v>10622.9</v>
      </c>
      <c r="J601" s="390"/>
      <c r="K601" s="391"/>
      <c r="L601" s="390"/>
      <c r="M601" s="391"/>
      <c r="N601" s="390"/>
      <c r="O601" s="391"/>
      <c r="P601" s="390"/>
      <c r="Q601" s="391"/>
      <c r="R601" s="390"/>
      <c r="S601" s="391"/>
      <c r="T601" s="390"/>
      <c r="U601" s="391"/>
      <c r="V601" s="390"/>
      <c r="W601" s="391"/>
      <c r="X601" s="390"/>
      <c r="Y601" s="391"/>
      <c r="Z601" s="390"/>
      <c r="AA601" s="391"/>
      <c r="AB601" s="390"/>
      <c r="AC601" s="391"/>
      <c r="AD601" s="390"/>
      <c r="AE601" s="391"/>
      <c r="AF601" s="390"/>
      <c r="AG601" s="391"/>
      <c r="AH601" s="390"/>
      <c r="AI601" s="391"/>
      <c r="AJ601" s="390"/>
      <c r="AK601" s="391"/>
      <c r="AL601" s="390"/>
      <c r="AM601" s="391"/>
      <c r="AN601" s="390"/>
      <c r="AO601" s="391"/>
    </row>
    <row r="602" spans="1:41" s="179" customFormat="1" ht="14.45" hidden="1" customHeight="1">
      <c r="A602" s="229" t="s">
        <v>445</v>
      </c>
      <c r="B602" s="230" t="s">
        <v>462</v>
      </c>
      <c r="C602" s="505"/>
      <c r="D602" s="445">
        <v>232946</v>
      </c>
      <c r="E602" s="506">
        <v>8</v>
      </c>
      <c r="F602" s="390">
        <v>4620.1000000000004</v>
      </c>
      <c r="G602" s="391">
        <v>4620</v>
      </c>
      <c r="H602" s="390">
        <v>10623</v>
      </c>
      <c r="I602" s="391">
        <v>10622.9</v>
      </c>
      <c r="J602" s="390"/>
      <c r="K602" s="391"/>
      <c r="L602" s="390"/>
      <c r="M602" s="391"/>
      <c r="N602" s="390"/>
      <c r="O602" s="391"/>
      <c r="P602" s="390"/>
      <c r="Q602" s="391"/>
      <c r="R602" s="390"/>
      <c r="S602" s="391"/>
      <c r="T602" s="390"/>
      <c r="U602" s="391"/>
      <c r="V602" s="390"/>
      <c r="W602" s="391"/>
      <c r="X602" s="390"/>
      <c r="Y602" s="391"/>
      <c r="Z602" s="390"/>
      <c r="AA602" s="391"/>
      <c r="AB602" s="390"/>
      <c r="AC602" s="391"/>
      <c r="AD602" s="390"/>
      <c r="AE602" s="391"/>
      <c r="AF602" s="390"/>
      <c r="AG602" s="391"/>
      <c r="AH602" s="390"/>
      <c r="AI602" s="391"/>
      <c r="AJ602" s="390"/>
      <c r="AK602" s="391"/>
      <c r="AL602" s="390"/>
      <c r="AM602" s="391"/>
      <c r="AN602" s="390"/>
      <c r="AO602" s="391"/>
    </row>
    <row r="603" spans="1:41" s="179" customFormat="1" ht="14.45" hidden="1" customHeight="1">
      <c r="A603" s="229" t="s">
        <v>445</v>
      </c>
      <c r="B603" s="230" t="s">
        <v>463</v>
      </c>
      <c r="C603" s="512" t="s">
        <v>1046</v>
      </c>
      <c r="D603" s="445">
        <v>233754</v>
      </c>
      <c r="E603" s="514">
        <v>9</v>
      </c>
      <c r="F603" s="390">
        <v>4620.1000000000004</v>
      </c>
      <c r="G603" s="391">
        <v>4620</v>
      </c>
      <c r="H603" s="390">
        <v>10623</v>
      </c>
      <c r="I603" s="391">
        <v>10622.9</v>
      </c>
      <c r="J603" s="390"/>
      <c r="K603" s="391"/>
      <c r="L603" s="390"/>
      <c r="M603" s="391"/>
      <c r="N603" s="390"/>
      <c r="O603" s="391"/>
      <c r="P603" s="390"/>
      <c r="Q603" s="391"/>
      <c r="R603" s="390"/>
      <c r="S603" s="391"/>
      <c r="T603" s="390"/>
      <c r="U603" s="391"/>
      <c r="V603" s="390"/>
      <c r="W603" s="391"/>
      <c r="X603" s="390"/>
      <c r="Y603" s="391"/>
      <c r="Z603" s="390"/>
      <c r="AA603" s="391"/>
      <c r="AB603" s="390"/>
      <c r="AC603" s="391"/>
      <c r="AD603" s="390"/>
      <c r="AE603" s="391"/>
      <c r="AF603" s="390"/>
      <c r="AG603" s="391"/>
      <c r="AH603" s="390"/>
      <c r="AI603" s="391"/>
      <c r="AJ603" s="390"/>
      <c r="AK603" s="391"/>
      <c r="AL603" s="390"/>
      <c r="AM603" s="391"/>
      <c r="AN603" s="390"/>
      <c r="AO603" s="391"/>
    </row>
    <row r="604" spans="1:41" s="179" customFormat="1" ht="14.45" hidden="1" customHeight="1">
      <c r="A604" s="229" t="s">
        <v>445</v>
      </c>
      <c r="B604" s="230" t="s">
        <v>464</v>
      </c>
      <c r="C604" s="505"/>
      <c r="D604" s="445">
        <v>233772</v>
      </c>
      <c r="E604" s="506">
        <v>8</v>
      </c>
      <c r="F604" s="390">
        <v>4620.1000000000004</v>
      </c>
      <c r="G604" s="391">
        <v>4620</v>
      </c>
      <c r="H604" s="390">
        <v>10623</v>
      </c>
      <c r="I604" s="391">
        <v>10622.9</v>
      </c>
      <c r="J604" s="390"/>
      <c r="K604" s="391"/>
      <c r="L604" s="390"/>
      <c r="M604" s="391"/>
      <c r="N604" s="390"/>
      <c r="O604" s="391"/>
      <c r="P604" s="390"/>
      <c r="Q604" s="391"/>
      <c r="R604" s="390"/>
      <c r="S604" s="391"/>
      <c r="T604" s="390"/>
      <c r="U604" s="391"/>
      <c r="V604" s="390"/>
      <c r="W604" s="391"/>
      <c r="X604" s="390"/>
      <c r="Y604" s="391"/>
      <c r="Z604" s="390"/>
      <c r="AA604" s="391"/>
      <c r="AB604" s="390"/>
      <c r="AC604" s="391"/>
      <c r="AD604" s="390"/>
      <c r="AE604" s="391"/>
      <c r="AF604" s="390"/>
      <c r="AG604" s="391"/>
      <c r="AH604" s="390"/>
      <c r="AI604" s="391"/>
      <c r="AJ604" s="390"/>
      <c r="AK604" s="391"/>
      <c r="AL604" s="390"/>
      <c r="AM604" s="391"/>
      <c r="AN604" s="390"/>
      <c r="AO604" s="391"/>
    </row>
    <row r="605" spans="1:41" s="179" customFormat="1" ht="14.45" hidden="1" customHeight="1">
      <c r="A605" s="229" t="s">
        <v>445</v>
      </c>
      <c r="B605" s="230" t="s">
        <v>465</v>
      </c>
      <c r="C605" s="505"/>
      <c r="D605" s="445">
        <v>231536</v>
      </c>
      <c r="E605" s="506">
        <v>9</v>
      </c>
      <c r="F605" s="390">
        <v>4620.1000000000004</v>
      </c>
      <c r="G605" s="391">
        <v>4620</v>
      </c>
      <c r="H605" s="390">
        <v>10623</v>
      </c>
      <c r="I605" s="391">
        <v>10622.9</v>
      </c>
      <c r="J605" s="390"/>
      <c r="K605" s="391"/>
      <c r="L605" s="390"/>
      <c r="M605" s="391"/>
      <c r="N605" s="390"/>
      <c r="O605" s="391"/>
      <c r="P605" s="390"/>
      <c r="Q605" s="391"/>
      <c r="R605" s="390"/>
      <c r="S605" s="391"/>
      <c r="T605" s="390"/>
      <c r="U605" s="391"/>
      <c r="V605" s="390"/>
      <c r="W605" s="391"/>
      <c r="X605" s="390"/>
      <c r="Y605" s="391"/>
      <c r="Z605" s="390"/>
      <c r="AA605" s="391"/>
      <c r="AB605" s="390"/>
      <c r="AC605" s="391"/>
      <c r="AD605" s="390"/>
      <c r="AE605" s="391"/>
      <c r="AF605" s="390"/>
      <c r="AG605" s="391"/>
      <c r="AH605" s="390"/>
      <c r="AI605" s="391"/>
      <c r="AJ605" s="390"/>
      <c r="AK605" s="391"/>
      <c r="AL605" s="390"/>
      <c r="AM605" s="391"/>
      <c r="AN605" s="390"/>
      <c r="AO605" s="391"/>
    </row>
    <row r="606" spans="1:41" s="179" customFormat="1" ht="14.45" hidden="1" customHeight="1">
      <c r="A606" s="229" t="s">
        <v>445</v>
      </c>
      <c r="B606" s="230" t="s">
        <v>466</v>
      </c>
      <c r="C606" s="505"/>
      <c r="D606" s="445">
        <v>231697</v>
      </c>
      <c r="E606" s="506">
        <v>9</v>
      </c>
      <c r="F606" s="390">
        <v>4620.1000000000004</v>
      </c>
      <c r="G606" s="391">
        <v>4620</v>
      </c>
      <c r="H606" s="390">
        <v>10623</v>
      </c>
      <c r="I606" s="391">
        <v>10622.9</v>
      </c>
      <c r="J606" s="390"/>
      <c r="K606" s="391"/>
      <c r="L606" s="390"/>
      <c r="M606" s="391"/>
      <c r="N606" s="390"/>
      <c r="O606" s="391"/>
      <c r="P606" s="390"/>
      <c r="Q606" s="391"/>
      <c r="R606" s="390"/>
      <c r="S606" s="391"/>
      <c r="T606" s="390"/>
      <c r="U606" s="391"/>
      <c r="V606" s="390"/>
      <c r="W606" s="391"/>
      <c r="X606" s="390"/>
      <c r="Y606" s="391"/>
      <c r="Z606" s="390"/>
      <c r="AA606" s="391"/>
      <c r="AB606" s="390"/>
      <c r="AC606" s="391"/>
      <c r="AD606" s="390"/>
      <c r="AE606" s="391"/>
      <c r="AF606" s="390"/>
      <c r="AG606" s="391"/>
      <c r="AH606" s="390"/>
      <c r="AI606" s="391"/>
      <c r="AJ606" s="390"/>
      <c r="AK606" s="391"/>
      <c r="AL606" s="390"/>
      <c r="AM606" s="391"/>
      <c r="AN606" s="390"/>
      <c r="AO606" s="391"/>
    </row>
    <row r="607" spans="1:41" s="179" customFormat="1" ht="14.45" hidden="1" customHeight="1">
      <c r="A607" s="229" t="s">
        <v>445</v>
      </c>
      <c r="B607" s="230" t="s">
        <v>468</v>
      </c>
      <c r="C607" s="505"/>
      <c r="D607" s="445">
        <v>232195</v>
      </c>
      <c r="E607" s="506">
        <v>9</v>
      </c>
      <c r="F607" s="390">
        <v>4620.1000000000004</v>
      </c>
      <c r="G607" s="391">
        <v>4620</v>
      </c>
      <c r="H607" s="390">
        <v>10623</v>
      </c>
      <c r="I607" s="391">
        <v>10622.9</v>
      </c>
      <c r="J607" s="390"/>
      <c r="K607" s="391"/>
      <c r="L607" s="390"/>
      <c r="M607" s="391"/>
      <c r="N607" s="390"/>
      <c r="O607" s="391"/>
      <c r="P607" s="390"/>
      <c r="Q607" s="391"/>
      <c r="R607" s="390"/>
      <c r="S607" s="391"/>
      <c r="T607" s="390"/>
      <c r="U607" s="391"/>
      <c r="V607" s="390"/>
      <c r="W607" s="391"/>
      <c r="X607" s="390"/>
      <c r="Y607" s="391"/>
      <c r="Z607" s="390"/>
      <c r="AA607" s="391"/>
      <c r="AB607" s="390"/>
      <c r="AC607" s="391"/>
      <c r="AD607" s="390"/>
      <c r="AE607" s="391"/>
      <c r="AF607" s="390"/>
      <c r="AG607" s="391"/>
      <c r="AH607" s="390"/>
      <c r="AI607" s="391"/>
      <c r="AJ607" s="390"/>
      <c r="AK607" s="391"/>
      <c r="AL607" s="390"/>
      <c r="AM607" s="391"/>
      <c r="AN607" s="390"/>
      <c r="AO607" s="391"/>
    </row>
    <row r="608" spans="1:41" s="179" customFormat="1" ht="14.45" hidden="1" customHeight="1">
      <c r="A608" s="229" t="s">
        <v>445</v>
      </c>
      <c r="B608" s="230" t="s">
        <v>1037</v>
      </c>
      <c r="C608" s="232" t="s">
        <v>1035</v>
      </c>
      <c r="D608" s="445">
        <v>232575</v>
      </c>
      <c r="E608" s="506">
        <v>9</v>
      </c>
      <c r="F608" s="390">
        <v>4620.1000000000004</v>
      </c>
      <c r="G608" s="391">
        <v>4620</v>
      </c>
      <c r="H608" s="390">
        <v>10623</v>
      </c>
      <c r="I608" s="391">
        <v>10622.9</v>
      </c>
      <c r="J608" s="390"/>
      <c r="K608" s="391"/>
      <c r="L608" s="390"/>
      <c r="M608" s="391"/>
      <c r="N608" s="390"/>
      <c r="O608" s="391"/>
      <c r="P608" s="390"/>
      <c r="Q608" s="391"/>
      <c r="R608" s="390"/>
      <c r="S608" s="391"/>
      <c r="T608" s="390"/>
      <c r="U608" s="391"/>
      <c r="V608" s="390"/>
      <c r="W608" s="391"/>
      <c r="X608" s="390"/>
      <c r="Y608" s="391"/>
      <c r="Z608" s="390"/>
      <c r="AA608" s="391"/>
      <c r="AB608" s="390"/>
      <c r="AC608" s="391"/>
      <c r="AD608" s="390"/>
      <c r="AE608" s="391"/>
      <c r="AF608" s="390"/>
      <c r="AG608" s="391"/>
      <c r="AH608" s="390"/>
      <c r="AI608" s="391"/>
      <c r="AJ608" s="390"/>
      <c r="AK608" s="391"/>
      <c r="AL608" s="390"/>
      <c r="AM608" s="391"/>
      <c r="AN608" s="390"/>
      <c r="AO608" s="391"/>
    </row>
    <row r="609" spans="1:41" s="179" customFormat="1" ht="14.45" hidden="1" customHeight="1">
      <c r="A609" s="229" t="s">
        <v>445</v>
      </c>
      <c r="B609" s="230" t="s">
        <v>470</v>
      </c>
      <c r="C609" s="505"/>
      <c r="D609" s="445">
        <v>232867</v>
      </c>
      <c r="E609" s="506">
        <v>9</v>
      </c>
      <c r="F609" s="390">
        <v>4620.1000000000004</v>
      </c>
      <c r="G609" s="391">
        <v>4620</v>
      </c>
      <c r="H609" s="390">
        <v>10623</v>
      </c>
      <c r="I609" s="391">
        <v>10622.9</v>
      </c>
      <c r="J609" s="390"/>
      <c r="K609" s="391"/>
      <c r="L609" s="390"/>
      <c r="M609" s="391"/>
      <c r="N609" s="390"/>
      <c r="O609" s="391"/>
      <c r="P609" s="390"/>
      <c r="Q609" s="391"/>
      <c r="R609" s="390"/>
      <c r="S609" s="391"/>
      <c r="T609" s="390"/>
      <c r="U609" s="391"/>
      <c r="V609" s="390"/>
      <c r="W609" s="391"/>
      <c r="X609" s="390"/>
      <c r="Y609" s="391"/>
      <c r="Z609" s="390"/>
      <c r="AA609" s="391"/>
      <c r="AB609" s="390"/>
      <c r="AC609" s="391"/>
      <c r="AD609" s="390"/>
      <c r="AE609" s="391"/>
      <c r="AF609" s="390"/>
      <c r="AG609" s="391"/>
      <c r="AH609" s="390"/>
      <c r="AI609" s="391"/>
      <c r="AJ609" s="390"/>
      <c r="AK609" s="391"/>
      <c r="AL609" s="390"/>
      <c r="AM609" s="391"/>
      <c r="AN609" s="390"/>
      <c r="AO609" s="391"/>
    </row>
    <row r="610" spans="1:41" s="179" customFormat="1" ht="14.45" hidden="1" customHeight="1">
      <c r="A610" s="229" t="s">
        <v>445</v>
      </c>
      <c r="B610" s="230" t="s">
        <v>472</v>
      </c>
      <c r="C610" s="505"/>
      <c r="D610" s="445">
        <v>233116</v>
      </c>
      <c r="E610" s="506">
        <v>9</v>
      </c>
      <c r="F610" s="390">
        <v>4620.1000000000004</v>
      </c>
      <c r="G610" s="391">
        <v>4620</v>
      </c>
      <c r="H610" s="390">
        <v>10623</v>
      </c>
      <c r="I610" s="391">
        <v>10622.9</v>
      </c>
      <c r="J610" s="390"/>
      <c r="K610" s="391"/>
      <c r="L610" s="390"/>
      <c r="M610" s="391"/>
      <c r="N610" s="390"/>
      <c r="O610" s="391"/>
      <c r="P610" s="390"/>
      <c r="Q610" s="391"/>
      <c r="R610" s="390"/>
      <c r="S610" s="391"/>
      <c r="T610" s="390"/>
      <c r="U610" s="391"/>
      <c r="V610" s="390"/>
      <c r="W610" s="391"/>
      <c r="X610" s="390"/>
      <c r="Y610" s="391"/>
      <c r="Z610" s="390"/>
      <c r="AA610" s="391"/>
      <c r="AB610" s="390"/>
      <c r="AC610" s="391"/>
      <c r="AD610" s="390"/>
      <c r="AE610" s="391"/>
      <c r="AF610" s="390"/>
      <c r="AG610" s="391"/>
      <c r="AH610" s="390"/>
      <c r="AI610" s="391"/>
      <c r="AJ610" s="390"/>
      <c r="AK610" s="391"/>
      <c r="AL610" s="390"/>
      <c r="AM610" s="391"/>
      <c r="AN610" s="390"/>
      <c r="AO610" s="391"/>
    </row>
    <row r="611" spans="1:41" s="179" customFormat="1" ht="14.45" hidden="1" customHeight="1">
      <c r="A611" s="229" t="s">
        <v>445</v>
      </c>
      <c r="B611" s="230" t="s">
        <v>473</v>
      </c>
      <c r="C611" s="512" t="s">
        <v>1029</v>
      </c>
      <c r="D611" s="513">
        <v>233639</v>
      </c>
      <c r="E611" s="514">
        <v>10</v>
      </c>
      <c r="F611" s="390">
        <v>4620.1000000000004</v>
      </c>
      <c r="G611" s="391">
        <v>4620</v>
      </c>
      <c r="H611" s="390">
        <v>10623</v>
      </c>
      <c r="I611" s="391">
        <v>10622.9</v>
      </c>
      <c r="J611" s="390"/>
      <c r="K611" s="391"/>
      <c r="L611" s="390"/>
      <c r="M611" s="391"/>
      <c r="N611" s="390"/>
      <c r="O611" s="391"/>
      <c r="P611" s="390"/>
      <c r="Q611" s="391"/>
      <c r="R611" s="390"/>
      <c r="S611" s="391"/>
      <c r="T611" s="390"/>
      <c r="U611" s="391"/>
      <c r="V611" s="390"/>
      <c r="W611" s="391"/>
      <c r="X611" s="390"/>
      <c r="Y611" s="391"/>
      <c r="Z611" s="390"/>
      <c r="AA611" s="391"/>
      <c r="AB611" s="390"/>
      <c r="AC611" s="391"/>
      <c r="AD611" s="390"/>
      <c r="AE611" s="391"/>
      <c r="AF611" s="390"/>
      <c r="AG611" s="391"/>
      <c r="AH611" s="390"/>
      <c r="AI611" s="391"/>
      <c r="AJ611" s="390"/>
      <c r="AK611" s="391"/>
      <c r="AL611" s="390"/>
      <c r="AM611" s="391"/>
      <c r="AN611" s="390"/>
      <c r="AO611" s="391"/>
    </row>
    <row r="612" spans="1:41" s="179" customFormat="1" ht="14.45" hidden="1" customHeight="1">
      <c r="A612" s="229" t="s">
        <v>445</v>
      </c>
      <c r="B612" s="230" t="s">
        <v>474</v>
      </c>
      <c r="C612" s="505"/>
      <c r="D612" s="445">
        <v>233949</v>
      </c>
      <c r="E612" s="506">
        <v>9</v>
      </c>
      <c r="F612" s="390">
        <v>4620.1000000000004</v>
      </c>
      <c r="G612" s="391">
        <v>4620</v>
      </c>
      <c r="H612" s="390">
        <v>10623</v>
      </c>
      <c r="I612" s="391">
        <v>10622.9</v>
      </c>
      <c r="J612" s="390"/>
      <c r="K612" s="391"/>
      <c r="L612" s="390"/>
      <c r="M612" s="391"/>
      <c r="N612" s="390"/>
      <c r="O612" s="391"/>
      <c r="P612" s="390"/>
      <c r="Q612" s="391"/>
      <c r="R612" s="390"/>
      <c r="S612" s="391"/>
      <c r="T612" s="390"/>
      <c r="U612" s="391"/>
      <c r="V612" s="390"/>
      <c r="W612" s="391"/>
      <c r="X612" s="390"/>
      <c r="Y612" s="391"/>
      <c r="Z612" s="390"/>
      <c r="AA612" s="391"/>
      <c r="AB612" s="390"/>
      <c r="AC612" s="391"/>
      <c r="AD612" s="390"/>
      <c r="AE612" s="391"/>
      <c r="AF612" s="390"/>
      <c r="AG612" s="391"/>
      <c r="AH612" s="390"/>
      <c r="AI612" s="391"/>
      <c r="AJ612" s="390"/>
      <c r="AK612" s="391"/>
      <c r="AL612" s="390"/>
      <c r="AM612" s="391"/>
      <c r="AN612" s="390"/>
      <c r="AO612" s="391"/>
    </row>
    <row r="613" spans="1:41" s="53" customFormat="1" hidden="1">
      <c r="A613" s="229" t="s">
        <v>445</v>
      </c>
      <c r="B613" s="230" t="s">
        <v>1040</v>
      </c>
      <c r="C613" s="232" t="s">
        <v>1041</v>
      </c>
      <c r="D613" s="445">
        <v>231873</v>
      </c>
      <c r="E613" s="506">
        <v>10</v>
      </c>
      <c r="F613" s="390">
        <v>4620.1000000000004</v>
      </c>
      <c r="G613" s="391">
        <v>4620</v>
      </c>
      <c r="H613" s="390">
        <v>10623</v>
      </c>
      <c r="I613" s="391">
        <v>10622.9</v>
      </c>
      <c r="J613" s="390"/>
      <c r="K613" s="391"/>
      <c r="L613" s="390"/>
      <c r="M613" s="391"/>
      <c r="N613" s="390"/>
      <c r="O613" s="391"/>
      <c r="P613" s="390"/>
      <c r="Q613" s="391"/>
      <c r="R613" s="390"/>
      <c r="S613" s="391"/>
      <c r="T613" s="390"/>
      <c r="U613" s="391"/>
      <c r="V613" s="390"/>
      <c r="W613" s="391"/>
      <c r="X613" s="390"/>
      <c r="Y613" s="391"/>
      <c r="Z613" s="390"/>
      <c r="AA613" s="391"/>
      <c r="AB613" s="390"/>
      <c r="AC613" s="391"/>
      <c r="AD613" s="390"/>
      <c r="AE613" s="391"/>
      <c r="AF613" s="390"/>
      <c r="AG613" s="391"/>
      <c r="AH613" s="390"/>
      <c r="AI613" s="391"/>
      <c r="AJ613" s="390"/>
      <c r="AK613" s="391"/>
      <c r="AL613" s="390"/>
      <c r="AM613" s="391"/>
      <c r="AN613" s="390"/>
      <c r="AO613" s="391"/>
    </row>
    <row r="614" spans="1:41" s="179" customFormat="1" ht="14.45" hidden="1" customHeight="1">
      <c r="A614" s="229" t="s">
        <v>445</v>
      </c>
      <c r="B614" s="230" t="s">
        <v>467</v>
      </c>
      <c r="C614" s="515"/>
      <c r="D614" s="445">
        <v>231882</v>
      </c>
      <c r="E614" s="506">
        <v>10</v>
      </c>
      <c r="F614" s="390">
        <v>4620.1000000000004</v>
      </c>
      <c r="G614" s="391">
        <v>4620</v>
      </c>
      <c r="H614" s="390">
        <v>10623</v>
      </c>
      <c r="I614" s="391">
        <v>10622.9</v>
      </c>
      <c r="J614" s="390"/>
      <c r="K614" s="391"/>
      <c r="L614" s="390"/>
      <c r="M614" s="391"/>
      <c r="N614" s="390"/>
      <c r="O614" s="391"/>
      <c r="P614" s="390"/>
      <c r="Q614" s="391"/>
      <c r="R614" s="390"/>
      <c r="S614" s="391"/>
      <c r="T614" s="390"/>
      <c r="U614" s="391"/>
      <c r="V614" s="390"/>
      <c r="W614" s="391"/>
      <c r="X614" s="390"/>
      <c r="Y614" s="391"/>
      <c r="Z614" s="390"/>
      <c r="AA614" s="391"/>
      <c r="AB614" s="390"/>
      <c r="AC614" s="391"/>
      <c r="AD614" s="390"/>
      <c r="AE614" s="391"/>
      <c r="AF614" s="390"/>
      <c r="AG614" s="391"/>
      <c r="AH614" s="390"/>
      <c r="AI614" s="391"/>
      <c r="AJ614" s="390"/>
      <c r="AK614" s="391"/>
      <c r="AL614" s="390"/>
      <c r="AM614" s="391"/>
      <c r="AN614" s="390"/>
      <c r="AO614" s="391"/>
    </row>
    <row r="615" spans="1:41" s="53" customFormat="1" hidden="1">
      <c r="A615" s="229" t="s">
        <v>445</v>
      </c>
      <c r="B615" s="230" t="s">
        <v>477</v>
      </c>
      <c r="C615" s="507"/>
      <c r="D615" s="445">
        <v>232052</v>
      </c>
      <c r="E615" s="506">
        <v>10</v>
      </c>
      <c r="F615" s="390">
        <v>4620.1000000000004</v>
      </c>
      <c r="G615" s="391">
        <v>4620</v>
      </c>
      <c r="H615" s="390">
        <v>10623</v>
      </c>
      <c r="I615" s="391">
        <v>10622.9</v>
      </c>
      <c r="J615" s="390"/>
      <c r="K615" s="391"/>
      <c r="L615" s="390"/>
      <c r="M615" s="391"/>
      <c r="N615" s="390"/>
      <c r="O615" s="391"/>
      <c r="P615" s="390"/>
      <c r="Q615" s="391"/>
      <c r="R615" s="390"/>
      <c r="S615" s="391"/>
      <c r="T615" s="390"/>
      <c r="U615" s="391"/>
      <c r="V615" s="390"/>
      <c r="W615" s="391"/>
      <c r="X615" s="390"/>
      <c r="Y615" s="391"/>
      <c r="Z615" s="390"/>
      <c r="AA615" s="391"/>
      <c r="AB615" s="390"/>
      <c r="AC615" s="391"/>
      <c r="AD615" s="390"/>
      <c r="AE615" s="391"/>
      <c r="AF615" s="390"/>
      <c r="AG615" s="391"/>
      <c r="AH615" s="390"/>
      <c r="AI615" s="391"/>
      <c r="AJ615" s="390"/>
      <c r="AK615" s="391"/>
      <c r="AL615" s="390"/>
      <c r="AM615" s="391"/>
      <c r="AN615" s="390"/>
      <c r="AO615" s="391"/>
    </row>
    <row r="616" spans="1:41" s="53" customFormat="1" hidden="1">
      <c r="A616" s="229" t="s">
        <v>445</v>
      </c>
      <c r="B616" s="230" t="s">
        <v>478</v>
      </c>
      <c r="C616" s="508"/>
      <c r="D616" s="445">
        <v>232788</v>
      </c>
      <c r="E616" s="506">
        <v>10</v>
      </c>
      <c r="F616" s="390">
        <v>4620.1000000000004</v>
      </c>
      <c r="G616" s="391">
        <v>4620</v>
      </c>
      <c r="H616" s="390">
        <v>10623</v>
      </c>
      <c r="I616" s="391">
        <v>10622.9</v>
      </c>
      <c r="J616" s="390"/>
      <c r="K616" s="391"/>
      <c r="L616" s="390"/>
      <c r="M616" s="391"/>
      <c r="N616" s="390"/>
      <c r="O616" s="391"/>
      <c r="P616" s="390"/>
      <c r="Q616" s="391"/>
      <c r="R616" s="390"/>
      <c r="S616" s="391"/>
      <c r="T616" s="390"/>
      <c r="U616" s="391"/>
      <c r="V616" s="390"/>
      <c r="W616" s="391"/>
      <c r="X616" s="390"/>
      <c r="Y616" s="391"/>
      <c r="Z616" s="390"/>
      <c r="AA616" s="391"/>
      <c r="AB616" s="390"/>
      <c r="AC616" s="391"/>
      <c r="AD616" s="390"/>
      <c r="AE616" s="391"/>
      <c r="AF616" s="390"/>
      <c r="AG616" s="391"/>
      <c r="AH616" s="390"/>
      <c r="AI616" s="391"/>
      <c r="AJ616" s="390"/>
      <c r="AK616" s="391"/>
      <c r="AL616" s="390"/>
      <c r="AM616" s="391"/>
      <c r="AN616" s="390"/>
      <c r="AO616" s="391"/>
    </row>
    <row r="617" spans="1:41" s="179" customFormat="1" ht="14.45" hidden="1" customHeight="1">
      <c r="A617" s="229" t="s">
        <v>445</v>
      </c>
      <c r="B617" s="230" t="s">
        <v>1042</v>
      </c>
      <c r="C617" s="232" t="s">
        <v>1043</v>
      </c>
      <c r="D617" s="445">
        <v>233019</v>
      </c>
      <c r="E617" s="506">
        <v>10</v>
      </c>
      <c r="F617" s="390">
        <v>4620.1000000000004</v>
      </c>
      <c r="G617" s="391">
        <v>4620</v>
      </c>
      <c r="H617" s="390">
        <v>10623</v>
      </c>
      <c r="I617" s="391">
        <v>10622.9</v>
      </c>
      <c r="J617" s="390"/>
      <c r="K617" s="391"/>
      <c r="L617" s="390"/>
      <c r="M617" s="391"/>
      <c r="N617" s="390"/>
      <c r="O617" s="391"/>
      <c r="P617" s="390"/>
      <c r="Q617" s="391"/>
      <c r="R617" s="390"/>
      <c r="S617" s="391"/>
      <c r="T617" s="390"/>
      <c r="U617" s="391"/>
      <c r="V617" s="390"/>
      <c r="W617" s="391"/>
      <c r="X617" s="390"/>
      <c r="Y617" s="391"/>
      <c r="Z617" s="390"/>
      <c r="AA617" s="391"/>
      <c r="AB617" s="390"/>
      <c r="AC617" s="391"/>
      <c r="AD617" s="390"/>
      <c r="AE617" s="391"/>
      <c r="AF617" s="390"/>
      <c r="AG617" s="391"/>
      <c r="AH617" s="390"/>
      <c r="AI617" s="391"/>
      <c r="AJ617" s="390"/>
      <c r="AK617" s="391"/>
      <c r="AL617" s="390"/>
      <c r="AM617" s="391"/>
      <c r="AN617" s="390"/>
      <c r="AO617" s="391"/>
    </row>
    <row r="618" spans="1:41" s="53" customFormat="1" hidden="1">
      <c r="A618" s="229" t="s">
        <v>445</v>
      </c>
      <c r="B618" s="230" t="s">
        <v>479</v>
      </c>
      <c r="C618" s="507"/>
      <c r="D618" s="445">
        <v>233037</v>
      </c>
      <c r="E618" s="506">
        <v>10</v>
      </c>
      <c r="F618" s="390">
        <v>4620.1000000000004</v>
      </c>
      <c r="G618" s="391">
        <v>4620</v>
      </c>
      <c r="H618" s="390">
        <v>10623</v>
      </c>
      <c r="I618" s="391">
        <v>10622.9</v>
      </c>
      <c r="J618" s="390"/>
      <c r="K618" s="391"/>
      <c r="L618" s="390"/>
      <c r="M618" s="391"/>
      <c r="N618" s="390"/>
      <c r="O618" s="391"/>
      <c r="P618" s="390"/>
      <c r="Q618" s="391"/>
      <c r="R618" s="390"/>
      <c r="S618" s="391"/>
      <c r="T618" s="390"/>
      <c r="U618" s="391"/>
      <c r="V618" s="390"/>
      <c r="W618" s="391"/>
      <c r="X618" s="390"/>
      <c r="Y618" s="391"/>
      <c r="Z618" s="390"/>
      <c r="AA618" s="391"/>
      <c r="AB618" s="390"/>
      <c r="AC618" s="391"/>
      <c r="AD618" s="390"/>
      <c r="AE618" s="391"/>
      <c r="AF618" s="390"/>
      <c r="AG618" s="391"/>
      <c r="AH618" s="390"/>
      <c r="AI618" s="391"/>
      <c r="AJ618" s="390"/>
      <c r="AK618" s="391"/>
      <c r="AL618" s="390"/>
      <c r="AM618" s="391"/>
      <c r="AN618" s="390"/>
      <c r="AO618" s="391"/>
    </row>
    <row r="619" spans="1:41" s="53" customFormat="1" hidden="1">
      <c r="A619" s="229" t="s">
        <v>445</v>
      </c>
      <c r="B619" s="230" t="s">
        <v>480</v>
      </c>
      <c r="C619" s="507"/>
      <c r="D619" s="445">
        <v>233310</v>
      </c>
      <c r="E619" s="506">
        <v>10</v>
      </c>
      <c r="F619" s="390">
        <v>4620.1000000000004</v>
      </c>
      <c r="G619" s="391">
        <v>4620</v>
      </c>
      <c r="H619" s="390">
        <v>10623</v>
      </c>
      <c r="I619" s="391">
        <v>10622.9</v>
      </c>
      <c r="J619" s="390"/>
      <c r="K619" s="391"/>
      <c r="L619" s="390"/>
      <c r="M619" s="391"/>
      <c r="N619" s="390"/>
      <c r="O619" s="391"/>
      <c r="P619" s="390"/>
      <c r="Q619" s="391"/>
      <c r="R619" s="390"/>
      <c r="S619" s="391"/>
      <c r="T619" s="390"/>
      <c r="U619" s="391"/>
      <c r="V619" s="390"/>
      <c r="W619" s="391"/>
      <c r="X619" s="390"/>
      <c r="Y619" s="391"/>
      <c r="Z619" s="390"/>
      <c r="AA619" s="391"/>
      <c r="AB619" s="390"/>
      <c r="AC619" s="391"/>
      <c r="AD619" s="390"/>
      <c r="AE619" s="391"/>
      <c r="AF619" s="390"/>
      <c r="AG619" s="391"/>
      <c r="AH619" s="390"/>
      <c r="AI619" s="391"/>
      <c r="AJ619" s="390"/>
      <c r="AK619" s="391"/>
      <c r="AL619" s="390"/>
      <c r="AM619" s="391"/>
      <c r="AN619" s="390"/>
      <c r="AO619" s="391"/>
    </row>
    <row r="620" spans="1:41" s="53" customFormat="1" hidden="1">
      <c r="A620" s="229" t="s">
        <v>445</v>
      </c>
      <c r="B620" s="230" t="s">
        <v>481</v>
      </c>
      <c r="C620" s="507"/>
      <c r="D620" s="445">
        <v>233338</v>
      </c>
      <c r="E620" s="506">
        <v>10</v>
      </c>
      <c r="F620" s="390">
        <v>8100</v>
      </c>
      <c r="G620" s="391">
        <v>8160</v>
      </c>
      <c r="H620" s="390">
        <v>14070</v>
      </c>
      <c r="I620" s="391">
        <v>14130</v>
      </c>
      <c r="J620" s="390"/>
      <c r="K620" s="391"/>
      <c r="L620" s="390"/>
      <c r="M620" s="391"/>
      <c r="N620" s="390"/>
      <c r="O620" s="391"/>
      <c r="P620" s="390"/>
      <c r="Q620" s="391"/>
      <c r="R620" s="390"/>
      <c r="S620" s="391"/>
      <c r="T620" s="390"/>
      <c r="U620" s="391"/>
      <c r="V620" s="390"/>
      <c r="W620" s="391"/>
      <c r="X620" s="390"/>
      <c r="Y620" s="391"/>
      <c r="Z620" s="390"/>
      <c r="AA620" s="391"/>
      <c r="AB620" s="390"/>
      <c r="AC620" s="391"/>
      <c r="AD620" s="390"/>
      <c r="AE620" s="391"/>
      <c r="AF620" s="390"/>
      <c r="AG620" s="391"/>
      <c r="AH620" s="390"/>
      <c r="AI620" s="391"/>
      <c r="AJ620" s="390"/>
      <c r="AK620" s="391"/>
      <c r="AL620" s="390"/>
      <c r="AM620" s="391"/>
      <c r="AN620" s="390"/>
      <c r="AO620" s="391"/>
    </row>
    <row r="621" spans="1:41" s="53" customFormat="1" hidden="1">
      <c r="A621" s="229" t="s">
        <v>445</v>
      </c>
      <c r="B621" s="230" t="s">
        <v>482</v>
      </c>
      <c r="C621" s="508"/>
      <c r="D621" s="445">
        <v>233648</v>
      </c>
      <c r="E621" s="506">
        <v>10</v>
      </c>
      <c r="F621" s="390">
        <v>4620.1000000000004</v>
      </c>
      <c r="G621" s="391">
        <v>4620</v>
      </c>
      <c r="H621" s="390">
        <v>10623</v>
      </c>
      <c r="I621" s="391">
        <v>10622.9</v>
      </c>
      <c r="J621" s="390"/>
      <c r="K621" s="391"/>
      <c r="L621" s="390"/>
      <c r="M621" s="391"/>
      <c r="N621" s="390"/>
      <c r="O621" s="391"/>
      <c r="P621" s="390"/>
      <c r="Q621" s="391"/>
      <c r="R621" s="390"/>
      <c r="S621" s="391"/>
      <c r="T621" s="390"/>
      <c r="U621" s="391"/>
      <c r="V621" s="390"/>
      <c r="W621" s="391"/>
      <c r="X621" s="390"/>
      <c r="Y621" s="391"/>
      <c r="Z621" s="390"/>
      <c r="AA621" s="391"/>
      <c r="AB621" s="390"/>
      <c r="AC621" s="391"/>
      <c r="AD621" s="390"/>
      <c r="AE621" s="391"/>
      <c r="AF621" s="390"/>
      <c r="AG621" s="391"/>
      <c r="AH621" s="390"/>
      <c r="AI621" s="391"/>
      <c r="AJ621" s="390"/>
      <c r="AK621" s="391"/>
      <c r="AL621" s="390"/>
      <c r="AM621" s="391"/>
      <c r="AN621" s="390"/>
      <c r="AO621" s="391"/>
    </row>
    <row r="622" spans="1:41" s="53" customFormat="1" hidden="1">
      <c r="A622" s="229" t="s">
        <v>445</v>
      </c>
      <c r="B622" s="230" t="s">
        <v>483</v>
      </c>
      <c r="C622" s="507"/>
      <c r="D622" s="445">
        <v>233903</v>
      </c>
      <c r="E622" s="506">
        <v>10</v>
      </c>
      <c r="F622" s="390">
        <v>4620.1000000000004</v>
      </c>
      <c r="G622" s="391">
        <v>4620</v>
      </c>
      <c r="H622" s="390">
        <v>10623</v>
      </c>
      <c r="I622" s="391">
        <v>10622.9</v>
      </c>
      <c r="J622" s="390"/>
      <c r="K622" s="391"/>
      <c r="L622" s="390"/>
      <c r="M622" s="391"/>
      <c r="N622" s="390"/>
      <c r="O622" s="391"/>
      <c r="P622" s="390"/>
      <c r="Q622" s="391"/>
      <c r="R622" s="390"/>
      <c r="S622" s="391"/>
      <c r="T622" s="390"/>
      <c r="U622" s="391"/>
      <c r="V622" s="390"/>
      <c r="W622" s="391"/>
      <c r="X622" s="390"/>
      <c r="Y622" s="391"/>
      <c r="Z622" s="390"/>
      <c r="AA622" s="391"/>
      <c r="AB622" s="390"/>
      <c r="AC622" s="391"/>
      <c r="AD622" s="390"/>
      <c r="AE622" s="391"/>
      <c r="AF622" s="390"/>
      <c r="AG622" s="391"/>
      <c r="AH622" s="390"/>
      <c r="AI622" s="391"/>
      <c r="AJ622" s="390"/>
      <c r="AK622" s="391"/>
      <c r="AL622" s="390"/>
      <c r="AM622" s="391"/>
      <c r="AN622" s="390"/>
      <c r="AO622" s="391"/>
    </row>
    <row r="623" spans="1:41" s="179" customFormat="1" ht="14.45" hidden="1" customHeight="1">
      <c r="A623" s="229" t="s">
        <v>445</v>
      </c>
      <c r="B623" s="230" t="s">
        <v>475</v>
      </c>
      <c r="C623" s="515"/>
      <c r="D623" s="445">
        <v>234377</v>
      </c>
      <c r="E623" s="506">
        <v>10</v>
      </c>
      <c r="F623" s="390">
        <v>4620.1000000000004</v>
      </c>
      <c r="G623" s="391">
        <v>4620</v>
      </c>
      <c r="H623" s="390">
        <v>10623</v>
      </c>
      <c r="I623" s="391">
        <v>10622.9</v>
      </c>
      <c r="J623" s="390"/>
      <c r="K623" s="391"/>
      <c r="L623" s="390"/>
      <c r="M623" s="391"/>
      <c r="N623" s="390"/>
      <c r="O623" s="391"/>
      <c r="P623" s="390"/>
      <c r="Q623" s="391"/>
      <c r="R623" s="390"/>
      <c r="S623" s="391"/>
      <c r="T623" s="390"/>
      <c r="U623" s="391"/>
      <c r="V623" s="390"/>
      <c r="W623" s="391"/>
      <c r="X623" s="390"/>
      <c r="Y623" s="391"/>
      <c r="Z623" s="390"/>
      <c r="AA623" s="391"/>
      <c r="AB623" s="390"/>
      <c r="AC623" s="391"/>
      <c r="AD623" s="390"/>
      <c r="AE623" s="391"/>
      <c r="AF623" s="390"/>
      <c r="AG623" s="391"/>
      <c r="AH623" s="390"/>
      <c r="AI623" s="391"/>
      <c r="AJ623" s="390"/>
      <c r="AK623" s="391"/>
      <c r="AL623" s="390"/>
      <c r="AM623" s="391"/>
      <c r="AN623" s="390"/>
      <c r="AO623" s="391"/>
    </row>
    <row r="624" spans="1:41" s="53" customFormat="1" hidden="1">
      <c r="A624" s="234" t="s">
        <v>445</v>
      </c>
      <c r="B624" s="230" t="s">
        <v>484</v>
      </c>
      <c r="C624" s="507"/>
      <c r="D624" s="445">
        <v>234085</v>
      </c>
      <c r="E624" s="506">
        <v>15</v>
      </c>
      <c r="F624" s="390">
        <v>19210</v>
      </c>
      <c r="G624" s="391">
        <v>19670</v>
      </c>
      <c r="H624" s="390">
        <v>47220</v>
      </c>
      <c r="I624" s="391">
        <v>48324</v>
      </c>
      <c r="J624" s="390"/>
      <c r="K624" s="391"/>
      <c r="L624" s="390"/>
      <c r="M624" s="391"/>
      <c r="N624" s="390"/>
      <c r="O624" s="391"/>
      <c r="P624" s="390"/>
      <c r="Q624" s="391"/>
      <c r="R624" s="390"/>
      <c r="S624" s="391"/>
      <c r="T624" s="390"/>
      <c r="U624" s="391"/>
      <c r="V624" s="390"/>
      <c r="W624" s="391"/>
      <c r="X624" s="390"/>
      <c r="Y624" s="391"/>
      <c r="Z624" s="390"/>
      <c r="AA624" s="391"/>
      <c r="AB624" s="390"/>
      <c r="AC624" s="391"/>
      <c r="AD624" s="390"/>
      <c r="AE624" s="391"/>
      <c r="AF624" s="390"/>
      <c r="AG624" s="391"/>
      <c r="AH624" s="390"/>
      <c r="AI624" s="391"/>
      <c r="AJ624" s="390"/>
      <c r="AK624" s="391"/>
      <c r="AL624" s="390"/>
      <c r="AM624" s="391"/>
      <c r="AN624" s="390"/>
      <c r="AO624" s="391"/>
    </row>
    <row r="625" spans="1:44">
      <c r="A625" s="266" t="s">
        <v>485</v>
      </c>
      <c r="B625" s="267" t="s">
        <v>486</v>
      </c>
      <c r="C625" s="472"/>
      <c r="D625" s="473">
        <v>238032</v>
      </c>
      <c r="E625" s="474">
        <v>1</v>
      </c>
      <c r="F625" s="401">
        <v>8976</v>
      </c>
      <c r="G625" s="402">
        <v>9144</v>
      </c>
      <c r="H625" s="401">
        <v>25320</v>
      </c>
      <c r="I625" s="402">
        <v>25824</v>
      </c>
      <c r="J625" s="401">
        <v>10134</v>
      </c>
      <c r="K625" s="402">
        <v>10332</v>
      </c>
      <c r="L625" s="401">
        <v>26154</v>
      </c>
      <c r="M625" s="402">
        <v>26676</v>
      </c>
      <c r="N625" s="401">
        <v>24228</v>
      </c>
      <c r="O625" s="402">
        <v>24714</v>
      </c>
      <c r="P625" s="401">
        <v>40248</v>
      </c>
      <c r="Q625" s="402">
        <v>41058</v>
      </c>
      <c r="R625" s="401">
        <v>31716</v>
      </c>
      <c r="S625" s="402">
        <v>31914</v>
      </c>
      <c r="T625" s="401">
        <v>62262</v>
      </c>
      <c r="U625" s="402">
        <v>62784</v>
      </c>
      <c r="V625" s="401">
        <v>25506</v>
      </c>
      <c r="W625" s="402">
        <v>26010</v>
      </c>
      <c r="X625" s="401">
        <v>56574</v>
      </c>
      <c r="Y625" s="402">
        <v>57708</v>
      </c>
      <c r="Z625" s="401">
        <v>21780</v>
      </c>
      <c r="AA625" s="402">
        <v>21988</v>
      </c>
      <c r="AB625" s="401">
        <v>43164</v>
      </c>
      <c r="AC625" s="402">
        <v>43686</v>
      </c>
      <c r="AD625" s="401"/>
      <c r="AE625" s="402"/>
      <c r="AF625" s="401"/>
      <c r="AG625" s="402"/>
      <c r="AH625" s="401"/>
      <c r="AI625" s="402"/>
      <c r="AJ625" s="401"/>
      <c r="AK625" s="402"/>
      <c r="AL625" s="401"/>
      <c r="AM625" s="402"/>
      <c r="AN625" s="401"/>
      <c r="AO625" s="402"/>
      <c r="AP625" s="53"/>
      <c r="AQ625" s="53"/>
      <c r="AR625" s="53"/>
    </row>
    <row r="626" spans="1:44">
      <c r="A626" s="266" t="s">
        <v>485</v>
      </c>
      <c r="B626" s="267" t="s">
        <v>487</v>
      </c>
      <c r="C626" s="472"/>
      <c r="D626" s="473">
        <v>237525</v>
      </c>
      <c r="E626" s="474">
        <v>3</v>
      </c>
      <c r="F626" s="401">
        <v>8512</v>
      </c>
      <c r="G626" s="402">
        <v>8552</v>
      </c>
      <c r="H626" s="401">
        <v>19366</v>
      </c>
      <c r="I626" s="402">
        <v>19606</v>
      </c>
      <c r="J626" s="401">
        <v>8828</v>
      </c>
      <c r="K626" s="402">
        <v>8882</v>
      </c>
      <c r="L626" s="401">
        <v>21162</v>
      </c>
      <c r="M626" s="402">
        <v>21434</v>
      </c>
      <c r="N626" s="401"/>
      <c r="O626" s="402"/>
      <c r="P626" s="401"/>
      <c r="Q626" s="402"/>
      <c r="R626" s="401">
        <v>24004</v>
      </c>
      <c r="S626" s="402">
        <v>24324</v>
      </c>
      <c r="T626" s="401">
        <v>56788</v>
      </c>
      <c r="U626" s="402">
        <v>57682</v>
      </c>
      <c r="V626" s="401"/>
      <c r="W626" s="402"/>
      <c r="X626" s="401"/>
      <c r="Y626" s="402"/>
      <c r="Z626" s="401">
        <v>22430</v>
      </c>
      <c r="AA626" s="402">
        <v>23508</v>
      </c>
      <c r="AB626" s="401">
        <v>37050</v>
      </c>
      <c r="AC626" s="402">
        <v>38796</v>
      </c>
      <c r="AD626" s="401"/>
      <c r="AE626" s="402"/>
      <c r="AF626" s="401"/>
      <c r="AG626" s="402"/>
      <c r="AH626" s="401"/>
      <c r="AI626" s="402"/>
      <c r="AJ626" s="401"/>
      <c r="AK626" s="402"/>
      <c r="AL626" s="401"/>
      <c r="AM626" s="402"/>
      <c r="AN626" s="401"/>
      <c r="AO626" s="402"/>
      <c r="AP626" s="53"/>
      <c r="AQ626" s="53"/>
      <c r="AR626" s="53"/>
    </row>
    <row r="627" spans="1:44" s="179" customFormat="1" ht="15.4" customHeight="1">
      <c r="A627" s="269" t="s">
        <v>485</v>
      </c>
      <c r="B627" s="267" t="s">
        <v>491</v>
      </c>
      <c r="C627" s="516"/>
      <c r="D627" s="473">
        <v>237330</v>
      </c>
      <c r="E627" s="474">
        <v>5</v>
      </c>
      <c r="F627" s="401">
        <v>8050</v>
      </c>
      <c r="G627" s="402">
        <v>8130</v>
      </c>
      <c r="H627" s="401">
        <v>17702</v>
      </c>
      <c r="I627" s="402">
        <v>17880</v>
      </c>
      <c r="J627" s="401">
        <v>8644</v>
      </c>
      <c r="K627" s="402">
        <v>8730</v>
      </c>
      <c r="L627" s="401">
        <v>15072</v>
      </c>
      <c r="M627" s="402">
        <v>15230</v>
      </c>
      <c r="N627" s="401"/>
      <c r="O627" s="402"/>
      <c r="P627" s="401"/>
      <c r="Q627" s="402"/>
      <c r="R627" s="401"/>
      <c r="S627" s="402"/>
      <c r="T627" s="401"/>
      <c r="U627" s="402"/>
      <c r="V627" s="401"/>
      <c r="W627" s="402"/>
      <c r="X627" s="401"/>
      <c r="Y627" s="402"/>
      <c r="Z627" s="401"/>
      <c r="AA627" s="402"/>
      <c r="AB627" s="401"/>
      <c r="AC627" s="402"/>
      <c r="AD627" s="401"/>
      <c r="AE627" s="402"/>
      <c r="AF627" s="401"/>
      <c r="AG627" s="402"/>
      <c r="AH627" s="401"/>
      <c r="AI627" s="402"/>
      <c r="AJ627" s="401"/>
      <c r="AK627" s="402"/>
      <c r="AL627" s="401"/>
      <c r="AM627" s="402"/>
      <c r="AN627" s="401"/>
      <c r="AO627" s="402"/>
    </row>
    <row r="628" spans="1:44">
      <c r="A628" s="269" t="s">
        <v>485</v>
      </c>
      <c r="B628" s="267" t="s">
        <v>488</v>
      </c>
      <c r="C628" s="268" t="s">
        <v>1047</v>
      </c>
      <c r="D628" s="523">
        <v>237367</v>
      </c>
      <c r="E628" s="524">
        <v>5</v>
      </c>
      <c r="F628" s="401">
        <v>7738</v>
      </c>
      <c r="G628" s="402">
        <v>7892</v>
      </c>
      <c r="H628" s="401">
        <v>16814</v>
      </c>
      <c r="I628" s="402">
        <v>17150</v>
      </c>
      <c r="J628" s="401">
        <v>8922</v>
      </c>
      <c r="K628" s="402">
        <v>9012</v>
      </c>
      <c r="L628" s="401">
        <v>19100</v>
      </c>
      <c r="M628" s="402">
        <v>19290</v>
      </c>
      <c r="N628" s="401"/>
      <c r="O628" s="402"/>
      <c r="P628" s="401"/>
      <c r="Q628" s="402"/>
      <c r="R628" s="401"/>
      <c r="S628" s="402"/>
      <c r="T628" s="401"/>
      <c r="U628" s="402"/>
      <c r="V628" s="401"/>
      <c r="W628" s="402"/>
      <c r="X628" s="401"/>
      <c r="Y628" s="402"/>
      <c r="Z628" s="401"/>
      <c r="AA628" s="402"/>
      <c r="AB628" s="401"/>
      <c r="AC628" s="402"/>
      <c r="AD628" s="401"/>
      <c r="AE628" s="402"/>
      <c r="AF628" s="401"/>
      <c r="AG628" s="402"/>
      <c r="AH628" s="401"/>
      <c r="AI628" s="402"/>
      <c r="AJ628" s="401"/>
      <c r="AK628" s="402"/>
      <c r="AL628" s="401"/>
      <c r="AM628" s="402"/>
      <c r="AN628" s="401"/>
      <c r="AO628" s="402"/>
      <c r="AP628" s="53"/>
      <c r="AQ628" s="53"/>
      <c r="AR628" s="53"/>
    </row>
    <row r="629" spans="1:44">
      <c r="A629" s="266" t="s">
        <v>485</v>
      </c>
      <c r="B629" s="267" t="s">
        <v>489</v>
      </c>
      <c r="C629" s="472"/>
      <c r="D629" s="473">
        <v>237792</v>
      </c>
      <c r="E629" s="474">
        <v>5</v>
      </c>
      <c r="F629" s="401">
        <v>7784</v>
      </c>
      <c r="G629" s="402">
        <v>7784</v>
      </c>
      <c r="H629" s="401">
        <v>18224</v>
      </c>
      <c r="I629" s="402">
        <v>18224</v>
      </c>
      <c r="J629" s="401">
        <v>8550</v>
      </c>
      <c r="K629" s="402">
        <v>8730</v>
      </c>
      <c r="L629" s="401">
        <v>12402</v>
      </c>
      <c r="M629" s="402">
        <v>12906</v>
      </c>
      <c r="N629" s="401"/>
      <c r="O629" s="402"/>
      <c r="P629" s="401"/>
      <c r="Q629" s="402"/>
      <c r="R629" s="401"/>
      <c r="S629" s="402"/>
      <c r="T629" s="401"/>
      <c r="U629" s="402"/>
      <c r="V629" s="401"/>
      <c r="W629" s="402"/>
      <c r="X629" s="401"/>
      <c r="Y629" s="402"/>
      <c r="Z629" s="401"/>
      <c r="AA629" s="402"/>
      <c r="AB629" s="401"/>
      <c r="AC629" s="402"/>
      <c r="AD629" s="401"/>
      <c r="AE629" s="402"/>
      <c r="AF629" s="401"/>
      <c r="AG629" s="402"/>
      <c r="AH629" s="401"/>
      <c r="AI629" s="402"/>
      <c r="AJ629" s="401"/>
      <c r="AK629" s="402"/>
      <c r="AL629" s="401"/>
      <c r="AM629" s="402"/>
      <c r="AN629" s="401"/>
      <c r="AO629" s="402"/>
      <c r="AP629" s="53"/>
      <c r="AQ629" s="53"/>
      <c r="AR629" s="53"/>
    </row>
    <row r="630" spans="1:44">
      <c r="A630" s="269" t="s">
        <v>485</v>
      </c>
      <c r="B630" s="479" t="s">
        <v>493</v>
      </c>
      <c r="C630" s="479" t="s">
        <v>1030</v>
      </c>
      <c r="D630" s="525">
        <v>237932</v>
      </c>
      <c r="E630" s="526">
        <v>4</v>
      </c>
      <c r="F630" s="401">
        <v>8150</v>
      </c>
      <c r="G630" s="402">
        <v>8546</v>
      </c>
      <c r="H630" s="401">
        <v>16090</v>
      </c>
      <c r="I630" s="402">
        <v>16764</v>
      </c>
      <c r="J630" s="401">
        <v>8280</v>
      </c>
      <c r="K630" s="402">
        <v>8446</v>
      </c>
      <c r="L630" s="406">
        <v>8280</v>
      </c>
      <c r="M630" s="402">
        <v>8446</v>
      </c>
      <c r="N630" s="401"/>
      <c r="O630" s="402"/>
      <c r="P630" s="401"/>
      <c r="Q630" s="402"/>
      <c r="R630" s="401"/>
      <c r="S630" s="402"/>
      <c r="T630" s="401"/>
      <c r="U630" s="402"/>
      <c r="V630" s="401"/>
      <c r="W630" s="402"/>
      <c r="X630" s="401"/>
      <c r="Y630" s="402"/>
      <c r="Z630" s="401"/>
      <c r="AA630" s="402"/>
      <c r="AB630" s="401"/>
      <c r="AC630" s="402"/>
      <c r="AD630" s="401"/>
      <c r="AE630" s="402"/>
      <c r="AF630" s="401"/>
      <c r="AG630" s="402"/>
      <c r="AH630" s="401"/>
      <c r="AI630" s="402"/>
      <c r="AJ630" s="401"/>
      <c r="AK630" s="402"/>
      <c r="AL630" s="401"/>
      <c r="AM630" s="402"/>
      <c r="AN630" s="401"/>
      <c r="AO630" s="402"/>
      <c r="AP630" s="53"/>
      <c r="AQ630" s="53"/>
      <c r="AR630" s="53"/>
    </row>
    <row r="631" spans="1:44">
      <c r="A631" s="266" t="s">
        <v>485</v>
      </c>
      <c r="B631" s="267" t="s">
        <v>1038</v>
      </c>
      <c r="C631" s="472"/>
      <c r="D631" s="473">
        <v>237215</v>
      </c>
      <c r="E631" s="474">
        <v>6</v>
      </c>
      <c r="F631" s="401">
        <v>7584</v>
      </c>
      <c r="G631" s="402">
        <v>8084</v>
      </c>
      <c r="H631" s="401">
        <v>14448</v>
      </c>
      <c r="I631" s="402">
        <v>15282</v>
      </c>
      <c r="J631" s="401"/>
      <c r="K631" s="402"/>
      <c r="L631" s="401"/>
      <c r="M631" s="402"/>
      <c r="N631" s="401"/>
      <c r="O631" s="402"/>
      <c r="P631" s="401"/>
      <c r="Q631" s="402"/>
      <c r="R631" s="401"/>
      <c r="S631" s="402"/>
      <c r="T631" s="401"/>
      <c r="U631" s="402"/>
      <c r="V631" s="401"/>
      <c r="W631" s="402"/>
      <c r="X631" s="401"/>
      <c r="Y631" s="402"/>
      <c r="Z631" s="401"/>
      <c r="AA631" s="402"/>
      <c r="AB631" s="401"/>
      <c r="AC631" s="402"/>
      <c r="AD631" s="401"/>
      <c r="AE631" s="402"/>
      <c r="AF631" s="401"/>
      <c r="AG631" s="402"/>
      <c r="AH631" s="401"/>
      <c r="AI631" s="402"/>
      <c r="AJ631" s="401"/>
      <c r="AK631" s="402"/>
      <c r="AL631" s="401"/>
      <c r="AM631" s="402"/>
      <c r="AN631" s="401"/>
      <c r="AO631" s="402"/>
      <c r="AP631" s="53"/>
      <c r="AQ631" s="53"/>
      <c r="AR631" s="53"/>
    </row>
    <row r="632" spans="1:44" s="179" customFormat="1" ht="15.4" customHeight="1">
      <c r="A632" s="266" t="s">
        <v>485</v>
      </c>
      <c r="B632" s="267" t="s">
        <v>1039</v>
      </c>
      <c r="C632" s="517"/>
      <c r="D632" s="473">
        <v>237385</v>
      </c>
      <c r="E632" s="474">
        <v>6</v>
      </c>
      <c r="F632" s="401">
        <v>7886</v>
      </c>
      <c r="G632" s="402">
        <v>7886</v>
      </c>
      <c r="H632" s="401">
        <v>9514</v>
      </c>
      <c r="I632" s="402">
        <v>9514</v>
      </c>
      <c r="J632" s="401"/>
      <c r="K632" s="402"/>
      <c r="L632" s="401"/>
      <c r="M632" s="402"/>
      <c r="N632" s="401"/>
      <c r="O632" s="402"/>
      <c r="P632" s="401"/>
      <c r="Q632" s="402"/>
      <c r="R632" s="401"/>
      <c r="S632" s="402"/>
      <c r="T632" s="401"/>
      <c r="U632" s="402"/>
      <c r="V632" s="401"/>
      <c r="W632" s="402"/>
      <c r="X632" s="401"/>
      <c r="Y632" s="402"/>
      <c r="Z632" s="401"/>
      <c r="AA632" s="402"/>
      <c r="AB632" s="401"/>
      <c r="AC632" s="402"/>
      <c r="AD632" s="401"/>
      <c r="AE632" s="402"/>
      <c r="AF632" s="401"/>
      <c r="AG632" s="402"/>
      <c r="AH632" s="401"/>
      <c r="AI632" s="402"/>
      <c r="AJ632" s="401"/>
      <c r="AK632" s="402"/>
      <c r="AL632" s="401"/>
      <c r="AM632" s="402"/>
      <c r="AN632" s="401"/>
      <c r="AO632" s="402"/>
    </row>
    <row r="633" spans="1:44">
      <c r="A633" s="266" t="s">
        <v>485</v>
      </c>
      <c r="B633" s="479" t="s">
        <v>494</v>
      </c>
      <c r="C633" s="479" t="s">
        <v>1030</v>
      </c>
      <c r="D633" s="525">
        <v>237899</v>
      </c>
      <c r="E633" s="526">
        <v>4</v>
      </c>
      <c r="F633" s="401">
        <v>7912</v>
      </c>
      <c r="G633" s="402">
        <v>7912</v>
      </c>
      <c r="H633" s="401">
        <v>13600</v>
      </c>
      <c r="I633" s="402">
        <v>13600</v>
      </c>
      <c r="J633" s="401">
        <v>8224</v>
      </c>
      <c r="K633" s="402">
        <v>8224</v>
      </c>
      <c r="L633" s="401">
        <v>19030</v>
      </c>
      <c r="M633" s="402">
        <v>19030</v>
      </c>
      <c r="N633" s="401"/>
      <c r="O633" s="402"/>
      <c r="P633" s="401"/>
      <c r="Q633" s="402"/>
      <c r="R633" s="401"/>
      <c r="S633" s="402"/>
      <c r="T633" s="401"/>
      <c r="U633" s="402"/>
      <c r="V633" s="401"/>
      <c r="W633" s="402"/>
      <c r="X633" s="401"/>
      <c r="Y633" s="402"/>
      <c r="Z633" s="401"/>
      <c r="AA633" s="402"/>
      <c r="AB633" s="401"/>
      <c r="AC633" s="402"/>
      <c r="AD633" s="401"/>
      <c r="AE633" s="402"/>
      <c r="AF633" s="401"/>
      <c r="AG633" s="402"/>
      <c r="AH633" s="401"/>
      <c r="AI633" s="402"/>
      <c r="AJ633" s="401"/>
      <c r="AK633" s="402"/>
      <c r="AL633" s="401"/>
      <c r="AM633" s="402"/>
      <c r="AN633" s="401"/>
      <c r="AO633" s="402"/>
      <c r="AP633" s="53"/>
      <c r="AQ633" s="53"/>
      <c r="AR633" s="53"/>
    </row>
    <row r="634" spans="1:44">
      <c r="A634" s="266" t="s">
        <v>485</v>
      </c>
      <c r="B634" s="267" t="s">
        <v>496</v>
      </c>
      <c r="C634" s="472"/>
      <c r="D634" s="473">
        <v>237950</v>
      </c>
      <c r="E634" s="474">
        <v>6</v>
      </c>
      <c r="F634" s="401">
        <v>7560</v>
      </c>
      <c r="G634" s="402">
        <v>7728</v>
      </c>
      <c r="H634" s="401">
        <v>18912</v>
      </c>
      <c r="I634" s="402">
        <v>19296</v>
      </c>
      <c r="J634" s="401"/>
      <c r="K634" s="402"/>
      <c r="L634" s="401"/>
      <c r="M634" s="402"/>
      <c r="N634" s="401"/>
      <c r="O634" s="402"/>
      <c r="P634" s="401"/>
      <c r="Q634" s="402"/>
      <c r="R634" s="401"/>
      <c r="S634" s="402"/>
      <c r="T634" s="401"/>
      <c r="U634" s="402"/>
      <c r="V634" s="401"/>
      <c r="W634" s="402"/>
      <c r="X634" s="401"/>
      <c r="Y634" s="402"/>
      <c r="Z634" s="401"/>
      <c r="AA634" s="402"/>
      <c r="AB634" s="401"/>
      <c r="AC634" s="402"/>
      <c r="AD634" s="401"/>
      <c r="AE634" s="402"/>
      <c r="AF634" s="401"/>
      <c r="AG634" s="402"/>
      <c r="AH634" s="401"/>
      <c r="AI634" s="402"/>
      <c r="AJ634" s="401"/>
      <c r="AK634" s="402"/>
      <c r="AL634" s="401"/>
      <c r="AM634" s="402"/>
      <c r="AN634" s="401"/>
      <c r="AO634" s="402"/>
      <c r="AP634" s="53"/>
      <c r="AQ634" s="53"/>
      <c r="AR634" s="53"/>
    </row>
    <row r="635" spans="1:44" hidden="1">
      <c r="A635" s="266" t="s">
        <v>485</v>
      </c>
      <c r="B635" s="267" t="s">
        <v>497</v>
      </c>
      <c r="C635" s="472"/>
      <c r="D635" s="473">
        <v>237701</v>
      </c>
      <c r="E635" s="474">
        <v>7</v>
      </c>
      <c r="F635" s="401">
        <v>4536</v>
      </c>
      <c r="G635" s="402">
        <v>4632</v>
      </c>
      <c r="H635" s="401">
        <v>11544</v>
      </c>
      <c r="I635" s="402">
        <v>11784</v>
      </c>
      <c r="J635" s="401"/>
      <c r="K635" s="402"/>
      <c r="L635" s="401"/>
      <c r="M635" s="402"/>
      <c r="N635" s="401"/>
      <c r="O635" s="402"/>
      <c r="P635" s="401"/>
      <c r="Q635" s="402"/>
      <c r="R635" s="401"/>
      <c r="S635" s="402"/>
      <c r="T635" s="401"/>
      <c r="U635" s="402"/>
      <c r="V635" s="401"/>
      <c r="W635" s="402"/>
      <c r="X635" s="401"/>
      <c r="Y635" s="402"/>
      <c r="Z635" s="401"/>
      <c r="AA635" s="402"/>
      <c r="AB635" s="401"/>
      <c r="AC635" s="402"/>
      <c r="AD635" s="401"/>
      <c r="AE635" s="402"/>
      <c r="AF635" s="401"/>
      <c r="AG635" s="402"/>
      <c r="AH635" s="401"/>
      <c r="AI635" s="402"/>
      <c r="AJ635" s="401"/>
      <c r="AK635" s="402"/>
      <c r="AL635" s="401"/>
      <c r="AM635" s="402"/>
      <c r="AN635" s="401"/>
      <c r="AO635" s="402"/>
      <c r="AP635" s="53"/>
      <c r="AQ635" s="53"/>
      <c r="AR635" s="53"/>
    </row>
    <row r="636" spans="1:44" hidden="1">
      <c r="A636" s="266" t="s">
        <v>485</v>
      </c>
      <c r="B636" s="267" t="s">
        <v>495</v>
      </c>
      <c r="C636" s="472"/>
      <c r="D636" s="473">
        <v>237686</v>
      </c>
      <c r="E636" s="474">
        <v>7</v>
      </c>
      <c r="F636" s="401">
        <v>3940</v>
      </c>
      <c r="G636" s="402">
        <v>3940</v>
      </c>
      <c r="H636" s="401">
        <v>8692</v>
      </c>
      <c r="I636" s="402">
        <v>8692</v>
      </c>
      <c r="J636" s="401"/>
      <c r="K636" s="402"/>
      <c r="L636" s="401"/>
      <c r="M636" s="402"/>
      <c r="N636" s="401"/>
      <c r="O636" s="402"/>
      <c r="P636" s="401"/>
      <c r="Q636" s="402"/>
      <c r="R636" s="401"/>
      <c r="S636" s="402"/>
      <c r="T636" s="401"/>
      <c r="U636" s="402"/>
      <c r="V636" s="401"/>
      <c r="W636" s="402"/>
      <c r="X636" s="401"/>
      <c r="Y636" s="402"/>
      <c r="Z636" s="401"/>
      <c r="AA636" s="402"/>
      <c r="AB636" s="401"/>
      <c r="AC636" s="402"/>
      <c r="AD636" s="401"/>
      <c r="AE636" s="402"/>
      <c r="AF636" s="401"/>
      <c r="AG636" s="402"/>
      <c r="AH636" s="401"/>
      <c r="AI636" s="402"/>
      <c r="AJ636" s="401"/>
      <c r="AK636" s="402"/>
      <c r="AL636" s="401"/>
      <c r="AM636" s="402"/>
      <c r="AN636" s="401"/>
      <c r="AO636" s="402"/>
      <c r="AP636" s="53"/>
      <c r="AQ636" s="53"/>
      <c r="AR636" s="53"/>
    </row>
    <row r="637" spans="1:44" hidden="1">
      <c r="A637" s="269" t="s">
        <v>485</v>
      </c>
      <c r="B637" s="267" t="s">
        <v>500</v>
      </c>
      <c r="C637" s="472" t="s">
        <v>997</v>
      </c>
      <c r="D637" s="473">
        <v>446774</v>
      </c>
      <c r="E637" s="518">
        <v>9</v>
      </c>
      <c r="F637" s="401">
        <v>4128</v>
      </c>
      <c r="G637" s="402">
        <v>4128</v>
      </c>
      <c r="H637" s="401">
        <v>7464</v>
      </c>
      <c r="I637" s="402">
        <v>7464</v>
      </c>
      <c r="J637" s="401"/>
      <c r="K637" s="402"/>
      <c r="L637" s="401"/>
      <c r="M637" s="402"/>
      <c r="N637" s="401"/>
      <c r="O637" s="402"/>
      <c r="P637" s="401"/>
      <c r="Q637" s="402"/>
      <c r="R637" s="401"/>
      <c r="S637" s="402"/>
      <c r="T637" s="401"/>
      <c r="U637" s="402"/>
      <c r="V637" s="401"/>
      <c r="W637" s="402"/>
      <c r="X637" s="401"/>
      <c r="Y637" s="402"/>
      <c r="Z637" s="401"/>
      <c r="AA637" s="402"/>
      <c r="AB637" s="401"/>
      <c r="AC637" s="402"/>
      <c r="AD637" s="401"/>
      <c r="AE637" s="402"/>
      <c r="AF637" s="401"/>
      <c r="AG637" s="402"/>
      <c r="AH637" s="401"/>
      <c r="AI637" s="402"/>
      <c r="AJ637" s="401"/>
      <c r="AK637" s="402"/>
      <c r="AL637" s="401"/>
      <c r="AM637" s="402"/>
      <c r="AN637" s="401"/>
      <c r="AO637" s="402"/>
      <c r="AP637" s="53"/>
      <c r="AQ637" s="53"/>
      <c r="AR637" s="53"/>
    </row>
    <row r="638" spans="1:44" hidden="1">
      <c r="A638" s="269" t="s">
        <v>485</v>
      </c>
      <c r="B638" s="292" t="s">
        <v>501</v>
      </c>
      <c r="C638" s="472"/>
      <c r="D638" s="473">
        <v>484932</v>
      </c>
      <c r="E638" s="474">
        <v>10</v>
      </c>
      <c r="F638" s="401">
        <v>4502</v>
      </c>
      <c r="G638" s="402">
        <v>4502</v>
      </c>
      <c r="H638" s="401">
        <v>10720</v>
      </c>
      <c r="I638" s="402">
        <v>10720</v>
      </c>
      <c r="J638" s="401"/>
      <c r="K638" s="402"/>
      <c r="L638" s="401"/>
      <c r="M638" s="402"/>
      <c r="N638" s="401"/>
      <c r="O638" s="402"/>
      <c r="P638" s="401"/>
      <c r="Q638" s="402"/>
      <c r="R638" s="401"/>
      <c r="S638" s="402"/>
      <c r="T638" s="401"/>
      <c r="U638" s="402"/>
      <c r="V638" s="401"/>
      <c r="W638" s="402"/>
      <c r="X638" s="401"/>
      <c r="Y638" s="402"/>
      <c r="Z638" s="401"/>
      <c r="AA638" s="402"/>
      <c r="AB638" s="401"/>
      <c r="AC638" s="402"/>
      <c r="AD638" s="401"/>
      <c r="AE638" s="402"/>
      <c r="AF638" s="401"/>
      <c r="AG638" s="402"/>
      <c r="AH638" s="401"/>
      <c r="AI638" s="402"/>
      <c r="AJ638" s="401"/>
      <c r="AK638" s="402"/>
      <c r="AL638" s="401"/>
      <c r="AM638" s="402"/>
      <c r="AN638" s="401"/>
      <c r="AO638" s="402"/>
      <c r="AP638" s="53"/>
      <c r="AQ638" s="53"/>
      <c r="AR638" s="53"/>
    </row>
    <row r="639" spans="1:44" hidden="1">
      <c r="A639" s="266" t="s">
        <v>485</v>
      </c>
      <c r="B639" s="267" t="s">
        <v>502</v>
      </c>
      <c r="C639" s="472"/>
      <c r="D639" s="473">
        <v>438708</v>
      </c>
      <c r="E639" s="474">
        <v>10</v>
      </c>
      <c r="F639" s="401">
        <v>3768</v>
      </c>
      <c r="G639" s="402">
        <v>3768</v>
      </c>
      <c r="H639" s="401">
        <v>8520</v>
      </c>
      <c r="I639" s="402">
        <v>8520</v>
      </c>
      <c r="J639" s="401"/>
      <c r="K639" s="402"/>
      <c r="L639" s="401"/>
      <c r="M639" s="402"/>
      <c r="N639" s="401"/>
      <c r="O639" s="402"/>
      <c r="P639" s="401"/>
      <c r="Q639" s="402"/>
      <c r="R639" s="401"/>
      <c r="S639" s="402"/>
      <c r="T639" s="401"/>
      <c r="U639" s="402"/>
      <c r="V639" s="401"/>
      <c r="W639" s="402"/>
      <c r="X639" s="401"/>
      <c r="Y639" s="402"/>
      <c r="Z639" s="401"/>
      <c r="AA639" s="402"/>
      <c r="AB639" s="401"/>
      <c r="AC639" s="402"/>
      <c r="AD639" s="401"/>
      <c r="AE639" s="402"/>
      <c r="AF639" s="401"/>
      <c r="AG639" s="402"/>
      <c r="AH639" s="401"/>
      <c r="AI639" s="402"/>
      <c r="AJ639" s="401"/>
      <c r="AK639" s="402"/>
      <c r="AL639" s="401"/>
      <c r="AM639" s="402"/>
      <c r="AN639" s="401"/>
      <c r="AO639" s="402"/>
      <c r="AP639" s="53"/>
      <c r="AQ639" s="53"/>
      <c r="AR639" s="53"/>
    </row>
    <row r="640" spans="1:44" hidden="1">
      <c r="A640" s="269" t="s">
        <v>485</v>
      </c>
      <c r="B640" s="267" t="s">
        <v>503</v>
      </c>
      <c r="C640" s="472"/>
      <c r="D640" s="473">
        <v>444954</v>
      </c>
      <c r="E640" s="474">
        <v>10</v>
      </c>
      <c r="F640" s="401">
        <v>4464</v>
      </c>
      <c r="G640" s="402">
        <v>4692</v>
      </c>
      <c r="H640" s="401">
        <v>11112</v>
      </c>
      <c r="I640" s="402">
        <v>11688</v>
      </c>
      <c r="J640" s="401"/>
      <c r="K640" s="402"/>
      <c r="L640" s="401"/>
      <c r="M640" s="402"/>
      <c r="N640" s="401"/>
      <c r="O640" s="402"/>
      <c r="P640" s="401"/>
      <c r="Q640" s="402"/>
      <c r="R640" s="401"/>
      <c r="S640" s="402"/>
      <c r="T640" s="401"/>
      <c r="U640" s="402"/>
      <c r="V640" s="401"/>
      <c r="W640" s="402"/>
      <c r="X640" s="401"/>
      <c r="Y640" s="402"/>
      <c r="Z640" s="401"/>
      <c r="AA640" s="402"/>
      <c r="AB640" s="401"/>
      <c r="AC640" s="402"/>
      <c r="AD640" s="401"/>
      <c r="AE640" s="402"/>
      <c r="AF640" s="401"/>
      <c r="AG640" s="402"/>
      <c r="AH640" s="401"/>
      <c r="AI640" s="402"/>
      <c r="AJ640" s="401"/>
      <c r="AK640" s="402"/>
      <c r="AL640" s="401"/>
      <c r="AM640" s="402"/>
      <c r="AN640" s="401"/>
      <c r="AO640" s="402"/>
      <c r="AP640" s="53"/>
      <c r="AQ640" s="53"/>
      <c r="AR640" s="53"/>
    </row>
    <row r="641" spans="1:44" s="179" customFormat="1" ht="15.4" hidden="1" customHeight="1">
      <c r="A641" s="269" t="s">
        <v>485</v>
      </c>
      <c r="B641" s="267" t="s">
        <v>498</v>
      </c>
      <c r="C641" s="516"/>
      <c r="D641" s="473">
        <v>447582</v>
      </c>
      <c r="E641" s="474">
        <v>10</v>
      </c>
      <c r="F641" s="401">
        <v>4372</v>
      </c>
      <c r="G641" s="402">
        <v>4590</v>
      </c>
      <c r="H641" s="401">
        <v>6900</v>
      </c>
      <c r="I641" s="402">
        <v>7245</v>
      </c>
      <c r="J641" s="401"/>
      <c r="K641" s="402"/>
      <c r="L641" s="401"/>
      <c r="M641" s="402"/>
      <c r="N641" s="401"/>
      <c r="O641" s="402"/>
      <c r="P641" s="401"/>
      <c r="Q641" s="402"/>
      <c r="R641" s="401"/>
      <c r="S641" s="402"/>
      <c r="T641" s="401"/>
      <c r="U641" s="402"/>
      <c r="V641" s="401"/>
      <c r="W641" s="402"/>
      <c r="X641" s="401"/>
      <c r="Y641" s="402"/>
      <c r="Z641" s="401"/>
      <c r="AA641" s="402"/>
      <c r="AB641" s="401"/>
      <c r="AC641" s="402"/>
      <c r="AD641" s="401"/>
      <c r="AE641" s="402"/>
      <c r="AF641" s="401"/>
      <c r="AG641" s="402"/>
      <c r="AH641" s="401"/>
      <c r="AI641" s="402"/>
      <c r="AJ641" s="401"/>
      <c r="AK641" s="402"/>
      <c r="AL641" s="401"/>
      <c r="AM641" s="402"/>
      <c r="AN641" s="401"/>
      <c r="AO641" s="402"/>
    </row>
    <row r="642" spans="1:44" s="179" customFormat="1" ht="15.4" hidden="1" customHeight="1">
      <c r="A642" s="269" t="s">
        <v>485</v>
      </c>
      <c r="B642" s="267" t="s">
        <v>499</v>
      </c>
      <c r="C642" s="516"/>
      <c r="D642" s="473">
        <v>443492</v>
      </c>
      <c r="E642" s="474">
        <v>10</v>
      </c>
      <c r="F642" s="401">
        <v>5086</v>
      </c>
      <c r="G642" s="402">
        <v>5086</v>
      </c>
      <c r="H642" s="401">
        <v>12056</v>
      </c>
      <c r="I642" s="402">
        <v>12056</v>
      </c>
      <c r="J642" s="401"/>
      <c r="K642" s="402"/>
      <c r="L642" s="401"/>
      <c r="M642" s="402"/>
      <c r="N642" s="401"/>
      <c r="O642" s="402"/>
      <c r="P642" s="401"/>
      <c r="Q642" s="402"/>
      <c r="R642" s="401"/>
      <c r="S642" s="402"/>
      <c r="T642" s="401"/>
      <c r="U642" s="402"/>
      <c r="V642" s="401"/>
      <c r="W642" s="402"/>
      <c r="X642" s="401"/>
      <c r="Y642" s="402"/>
      <c r="Z642" s="401"/>
      <c r="AA642" s="402"/>
      <c r="AB642" s="401"/>
      <c r="AC642" s="402"/>
      <c r="AD642" s="401"/>
      <c r="AE642" s="402"/>
      <c r="AF642" s="401"/>
      <c r="AG642" s="402"/>
      <c r="AH642" s="401"/>
      <c r="AI642" s="402"/>
      <c r="AJ642" s="401"/>
      <c r="AK642" s="402"/>
      <c r="AL642" s="401"/>
      <c r="AM642" s="402"/>
      <c r="AN642" s="401"/>
      <c r="AO642" s="402"/>
    </row>
    <row r="643" spans="1:44" hidden="1">
      <c r="A643" s="269" t="s">
        <v>485</v>
      </c>
      <c r="B643" s="267" t="s">
        <v>504</v>
      </c>
      <c r="C643" s="472"/>
      <c r="D643" s="473">
        <v>237817</v>
      </c>
      <c r="E643" s="474">
        <v>10</v>
      </c>
      <c r="F643" s="401">
        <v>3864</v>
      </c>
      <c r="G643" s="402">
        <v>3864</v>
      </c>
      <c r="H643" s="401">
        <v>6094</v>
      </c>
      <c r="I643" s="402">
        <v>6250</v>
      </c>
      <c r="J643" s="401"/>
      <c r="K643" s="402"/>
      <c r="L643" s="401"/>
      <c r="M643" s="402"/>
      <c r="N643" s="401"/>
      <c r="O643" s="402"/>
      <c r="P643" s="401"/>
      <c r="Q643" s="402"/>
      <c r="R643" s="401"/>
      <c r="S643" s="402"/>
      <c r="T643" s="401"/>
      <c r="U643" s="402"/>
      <c r="V643" s="401"/>
      <c r="W643" s="402"/>
      <c r="X643" s="401"/>
      <c r="Y643" s="402"/>
      <c r="Z643" s="401"/>
      <c r="AA643" s="402"/>
      <c r="AB643" s="401"/>
      <c r="AC643" s="402"/>
      <c r="AD643" s="401"/>
      <c r="AE643" s="402"/>
      <c r="AF643" s="401"/>
      <c r="AG643" s="402"/>
      <c r="AH643" s="401"/>
      <c r="AI643" s="402"/>
      <c r="AJ643" s="401"/>
      <c r="AK643" s="402"/>
      <c r="AL643" s="401"/>
      <c r="AM643" s="402"/>
      <c r="AN643" s="401"/>
      <c r="AO643" s="402"/>
      <c r="AP643" s="53"/>
      <c r="AQ643" s="53"/>
      <c r="AR643" s="53"/>
    </row>
    <row r="644" spans="1:44" hidden="1">
      <c r="A644" s="269" t="s">
        <v>485</v>
      </c>
      <c r="B644" s="267" t="s">
        <v>505</v>
      </c>
      <c r="C644" s="475"/>
      <c r="D644" s="473">
        <v>238014</v>
      </c>
      <c r="E644" s="474">
        <v>10</v>
      </c>
      <c r="F644" s="401">
        <v>3868</v>
      </c>
      <c r="G644" s="402">
        <v>3940</v>
      </c>
      <c r="H644" s="401">
        <v>11452</v>
      </c>
      <c r="I644" s="402">
        <v>11668</v>
      </c>
      <c r="J644" s="401"/>
      <c r="K644" s="402"/>
      <c r="L644" s="401"/>
      <c r="M644" s="402"/>
      <c r="N644" s="401"/>
      <c r="O644" s="402"/>
      <c r="P644" s="401"/>
      <c r="Q644" s="402"/>
      <c r="R644" s="401"/>
      <c r="S644" s="402"/>
      <c r="T644" s="401"/>
      <c r="U644" s="402"/>
      <c r="V644" s="401"/>
      <c r="W644" s="402"/>
      <c r="X644" s="401"/>
      <c r="Y644" s="402"/>
      <c r="Z644" s="401"/>
      <c r="AA644" s="402"/>
      <c r="AB644" s="401"/>
      <c r="AC644" s="402"/>
      <c r="AD644" s="401"/>
      <c r="AE644" s="402"/>
      <c r="AF644" s="401"/>
      <c r="AG644" s="402"/>
      <c r="AH644" s="401"/>
      <c r="AI644" s="402"/>
      <c r="AJ644" s="401"/>
      <c r="AK644" s="402"/>
      <c r="AL644" s="401"/>
      <c r="AM644" s="402"/>
      <c r="AN644" s="401"/>
      <c r="AO644" s="402"/>
      <c r="AP644" s="53"/>
      <c r="AQ644" s="53"/>
      <c r="AR644" s="53"/>
    </row>
    <row r="645" spans="1:44" s="179" customFormat="1" ht="15" hidden="1" customHeight="1">
      <c r="A645" s="269" t="s">
        <v>485</v>
      </c>
      <c r="B645" s="267" t="s">
        <v>506</v>
      </c>
      <c r="C645" s="519"/>
      <c r="D645" s="473">
        <v>237880</v>
      </c>
      <c r="E645" s="474">
        <v>15</v>
      </c>
      <c r="F645" s="412"/>
      <c r="G645" s="402"/>
      <c r="H645" s="401"/>
      <c r="I645" s="402"/>
      <c r="J645" s="401"/>
      <c r="K645" s="402"/>
      <c r="L645" s="401"/>
      <c r="M645" s="402"/>
      <c r="N645" s="401"/>
      <c r="O645" s="402"/>
      <c r="P645" s="401"/>
      <c r="Q645" s="402"/>
      <c r="R645" s="401"/>
      <c r="S645" s="402"/>
      <c r="T645" s="401"/>
      <c r="U645" s="402"/>
      <c r="V645" s="401"/>
      <c r="W645" s="402"/>
      <c r="X645" s="401"/>
      <c r="Y645" s="402"/>
      <c r="Z645" s="401"/>
      <c r="AA645" s="402"/>
      <c r="AB645" s="401"/>
      <c r="AC645" s="402"/>
      <c r="AD645" s="401"/>
      <c r="AE645" s="402"/>
      <c r="AF645" s="401"/>
      <c r="AG645" s="402"/>
      <c r="AH645" s="401">
        <v>22472</v>
      </c>
      <c r="AI645" s="402">
        <v>23472</v>
      </c>
      <c r="AJ645" s="401">
        <v>53710</v>
      </c>
      <c r="AK645" s="402">
        <v>54710</v>
      </c>
      <c r="AL645" s="401"/>
      <c r="AM645" s="402"/>
      <c r="AN645" s="401"/>
      <c r="AO645" s="402"/>
    </row>
    <row r="646" spans="1:44" s="179" customFormat="1" ht="15" hidden="1" customHeight="1">
      <c r="A646" s="239" t="s">
        <v>485</v>
      </c>
      <c r="B646" s="237" t="s">
        <v>644</v>
      </c>
      <c r="C646" s="520"/>
      <c r="D646" s="448">
        <v>237729</v>
      </c>
      <c r="E646" s="521">
        <v>14</v>
      </c>
      <c r="F646" s="401">
        <v>6058</v>
      </c>
      <c r="G646" s="402">
        <v>6779</v>
      </c>
      <c r="H646" s="401"/>
      <c r="I646" s="402"/>
      <c r="J646" s="401"/>
      <c r="K646" s="402"/>
      <c r="L646" s="401"/>
      <c r="M646" s="402"/>
      <c r="N646" s="401"/>
      <c r="O646" s="402"/>
      <c r="P646" s="401"/>
      <c r="Q646" s="402"/>
      <c r="R646" s="401"/>
      <c r="S646" s="402"/>
      <c r="T646" s="401"/>
      <c r="U646" s="402"/>
      <c r="V646" s="401"/>
      <c r="W646" s="402"/>
      <c r="X646" s="401"/>
      <c r="Y646" s="402"/>
      <c r="Z646" s="401"/>
      <c r="AA646" s="402"/>
      <c r="AB646" s="401"/>
      <c r="AC646" s="402"/>
      <c r="AD646" s="401"/>
      <c r="AE646" s="402"/>
      <c r="AF646" s="401"/>
      <c r="AG646" s="402"/>
      <c r="AH646" s="401"/>
      <c r="AI646" s="402"/>
      <c r="AJ646" s="401"/>
      <c r="AK646" s="402"/>
      <c r="AL646" s="401"/>
      <c r="AM646" s="402"/>
      <c r="AN646" s="401"/>
      <c r="AO646" s="402"/>
    </row>
    <row r="647" spans="1:44" s="179" customFormat="1" ht="15" hidden="1" customHeight="1">
      <c r="A647" s="239" t="s">
        <v>485</v>
      </c>
      <c r="B647" s="237" t="s">
        <v>645</v>
      </c>
      <c r="C647" s="520"/>
      <c r="D647" s="448">
        <v>237172</v>
      </c>
      <c r="E647" s="521">
        <v>14</v>
      </c>
      <c r="F647" s="401">
        <v>6550</v>
      </c>
      <c r="G647" s="402">
        <v>5439</v>
      </c>
      <c r="H647" s="401"/>
      <c r="I647" s="402"/>
      <c r="J647" s="401"/>
      <c r="K647" s="402"/>
      <c r="L647" s="401"/>
      <c r="M647" s="402"/>
      <c r="N647" s="401"/>
      <c r="O647" s="402"/>
      <c r="P647" s="401"/>
      <c r="Q647" s="402"/>
      <c r="R647" s="401"/>
      <c r="S647" s="402"/>
      <c r="T647" s="401"/>
      <c r="U647" s="402"/>
      <c r="V647" s="401"/>
      <c r="W647" s="402"/>
      <c r="X647" s="401"/>
      <c r="Y647" s="402"/>
      <c r="Z647" s="401"/>
      <c r="AA647" s="402"/>
      <c r="AB647" s="401"/>
      <c r="AC647" s="402"/>
      <c r="AD647" s="401"/>
      <c r="AE647" s="402"/>
      <c r="AF647" s="401"/>
      <c r="AG647" s="402"/>
      <c r="AH647" s="401"/>
      <c r="AI647" s="402"/>
      <c r="AJ647" s="401"/>
      <c r="AK647" s="402"/>
      <c r="AL647" s="401"/>
      <c r="AM647" s="402"/>
      <c r="AN647" s="401"/>
      <c r="AO647" s="402"/>
    </row>
    <row r="648" spans="1:44" s="179" customFormat="1" ht="15" hidden="1" customHeight="1">
      <c r="A648" s="239" t="s">
        <v>485</v>
      </c>
      <c r="B648" s="237" t="s">
        <v>646</v>
      </c>
      <c r="C648" s="520"/>
      <c r="D648" s="448">
        <v>237224</v>
      </c>
      <c r="E648" s="521">
        <v>14</v>
      </c>
      <c r="F648" s="401">
        <v>4250</v>
      </c>
      <c r="G648" s="402">
        <v>5525</v>
      </c>
      <c r="H648" s="401"/>
      <c r="I648" s="402"/>
      <c r="J648" s="401"/>
      <c r="K648" s="402"/>
      <c r="L648" s="401"/>
      <c r="M648" s="402"/>
      <c r="N648" s="401"/>
      <c r="O648" s="402"/>
      <c r="P648" s="401"/>
      <c r="Q648" s="402"/>
      <c r="R648" s="401"/>
      <c r="S648" s="402"/>
      <c r="T648" s="401"/>
      <c r="U648" s="402"/>
      <c r="V648" s="401"/>
      <c r="W648" s="402"/>
      <c r="X648" s="401"/>
      <c r="Y648" s="402"/>
      <c r="Z648" s="401"/>
      <c r="AA648" s="402"/>
      <c r="AB648" s="401"/>
      <c r="AC648" s="402"/>
      <c r="AD648" s="401"/>
      <c r="AE648" s="402"/>
      <c r="AF648" s="401"/>
      <c r="AG648" s="402"/>
      <c r="AH648" s="401"/>
      <c r="AI648" s="402"/>
      <c r="AJ648" s="401"/>
      <c r="AK648" s="402"/>
      <c r="AL648" s="401"/>
      <c r="AM648" s="402"/>
      <c r="AN648" s="401"/>
      <c r="AO648" s="402"/>
    </row>
    <row r="649" spans="1:44" s="179" customFormat="1" ht="15" hidden="1" customHeight="1">
      <c r="A649" s="239" t="s">
        <v>485</v>
      </c>
      <c r="B649" s="237" t="s">
        <v>508</v>
      </c>
      <c r="C649" s="520"/>
      <c r="D649" s="448">
        <v>237242</v>
      </c>
      <c r="E649" s="521">
        <v>14</v>
      </c>
      <c r="F649" s="401">
        <v>6125</v>
      </c>
      <c r="G649" s="402">
        <v>6105</v>
      </c>
      <c r="H649" s="401"/>
      <c r="I649" s="402"/>
      <c r="J649" s="401"/>
      <c r="K649" s="402"/>
      <c r="L649" s="401"/>
      <c r="M649" s="402"/>
      <c r="N649" s="401"/>
      <c r="O649" s="402"/>
      <c r="P649" s="401"/>
      <c r="Q649" s="402"/>
      <c r="R649" s="401"/>
      <c r="S649" s="402"/>
      <c r="T649" s="401"/>
      <c r="U649" s="402"/>
      <c r="V649" s="401"/>
      <c r="W649" s="402"/>
      <c r="X649" s="401"/>
      <c r="Y649" s="402"/>
      <c r="Z649" s="401"/>
      <c r="AA649" s="402"/>
      <c r="AB649" s="401"/>
      <c r="AC649" s="402"/>
      <c r="AD649" s="401"/>
      <c r="AE649" s="402"/>
      <c r="AF649" s="401"/>
      <c r="AG649" s="402"/>
      <c r="AH649" s="401"/>
      <c r="AI649" s="402"/>
      <c r="AJ649" s="401"/>
      <c r="AK649" s="402"/>
      <c r="AL649" s="401"/>
      <c r="AM649" s="402"/>
      <c r="AN649" s="401"/>
      <c r="AO649" s="402"/>
    </row>
    <row r="650" spans="1:44" s="179" customFormat="1" ht="15" hidden="1" customHeight="1">
      <c r="A650" s="239" t="s">
        <v>485</v>
      </c>
      <c r="B650" s="237" t="s">
        <v>647</v>
      </c>
      <c r="C650" s="520"/>
      <c r="D650" s="448">
        <v>430795</v>
      </c>
      <c r="E650" s="521">
        <v>14</v>
      </c>
      <c r="F650" s="401">
        <v>8681</v>
      </c>
      <c r="G650" s="402">
        <v>8681</v>
      </c>
      <c r="H650" s="401"/>
      <c r="I650" s="402"/>
      <c r="J650" s="401"/>
      <c r="K650" s="402"/>
      <c r="L650" s="401"/>
      <c r="M650" s="402"/>
      <c r="N650" s="401"/>
      <c r="O650" s="402"/>
      <c r="P650" s="401"/>
      <c r="Q650" s="402"/>
      <c r="R650" s="401"/>
      <c r="S650" s="402"/>
      <c r="T650" s="401"/>
      <c r="U650" s="402"/>
      <c r="V650" s="401"/>
      <c r="W650" s="402"/>
      <c r="X650" s="401"/>
      <c r="Y650" s="402"/>
      <c r="Z650" s="401"/>
      <c r="AA650" s="402"/>
      <c r="AB650" s="401"/>
      <c r="AC650" s="402"/>
      <c r="AD650" s="401"/>
      <c r="AE650" s="402"/>
      <c r="AF650" s="401"/>
      <c r="AG650" s="402"/>
      <c r="AH650" s="401"/>
      <c r="AI650" s="402"/>
      <c r="AJ650" s="401"/>
      <c r="AK650" s="402"/>
      <c r="AL650" s="401"/>
      <c r="AM650" s="402"/>
      <c r="AN650" s="401"/>
      <c r="AO650" s="402"/>
    </row>
    <row r="651" spans="1:44" s="179" customFormat="1" ht="15" hidden="1" customHeight="1">
      <c r="A651" s="239" t="s">
        <v>485</v>
      </c>
      <c r="B651" s="237" t="s">
        <v>509</v>
      </c>
      <c r="C651" s="520"/>
      <c r="D651" s="448">
        <v>413176</v>
      </c>
      <c r="E651" s="521">
        <v>14</v>
      </c>
      <c r="F651" s="401">
        <v>5727</v>
      </c>
      <c r="G651" s="402">
        <v>2830</v>
      </c>
      <c r="H651" s="401"/>
      <c r="I651" s="402"/>
      <c r="J651" s="401"/>
      <c r="K651" s="402"/>
      <c r="L651" s="401"/>
      <c r="M651" s="402"/>
      <c r="N651" s="401"/>
      <c r="O651" s="402"/>
      <c r="P651" s="401"/>
      <c r="Q651" s="402"/>
      <c r="R651" s="401"/>
      <c r="S651" s="402"/>
      <c r="T651" s="401"/>
      <c r="U651" s="402"/>
      <c r="V651" s="401"/>
      <c r="W651" s="402"/>
      <c r="X651" s="401"/>
      <c r="Y651" s="402"/>
      <c r="Z651" s="401"/>
      <c r="AA651" s="402"/>
      <c r="AB651" s="401"/>
      <c r="AC651" s="402"/>
      <c r="AD651" s="401"/>
      <c r="AE651" s="402"/>
      <c r="AF651" s="401"/>
      <c r="AG651" s="402"/>
      <c r="AH651" s="401"/>
      <c r="AI651" s="402"/>
      <c r="AJ651" s="401"/>
      <c r="AK651" s="402"/>
      <c r="AL651" s="401"/>
      <c r="AM651" s="402"/>
      <c r="AN651" s="401"/>
      <c r="AO651" s="402"/>
    </row>
    <row r="652" spans="1:44" s="179" customFormat="1" ht="15" hidden="1" customHeight="1">
      <c r="A652" s="239" t="s">
        <v>485</v>
      </c>
      <c r="B652" s="237" t="s">
        <v>510</v>
      </c>
      <c r="C652" s="520"/>
      <c r="D652" s="448">
        <v>237844</v>
      </c>
      <c r="E652" s="521">
        <v>14</v>
      </c>
      <c r="F652" s="401">
        <v>4558</v>
      </c>
      <c r="G652" s="402">
        <v>4592</v>
      </c>
      <c r="H652" s="401"/>
      <c r="I652" s="402"/>
      <c r="J652" s="401"/>
      <c r="K652" s="402"/>
      <c r="L652" s="401"/>
      <c r="M652" s="402"/>
      <c r="N652" s="401"/>
      <c r="O652" s="402"/>
      <c r="P652" s="401"/>
      <c r="Q652" s="402"/>
      <c r="R652" s="401"/>
      <c r="S652" s="402"/>
      <c r="T652" s="401"/>
      <c r="U652" s="402"/>
      <c r="V652" s="401"/>
      <c r="W652" s="402"/>
      <c r="X652" s="401"/>
      <c r="Y652" s="402"/>
      <c r="Z652" s="401"/>
      <c r="AA652" s="402"/>
      <c r="AB652" s="401"/>
      <c r="AC652" s="402"/>
      <c r="AD652" s="401"/>
      <c r="AE652" s="402"/>
      <c r="AF652" s="401"/>
      <c r="AG652" s="402"/>
      <c r="AH652" s="401"/>
      <c r="AI652" s="402"/>
      <c r="AJ652" s="401"/>
      <c r="AK652" s="402"/>
      <c r="AL652" s="401"/>
      <c r="AM652" s="402"/>
      <c r="AN652" s="401"/>
      <c r="AO652" s="402"/>
    </row>
    <row r="653" spans="1:44" s="179" customFormat="1" ht="15" hidden="1" customHeight="1">
      <c r="A653" s="239" t="s">
        <v>485</v>
      </c>
      <c r="B653" s="237" t="s">
        <v>511</v>
      </c>
      <c r="C653" s="520"/>
      <c r="D653" s="448">
        <v>431169</v>
      </c>
      <c r="E653" s="521">
        <v>14</v>
      </c>
      <c r="F653" s="401">
        <v>5092</v>
      </c>
      <c r="G653" s="402">
        <v>5557</v>
      </c>
      <c r="H653" s="401"/>
      <c r="I653" s="402"/>
      <c r="J653" s="401"/>
      <c r="K653" s="402"/>
      <c r="L653" s="401"/>
      <c r="M653" s="402"/>
      <c r="N653" s="401"/>
      <c r="O653" s="402"/>
      <c r="P653" s="401"/>
      <c r="Q653" s="402"/>
      <c r="R653" s="401"/>
      <c r="S653" s="402"/>
      <c r="T653" s="401"/>
      <c r="U653" s="402"/>
      <c r="V653" s="401"/>
      <c r="W653" s="402"/>
      <c r="X653" s="401"/>
      <c r="Y653" s="402"/>
      <c r="Z653" s="401"/>
      <c r="AA653" s="402"/>
      <c r="AB653" s="401"/>
      <c r="AC653" s="402"/>
      <c r="AD653" s="401"/>
      <c r="AE653" s="402"/>
      <c r="AF653" s="401"/>
      <c r="AG653" s="402"/>
      <c r="AH653" s="401"/>
      <c r="AI653" s="402"/>
      <c r="AJ653" s="401"/>
      <c r="AK653" s="402"/>
      <c r="AL653" s="401"/>
      <c r="AM653" s="402"/>
      <c r="AN653" s="401"/>
      <c r="AO653" s="402"/>
    </row>
    <row r="654" spans="1:44" s="179" customFormat="1" ht="15" hidden="1" customHeight="1">
      <c r="A654" s="239" t="s">
        <v>485</v>
      </c>
      <c r="B654" s="237" t="s">
        <v>512</v>
      </c>
      <c r="C654" s="520"/>
      <c r="D654" s="448">
        <v>237473</v>
      </c>
      <c r="E654" s="521">
        <v>14</v>
      </c>
      <c r="F654" s="401">
        <v>6177</v>
      </c>
      <c r="G654" s="402">
        <v>7623</v>
      </c>
      <c r="H654" s="401"/>
      <c r="I654" s="402"/>
      <c r="J654" s="401"/>
      <c r="K654" s="402"/>
      <c r="L654" s="401"/>
      <c r="M654" s="402"/>
      <c r="N654" s="401"/>
      <c r="O654" s="402"/>
      <c r="P654" s="401"/>
      <c r="Q654" s="402"/>
      <c r="R654" s="401"/>
      <c r="S654" s="402"/>
      <c r="T654" s="401"/>
      <c r="U654" s="402"/>
      <c r="V654" s="401"/>
      <c r="W654" s="402"/>
      <c r="X654" s="401"/>
      <c r="Y654" s="402"/>
      <c r="Z654" s="401"/>
      <c r="AA654" s="402"/>
      <c r="AB654" s="401"/>
      <c r="AC654" s="402"/>
      <c r="AD654" s="401"/>
      <c r="AE654" s="402"/>
      <c r="AF654" s="401"/>
      <c r="AG654" s="402"/>
      <c r="AH654" s="401"/>
      <c r="AI654" s="402"/>
      <c r="AJ654" s="401"/>
      <c r="AK654" s="402"/>
      <c r="AL654" s="401"/>
      <c r="AM654" s="402"/>
      <c r="AN654" s="401"/>
      <c r="AO654" s="402"/>
    </row>
    <row r="655" spans="1:44" s="179" customFormat="1" ht="15" hidden="1" customHeight="1">
      <c r="A655" s="239" t="s">
        <v>485</v>
      </c>
      <c r="B655" s="237" t="s">
        <v>513</v>
      </c>
      <c r="C655" s="520"/>
      <c r="D655" s="448">
        <v>446349</v>
      </c>
      <c r="E655" s="521">
        <v>14</v>
      </c>
      <c r="F655" s="401">
        <v>6002</v>
      </c>
      <c r="G655" s="402">
        <v>7428</v>
      </c>
      <c r="H655" s="401"/>
      <c r="I655" s="402"/>
      <c r="J655" s="401"/>
      <c r="K655" s="402"/>
      <c r="L655" s="401"/>
      <c r="M655" s="402"/>
      <c r="N655" s="401"/>
      <c r="O655" s="402"/>
      <c r="P655" s="401"/>
      <c r="Q655" s="402"/>
      <c r="R655" s="401"/>
      <c r="S655" s="402"/>
      <c r="T655" s="401"/>
      <c r="U655" s="402"/>
      <c r="V655" s="401"/>
      <c r="W655" s="402"/>
      <c r="X655" s="401"/>
      <c r="Y655" s="402"/>
      <c r="Z655" s="401"/>
      <c r="AA655" s="402"/>
      <c r="AB655" s="401"/>
      <c r="AC655" s="402"/>
      <c r="AD655" s="401"/>
      <c r="AE655" s="402"/>
      <c r="AF655" s="401"/>
      <c r="AG655" s="402"/>
      <c r="AH655" s="401"/>
      <c r="AI655" s="402"/>
      <c r="AJ655" s="401"/>
      <c r="AK655" s="402"/>
      <c r="AL655" s="401"/>
      <c r="AM655" s="402"/>
      <c r="AN655" s="401"/>
      <c r="AO655" s="402"/>
    </row>
    <row r="656" spans="1:44" s="179" customFormat="1" ht="15" hidden="1" customHeight="1">
      <c r="A656" s="239" t="s">
        <v>485</v>
      </c>
      <c r="B656" s="237" t="s">
        <v>648</v>
      </c>
      <c r="C656" s="520"/>
      <c r="D656" s="448">
        <v>237516</v>
      </c>
      <c r="E656" s="521">
        <v>14</v>
      </c>
      <c r="F656" s="401">
        <v>1250</v>
      </c>
      <c r="G656" s="402">
        <v>1250</v>
      </c>
      <c r="H656" s="401"/>
      <c r="I656" s="402"/>
      <c r="J656" s="401"/>
      <c r="K656" s="402"/>
      <c r="L656" s="401"/>
      <c r="M656" s="402"/>
      <c r="N656" s="401"/>
      <c r="O656" s="402"/>
      <c r="P656" s="401"/>
      <c r="Q656" s="402"/>
      <c r="R656" s="401"/>
      <c r="S656" s="402"/>
      <c r="T656" s="401"/>
      <c r="U656" s="402"/>
      <c r="V656" s="401"/>
      <c r="W656" s="402"/>
      <c r="X656" s="401"/>
      <c r="Y656" s="402"/>
      <c r="Z656" s="401"/>
      <c r="AA656" s="402"/>
      <c r="AB656" s="401"/>
      <c r="AC656" s="402"/>
      <c r="AD656" s="401"/>
      <c r="AE656" s="402"/>
      <c r="AF656" s="401"/>
      <c r="AG656" s="402"/>
      <c r="AH656" s="401"/>
      <c r="AI656" s="402"/>
      <c r="AJ656" s="401"/>
      <c r="AK656" s="402"/>
      <c r="AL656" s="401"/>
      <c r="AM656" s="402"/>
      <c r="AN656" s="401"/>
      <c r="AO656" s="402"/>
    </row>
    <row r="657" spans="1:44" s="179" customFormat="1" ht="15" hidden="1" customHeight="1">
      <c r="A657" s="239" t="s">
        <v>485</v>
      </c>
      <c r="B657" s="237" t="s">
        <v>649</v>
      </c>
      <c r="C657" s="520"/>
      <c r="D657" s="448">
        <v>237534</v>
      </c>
      <c r="E657" s="521">
        <v>14</v>
      </c>
      <c r="F657" s="401">
        <v>7276</v>
      </c>
      <c r="G657" s="402">
        <v>7793</v>
      </c>
      <c r="H657" s="401"/>
      <c r="I657" s="402"/>
      <c r="J657" s="401"/>
      <c r="K657" s="402"/>
      <c r="L657" s="401"/>
      <c r="M657" s="402"/>
      <c r="N657" s="401"/>
      <c r="O657" s="402"/>
      <c r="P657" s="401"/>
      <c r="Q657" s="402"/>
      <c r="R657" s="401"/>
      <c r="S657" s="402"/>
      <c r="T657" s="401"/>
      <c r="U657" s="402"/>
      <c r="V657" s="401"/>
      <c r="W657" s="402"/>
      <c r="X657" s="401"/>
      <c r="Y657" s="402"/>
      <c r="Z657" s="401"/>
      <c r="AA657" s="402"/>
      <c r="AB657" s="401"/>
      <c r="AC657" s="402"/>
      <c r="AD657" s="401"/>
      <c r="AE657" s="402"/>
      <c r="AF657" s="401"/>
      <c r="AG657" s="402"/>
      <c r="AH657" s="401"/>
      <c r="AI657" s="402"/>
      <c r="AJ657" s="401"/>
      <c r="AK657" s="402"/>
      <c r="AL657" s="401"/>
      <c r="AM657" s="402"/>
      <c r="AN657" s="401"/>
      <c r="AO657" s="402"/>
    </row>
    <row r="658" spans="1:44" s="179" customFormat="1" ht="15" hidden="1" customHeight="1">
      <c r="A658" s="239" t="s">
        <v>485</v>
      </c>
      <c r="B658" s="237" t="s">
        <v>514</v>
      </c>
      <c r="C658" s="520"/>
      <c r="D658" s="448">
        <v>237543</v>
      </c>
      <c r="E658" s="521">
        <v>14</v>
      </c>
      <c r="F658" s="401">
        <v>3925</v>
      </c>
      <c r="G658" s="402">
        <v>4327</v>
      </c>
      <c r="H658" s="401"/>
      <c r="I658" s="402"/>
      <c r="J658" s="401"/>
      <c r="K658" s="402"/>
      <c r="L658" s="401"/>
      <c r="M658" s="402"/>
      <c r="N658" s="401"/>
      <c r="O658" s="402"/>
      <c r="P658" s="401"/>
      <c r="Q658" s="402"/>
      <c r="R658" s="401"/>
      <c r="S658" s="402"/>
      <c r="T658" s="401"/>
      <c r="U658" s="402"/>
      <c r="V658" s="401"/>
      <c r="W658" s="402"/>
      <c r="X658" s="401"/>
      <c r="Y658" s="402"/>
      <c r="Z658" s="401"/>
      <c r="AA658" s="402"/>
      <c r="AB658" s="401"/>
      <c r="AC658" s="402"/>
      <c r="AD658" s="401"/>
      <c r="AE658" s="402"/>
      <c r="AF658" s="401"/>
      <c r="AG658" s="402"/>
      <c r="AH658" s="401"/>
      <c r="AI658" s="402"/>
      <c r="AJ658" s="401"/>
      <c r="AK658" s="402"/>
      <c r="AL658" s="401"/>
      <c r="AM658" s="402"/>
      <c r="AN658" s="401"/>
      <c r="AO658" s="402"/>
    </row>
    <row r="659" spans="1:44" s="179" customFormat="1" ht="15" hidden="1" customHeight="1">
      <c r="A659" s="239" t="s">
        <v>485</v>
      </c>
      <c r="B659" s="237" t="s">
        <v>650</v>
      </c>
      <c r="C659" s="520"/>
      <c r="D659" s="448">
        <v>368647</v>
      </c>
      <c r="E659" s="521">
        <v>14</v>
      </c>
      <c r="F659" s="401">
        <v>6435</v>
      </c>
      <c r="G659" s="402">
        <v>6435</v>
      </c>
      <c r="H659" s="401"/>
      <c r="I659" s="402"/>
      <c r="J659" s="401"/>
      <c r="K659" s="402"/>
      <c r="L659" s="401"/>
      <c r="M659" s="402"/>
      <c r="N659" s="401"/>
      <c r="O659" s="402"/>
      <c r="P659" s="401"/>
      <c r="Q659" s="402"/>
      <c r="R659" s="401"/>
      <c r="S659" s="402"/>
      <c r="T659" s="401"/>
      <c r="U659" s="402"/>
      <c r="V659" s="401"/>
      <c r="W659" s="402"/>
      <c r="X659" s="401"/>
      <c r="Y659" s="402"/>
      <c r="Z659" s="401"/>
      <c r="AA659" s="402"/>
      <c r="AB659" s="401"/>
      <c r="AC659" s="402"/>
      <c r="AD659" s="401"/>
      <c r="AE659" s="402"/>
      <c r="AF659" s="401"/>
      <c r="AG659" s="402"/>
      <c r="AH659" s="401"/>
      <c r="AI659" s="402"/>
      <c r="AJ659" s="401"/>
      <c r="AK659" s="402"/>
      <c r="AL659" s="401"/>
      <c r="AM659" s="402"/>
      <c r="AN659" s="401"/>
      <c r="AO659" s="402"/>
    </row>
    <row r="660" spans="1:44" s="179" customFormat="1" ht="15" hidden="1" customHeight="1">
      <c r="A660" s="239" t="s">
        <v>485</v>
      </c>
      <c r="B660" s="237" t="s">
        <v>515</v>
      </c>
      <c r="C660" s="520"/>
      <c r="D660" s="448">
        <v>237561</v>
      </c>
      <c r="E660" s="521">
        <v>14</v>
      </c>
      <c r="F660" s="401">
        <v>5006</v>
      </c>
      <c r="G660" s="402">
        <v>5535</v>
      </c>
      <c r="H660" s="401"/>
      <c r="I660" s="402"/>
      <c r="J660" s="401"/>
      <c r="K660" s="402"/>
      <c r="L660" s="401"/>
      <c r="M660" s="402"/>
      <c r="N660" s="401"/>
      <c r="O660" s="402"/>
      <c r="P660" s="401"/>
      <c r="Q660" s="402"/>
      <c r="R660" s="401"/>
      <c r="S660" s="402"/>
      <c r="T660" s="401"/>
      <c r="U660" s="402"/>
      <c r="V660" s="401"/>
      <c r="W660" s="402"/>
      <c r="X660" s="401"/>
      <c r="Y660" s="402"/>
      <c r="Z660" s="401"/>
      <c r="AA660" s="402"/>
      <c r="AB660" s="401"/>
      <c r="AC660" s="402"/>
      <c r="AD660" s="401"/>
      <c r="AE660" s="402"/>
      <c r="AF660" s="401"/>
      <c r="AG660" s="402"/>
      <c r="AH660" s="401"/>
      <c r="AI660" s="402"/>
      <c r="AJ660" s="401"/>
      <c r="AK660" s="402"/>
      <c r="AL660" s="401"/>
      <c r="AM660" s="402"/>
      <c r="AN660" s="401"/>
      <c r="AO660" s="402"/>
    </row>
    <row r="661" spans="1:44" s="179" customFormat="1" ht="15" hidden="1" customHeight="1">
      <c r="A661" s="239" t="s">
        <v>485</v>
      </c>
      <c r="B661" s="237" t="s">
        <v>516</v>
      </c>
      <c r="C661" s="520"/>
      <c r="D661" s="448">
        <v>419420</v>
      </c>
      <c r="E661" s="521">
        <v>14</v>
      </c>
      <c r="F661" s="401">
        <v>5081</v>
      </c>
      <c r="G661" s="402">
        <v>3296</v>
      </c>
      <c r="H661" s="401"/>
      <c r="I661" s="402"/>
      <c r="J661" s="401"/>
      <c r="K661" s="402"/>
      <c r="L661" s="401"/>
      <c r="M661" s="402"/>
      <c r="N661" s="401"/>
      <c r="O661" s="402"/>
      <c r="P661" s="401"/>
      <c r="Q661" s="402"/>
      <c r="R661" s="401"/>
      <c r="S661" s="402"/>
      <c r="T661" s="401"/>
      <c r="U661" s="402"/>
      <c r="V661" s="401"/>
      <c r="W661" s="402"/>
      <c r="X661" s="401"/>
      <c r="Y661" s="402"/>
      <c r="Z661" s="401"/>
      <c r="AA661" s="402"/>
      <c r="AB661" s="401"/>
      <c r="AC661" s="402"/>
      <c r="AD661" s="401"/>
      <c r="AE661" s="402"/>
      <c r="AF661" s="401"/>
      <c r="AG661" s="402"/>
      <c r="AH661" s="401"/>
      <c r="AI661" s="402"/>
      <c r="AJ661" s="401"/>
      <c r="AK661" s="402"/>
      <c r="AL661" s="401"/>
      <c r="AM661" s="402"/>
      <c r="AN661" s="401"/>
      <c r="AO661" s="402"/>
    </row>
    <row r="662" spans="1:44" s="179" customFormat="1" ht="15" hidden="1" customHeight="1">
      <c r="A662" s="239" t="s">
        <v>485</v>
      </c>
      <c r="B662" s="237" t="s">
        <v>651</v>
      </c>
      <c r="C662" s="520"/>
      <c r="D662" s="448">
        <v>237491</v>
      </c>
      <c r="E662" s="521">
        <v>14</v>
      </c>
      <c r="F662" s="401">
        <v>3609</v>
      </c>
      <c r="G662" s="402">
        <v>8162</v>
      </c>
      <c r="H662" s="401"/>
      <c r="I662" s="402"/>
      <c r="J662" s="401"/>
      <c r="K662" s="402"/>
      <c r="L662" s="401"/>
      <c r="M662" s="402"/>
      <c r="N662" s="401"/>
      <c r="O662" s="402"/>
      <c r="P662" s="401"/>
      <c r="Q662" s="402"/>
      <c r="R662" s="401"/>
      <c r="S662" s="402"/>
      <c r="T662" s="401"/>
      <c r="U662" s="402"/>
      <c r="V662" s="401"/>
      <c r="W662" s="402"/>
      <c r="X662" s="401"/>
      <c r="Y662" s="402"/>
      <c r="Z662" s="401"/>
      <c r="AA662" s="402"/>
      <c r="AB662" s="401"/>
      <c r="AC662" s="402"/>
      <c r="AD662" s="401"/>
      <c r="AE662" s="402"/>
      <c r="AF662" s="401"/>
      <c r="AG662" s="402"/>
      <c r="AH662" s="401"/>
      <c r="AI662" s="402"/>
      <c r="AJ662" s="401"/>
      <c r="AK662" s="402"/>
      <c r="AL662" s="401"/>
      <c r="AM662" s="402"/>
      <c r="AN662" s="401"/>
      <c r="AO662" s="402"/>
    </row>
    <row r="663" spans="1:44" s="179" customFormat="1" ht="15" hidden="1" customHeight="1">
      <c r="A663" s="239" t="s">
        <v>485</v>
      </c>
      <c r="B663" s="237" t="s">
        <v>517</v>
      </c>
      <c r="C663" s="520"/>
      <c r="D663" s="448">
        <v>364575</v>
      </c>
      <c r="E663" s="521">
        <v>14</v>
      </c>
      <c r="F663" s="401">
        <v>8105</v>
      </c>
      <c r="G663" s="402">
        <v>8105</v>
      </c>
      <c r="H663" s="401"/>
      <c r="I663" s="402"/>
      <c r="J663" s="401"/>
      <c r="K663" s="402"/>
      <c r="L663" s="401"/>
      <c r="M663" s="402"/>
      <c r="N663" s="401"/>
      <c r="O663" s="402"/>
      <c r="P663" s="401"/>
      <c r="Q663" s="402"/>
      <c r="R663" s="401"/>
      <c r="S663" s="402"/>
      <c r="T663" s="401"/>
      <c r="U663" s="402"/>
      <c r="V663" s="401"/>
      <c r="W663" s="402"/>
      <c r="X663" s="401"/>
      <c r="Y663" s="402"/>
      <c r="Z663" s="401"/>
      <c r="AA663" s="402"/>
      <c r="AB663" s="401"/>
      <c r="AC663" s="402"/>
      <c r="AD663" s="401"/>
      <c r="AE663" s="402"/>
      <c r="AF663" s="401"/>
      <c r="AG663" s="402"/>
      <c r="AH663" s="401"/>
      <c r="AI663" s="402"/>
      <c r="AJ663" s="401"/>
      <c r="AK663" s="402"/>
      <c r="AL663" s="401"/>
      <c r="AM663" s="402"/>
      <c r="AN663" s="401"/>
      <c r="AO663" s="402"/>
    </row>
    <row r="664" spans="1:44" s="179" customFormat="1" ht="15" hidden="1" customHeight="1">
      <c r="A664" s="239" t="s">
        <v>485</v>
      </c>
      <c r="B664" s="237" t="s">
        <v>518</v>
      </c>
      <c r="C664" s="520"/>
      <c r="D664" s="448">
        <v>441894</v>
      </c>
      <c r="E664" s="521">
        <v>14</v>
      </c>
      <c r="F664" s="401">
        <v>9000</v>
      </c>
      <c r="G664" s="402">
        <v>9000</v>
      </c>
      <c r="H664" s="401"/>
      <c r="I664" s="402"/>
      <c r="J664" s="401"/>
      <c r="K664" s="402"/>
      <c r="L664" s="401"/>
      <c r="M664" s="402"/>
      <c r="N664" s="401"/>
      <c r="O664" s="402"/>
      <c r="P664" s="401"/>
      <c r="Q664" s="402"/>
      <c r="R664" s="401"/>
      <c r="S664" s="402"/>
      <c r="T664" s="401"/>
      <c r="U664" s="402"/>
      <c r="V664" s="401"/>
      <c r="W664" s="402"/>
      <c r="X664" s="401"/>
      <c r="Y664" s="402"/>
      <c r="Z664" s="401"/>
      <c r="AA664" s="402"/>
      <c r="AB664" s="401"/>
      <c r="AC664" s="402"/>
      <c r="AD664" s="401"/>
      <c r="AE664" s="402"/>
      <c r="AF664" s="401"/>
      <c r="AG664" s="402"/>
      <c r="AH664" s="401"/>
      <c r="AI664" s="402"/>
      <c r="AJ664" s="401"/>
      <c r="AK664" s="402"/>
      <c r="AL664" s="401"/>
      <c r="AM664" s="402"/>
      <c r="AN664" s="401"/>
      <c r="AO664" s="402"/>
    </row>
    <row r="665" spans="1:44" s="179" customFormat="1" ht="15" hidden="1" customHeight="1">
      <c r="A665" s="239" t="s">
        <v>485</v>
      </c>
      <c r="B665" s="237" t="s">
        <v>519</v>
      </c>
      <c r="C665" s="520"/>
      <c r="D665" s="448">
        <v>419031</v>
      </c>
      <c r="E665" s="521">
        <v>14</v>
      </c>
      <c r="F665" s="401">
        <v>8460</v>
      </c>
      <c r="G665" s="402">
        <v>8731</v>
      </c>
      <c r="H665" s="401"/>
      <c r="I665" s="402"/>
      <c r="J665" s="401"/>
      <c r="K665" s="402"/>
      <c r="L665" s="401"/>
      <c r="M665" s="402"/>
      <c r="N665" s="401"/>
      <c r="O665" s="402"/>
      <c r="P665" s="401"/>
      <c r="Q665" s="402"/>
      <c r="R665" s="401"/>
      <c r="S665" s="402"/>
      <c r="T665" s="401"/>
      <c r="U665" s="402"/>
      <c r="V665" s="401"/>
      <c r="W665" s="402"/>
      <c r="X665" s="401"/>
      <c r="Y665" s="402"/>
      <c r="Z665" s="401"/>
      <c r="AA665" s="402"/>
      <c r="AB665" s="401"/>
      <c r="AC665" s="402"/>
      <c r="AD665" s="401"/>
      <c r="AE665" s="402"/>
      <c r="AF665" s="401"/>
      <c r="AG665" s="402"/>
      <c r="AH665" s="401"/>
      <c r="AI665" s="402"/>
      <c r="AJ665" s="401"/>
      <c r="AK665" s="402"/>
      <c r="AL665" s="401"/>
      <c r="AM665" s="402"/>
      <c r="AN665" s="401"/>
      <c r="AO665" s="402"/>
    </row>
    <row r="666" spans="1:44" hidden="1">
      <c r="A666" s="239" t="s">
        <v>485</v>
      </c>
      <c r="B666" s="237" t="s">
        <v>652</v>
      </c>
      <c r="C666" s="520"/>
      <c r="D666" s="522" t="s">
        <v>84</v>
      </c>
      <c r="E666" s="521">
        <v>14</v>
      </c>
      <c r="F666" s="401">
        <v>6650</v>
      </c>
      <c r="G666" s="402">
        <v>6555</v>
      </c>
      <c r="H666" s="401"/>
      <c r="I666" s="402"/>
      <c r="J666" s="401"/>
      <c r="K666" s="402"/>
      <c r="L666" s="401"/>
      <c r="M666" s="402"/>
      <c r="N666" s="401"/>
      <c r="O666" s="402"/>
      <c r="P666" s="401"/>
      <c r="Q666" s="402"/>
      <c r="R666" s="401"/>
      <c r="S666" s="402"/>
      <c r="T666" s="401"/>
      <c r="U666" s="402"/>
      <c r="V666" s="401"/>
      <c r="W666" s="402"/>
      <c r="X666" s="401"/>
      <c r="Y666" s="402"/>
      <c r="Z666" s="401"/>
      <c r="AA666" s="402"/>
      <c r="AB666" s="401"/>
      <c r="AC666" s="402"/>
      <c r="AD666" s="401"/>
      <c r="AE666" s="402"/>
      <c r="AF666" s="401"/>
      <c r="AG666" s="402"/>
      <c r="AH666" s="401"/>
      <c r="AI666" s="402"/>
      <c r="AJ666" s="401"/>
      <c r="AK666" s="402"/>
      <c r="AL666" s="401"/>
      <c r="AM666" s="402"/>
      <c r="AN666" s="401"/>
      <c r="AO666" s="402"/>
      <c r="AP666" s="53"/>
      <c r="AQ666" s="53"/>
      <c r="AR666" s="53"/>
    </row>
    <row r="667" spans="1:44" hidden="1">
      <c r="A667" s="239" t="s">
        <v>485</v>
      </c>
      <c r="B667" s="237" t="s">
        <v>653</v>
      </c>
      <c r="C667" s="520"/>
      <c r="D667" s="522" t="s">
        <v>84</v>
      </c>
      <c r="E667" s="521">
        <v>15</v>
      </c>
      <c r="F667" s="401">
        <v>5500</v>
      </c>
      <c r="G667" s="402">
        <v>5500</v>
      </c>
      <c r="H667" s="401"/>
      <c r="I667" s="402"/>
      <c r="J667" s="401"/>
      <c r="K667" s="402"/>
      <c r="L667" s="401"/>
      <c r="M667" s="402"/>
      <c r="N667" s="401"/>
      <c r="O667" s="402"/>
      <c r="P667" s="401"/>
      <c r="Q667" s="402"/>
      <c r="R667" s="401"/>
      <c r="S667" s="402"/>
      <c r="T667" s="401"/>
      <c r="U667" s="402"/>
      <c r="V667" s="401"/>
      <c r="W667" s="402"/>
      <c r="X667" s="401"/>
      <c r="Y667" s="402"/>
      <c r="Z667" s="401"/>
      <c r="AA667" s="402"/>
      <c r="AB667" s="401"/>
      <c r="AC667" s="402"/>
      <c r="AD667" s="401"/>
      <c r="AE667" s="402"/>
      <c r="AF667" s="401"/>
      <c r="AG667" s="402"/>
      <c r="AH667" s="401"/>
      <c r="AI667" s="402"/>
      <c r="AJ667" s="401"/>
      <c r="AK667" s="402"/>
      <c r="AL667" s="401"/>
      <c r="AM667" s="402"/>
      <c r="AN667" s="401"/>
      <c r="AO667" s="402"/>
      <c r="AP667" s="53"/>
      <c r="AQ667" s="53"/>
      <c r="AR667" s="53"/>
    </row>
    <row r="668" spans="1:44" s="179" customFormat="1" ht="15" hidden="1" customHeight="1">
      <c r="A668" s="239" t="s">
        <v>485</v>
      </c>
      <c r="B668" s="237" t="s">
        <v>520</v>
      </c>
      <c r="C668" s="520"/>
      <c r="D668" s="448">
        <v>486202</v>
      </c>
      <c r="E668" s="521">
        <v>15</v>
      </c>
      <c r="F668" s="401">
        <v>4812</v>
      </c>
      <c r="G668" s="402">
        <v>2110</v>
      </c>
      <c r="H668" s="401"/>
      <c r="I668" s="402"/>
      <c r="J668" s="401"/>
      <c r="K668" s="402"/>
      <c r="L668" s="401"/>
      <c r="M668" s="402"/>
      <c r="N668" s="401"/>
      <c r="O668" s="402"/>
      <c r="P668" s="401"/>
      <c r="Q668" s="402"/>
      <c r="R668" s="401"/>
      <c r="S668" s="402"/>
      <c r="T668" s="401"/>
      <c r="U668" s="402"/>
      <c r="V668" s="401"/>
      <c r="W668" s="402"/>
      <c r="X668" s="401"/>
      <c r="Y668" s="402"/>
      <c r="Z668" s="401"/>
      <c r="AA668" s="402"/>
      <c r="AB668" s="401"/>
      <c r="AC668" s="402"/>
      <c r="AD668" s="401"/>
      <c r="AE668" s="402"/>
      <c r="AF668" s="401"/>
      <c r="AG668" s="402"/>
      <c r="AH668" s="401"/>
      <c r="AI668" s="402"/>
      <c r="AJ668" s="401"/>
      <c r="AK668" s="402"/>
      <c r="AL668" s="401"/>
      <c r="AM668" s="402"/>
      <c r="AN668" s="401"/>
      <c r="AO668" s="402"/>
    </row>
    <row r="669" spans="1:44" s="179" customFormat="1" ht="15" hidden="1" customHeight="1">
      <c r="A669" s="239" t="s">
        <v>485</v>
      </c>
      <c r="B669" s="237" t="s">
        <v>654</v>
      </c>
      <c r="C669" s="520"/>
      <c r="D669" s="448">
        <v>486406</v>
      </c>
      <c r="E669" s="521">
        <v>15</v>
      </c>
      <c r="F669" s="401">
        <v>6000</v>
      </c>
      <c r="G669" s="402">
        <v>6000</v>
      </c>
      <c r="H669" s="401"/>
      <c r="I669" s="402"/>
      <c r="J669" s="401"/>
      <c r="K669" s="402"/>
      <c r="L669" s="401"/>
      <c r="M669" s="402"/>
      <c r="N669" s="401"/>
      <c r="O669" s="402"/>
      <c r="P669" s="401"/>
      <c r="Q669" s="402"/>
      <c r="R669" s="401"/>
      <c r="S669" s="402"/>
      <c r="T669" s="401"/>
      <c r="U669" s="402"/>
      <c r="V669" s="401"/>
      <c r="W669" s="402"/>
      <c r="X669" s="401"/>
      <c r="Y669" s="402"/>
      <c r="Z669" s="401"/>
      <c r="AA669" s="402"/>
      <c r="AB669" s="401"/>
      <c r="AC669" s="402"/>
      <c r="AD669" s="401"/>
      <c r="AE669" s="402"/>
      <c r="AF669" s="401"/>
      <c r="AG669" s="402"/>
      <c r="AH669" s="401"/>
      <c r="AI669" s="402"/>
      <c r="AJ669" s="401"/>
      <c r="AK669" s="402"/>
      <c r="AL669" s="401"/>
      <c r="AM669" s="402"/>
      <c r="AN669" s="401"/>
      <c r="AO669" s="402"/>
    </row>
    <row r="670" spans="1:44" hidden="1">
      <c r="A670" s="239" t="s">
        <v>485</v>
      </c>
      <c r="B670" s="237" t="s">
        <v>655</v>
      </c>
      <c r="C670" s="520"/>
      <c r="D670" s="522" t="s">
        <v>84</v>
      </c>
      <c r="E670" s="521">
        <v>15</v>
      </c>
      <c r="F670" s="401">
        <v>4618</v>
      </c>
      <c r="G670" s="402">
        <v>0</v>
      </c>
      <c r="H670" s="401"/>
      <c r="I670" s="402"/>
      <c r="J670" s="401"/>
      <c r="K670" s="402"/>
      <c r="L670" s="401"/>
      <c r="M670" s="402"/>
      <c r="N670" s="401"/>
      <c r="O670" s="402"/>
      <c r="P670" s="401"/>
      <c r="Q670" s="402"/>
      <c r="R670" s="401"/>
      <c r="S670" s="402"/>
      <c r="T670" s="401"/>
      <c r="U670" s="402"/>
      <c r="V670" s="401"/>
      <c r="W670" s="402"/>
      <c r="X670" s="401"/>
      <c r="Y670" s="402"/>
      <c r="Z670" s="401"/>
      <c r="AA670" s="402"/>
      <c r="AB670" s="401"/>
      <c r="AC670" s="402"/>
      <c r="AD670" s="401"/>
      <c r="AE670" s="402"/>
      <c r="AF670" s="401"/>
      <c r="AG670" s="402"/>
      <c r="AH670" s="401"/>
      <c r="AI670" s="402"/>
      <c r="AJ670" s="401"/>
      <c r="AK670" s="402"/>
      <c r="AL670" s="401"/>
      <c r="AM670" s="402"/>
      <c r="AN670" s="401"/>
      <c r="AO670" s="402"/>
      <c r="AP670" s="53"/>
      <c r="AQ670" s="53"/>
      <c r="AR670" s="53"/>
    </row>
    <row r="671" spans="1:44" s="179" customFormat="1" ht="15" hidden="1" customHeight="1">
      <c r="A671" s="239" t="s">
        <v>485</v>
      </c>
      <c r="B671" s="237" t="s">
        <v>835</v>
      </c>
      <c r="C671" s="520"/>
      <c r="D671" s="448">
        <v>238096</v>
      </c>
      <c r="E671" s="521">
        <v>15</v>
      </c>
      <c r="F671" s="401">
        <v>7120</v>
      </c>
      <c r="G671" s="402">
        <v>6900</v>
      </c>
      <c r="H671" s="401"/>
      <c r="I671" s="402"/>
      <c r="J671" s="401"/>
      <c r="K671" s="402"/>
      <c r="L671" s="415"/>
      <c r="M671" s="402"/>
      <c r="N671" s="401"/>
      <c r="O671" s="402"/>
      <c r="P671" s="401"/>
      <c r="Q671" s="402"/>
      <c r="R671" s="401"/>
      <c r="S671" s="402"/>
      <c r="T671" s="401"/>
      <c r="U671" s="402"/>
      <c r="V671" s="401"/>
      <c r="W671" s="402"/>
      <c r="X671" s="401"/>
      <c r="Y671" s="402"/>
      <c r="Z671" s="401"/>
      <c r="AA671" s="402"/>
      <c r="AB671" s="401"/>
      <c r="AC671" s="402"/>
      <c r="AD671" s="401"/>
      <c r="AE671" s="402"/>
      <c r="AF671" s="401"/>
      <c r="AG671" s="402"/>
      <c r="AH671" s="401"/>
      <c r="AI671" s="402"/>
      <c r="AJ671" s="401"/>
      <c r="AK671" s="402"/>
      <c r="AL671" s="401"/>
      <c r="AM671" s="402"/>
      <c r="AN671" s="401"/>
      <c r="AO671" s="402"/>
    </row>
    <row r="672" spans="1:44" hidden="1">
      <c r="AA672" s="535">
        <f>MEDIAN(AA2:AA671)</f>
        <v>24683.16666666665</v>
      </c>
    </row>
    <row r="673" spans="2:32" hidden="1">
      <c r="G673" s="535">
        <f>MEDIAN(G246:G260)</f>
        <v>3390</v>
      </c>
      <c r="H673" s="535">
        <f>MEDIAN(H259:H260)</f>
        <v>6125</v>
      </c>
      <c r="I673" s="535">
        <f>MEDIAN(I259:I260)</f>
        <v>6225</v>
      </c>
    </row>
    <row r="674" spans="2:32" hidden="1">
      <c r="F674" s="53"/>
      <c r="H674" s="53">
        <f>MEDIAN(H427:H431)</f>
        <v>17774</v>
      </c>
      <c r="O674" s="191">
        <f>MEDIAN(O230:O231)</f>
        <v>34564</v>
      </c>
    </row>
    <row r="675" spans="2:32">
      <c r="F675" s="191">
        <f>MEDIAN(F646:F666)</f>
        <v>6058</v>
      </c>
      <c r="G675" s="53">
        <f>MEDIAN(G105:G129)</f>
        <v>6918</v>
      </c>
      <c r="H675" s="53">
        <f>MEDIAN(K105:K129)</f>
        <v>7634</v>
      </c>
      <c r="I675" s="191"/>
    </row>
    <row r="677" spans="2:32">
      <c r="F677" s="53">
        <f>MEDIAN(G646:G666)</f>
        <v>6435</v>
      </c>
      <c r="N677" s="541">
        <f>MEDIAN(K105:K106)</f>
        <v>11424</v>
      </c>
    </row>
    <row r="678" spans="2:32">
      <c r="I678" s="191">
        <f>MEDIAN(G112:G115)</f>
        <v>7142</v>
      </c>
    </row>
    <row r="679" spans="2:32">
      <c r="N679" s="210">
        <v>20158</v>
      </c>
      <c r="O679" s="208">
        <f>MEDIAN(N679:N685)</f>
        <v>20902</v>
      </c>
      <c r="P679" s="391">
        <v>4920</v>
      </c>
      <c r="Q679" s="535">
        <f>MEDIAN(P679:P1003)</f>
        <v>3790</v>
      </c>
      <c r="S679" s="208">
        <v>11826</v>
      </c>
      <c r="T679" s="201">
        <f>MEDIAN(S679:S714)</f>
        <v>12164</v>
      </c>
      <c r="W679" s="208">
        <v>11826</v>
      </c>
      <c r="X679" s="201">
        <f>MEDIAN(W679:W863)</f>
        <v>10474</v>
      </c>
      <c r="AE679" s="402">
        <v>11076</v>
      </c>
      <c r="AF679" s="53">
        <f>MEDIAN(AE679:AE700)</f>
        <v>7142</v>
      </c>
    </row>
    <row r="680" spans="2:32">
      <c r="D680" s="391">
        <v>10024</v>
      </c>
      <c r="E680" s="528">
        <f>MEDIAN(D680:D736)</f>
        <v>9500.5</v>
      </c>
      <c r="N680" s="210">
        <v>20902</v>
      </c>
      <c r="P680" s="391">
        <v>4940</v>
      </c>
      <c r="S680" s="208">
        <v>11470</v>
      </c>
      <c r="W680" s="208">
        <v>11470</v>
      </c>
      <c r="AE680" s="402">
        <v>12080</v>
      </c>
    </row>
    <row r="681" spans="2:32">
      <c r="D681" s="391">
        <v>11120</v>
      </c>
      <c r="G681" s="208">
        <v>32344</v>
      </c>
      <c r="H681" s="201">
        <f>MEDIAN(G681:G700)</f>
        <v>23834</v>
      </c>
      <c r="K681" s="208">
        <v>4574</v>
      </c>
      <c r="L681" s="201">
        <f>MEDIAN(K681:K685)</f>
        <v>4430</v>
      </c>
      <c r="N681" s="210">
        <v>19060</v>
      </c>
      <c r="P681" s="391">
        <v>4930</v>
      </c>
      <c r="S681" s="208">
        <v>10800</v>
      </c>
      <c r="W681" s="208">
        <v>10800</v>
      </c>
      <c r="AE681" s="402">
        <v>12852</v>
      </c>
    </row>
    <row r="682" spans="2:32">
      <c r="B682" s="207">
        <v>11380</v>
      </c>
      <c r="C682" s="527">
        <f>MEDIAN(B682:B700)</f>
        <v>10222</v>
      </c>
      <c r="D682" s="402">
        <v>11640</v>
      </c>
      <c r="G682" s="208">
        <v>27476</v>
      </c>
      <c r="K682" s="208">
        <v>4324</v>
      </c>
      <c r="N682" s="210">
        <v>21472</v>
      </c>
      <c r="P682" s="391">
        <v>4860</v>
      </c>
      <c r="S682" s="208">
        <v>12024</v>
      </c>
      <c r="W682" s="208">
        <v>11952</v>
      </c>
      <c r="AE682" s="402">
        <v>7578</v>
      </c>
    </row>
    <row r="683" spans="2:32">
      <c r="B683" s="207">
        <v>10520</v>
      </c>
      <c r="D683" s="402">
        <v>10800</v>
      </c>
      <c r="G683" s="208">
        <v>32422</v>
      </c>
      <c r="K683" s="208">
        <v>5752</v>
      </c>
      <c r="N683" s="210">
        <v>27140</v>
      </c>
      <c r="P683" s="391">
        <v>4860</v>
      </c>
      <c r="S683" s="208">
        <v>18128</v>
      </c>
      <c r="W683" s="208">
        <v>11168</v>
      </c>
      <c r="AE683" s="402">
        <v>7548</v>
      </c>
    </row>
    <row r="684" spans="2:32">
      <c r="B684" s="207">
        <v>9529</v>
      </c>
      <c r="D684" s="402">
        <v>10918</v>
      </c>
      <c r="G684" s="208">
        <v>28632</v>
      </c>
      <c r="K684" s="208">
        <v>4206</v>
      </c>
      <c r="N684" s="210">
        <v>19808</v>
      </c>
      <c r="P684" s="391">
        <v>4920</v>
      </c>
      <c r="S684" s="208">
        <v>11680</v>
      </c>
      <c r="W684" s="208">
        <v>11542</v>
      </c>
      <c r="AE684" s="402">
        <v>7614</v>
      </c>
    </row>
    <row r="685" spans="2:32">
      <c r="B685" s="207">
        <v>12852</v>
      </c>
      <c r="D685" s="402">
        <v>8900</v>
      </c>
      <c r="G685" s="208">
        <v>27570</v>
      </c>
      <c r="K685" s="208">
        <v>4430</v>
      </c>
      <c r="N685" s="210">
        <v>23834</v>
      </c>
      <c r="P685" s="391">
        <v>4800</v>
      </c>
      <c r="S685" s="208">
        <v>11168</v>
      </c>
      <c r="W685" s="208">
        <v>10600</v>
      </c>
      <c r="AE685" s="402">
        <v>7676</v>
      </c>
    </row>
    <row r="686" spans="2:32">
      <c r="B686" s="207">
        <v>10635</v>
      </c>
      <c r="D686" s="402">
        <v>9539</v>
      </c>
      <c r="G686" s="208">
        <v>24588</v>
      </c>
      <c r="P686" s="391">
        <v>4860</v>
      </c>
      <c r="S686" s="208">
        <v>13674</v>
      </c>
      <c r="W686" s="208">
        <v>11400</v>
      </c>
      <c r="AE686" s="402">
        <v>6950</v>
      </c>
    </row>
    <row r="687" spans="2:32">
      <c r="B687" s="207">
        <v>11162</v>
      </c>
      <c r="D687" s="402">
        <v>9563</v>
      </c>
      <c r="G687" s="208">
        <v>24168</v>
      </c>
      <c r="P687" s="391">
        <v>4880</v>
      </c>
      <c r="S687" s="208">
        <v>13720</v>
      </c>
      <c r="W687" s="208">
        <v>9600</v>
      </c>
      <c r="AE687" s="402">
        <v>10994</v>
      </c>
    </row>
    <row r="688" spans="2:32">
      <c r="B688" s="207">
        <v>9354</v>
      </c>
      <c r="D688" s="402">
        <v>8358</v>
      </c>
      <c r="G688" s="208">
        <v>20158</v>
      </c>
      <c r="P688" s="391">
        <v>4815</v>
      </c>
      <c r="S688" s="208">
        <v>13031</v>
      </c>
      <c r="W688" s="208">
        <v>12728</v>
      </c>
      <c r="AE688" s="402">
        <v>6584</v>
      </c>
    </row>
    <row r="689" spans="2:31">
      <c r="B689" s="207">
        <v>12280</v>
      </c>
      <c r="D689" s="402">
        <v>7578</v>
      </c>
      <c r="G689" s="208">
        <v>20902</v>
      </c>
      <c r="I689" s="391">
        <v>11380</v>
      </c>
      <c r="J689" s="542">
        <f>MEDIAN(I689:I707)</f>
        <v>10222</v>
      </c>
      <c r="P689" s="391">
        <v>4587</v>
      </c>
      <c r="S689" s="208">
        <v>20362</v>
      </c>
      <c r="W689" s="208">
        <v>10930</v>
      </c>
      <c r="AE689" s="402">
        <v>7334</v>
      </c>
    </row>
    <row r="690" spans="2:31">
      <c r="B690" s="207">
        <v>8008</v>
      </c>
      <c r="D690" s="402">
        <v>7548</v>
      </c>
      <c r="G690" s="208">
        <v>19060</v>
      </c>
      <c r="I690" s="391">
        <v>10520</v>
      </c>
      <c r="P690" s="391">
        <v>4860</v>
      </c>
      <c r="S690" s="208">
        <v>9220</v>
      </c>
      <c r="W690" s="208">
        <v>11916</v>
      </c>
      <c r="AE690" s="402">
        <v>6848</v>
      </c>
    </row>
    <row r="691" spans="2:31">
      <c r="B691" s="207">
        <v>8445</v>
      </c>
      <c r="D691" s="402">
        <v>7614</v>
      </c>
      <c r="G691" s="208">
        <v>21472</v>
      </c>
      <c r="I691" s="402">
        <v>9529</v>
      </c>
      <c r="P691" s="391">
        <v>4930</v>
      </c>
      <c r="S691" s="208">
        <v>9044</v>
      </c>
      <c r="W691" s="208">
        <v>9264</v>
      </c>
      <c r="AE691" s="402">
        <v>9524</v>
      </c>
    </row>
    <row r="692" spans="2:31">
      <c r="B692" s="207">
        <v>7297</v>
      </c>
      <c r="D692" s="402">
        <v>7676</v>
      </c>
      <c r="G692" s="208">
        <v>17880</v>
      </c>
      <c r="I692" s="402">
        <v>12852</v>
      </c>
      <c r="P692" s="391">
        <v>4920</v>
      </c>
      <c r="S692" s="208">
        <v>9204</v>
      </c>
      <c r="W692" s="208">
        <v>9648</v>
      </c>
      <c r="AE692" s="402">
        <v>6480</v>
      </c>
    </row>
    <row r="693" spans="2:31">
      <c r="B693" s="207">
        <v>6733</v>
      </c>
      <c r="C693" s="207">
        <v>5380</v>
      </c>
      <c r="D693" s="402">
        <v>10052</v>
      </c>
      <c r="G693" s="208">
        <v>27140</v>
      </c>
      <c r="I693" s="402">
        <v>10635</v>
      </c>
      <c r="P693" s="391">
        <v>4860</v>
      </c>
      <c r="S693" s="208">
        <v>11703</v>
      </c>
      <c r="W693" s="208">
        <v>8546</v>
      </c>
      <c r="AE693" s="402">
        <v>7462</v>
      </c>
    </row>
    <row r="694" spans="2:31">
      <c r="B694" s="207">
        <v>9674</v>
      </c>
      <c r="C694" s="207">
        <v>5280</v>
      </c>
      <c r="D694" s="402">
        <v>9462</v>
      </c>
      <c r="G694" s="208">
        <v>19808</v>
      </c>
      <c r="I694" s="402">
        <v>11162</v>
      </c>
      <c r="P694" s="391">
        <v>4560</v>
      </c>
      <c r="S694" s="208">
        <v>12566</v>
      </c>
      <c r="W694" s="208">
        <v>9113</v>
      </c>
      <c r="AE694" s="402">
        <v>6918</v>
      </c>
    </row>
    <row r="695" spans="2:31">
      <c r="B695" s="207">
        <v>9592</v>
      </c>
      <c r="C695" s="207">
        <v>6790</v>
      </c>
      <c r="D695" s="402">
        <v>9552</v>
      </c>
      <c r="G695" s="208">
        <v>23834</v>
      </c>
      <c r="I695" s="402">
        <v>9354</v>
      </c>
      <c r="P695" s="391">
        <v>4860</v>
      </c>
      <c r="S695" s="208">
        <v>7713</v>
      </c>
      <c r="W695" s="208">
        <v>9240</v>
      </c>
      <c r="AE695" s="402">
        <v>4574</v>
      </c>
    </row>
    <row r="696" spans="2:31">
      <c r="B696" s="207">
        <v>8335</v>
      </c>
      <c r="C696" s="207">
        <v>5320</v>
      </c>
      <c r="D696" s="402">
        <v>10396</v>
      </c>
      <c r="G696" s="208">
        <v>19256</v>
      </c>
      <c r="I696" s="402">
        <v>12280</v>
      </c>
      <c r="L696" s="201">
        <v>4910</v>
      </c>
      <c r="M696" s="208">
        <f>MEDIAN(L696:L700)</f>
        <v>5016</v>
      </c>
      <c r="P696" s="391">
        <v>4860</v>
      </c>
      <c r="S696" s="208">
        <v>8265</v>
      </c>
      <c r="W696" s="208">
        <v>9192</v>
      </c>
      <c r="AE696" s="402">
        <v>4324</v>
      </c>
    </row>
    <row r="697" spans="2:31">
      <c r="B697" s="207">
        <v>11850</v>
      </c>
      <c r="C697" s="207">
        <v>5870</v>
      </c>
      <c r="D697" s="402">
        <v>10992</v>
      </c>
      <c r="E697" s="402">
        <v>4574</v>
      </c>
      <c r="F697" s="53">
        <f>MEDIAN(E697:E701)</f>
        <v>4430</v>
      </c>
      <c r="I697" s="402">
        <v>8008</v>
      </c>
      <c r="J697" s="391">
        <v>11826</v>
      </c>
      <c r="K697" s="538">
        <f>MEDIAN(J697:J882)</f>
        <v>9456</v>
      </c>
      <c r="L697" s="201">
        <v>5016</v>
      </c>
      <c r="P697" s="391">
        <v>5010</v>
      </c>
      <c r="S697" s="208">
        <v>12208</v>
      </c>
      <c r="W697" s="208">
        <v>12024</v>
      </c>
      <c r="AE697" s="402">
        <v>5752</v>
      </c>
    </row>
    <row r="698" spans="2:31">
      <c r="B698" s="207">
        <v>10332</v>
      </c>
      <c r="C698" s="207">
        <v>5508</v>
      </c>
      <c r="D698" s="402">
        <v>8662.66</v>
      </c>
      <c r="E698" s="402">
        <v>4324</v>
      </c>
      <c r="I698" s="402">
        <v>8445</v>
      </c>
      <c r="J698" s="391">
        <v>11620</v>
      </c>
      <c r="L698" s="201">
        <v>5110</v>
      </c>
      <c r="P698" s="402">
        <v>2630</v>
      </c>
      <c r="S698" s="208">
        <v>14134</v>
      </c>
      <c r="W698" s="208">
        <v>10106</v>
      </c>
      <c r="AE698" s="402">
        <v>4742</v>
      </c>
    </row>
    <row r="699" spans="2:31">
      <c r="B699" s="207">
        <v>10222</v>
      </c>
      <c r="C699" s="207">
        <v>5350</v>
      </c>
      <c r="D699" s="402">
        <v>8454</v>
      </c>
      <c r="E699" s="402">
        <v>5752</v>
      </c>
      <c r="I699" s="402">
        <v>7297</v>
      </c>
      <c r="J699" s="391">
        <v>10710</v>
      </c>
      <c r="L699" s="201">
        <v>5322</v>
      </c>
      <c r="P699" s="402">
        <v>3660</v>
      </c>
      <c r="S699" s="208">
        <v>12120</v>
      </c>
      <c r="W699" s="208">
        <v>10119</v>
      </c>
      <c r="AE699" s="402">
        <v>4206</v>
      </c>
    </row>
    <row r="700" spans="2:31">
      <c r="B700" s="207">
        <v>23812</v>
      </c>
      <c r="C700" s="207">
        <v>7150</v>
      </c>
      <c r="D700" s="402">
        <v>9842</v>
      </c>
      <c r="E700" s="402">
        <v>4206</v>
      </c>
      <c r="G700" s="208">
        <v>17978</v>
      </c>
      <c r="I700" s="402">
        <v>6733</v>
      </c>
      <c r="J700" s="391">
        <v>11380</v>
      </c>
      <c r="L700" s="201">
        <v>3746</v>
      </c>
      <c r="P700" s="402">
        <v>3630</v>
      </c>
      <c r="S700" s="208">
        <v>13380</v>
      </c>
      <c r="W700" s="208">
        <v>9223</v>
      </c>
      <c r="AE700" s="402">
        <v>4430</v>
      </c>
    </row>
    <row r="701" spans="2:31">
      <c r="C701" s="207">
        <v>6660</v>
      </c>
      <c r="D701" s="402">
        <v>9387</v>
      </c>
      <c r="E701" s="402">
        <v>4430</v>
      </c>
      <c r="I701" s="402">
        <v>9674</v>
      </c>
      <c r="J701" s="391">
        <v>10520</v>
      </c>
      <c r="P701" s="402">
        <v>3490</v>
      </c>
      <c r="S701" s="208">
        <v>10920</v>
      </c>
      <c r="W701" s="208">
        <v>7570</v>
      </c>
    </row>
    <row r="702" spans="2:31">
      <c r="D702" s="402">
        <v>10464</v>
      </c>
      <c r="I702" s="402">
        <v>9592</v>
      </c>
      <c r="J702" s="391">
        <v>10024</v>
      </c>
      <c r="P702" s="402">
        <v>3570</v>
      </c>
      <c r="S702" s="208">
        <v>11588</v>
      </c>
      <c r="W702" s="208">
        <v>8944</v>
      </c>
    </row>
    <row r="703" spans="2:31">
      <c r="D703" s="402">
        <v>9364</v>
      </c>
      <c r="I703" s="402">
        <v>8335</v>
      </c>
      <c r="J703" s="391">
        <v>11120</v>
      </c>
      <c r="P703" s="402">
        <v>4070</v>
      </c>
      <c r="S703" s="208">
        <v>10616</v>
      </c>
      <c r="W703" s="208">
        <v>18128</v>
      </c>
    </row>
    <row r="704" spans="2:31">
      <c r="D704" s="402">
        <v>7410</v>
      </c>
      <c r="G704" s="208">
        <v>6950</v>
      </c>
      <c r="H704" s="201">
        <f>MEDIAN(G704:G710)</f>
        <v>7334</v>
      </c>
      <c r="I704" s="402">
        <v>11850</v>
      </c>
      <c r="J704" s="391">
        <v>11640</v>
      </c>
      <c r="P704" s="402">
        <v>4200</v>
      </c>
      <c r="S704" s="208">
        <v>11568</v>
      </c>
      <c r="W704" s="208">
        <v>5510</v>
      </c>
    </row>
    <row r="705" spans="2:23">
      <c r="D705" s="402">
        <v>6644</v>
      </c>
      <c r="G705" s="208">
        <v>10994</v>
      </c>
      <c r="I705" s="402">
        <v>10332</v>
      </c>
      <c r="J705" s="391">
        <v>10800</v>
      </c>
      <c r="P705" s="402">
        <v>3570</v>
      </c>
      <c r="S705" s="208">
        <v>15661.333333333299</v>
      </c>
      <c r="W705" s="208">
        <v>11680</v>
      </c>
    </row>
    <row r="706" spans="2:23">
      <c r="C706" s="540">
        <f>MEDIAN(B708:B1032)</f>
        <v>8701</v>
      </c>
      <c r="D706" s="391">
        <v>7238</v>
      </c>
      <c r="G706" s="208">
        <v>6584</v>
      </c>
      <c r="I706" s="402">
        <v>10222</v>
      </c>
      <c r="J706" s="391">
        <v>11168</v>
      </c>
      <c r="P706" s="402">
        <v>2840</v>
      </c>
      <c r="S706" s="208">
        <v>14072</v>
      </c>
      <c r="W706" s="208">
        <v>11168</v>
      </c>
    </row>
    <row r="707" spans="2:23">
      <c r="D707" s="402">
        <v>4367</v>
      </c>
      <c r="G707" s="208">
        <v>7334</v>
      </c>
      <c r="I707" s="391">
        <v>23812</v>
      </c>
      <c r="J707" s="391">
        <v>10918</v>
      </c>
      <c r="P707" s="402">
        <v>3090</v>
      </c>
      <c r="S707" s="208">
        <v>21856</v>
      </c>
      <c r="W707" s="208">
        <v>17346</v>
      </c>
    </row>
    <row r="708" spans="2:23">
      <c r="B708" s="391">
        <v>8610</v>
      </c>
      <c r="C708" s="207">
        <v>8460</v>
      </c>
      <c r="D708" s="402">
        <v>12518</v>
      </c>
      <c r="G708" s="208">
        <v>9524</v>
      </c>
      <c r="J708" s="391">
        <v>13708</v>
      </c>
      <c r="P708" s="402">
        <v>4050</v>
      </c>
      <c r="S708" s="208">
        <v>12482.666666666701</v>
      </c>
      <c r="W708" s="208">
        <v>8750</v>
      </c>
    </row>
    <row r="709" spans="2:23">
      <c r="B709" s="391">
        <v>8630</v>
      </c>
      <c r="C709" s="207">
        <v>8520</v>
      </c>
      <c r="D709" s="402">
        <v>13140</v>
      </c>
      <c r="G709" s="208">
        <v>6480</v>
      </c>
      <c r="J709" s="391">
        <v>10990</v>
      </c>
      <c r="P709" s="402">
        <v>3288</v>
      </c>
      <c r="S709" s="208">
        <v>16644</v>
      </c>
      <c r="W709" s="208">
        <v>9076</v>
      </c>
    </row>
    <row r="710" spans="2:23">
      <c r="B710" s="391">
        <v>8620</v>
      </c>
      <c r="C710" s="207">
        <v>0</v>
      </c>
      <c r="D710" s="402">
        <v>15306</v>
      </c>
      <c r="G710" s="208">
        <v>7462</v>
      </c>
      <c r="J710" s="391">
        <v>9060</v>
      </c>
      <c r="P710" s="402">
        <v>3730</v>
      </c>
      <c r="S710" s="208">
        <v>13584</v>
      </c>
      <c r="W710" s="208">
        <v>7934</v>
      </c>
    </row>
    <row r="711" spans="2:23">
      <c r="B711" s="391">
        <v>8550</v>
      </c>
      <c r="C711" s="207">
        <v>8590</v>
      </c>
      <c r="D711" s="402">
        <v>8761</v>
      </c>
      <c r="J711" s="402">
        <v>8900</v>
      </c>
      <c r="P711" s="402">
        <v>3020</v>
      </c>
      <c r="S711" s="208">
        <v>22302</v>
      </c>
      <c r="W711" s="208">
        <v>8296</v>
      </c>
    </row>
    <row r="712" spans="2:23">
      <c r="B712" s="391">
        <v>8550</v>
      </c>
      <c r="C712" s="207">
        <v>6596</v>
      </c>
      <c r="D712" s="402">
        <v>10522</v>
      </c>
      <c r="E712" s="206">
        <v>4920</v>
      </c>
      <c r="F712" s="539">
        <f>MEDIAN(E712:E782)</f>
        <v>3700</v>
      </c>
      <c r="J712" s="402">
        <v>9539</v>
      </c>
      <c r="P712" s="402">
        <v>3420</v>
      </c>
      <c r="S712" s="208">
        <v>15518</v>
      </c>
      <c r="W712" s="208">
        <v>6444</v>
      </c>
    </row>
    <row r="713" spans="2:23">
      <c r="B713" s="391">
        <v>8610</v>
      </c>
      <c r="C713" s="207">
        <v>6662</v>
      </c>
      <c r="D713" s="391">
        <v>9848</v>
      </c>
      <c r="E713" s="206">
        <v>4940</v>
      </c>
      <c r="J713" s="402">
        <v>9450</v>
      </c>
      <c r="P713" s="402">
        <v>4770</v>
      </c>
      <c r="S713" s="208">
        <v>16522</v>
      </c>
      <c r="W713" s="208">
        <v>7634</v>
      </c>
    </row>
    <row r="714" spans="2:23">
      <c r="B714" s="391">
        <v>8490</v>
      </c>
      <c r="C714" s="207">
        <v>6764</v>
      </c>
      <c r="D714" s="402">
        <v>9310</v>
      </c>
      <c r="E714" s="206">
        <v>4860</v>
      </c>
      <c r="J714" s="402">
        <v>9310</v>
      </c>
      <c r="P714" s="402">
        <v>3850</v>
      </c>
      <c r="S714" s="208">
        <v>10332</v>
      </c>
      <c r="W714" s="208">
        <v>6298</v>
      </c>
    </row>
    <row r="715" spans="2:23">
      <c r="B715" s="391">
        <v>8550</v>
      </c>
      <c r="C715" s="207">
        <v>6832</v>
      </c>
      <c r="D715" s="402">
        <v>11032</v>
      </c>
      <c r="E715" s="206">
        <v>3288</v>
      </c>
      <c r="J715" s="402">
        <v>9572</v>
      </c>
      <c r="P715" s="402">
        <v>3150</v>
      </c>
      <c r="W715" s="208">
        <v>6892</v>
      </c>
    </row>
    <row r="716" spans="2:23">
      <c r="B716" s="391">
        <v>8570</v>
      </c>
      <c r="C716" s="207">
        <v>6642</v>
      </c>
      <c r="D716" s="206">
        <v>10138</v>
      </c>
      <c r="E716" s="206">
        <v>3115.5</v>
      </c>
      <c r="J716" s="402">
        <v>7339</v>
      </c>
      <c r="P716" s="402">
        <v>3100</v>
      </c>
      <c r="W716" s="208">
        <v>6100</v>
      </c>
    </row>
    <row r="717" spans="2:23">
      <c r="B717" s="391">
        <v>8505</v>
      </c>
      <c r="C717" s="207">
        <v>6802</v>
      </c>
      <c r="D717" s="206">
        <v>10950</v>
      </c>
      <c r="E717" s="206">
        <v>3024.9</v>
      </c>
      <c r="J717" s="402">
        <v>9529</v>
      </c>
      <c r="P717" s="402">
        <v>4020</v>
      </c>
      <c r="W717" s="208">
        <v>9066</v>
      </c>
    </row>
    <row r="718" spans="2:23">
      <c r="B718" s="391">
        <v>8277</v>
      </c>
      <c r="C718" s="207">
        <v>6612</v>
      </c>
      <c r="D718" s="206">
        <v>11106</v>
      </c>
      <c r="J718" s="402">
        <v>8029</v>
      </c>
      <c r="P718" s="402">
        <v>4050</v>
      </c>
      <c r="W718" s="208">
        <v>6044</v>
      </c>
    </row>
    <row r="719" spans="2:23">
      <c r="B719" s="391">
        <v>8550</v>
      </c>
      <c r="C719" s="207">
        <v>6642</v>
      </c>
      <c r="D719" s="206">
        <v>10600</v>
      </c>
      <c r="E719" s="206">
        <v>5610</v>
      </c>
      <c r="J719" s="402">
        <v>8064</v>
      </c>
      <c r="P719" s="402">
        <v>5670</v>
      </c>
      <c r="W719" s="208">
        <v>7374</v>
      </c>
    </row>
    <row r="720" spans="2:23">
      <c r="B720" s="391">
        <v>8620</v>
      </c>
      <c r="C720" s="207">
        <v>6662</v>
      </c>
      <c r="D720" s="206">
        <v>9020</v>
      </c>
      <c r="E720" s="206">
        <v>5610</v>
      </c>
      <c r="J720" s="402">
        <v>9563</v>
      </c>
      <c r="P720" s="402">
        <v>4945</v>
      </c>
      <c r="W720" s="208">
        <v>6526</v>
      </c>
    </row>
    <row r="721" spans="2:23">
      <c r="B721" s="391">
        <v>8610</v>
      </c>
      <c r="C721" s="207">
        <v>6778</v>
      </c>
      <c r="D721" s="206">
        <v>10528</v>
      </c>
      <c r="E721" s="206">
        <v>4321.3599999999997</v>
      </c>
      <c r="J721" s="402">
        <v>15020</v>
      </c>
      <c r="K721" s="208">
        <v>4830</v>
      </c>
      <c r="L721" s="536">
        <f>MEDIAN(K721:K797)</f>
        <v>2452.5</v>
      </c>
      <c r="P721" s="394">
        <v>3120</v>
      </c>
    </row>
    <row r="722" spans="2:23">
      <c r="B722" s="391">
        <v>8550</v>
      </c>
      <c r="C722" s="207">
        <v>6836</v>
      </c>
      <c r="D722" s="206">
        <v>9450</v>
      </c>
      <c r="E722" s="206">
        <v>4279.04</v>
      </c>
      <c r="J722" s="402">
        <v>8358</v>
      </c>
      <c r="K722" s="208">
        <v>5070</v>
      </c>
      <c r="P722" s="395">
        <v>3357</v>
      </c>
    </row>
    <row r="723" spans="2:23">
      <c r="B723" s="391">
        <v>8250</v>
      </c>
      <c r="C723" s="207">
        <v>6666</v>
      </c>
      <c r="D723" s="206">
        <v>10026</v>
      </c>
      <c r="E723" s="206">
        <v>4910</v>
      </c>
      <c r="J723" s="402">
        <v>11076</v>
      </c>
      <c r="K723" s="208">
        <v>4900</v>
      </c>
      <c r="P723" s="395">
        <v>3387.6</v>
      </c>
    </row>
    <row r="724" spans="2:23">
      <c r="B724" s="391">
        <v>8550</v>
      </c>
      <c r="C724" s="207">
        <v>6622</v>
      </c>
      <c r="D724" s="206">
        <v>10642</v>
      </c>
      <c r="E724" s="206">
        <v>5016</v>
      </c>
      <c r="J724" s="402">
        <v>12080</v>
      </c>
      <c r="K724" s="208">
        <v>4109.3500000000004</v>
      </c>
      <c r="P724" s="395">
        <v>3060</v>
      </c>
      <c r="W724" s="208">
        <v>6106</v>
      </c>
    </row>
    <row r="725" spans="2:23">
      <c r="B725" s="391">
        <v>8550</v>
      </c>
      <c r="C725" s="207">
        <v>6672</v>
      </c>
      <c r="D725" s="206">
        <v>9272</v>
      </c>
      <c r="E725" s="206">
        <v>5110</v>
      </c>
      <c r="J725" s="402">
        <v>12852</v>
      </c>
      <c r="K725" s="208">
        <v>1800</v>
      </c>
      <c r="P725" s="395">
        <v>3071.4</v>
      </c>
    </row>
    <row r="726" spans="2:23">
      <c r="B726" s="391">
        <v>8700</v>
      </c>
      <c r="C726" s="207">
        <v>6740</v>
      </c>
      <c r="D726" s="206">
        <v>9174</v>
      </c>
      <c r="E726" s="206">
        <v>5322</v>
      </c>
      <c r="J726" s="402">
        <v>7578</v>
      </c>
      <c r="K726" s="208">
        <v>2250</v>
      </c>
      <c r="P726" s="395">
        <v>3340.8</v>
      </c>
    </row>
    <row r="727" spans="2:23">
      <c r="B727" s="402">
        <v>4430</v>
      </c>
      <c r="C727" s="207">
        <v>6642</v>
      </c>
      <c r="D727" s="206">
        <v>9288</v>
      </c>
      <c r="E727" s="206">
        <v>3746</v>
      </c>
      <c r="J727" s="402">
        <v>7548</v>
      </c>
      <c r="K727" s="208">
        <v>1350</v>
      </c>
      <c r="P727" s="395">
        <v>3146.4</v>
      </c>
      <c r="W727" s="208">
        <v>13674</v>
      </c>
    </row>
    <row r="728" spans="2:23">
      <c r="B728" s="402">
        <v>5820</v>
      </c>
      <c r="C728" s="207">
        <v>6692</v>
      </c>
      <c r="D728" s="206">
        <v>9338</v>
      </c>
      <c r="E728" s="206">
        <v>3760</v>
      </c>
      <c r="J728" s="402">
        <v>7614</v>
      </c>
      <c r="K728" s="208">
        <v>1800</v>
      </c>
      <c r="P728" s="395">
        <v>3276.6</v>
      </c>
      <c r="W728" s="208">
        <v>13720</v>
      </c>
    </row>
    <row r="729" spans="2:23">
      <c r="B729" s="402">
        <v>5640</v>
      </c>
      <c r="C729" s="207">
        <v>6727</v>
      </c>
      <c r="D729" s="206">
        <v>9294</v>
      </c>
      <c r="E729" s="206">
        <v>3210</v>
      </c>
      <c r="J729" s="402">
        <v>7676</v>
      </c>
      <c r="K729" s="208">
        <v>2025</v>
      </c>
      <c r="P729" s="395">
        <v>2844</v>
      </c>
      <c r="W729" s="208">
        <v>13740</v>
      </c>
    </row>
    <row r="730" spans="2:23">
      <c r="B730" s="402">
        <v>5290</v>
      </c>
      <c r="C730" s="207">
        <v>6726</v>
      </c>
      <c r="D730" s="206">
        <v>8568</v>
      </c>
      <c r="E730" s="206">
        <v>3500</v>
      </c>
      <c r="J730" s="402">
        <v>6950</v>
      </c>
      <c r="K730" s="208">
        <v>1854</v>
      </c>
      <c r="P730" s="395">
        <v>3115.5</v>
      </c>
      <c r="W730" s="208">
        <v>14088</v>
      </c>
    </row>
    <row r="731" spans="2:23">
      <c r="B731" s="402">
        <v>5400</v>
      </c>
      <c r="C731" s="207">
        <v>6602</v>
      </c>
      <c r="D731" s="206">
        <v>9220</v>
      </c>
      <c r="E731" s="206">
        <v>3390</v>
      </c>
      <c r="J731" s="402">
        <v>10994</v>
      </c>
      <c r="K731" s="208">
        <v>1800</v>
      </c>
      <c r="P731" s="395">
        <v>3114.9</v>
      </c>
      <c r="W731" s="208">
        <v>13416</v>
      </c>
    </row>
    <row r="732" spans="2:23">
      <c r="B732" s="402">
        <v>7100</v>
      </c>
      <c r="C732" s="207">
        <v>6652</v>
      </c>
      <c r="E732" s="206">
        <v>2632</v>
      </c>
      <c r="J732" s="402">
        <v>6584</v>
      </c>
      <c r="K732" s="208">
        <v>2250</v>
      </c>
      <c r="P732" s="395">
        <v>3069.6</v>
      </c>
      <c r="W732" s="208">
        <v>13584</v>
      </c>
    </row>
    <row r="733" spans="2:23">
      <c r="B733" s="402">
        <v>6990</v>
      </c>
      <c r="C733" s="207">
        <v>6752</v>
      </c>
      <c r="D733" s="206">
        <v>12638</v>
      </c>
      <c r="E733" s="206">
        <v>2748</v>
      </c>
      <c r="J733" s="402">
        <v>7334</v>
      </c>
      <c r="K733" s="208">
        <v>2025</v>
      </c>
      <c r="P733" s="395">
        <v>3291.9</v>
      </c>
      <c r="W733" s="208">
        <v>14808</v>
      </c>
    </row>
    <row r="734" spans="2:23">
      <c r="B734" s="402">
        <v>4410</v>
      </c>
      <c r="C734" s="207">
        <v>19050</v>
      </c>
      <c r="D734" s="206">
        <v>11542</v>
      </c>
      <c r="E734" s="206">
        <v>2792</v>
      </c>
      <c r="J734" s="402">
        <v>6848</v>
      </c>
      <c r="K734" s="208">
        <v>2025</v>
      </c>
      <c r="P734" s="395">
        <v>3074.4</v>
      </c>
      <c r="W734" s="208">
        <v>11180</v>
      </c>
    </row>
    <row r="735" spans="2:23">
      <c r="B735" s="402">
        <v>3740</v>
      </c>
      <c r="C735" s="207">
        <v>19050</v>
      </c>
      <c r="D735" s="206">
        <v>9154</v>
      </c>
      <c r="E735" s="206">
        <v>2544</v>
      </c>
      <c r="J735" s="402">
        <v>9524</v>
      </c>
      <c r="K735" s="208">
        <v>2025</v>
      </c>
      <c r="P735" s="395">
        <v>3456.6</v>
      </c>
      <c r="W735" s="208">
        <v>13031</v>
      </c>
    </row>
    <row r="736" spans="2:23">
      <c r="B736" s="402">
        <v>5940</v>
      </c>
      <c r="C736" s="207">
        <v>4209.04</v>
      </c>
      <c r="D736" s="206">
        <v>8552</v>
      </c>
      <c r="E736" s="206">
        <v>2152</v>
      </c>
      <c r="J736" s="402">
        <v>6480</v>
      </c>
      <c r="K736" s="208">
        <v>2025</v>
      </c>
      <c r="P736" s="395">
        <v>2553</v>
      </c>
      <c r="W736" s="208">
        <v>10053</v>
      </c>
    </row>
    <row r="737" spans="2:23">
      <c r="B737" s="402">
        <v>5730</v>
      </c>
      <c r="C737" s="207">
        <v>4119.04</v>
      </c>
      <c r="E737" s="206">
        <v>2289</v>
      </c>
      <c r="J737" s="402">
        <v>7462</v>
      </c>
      <c r="K737" s="208">
        <v>2025</v>
      </c>
      <c r="P737" s="395">
        <v>3120.3</v>
      </c>
      <c r="W737" s="208">
        <v>11102</v>
      </c>
    </row>
    <row r="738" spans="2:23">
      <c r="B738" s="402">
        <v>5538</v>
      </c>
      <c r="C738" s="207">
        <v>4203.04</v>
      </c>
      <c r="E738" s="206">
        <v>1940</v>
      </c>
      <c r="J738" s="402">
        <v>6918</v>
      </c>
      <c r="K738" s="208">
        <v>1800</v>
      </c>
      <c r="P738" s="395">
        <v>3030</v>
      </c>
      <c r="W738" s="208">
        <v>9648</v>
      </c>
    </row>
    <row r="739" spans="2:23">
      <c r="B739" s="402">
        <v>6670</v>
      </c>
      <c r="C739" s="207">
        <v>4184.87</v>
      </c>
      <c r="E739" s="206">
        <v>2626</v>
      </c>
      <c r="J739" s="402">
        <v>4574</v>
      </c>
      <c r="K739" s="208">
        <v>1800</v>
      </c>
      <c r="P739" s="395">
        <v>3155.4</v>
      </c>
      <c r="W739" s="208">
        <v>8819.68</v>
      </c>
    </row>
    <row r="740" spans="2:23">
      <c r="B740" s="402">
        <v>4910</v>
      </c>
      <c r="C740" s="207">
        <v>4109.3500000000004</v>
      </c>
      <c r="E740" s="206">
        <v>2768</v>
      </c>
      <c r="J740" s="402">
        <v>4324</v>
      </c>
      <c r="K740" s="208">
        <v>1800</v>
      </c>
      <c r="P740" s="395">
        <v>3137.4</v>
      </c>
      <c r="W740" s="208">
        <v>8962</v>
      </c>
    </row>
    <row r="741" spans="2:23">
      <c r="B741" s="402">
        <v>6060</v>
      </c>
      <c r="C741" s="207">
        <v>3600</v>
      </c>
      <c r="E741" s="206">
        <v>5930</v>
      </c>
      <c r="J741" s="402">
        <v>5752</v>
      </c>
      <c r="K741" s="208">
        <v>1800</v>
      </c>
      <c r="P741" s="395">
        <v>3336.6</v>
      </c>
      <c r="W741" s="208">
        <v>11222</v>
      </c>
    </row>
    <row r="742" spans="2:23">
      <c r="B742" s="402">
        <v>6210</v>
      </c>
      <c r="C742" s="207">
        <v>3960</v>
      </c>
      <c r="E742" s="206">
        <v>5398</v>
      </c>
      <c r="J742" s="402">
        <v>4742</v>
      </c>
      <c r="K742" s="208">
        <v>1800</v>
      </c>
      <c r="P742" s="395">
        <v>3180</v>
      </c>
      <c r="W742" s="208">
        <v>9776</v>
      </c>
    </row>
    <row r="743" spans="2:23">
      <c r="B743" s="402">
        <v>6730</v>
      </c>
      <c r="C743" s="207">
        <v>7200</v>
      </c>
      <c r="E743" s="206">
        <v>5916</v>
      </c>
      <c r="J743" s="402">
        <v>4206</v>
      </c>
      <c r="K743" s="208">
        <v>1800</v>
      </c>
      <c r="P743" s="395">
        <v>3352.5</v>
      </c>
      <c r="W743" s="208">
        <v>7623</v>
      </c>
    </row>
    <row r="744" spans="2:23">
      <c r="B744" s="402">
        <v>4290</v>
      </c>
      <c r="C744" s="207">
        <v>3600</v>
      </c>
      <c r="E744" s="206">
        <v>5696</v>
      </c>
      <c r="J744" s="402">
        <v>4430</v>
      </c>
      <c r="K744" s="208">
        <v>1800</v>
      </c>
      <c r="P744" s="395">
        <v>3053.1</v>
      </c>
      <c r="W744" s="208">
        <v>7414.68</v>
      </c>
    </row>
    <row r="745" spans="2:23">
      <c r="B745" s="402">
        <v>4450</v>
      </c>
      <c r="C745" s="207">
        <v>4500</v>
      </c>
      <c r="E745" s="206">
        <v>4652</v>
      </c>
      <c r="J745" s="402">
        <v>12610</v>
      </c>
      <c r="K745" s="208">
        <v>1800</v>
      </c>
      <c r="P745" s="395">
        <v>3122.4</v>
      </c>
      <c r="W745" s="208">
        <v>8581</v>
      </c>
    </row>
    <row r="746" spans="2:23">
      <c r="B746" s="402">
        <v>5160</v>
      </c>
      <c r="C746" s="207">
        <v>2700</v>
      </c>
      <c r="E746" s="206">
        <v>4594</v>
      </c>
      <c r="J746" s="402">
        <v>12370</v>
      </c>
      <c r="K746" s="208">
        <v>1800</v>
      </c>
      <c r="P746" s="395">
        <v>3135.6</v>
      </c>
      <c r="W746" s="208">
        <v>9764</v>
      </c>
    </row>
    <row r="747" spans="2:23">
      <c r="B747" s="402">
        <v>4770</v>
      </c>
      <c r="C747" s="207">
        <v>3600</v>
      </c>
      <c r="E747" s="206">
        <v>4678</v>
      </c>
      <c r="J747" s="402">
        <v>10052</v>
      </c>
      <c r="K747" s="208">
        <v>2700</v>
      </c>
      <c r="P747" s="395">
        <v>3024.9</v>
      </c>
      <c r="W747" s="208">
        <v>9214.34</v>
      </c>
    </row>
    <row r="748" spans="2:23" ht="13.5" thickBot="1">
      <c r="B748" s="402">
        <v>6900</v>
      </c>
      <c r="C748" s="207">
        <v>4050</v>
      </c>
      <c r="E748" s="206">
        <v>4652</v>
      </c>
      <c r="J748" s="402">
        <v>9462</v>
      </c>
      <c r="K748" s="208">
        <v>2250</v>
      </c>
      <c r="P748" s="396">
        <v>3091.8</v>
      </c>
    </row>
    <row r="749" spans="2:23">
      <c r="B749" s="402">
        <v>11808</v>
      </c>
      <c r="C749" s="207">
        <v>3960</v>
      </c>
      <c r="E749" s="206">
        <v>4626</v>
      </c>
      <c r="J749" s="402">
        <v>9552</v>
      </c>
      <c r="K749" s="208">
        <v>900</v>
      </c>
      <c r="P749" s="402">
        <v>4112</v>
      </c>
      <c r="W749" s="208">
        <v>13244</v>
      </c>
    </row>
    <row r="750" spans="2:23">
      <c r="B750" s="394">
        <v>12172.8</v>
      </c>
      <c r="C750" s="207">
        <v>3600</v>
      </c>
      <c r="E750" s="206">
        <v>2710</v>
      </c>
      <c r="J750" s="402">
        <v>10396</v>
      </c>
      <c r="K750" s="208">
        <v>2700</v>
      </c>
      <c r="P750" s="402">
        <v>3806</v>
      </c>
      <c r="W750" s="208">
        <v>10446</v>
      </c>
    </row>
    <row r="751" spans="2:23">
      <c r="B751" s="395">
        <v>11010</v>
      </c>
      <c r="C751" s="207">
        <v>4500</v>
      </c>
      <c r="E751" s="206">
        <v>3852</v>
      </c>
      <c r="J751" s="402">
        <v>10992</v>
      </c>
      <c r="K751" s="208">
        <v>2250</v>
      </c>
      <c r="P751" s="402">
        <v>3914</v>
      </c>
      <c r="W751" s="208">
        <v>14114</v>
      </c>
    </row>
    <row r="752" spans="2:23">
      <c r="B752" s="395">
        <v>13146</v>
      </c>
      <c r="C752" s="207">
        <v>4050</v>
      </c>
      <c r="E752" s="206">
        <v>6270</v>
      </c>
      <c r="J752" s="402">
        <v>8800</v>
      </c>
      <c r="K752" s="208">
        <v>1710</v>
      </c>
      <c r="P752" s="402">
        <v>3880</v>
      </c>
      <c r="W752" s="208">
        <v>12672</v>
      </c>
    </row>
    <row r="753" spans="2:23">
      <c r="B753" s="395">
        <v>8890.5</v>
      </c>
      <c r="C753" s="207">
        <v>4050</v>
      </c>
      <c r="E753" s="206">
        <v>2370</v>
      </c>
      <c r="J753" s="402">
        <v>11958</v>
      </c>
      <c r="P753" s="402"/>
      <c r="W753" s="208">
        <v>14952</v>
      </c>
    </row>
    <row r="754" spans="2:23">
      <c r="B754" s="395">
        <v>11959.5</v>
      </c>
      <c r="C754" s="207">
        <v>4050</v>
      </c>
      <c r="E754" s="206">
        <v>2896</v>
      </c>
      <c r="J754" s="402">
        <v>10635</v>
      </c>
      <c r="K754" s="208">
        <v>1710</v>
      </c>
      <c r="P754" s="402">
        <v>5610</v>
      </c>
      <c r="W754" s="208">
        <v>23058.25</v>
      </c>
    </row>
    <row r="755" spans="2:23">
      <c r="B755" s="395">
        <v>12918.9</v>
      </c>
      <c r="C755" s="207">
        <v>4050</v>
      </c>
      <c r="E755" s="206">
        <v>1714</v>
      </c>
      <c r="J755" s="402">
        <v>11162</v>
      </c>
      <c r="K755" s="208">
        <v>1710</v>
      </c>
      <c r="P755" s="402">
        <v>5610</v>
      </c>
      <c r="W755" s="208">
        <v>20160</v>
      </c>
    </row>
    <row r="756" spans="2:23">
      <c r="B756" s="395">
        <v>12038.1</v>
      </c>
      <c r="C756" s="207">
        <v>4050</v>
      </c>
      <c r="E756" s="206">
        <v>3320</v>
      </c>
      <c r="J756" s="402">
        <v>9354</v>
      </c>
      <c r="K756" s="208">
        <v>1890</v>
      </c>
      <c r="P756" s="402">
        <v>5610</v>
      </c>
      <c r="W756" s="208">
        <v>20362</v>
      </c>
    </row>
    <row r="757" spans="2:23">
      <c r="B757" s="395">
        <v>13161.9</v>
      </c>
      <c r="C757" s="207">
        <v>3600</v>
      </c>
      <c r="E757" s="206">
        <v>2370</v>
      </c>
      <c r="J757" s="402">
        <v>8662.66</v>
      </c>
      <c r="K757" s="208">
        <v>1890</v>
      </c>
      <c r="P757" s="402">
        <v>5610</v>
      </c>
      <c r="W757" s="208">
        <v>8430</v>
      </c>
    </row>
    <row r="758" spans="2:23">
      <c r="B758" s="395">
        <v>10672.8</v>
      </c>
      <c r="C758" s="207">
        <v>3600</v>
      </c>
      <c r="E758" s="206">
        <v>2370</v>
      </c>
      <c r="J758" s="402">
        <v>8454</v>
      </c>
      <c r="K758" s="208">
        <v>1800</v>
      </c>
      <c r="P758" s="402">
        <v>5610</v>
      </c>
      <c r="W758" s="208">
        <v>12876</v>
      </c>
    </row>
    <row r="759" spans="2:23">
      <c r="B759" s="395">
        <v>11372.1</v>
      </c>
      <c r="C759" s="207">
        <v>3600</v>
      </c>
      <c r="E759" s="206">
        <v>4120</v>
      </c>
      <c r="J759" s="402">
        <v>9842</v>
      </c>
      <c r="K759" s="208">
        <v>2475</v>
      </c>
      <c r="P759" s="402">
        <v>5610</v>
      </c>
    </row>
    <row r="760" spans="2:23">
      <c r="B760" s="395">
        <v>11714.7</v>
      </c>
      <c r="C760" s="207">
        <v>3600</v>
      </c>
      <c r="E760" s="206">
        <v>2542</v>
      </c>
      <c r="J760" s="402">
        <v>9387</v>
      </c>
      <c r="K760" s="208">
        <v>2250</v>
      </c>
      <c r="P760" s="402">
        <v>5610</v>
      </c>
      <c r="W760" s="208">
        <v>9220</v>
      </c>
    </row>
    <row r="761" spans="2:23">
      <c r="B761" s="395">
        <v>11717.1</v>
      </c>
      <c r="C761" s="207">
        <v>3600</v>
      </c>
      <c r="E761" s="206">
        <v>4130</v>
      </c>
      <c r="J761" s="402">
        <v>7683</v>
      </c>
      <c r="K761" s="208">
        <v>2250</v>
      </c>
      <c r="P761" s="402">
        <v>5610</v>
      </c>
      <c r="W761" s="208">
        <v>9044</v>
      </c>
    </row>
    <row r="762" spans="2:23">
      <c r="B762" s="395">
        <v>13276.2</v>
      </c>
      <c r="C762" s="207">
        <v>3600</v>
      </c>
      <c r="E762" s="206">
        <v>2760</v>
      </c>
      <c r="J762" s="402">
        <v>7520.04</v>
      </c>
      <c r="K762" s="208">
        <v>2250</v>
      </c>
      <c r="P762" s="402">
        <v>5610</v>
      </c>
      <c r="W762" s="208">
        <v>9204</v>
      </c>
    </row>
    <row r="763" spans="2:23">
      <c r="B763" s="395">
        <v>11595.6</v>
      </c>
      <c r="C763" s="207">
        <v>3600</v>
      </c>
      <c r="E763" s="206">
        <v>3700</v>
      </c>
      <c r="J763" s="402">
        <v>7975</v>
      </c>
      <c r="K763" s="208">
        <v>1125</v>
      </c>
      <c r="P763" s="402">
        <v>5610</v>
      </c>
      <c r="W763" s="208">
        <v>8445</v>
      </c>
    </row>
    <row r="764" spans="2:23">
      <c r="B764" s="395">
        <v>11985.3</v>
      </c>
      <c r="C764" s="207">
        <v>3600</v>
      </c>
      <c r="E764" s="206">
        <v>2370</v>
      </c>
      <c r="J764" s="402">
        <v>8702</v>
      </c>
      <c r="K764" s="208">
        <v>3600</v>
      </c>
      <c r="P764" s="402">
        <v>5610</v>
      </c>
      <c r="W764" s="208">
        <v>8176</v>
      </c>
    </row>
    <row r="765" spans="2:23">
      <c r="B765" s="395">
        <v>9984</v>
      </c>
      <c r="C765" s="207">
        <v>3600</v>
      </c>
      <c r="E765" s="206">
        <v>4642</v>
      </c>
      <c r="J765" s="402">
        <v>7381.34</v>
      </c>
      <c r="K765" s="208">
        <v>3600</v>
      </c>
      <c r="P765" s="402">
        <v>5610</v>
      </c>
      <c r="W765" s="208">
        <v>8360</v>
      </c>
    </row>
    <row r="766" spans="2:23">
      <c r="B766" s="395">
        <v>11940.6</v>
      </c>
      <c r="C766" s="207">
        <v>5400</v>
      </c>
      <c r="E766" s="206">
        <v>3000</v>
      </c>
      <c r="J766" s="402">
        <v>6910.02</v>
      </c>
      <c r="P766" s="402">
        <v>5610</v>
      </c>
      <c r="W766" s="208">
        <v>7756</v>
      </c>
    </row>
    <row r="767" spans="2:23">
      <c r="B767" s="395">
        <v>10890</v>
      </c>
      <c r="C767" s="207">
        <v>4500</v>
      </c>
      <c r="E767" s="206">
        <v>2370</v>
      </c>
      <c r="J767" s="402">
        <v>8563</v>
      </c>
      <c r="K767" s="208">
        <v>3600</v>
      </c>
      <c r="P767" s="402">
        <v>5610</v>
      </c>
      <c r="W767" s="208">
        <v>7048</v>
      </c>
    </row>
    <row r="768" spans="2:23">
      <c r="B768" s="395">
        <v>12031.5</v>
      </c>
      <c r="C768" s="207">
        <v>1800</v>
      </c>
      <c r="J768" s="402">
        <v>6809</v>
      </c>
      <c r="P768" s="402">
        <v>4321.3599999999997</v>
      </c>
      <c r="W768" s="208">
        <v>11703</v>
      </c>
    </row>
    <row r="769" spans="2:23">
      <c r="B769" s="395">
        <v>12592.8</v>
      </c>
      <c r="C769" s="207">
        <v>5400</v>
      </c>
      <c r="J769" s="402">
        <v>9594</v>
      </c>
      <c r="K769" s="208">
        <v>2430</v>
      </c>
      <c r="P769" s="402">
        <v>4279.04</v>
      </c>
      <c r="W769" s="208">
        <v>12566</v>
      </c>
    </row>
    <row r="770" spans="2:23">
      <c r="B770" s="395">
        <v>12241.8</v>
      </c>
      <c r="C770" s="207">
        <v>4500</v>
      </c>
      <c r="E770" s="206">
        <v>2370</v>
      </c>
      <c r="J770" s="402">
        <v>10188</v>
      </c>
      <c r="K770" s="208">
        <v>2250</v>
      </c>
      <c r="P770" s="402">
        <v>4283.04</v>
      </c>
      <c r="W770" s="208">
        <v>7713</v>
      </c>
    </row>
    <row r="771" spans="2:23">
      <c r="B771" s="395">
        <v>11608.2</v>
      </c>
      <c r="C771" s="207">
        <v>3420</v>
      </c>
      <c r="J771" s="402">
        <v>10464</v>
      </c>
      <c r="K771" s="208">
        <v>4008</v>
      </c>
      <c r="P771" s="402">
        <v>4199.04</v>
      </c>
      <c r="W771" s="208">
        <v>8265</v>
      </c>
    </row>
    <row r="772" spans="2:23">
      <c r="B772" s="395">
        <v>11607</v>
      </c>
      <c r="J772" s="402">
        <v>9364</v>
      </c>
      <c r="K772" s="208">
        <v>4008</v>
      </c>
      <c r="P772" s="402">
        <v>4205.04</v>
      </c>
      <c r="W772" s="208">
        <v>7594</v>
      </c>
    </row>
    <row r="773" spans="2:23">
      <c r="B773" s="395">
        <v>11337</v>
      </c>
      <c r="C773" s="207">
        <v>3420</v>
      </c>
      <c r="E773" s="206">
        <v>5588</v>
      </c>
      <c r="J773" s="402">
        <v>12280</v>
      </c>
      <c r="K773" s="208">
        <v>4008</v>
      </c>
      <c r="P773" s="402">
        <v>4379.5</v>
      </c>
      <c r="W773" s="208">
        <v>8007</v>
      </c>
    </row>
    <row r="774" spans="2:23">
      <c r="B774" s="395">
        <v>11447.1</v>
      </c>
      <c r="C774" s="207">
        <v>3420</v>
      </c>
      <c r="J774" s="402">
        <v>10955</v>
      </c>
      <c r="K774" s="208">
        <v>4008</v>
      </c>
      <c r="P774" s="402">
        <v>4778.3999999999996</v>
      </c>
      <c r="W774" s="208">
        <v>7938</v>
      </c>
    </row>
    <row r="775" spans="2:23">
      <c r="B775" s="395">
        <v>11829.3</v>
      </c>
      <c r="C775" s="207">
        <v>3780</v>
      </c>
      <c r="E775" s="206">
        <v>1920</v>
      </c>
      <c r="J775" s="402">
        <v>8724</v>
      </c>
      <c r="K775" s="208">
        <v>4008</v>
      </c>
      <c r="P775" s="402">
        <v>4255.04</v>
      </c>
      <c r="W775" s="208">
        <v>7641</v>
      </c>
    </row>
    <row r="776" spans="2:23">
      <c r="B776" s="395">
        <v>11618.1</v>
      </c>
      <c r="C776" s="207">
        <v>3780</v>
      </c>
      <c r="E776" s="206">
        <v>2836</v>
      </c>
      <c r="J776" s="402">
        <v>8008</v>
      </c>
      <c r="K776" s="208">
        <v>4008</v>
      </c>
      <c r="P776" s="402">
        <v>4109.04</v>
      </c>
      <c r="W776" s="208">
        <v>7514</v>
      </c>
    </row>
    <row r="777" spans="2:23" ht="13.5" thickBot="1">
      <c r="B777" s="396">
        <v>11728.8</v>
      </c>
      <c r="C777" s="207">
        <v>3600</v>
      </c>
      <c r="E777" s="206">
        <v>3442</v>
      </c>
      <c r="J777" s="402">
        <v>15124</v>
      </c>
      <c r="K777" s="208">
        <v>4008</v>
      </c>
      <c r="P777" s="402">
        <v>4912</v>
      </c>
      <c r="W777" s="208">
        <v>7480</v>
      </c>
    </row>
    <row r="778" spans="2:23">
      <c r="B778" s="402">
        <v>12394</v>
      </c>
      <c r="C778" s="207">
        <v>4950</v>
      </c>
      <c r="E778" s="206">
        <v>2370</v>
      </c>
      <c r="J778" s="402">
        <v>9220</v>
      </c>
      <c r="K778" s="208">
        <v>4008</v>
      </c>
      <c r="P778" s="402">
        <v>4910</v>
      </c>
      <c r="W778" s="208">
        <v>5835</v>
      </c>
    </row>
    <row r="779" spans="2:23">
      <c r="B779" s="402">
        <v>11746</v>
      </c>
      <c r="C779" s="207">
        <v>4500</v>
      </c>
      <c r="E779" s="206">
        <v>4620</v>
      </c>
      <c r="J779" s="402">
        <v>9044</v>
      </c>
      <c r="K779" s="208">
        <v>4008</v>
      </c>
      <c r="P779" s="402">
        <v>3314</v>
      </c>
      <c r="W779" s="208">
        <v>6775</v>
      </c>
    </row>
    <row r="780" spans="2:23">
      <c r="B780" s="402">
        <v>11854</v>
      </c>
      <c r="C780" s="207">
        <v>4500</v>
      </c>
      <c r="E780" s="206">
        <v>4620</v>
      </c>
      <c r="J780" s="402">
        <v>9204</v>
      </c>
      <c r="K780" s="208">
        <v>4008</v>
      </c>
      <c r="P780" s="402">
        <v>5160</v>
      </c>
      <c r="W780" s="208">
        <v>6718</v>
      </c>
    </row>
    <row r="781" spans="2:23">
      <c r="B781" s="402">
        <v>11820</v>
      </c>
      <c r="C781" s="207">
        <v>4500</v>
      </c>
      <c r="E781" s="206">
        <v>4620</v>
      </c>
      <c r="J781" s="402">
        <v>8445</v>
      </c>
      <c r="K781" s="208">
        <v>4008</v>
      </c>
      <c r="P781" s="402">
        <v>4770</v>
      </c>
      <c r="W781" s="208">
        <v>5701</v>
      </c>
    </row>
    <row r="782" spans="2:23">
      <c r="B782" s="402"/>
      <c r="C782" s="207">
        <v>2250</v>
      </c>
      <c r="E782" s="206">
        <v>4620</v>
      </c>
      <c r="J782" s="402">
        <v>8176</v>
      </c>
      <c r="K782" s="208">
        <v>4008</v>
      </c>
      <c r="P782" s="402">
        <v>4850</v>
      </c>
      <c r="W782" s="208">
        <v>8036</v>
      </c>
    </row>
    <row r="783" spans="2:23">
      <c r="B783" s="402">
        <v>19050</v>
      </c>
      <c r="C783" s="207">
        <v>7200</v>
      </c>
      <c r="J783" s="402">
        <v>8360</v>
      </c>
      <c r="K783" s="208">
        <v>4008</v>
      </c>
      <c r="P783" s="402">
        <v>5025</v>
      </c>
      <c r="W783" s="208">
        <v>12208</v>
      </c>
    </row>
    <row r="784" spans="2:23">
      <c r="B784" s="402">
        <v>19050</v>
      </c>
      <c r="C784" s="207">
        <v>7200</v>
      </c>
      <c r="J784" s="402">
        <v>7756</v>
      </c>
      <c r="K784" s="208">
        <v>4008</v>
      </c>
      <c r="P784" s="402">
        <v>5016</v>
      </c>
      <c r="W784" s="208">
        <v>14134</v>
      </c>
    </row>
    <row r="785" spans="2:23">
      <c r="B785" s="402">
        <v>19050</v>
      </c>
      <c r="J785" s="402">
        <v>7048</v>
      </c>
      <c r="K785" s="208">
        <v>4008</v>
      </c>
      <c r="P785" s="402">
        <v>4717</v>
      </c>
      <c r="W785" s="208">
        <v>13770</v>
      </c>
    </row>
    <row r="786" spans="2:23">
      <c r="B786" s="402">
        <v>19050</v>
      </c>
      <c r="C786" s="207">
        <v>7200</v>
      </c>
      <c r="J786" s="402">
        <v>9131</v>
      </c>
      <c r="K786" s="208">
        <v>4008</v>
      </c>
      <c r="P786" s="402">
        <v>4260</v>
      </c>
      <c r="W786" s="208">
        <v>10890</v>
      </c>
    </row>
    <row r="787" spans="2:23">
      <c r="B787" s="402">
        <v>19050</v>
      </c>
      <c r="J787" s="402">
        <v>9028</v>
      </c>
      <c r="K787" s="208">
        <v>4008</v>
      </c>
      <c r="P787" s="402">
        <v>4170</v>
      </c>
      <c r="W787" s="208">
        <v>11604</v>
      </c>
    </row>
    <row r="788" spans="2:23">
      <c r="B788" s="402">
        <v>19050</v>
      </c>
      <c r="C788" s="207">
        <v>4860</v>
      </c>
      <c r="J788" s="402">
        <v>7188</v>
      </c>
      <c r="K788" s="208">
        <v>4008</v>
      </c>
      <c r="P788" s="402">
        <v>4783</v>
      </c>
      <c r="W788" s="208">
        <v>10764</v>
      </c>
    </row>
    <row r="789" spans="2:23">
      <c r="B789" s="402">
        <v>19050</v>
      </c>
      <c r="C789" s="207">
        <v>4500</v>
      </c>
      <c r="J789" s="402">
        <v>7468</v>
      </c>
      <c r="K789" s="208">
        <v>4008</v>
      </c>
      <c r="P789" s="402">
        <v>5110</v>
      </c>
      <c r="W789" s="208">
        <v>11388</v>
      </c>
    </row>
    <row r="790" spans="2:23">
      <c r="B790" s="402">
        <v>19050</v>
      </c>
      <c r="J790" s="402">
        <v>7297</v>
      </c>
      <c r="K790" s="208">
        <v>4008</v>
      </c>
      <c r="P790" s="402">
        <v>5322</v>
      </c>
      <c r="W790" s="208">
        <v>11460</v>
      </c>
    </row>
    <row r="791" spans="2:23">
      <c r="B791" s="402">
        <v>19050</v>
      </c>
      <c r="J791" s="402">
        <v>7410</v>
      </c>
      <c r="K791" s="208">
        <v>4008</v>
      </c>
      <c r="P791" s="402">
        <v>3746</v>
      </c>
      <c r="W791" s="208">
        <v>9810</v>
      </c>
    </row>
    <row r="792" spans="2:23">
      <c r="B792" s="402">
        <v>19050</v>
      </c>
      <c r="J792" s="402">
        <v>6733</v>
      </c>
      <c r="K792" s="208">
        <v>4008</v>
      </c>
      <c r="P792" s="402">
        <v>4530</v>
      </c>
      <c r="W792" s="208">
        <v>14134</v>
      </c>
    </row>
    <row r="793" spans="2:23">
      <c r="B793" s="402">
        <v>19050</v>
      </c>
      <c r="J793" s="402">
        <v>6644</v>
      </c>
      <c r="K793" s="208">
        <v>4008</v>
      </c>
      <c r="P793" s="391">
        <v>3760</v>
      </c>
    </row>
    <row r="794" spans="2:23">
      <c r="B794" s="402">
        <v>19050</v>
      </c>
      <c r="J794" s="402">
        <v>7238</v>
      </c>
      <c r="K794" s="208">
        <v>4008</v>
      </c>
      <c r="P794" s="391">
        <v>3210</v>
      </c>
      <c r="W794" s="208">
        <v>14134</v>
      </c>
    </row>
    <row r="795" spans="2:23">
      <c r="B795" s="402">
        <v>19050</v>
      </c>
      <c r="J795" s="402">
        <v>4367</v>
      </c>
      <c r="K795" s="208">
        <v>4008</v>
      </c>
      <c r="P795" s="391">
        <v>3500</v>
      </c>
      <c r="W795" s="208">
        <v>12120</v>
      </c>
    </row>
    <row r="796" spans="2:23">
      <c r="B796" s="402">
        <v>19050</v>
      </c>
      <c r="J796" s="402">
        <v>5379</v>
      </c>
      <c r="K796" s="208">
        <v>4008</v>
      </c>
      <c r="P796" s="391">
        <v>3390</v>
      </c>
      <c r="W796" s="208">
        <v>13380</v>
      </c>
    </row>
    <row r="797" spans="2:23">
      <c r="B797" s="402">
        <v>4321.3599999999997</v>
      </c>
      <c r="J797" s="402">
        <v>3495</v>
      </c>
      <c r="K797" s="208">
        <v>4008</v>
      </c>
      <c r="P797" s="391">
        <v>3380</v>
      </c>
      <c r="W797" s="208">
        <v>12104</v>
      </c>
    </row>
    <row r="798" spans="2:23">
      <c r="B798" s="402">
        <v>4279.04</v>
      </c>
      <c r="J798" s="402">
        <v>6247</v>
      </c>
      <c r="P798" s="391">
        <v>3180</v>
      </c>
      <c r="W798" s="208">
        <v>12744</v>
      </c>
    </row>
    <row r="799" spans="2:23">
      <c r="B799" s="402">
        <v>4283.04</v>
      </c>
      <c r="J799" s="402">
        <v>3326</v>
      </c>
      <c r="P799" s="391">
        <v>3790</v>
      </c>
      <c r="W799" s="208">
        <v>10731</v>
      </c>
    </row>
    <row r="800" spans="2:23">
      <c r="B800" s="402">
        <v>4199.04</v>
      </c>
      <c r="J800" s="402">
        <v>7319</v>
      </c>
      <c r="P800" s="402">
        <v>3120</v>
      </c>
      <c r="W800" s="208">
        <v>11107</v>
      </c>
    </row>
    <row r="801" spans="2:23">
      <c r="B801" s="402">
        <v>4205.04</v>
      </c>
      <c r="J801" s="391">
        <v>15120</v>
      </c>
      <c r="P801" s="391">
        <v>3870</v>
      </c>
      <c r="W801" s="208">
        <v>12178</v>
      </c>
    </row>
    <row r="802" spans="2:23">
      <c r="B802" s="402">
        <v>7679.5</v>
      </c>
      <c r="J802" s="391">
        <v>12688</v>
      </c>
      <c r="P802" s="391">
        <v>3654</v>
      </c>
      <c r="W802" s="208">
        <v>10474</v>
      </c>
    </row>
    <row r="803" spans="2:23">
      <c r="B803" s="402">
        <v>10142.4</v>
      </c>
      <c r="J803" s="391">
        <v>12518</v>
      </c>
      <c r="P803" s="391">
        <v>3150</v>
      </c>
      <c r="W803" s="208">
        <v>10798</v>
      </c>
    </row>
    <row r="804" spans="2:23">
      <c r="B804" s="402">
        <v>4255.04</v>
      </c>
      <c r="J804" s="391">
        <v>13140</v>
      </c>
      <c r="P804" s="391">
        <v>3870</v>
      </c>
      <c r="W804" s="208">
        <v>10920</v>
      </c>
    </row>
    <row r="805" spans="2:23">
      <c r="B805" s="402">
        <v>4109.04</v>
      </c>
      <c r="J805" s="391">
        <v>15306</v>
      </c>
      <c r="P805" s="391">
        <v>3410</v>
      </c>
      <c r="W805" s="208">
        <v>11588</v>
      </c>
    </row>
    <row r="806" spans="2:23">
      <c r="B806" s="402">
        <v>10462</v>
      </c>
      <c r="J806" s="391">
        <v>11640</v>
      </c>
      <c r="P806" s="391">
        <v>3270</v>
      </c>
      <c r="W806" s="208">
        <v>10616</v>
      </c>
    </row>
    <row r="807" spans="2:23">
      <c r="B807" s="402">
        <v>13550</v>
      </c>
      <c r="J807" s="391">
        <v>11160</v>
      </c>
      <c r="P807" s="391">
        <v>3380</v>
      </c>
      <c r="W807" s="208">
        <v>11568</v>
      </c>
    </row>
    <row r="808" spans="2:23">
      <c r="B808" s="402">
        <v>7394</v>
      </c>
      <c r="J808" s="391">
        <v>11060</v>
      </c>
      <c r="P808" s="402">
        <v>2632</v>
      </c>
      <c r="W808" s="208">
        <v>15661.333333333299</v>
      </c>
    </row>
    <row r="809" spans="2:23">
      <c r="B809" s="402">
        <v>10860</v>
      </c>
      <c r="J809" s="391">
        <v>11700</v>
      </c>
      <c r="P809" s="402">
        <v>2748</v>
      </c>
      <c r="W809" s="208">
        <v>14072</v>
      </c>
    </row>
    <row r="810" spans="2:23">
      <c r="B810" s="402">
        <v>9510</v>
      </c>
      <c r="J810" s="391">
        <v>10710</v>
      </c>
      <c r="P810" s="402">
        <v>2792</v>
      </c>
      <c r="W810" s="208">
        <v>21856</v>
      </c>
    </row>
    <row r="811" spans="2:23">
      <c r="B811" s="402">
        <v>9230</v>
      </c>
      <c r="J811" s="391">
        <v>10680</v>
      </c>
      <c r="P811" s="402">
        <v>2544</v>
      </c>
      <c r="W811" s="208">
        <v>12482.666666666701</v>
      </c>
    </row>
    <row r="812" spans="2:23">
      <c r="B812" s="402">
        <v>11288</v>
      </c>
      <c r="J812" s="391">
        <v>11488</v>
      </c>
      <c r="P812" s="402">
        <v>2152</v>
      </c>
      <c r="W812" s="208">
        <v>11013.333333333299</v>
      </c>
    </row>
    <row r="813" spans="2:23">
      <c r="B813" s="402">
        <v>12516</v>
      </c>
      <c r="J813" s="402">
        <v>10056</v>
      </c>
      <c r="P813" s="402">
        <v>2289</v>
      </c>
      <c r="W813" s="208">
        <v>10368</v>
      </c>
    </row>
    <row r="814" spans="2:23">
      <c r="B814" s="402">
        <v>12307</v>
      </c>
      <c r="J814" s="402">
        <v>13244</v>
      </c>
      <c r="P814" s="402">
        <v>1940</v>
      </c>
      <c r="W814" s="208">
        <v>9201.3333333333303</v>
      </c>
    </row>
    <row r="815" spans="2:23">
      <c r="B815" s="402">
        <v>11760</v>
      </c>
      <c r="J815" s="402">
        <v>9674</v>
      </c>
      <c r="P815" s="402">
        <v>2626</v>
      </c>
      <c r="W815" s="208">
        <v>9662.6666666666697</v>
      </c>
    </row>
    <row r="816" spans="2:23">
      <c r="B816" s="402">
        <v>8040</v>
      </c>
      <c r="J816" s="402">
        <v>9592</v>
      </c>
      <c r="P816" s="402">
        <v>2768</v>
      </c>
      <c r="W816" s="208">
        <v>11213.333333333299</v>
      </c>
    </row>
    <row r="817" spans="2:23">
      <c r="B817" s="402">
        <v>10377</v>
      </c>
      <c r="J817" s="402">
        <v>8335</v>
      </c>
      <c r="P817" s="402">
        <v>2492</v>
      </c>
      <c r="W817" s="208">
        <v>9322.6666666666697</v>
      </c>
    </row>
    <row r="818" spans="2:23">
      <c r="B818" s="402">
        <v>9970</v>
      </c>
      <c r="J818" s="402">
        <v>8761</v>
      </c>
      <c r="P818" s="402">
        <v>2537</v>
      </c>
      <c r="W818" s="208">
        <v>10656</v>
      </c>
    </row>
    <row r="819" spans="2:23">
      <c r="B819" s="402">
        <v>14034</v>
      </c>
      <c r="J819" s="402">
        <v>10522</v>
      </c>
      <c r="P819" s="402">
        <v>2367</v>
      </c>
      <c r="W819" s="208">
        <v>12757.333333333299</v>
      </c>
    </row>
    <row r="820" spans="2:23">
      <c r="B820" s="402">
        <v>8474</v>
      </c>
      <c r="J820" s="402">
        <v>9848</v>
      </c>
      <c r="P820" s="402">
        <v>2554</v>
      </c>
      <c r="W820" s="208">
        <v>9912</v>
      </c>
    </row>
    <row r="821" spans="2:23">
      <c r="B821" s="402">
        <v>10350</v>
      </c>
      <c r="J821" s="402">
        <v>9912</v>
      </c>
      <c r="P821" s="402">
        <v>2602</v>
      </c>
      <c r="W821" s="208">
        <v>7880</v>
      </c>
    </row>
    <row r="822" spans="2:23">
      <c r="B822" s="391">
        <v>6960</v>
      </c>
      <c r="J822" s="402">
        <v>12716</v>
      </c>
      <c r="P822" s="402">
        <v>2462</v>
      </c>
      <c r="W822" s="208">
        <v>11428</v>
      </c>
    </row>
    <row r="823" spans="2:23">
      <c r="B823" s="391">
        <v>5910</v>
      </c>
      <c r="J823" s="402">
        <v>11468</v>
      </c>
      <c r="P823" s="402">
        <v>2022</v>
      </c>
      <c r="W823" s="208">
        <v>8792</v>
      </c>
    </row>
    <row r="824" spans="2:23">
      <c r="B824" s="391">
        <v>6800</v>
      </c>
      <c r="J824" s="402">
        <v>12772</v>
      </c>
      <c r="P824" s="402">
        <v>1978</v>
      </c>
      <c r="W824" s="208">
        <v>9782.6666666666697</v>
      </c>
    </row>
    <row r="825" spans="2:23">
      <c r="B825" s="391">
        <v>5790</v>
      </c>
      <c r="J825" s="402">
        <v>11938</v>
      </c>
      <c r="P825" s="402">
        <v>1958</v>
      </c>
      <c r="W825" s="208">
        <v>9569.3333333333303</v>
      </c>
    </row>
    <row r="826" spans="2:23">
      <c r="B826" s="391">
        <v>5380</v>
      </c>
      <c r="J826" s="402">
        <v>11728</v>
      </c>
      <c r="P826" s="402">
        <v>2862</v>
      </c>
      <c r="W826" s="208">
        <v>8038.6666666666697</v>
      </c>
    </row>
    <row r="827" spans="2:23">
      <c r="B827" s="391">
        <v>5280</v>
      </c>
      <c r="J827" s="402">
        <v>11752</v>
      </c>
      <c r="P827" s="402">
        <v>2657</v>
      </c>
      <c r="W827" s="208">
        <v>10233.333333333299</v>
      </c>
    </row>
    <row r="828" spans="2:23">
      <c r="B828" s="391">
        <v>6790</v>
      </c>
      <c r="J828" s="402">
        <v>16412</v>
      </c>
      <c r="P828" s="402">
        <v>2568</v>
      </c>
      <c r="W828" s="208">
        <v>12080</v>
      </c>
    </row>
    <row r="829" spans="2:23">
      <c r="B829" s="391">
        <v>5320</v>
      </c>
      <c r="J829" s="402">
        <v>11644</v>
      </c>
      <c r="P829" s="402">
        <v>2651</v>
      </c>
      <c r="W829" s="208">
        <v>11106.666666666701</v>
      </c>
    </row>
    <row r="830" spans="2:23">
      <c r="B830" s="391">
        <v>5870</v>
      </c>
      <c r="J830" s="402">
        <v>11850</v>
      </c>
      <c r="P830" s="402">
        <v>2834</v>
      </c>
      <c r="W830" s="208">
        <v>8968</v>
      </c>
    </row>
    <row r="831" spans="2:23">
      <c r="B831" s="391">
        <v>5508</v>
      </c>
      <c r="J831" s="402">
        <v>10332</v>
      </c>
      <c r="P831" s="402">
        <v>2386</v>
      </c>
      <c r="W831" s="208">
        <v>11110.666666666701</v>
      </c>
    </row>
    <row r="832" spans="2:23">
      <c r="B832" s="391">
        <v>5350</v>
      </c>
      <c r="J832" s="402">
        <v>10222</v>
      </c>
      <c r="P832" s="402">
        <v>2536</v>
      </c>
      <c r="W832" s="208">
        <v>9716</v>
      </c>
    </row>
    <row r="833" spans="2:23">
      <c r="B833" s="391">
        <v>7150</v>
      </c>
      <c r="J833" s="402">
        <v>9310</v>
      </c>
      <c r="P833" s="402">
        <v>2764</v>
      </c>
      <c r="W833" s="208">
        <v>7658.6666666666697</v>
      </c>
    </row>
    <row r="834" spans="2:23">
      <c r="B834" s="391">
        <v>6660</v>
      </c>
      <c r="J834" s="402">
        <v>11032</v>
      </c>
      <c r="P834" s="402">
        <v>2015</v>
      </c>
      <c r="W834" s="208">
        <v>0</v>
      </c>
    </row>
    <row r="835" spans="2:23">
      <c r="B835" s="391">
        <v>6370</v>
      </c>
      <c r="J835" s="402">
        <v>10138</v>
      </c>
      <c r="P835" s="402">
        <v>2794</v>
      </c>
      <c r="W835" s="208">
        <v>13545.333333333299</v>
      </c>
    </row>
    <row r="836" spans="2:23">
      <c r="B836" s="391">
        <v>6080</v>
      </c>
      <c r="J836" s="402">
        <v>10950</v>
      </c>
      <c r="P836" s="402">
        <v>2663</v>
      </c>
      <c r="W836" s="208">
        <v>11088</v>
      </c>
    </row>
    <row r="837" spans="2:23">
      <c r="B837" s="402">
        <v>8776</v>
      </c>
      <c r="J837" s="402">
        <v>11106</v>
      </c>
      <c r="P837" s="402">
        <v>1944</v>
      </c>
      <c r="W837" s="208">
        <v>7880</v>
      </c>
    </row>
    <row r="838" spans="2:23">
      <c r="B838" s="402">
        <v>8892</v>
      </c>
      <c r="J838" s="402">
        <v>10600</v>
      </c>
      <c r="P838" s="402">
        <v>2524</v>
      </c>
      <c r="W838" s="208">
        <v>11949.333333333299</v>
      </c>
    </row>
    <row r="839" spans="2:23">
      <c r="B839" s="402">
        <v>8936</v>
      </c>
      <c r="J839" s="402">
        <v>9020</v>
      </c>
      <c r="P839" s="402">
        <v>2572</v>
      </c>
      <c r="W839" s="208">
        <v>0</v>
      </c>
    </row>
    <row r="840" spans="2:23">
      <c r="B840" s="402">
        <v>8688</v>
      </c>
      <c r="J840" s="402">
        <v>10528</v>
      </c>
      <c r="P840" s="402">
        <v>2518</v>
      </c>
      <c r="W840" s="208">
        <v>0</v>
      </c>
    </row>
    <row r="841" spans="2:23">
      <c r="B841" s="402">
        <v>7168</v>
      </c>
      <c r="J841" s="402">
        <v>9450</v>
      </c>
      <c r="P841" s="402">
        <v>2558</v>
      </c>
      <c r="W841" s="208">
        <v>16644</v>
      </c>
    </row>
    <row r="842" spans="2:23">
      <c r="B842" s="402">
        <v>7665</v>
      </c>
      <c r="J842" s="402">
        <v>10026</v>
      </c>
      <c r="P842" s="402">
        <v>2651</v>
      </c>
      <c r="W842" s="208">
        <v>13584</v>
      </c>
    </row>
    <row r="843" spans="2:23">
      <c r="B843" s="402">
        <v>6548</v>
      </c>
      <c r="J843" s="402">
        <v>10642</v>
      </c>
      <c r="P843" s="402">
        <v>2532</v>
      </c>
      <c r="W843" s="208">
        <v>22302</v>
      </c>
    </row>
    <row r="844" spans="2:23">
      <c r="B844" s="402">
        <v>8770</v>
      </c>
      <c r="J844" s="402">
        <v>9272</v>
      </c>
      <c r="P844" s="402">
        <v>2610</v>
      </c>
      <c r="W844" s="208">
        <v>15518</v>
      </c>
    </row>
    <row r="845" spans="2:23">
      <c r="B845" s="402">
        <v>8912</v>
      </c>
      <c r="J845" s="402">
        <v>9174</v>
      </c>
      <c r="P845" s="402">
        <v>2228</v>
      </c>
      <c r="W845" s="208">
        <v>16522</v>
      </c>
    </row>
    <row r="846" spans="2:23">
      <c r="B846" s="402">
        <v>8636</v>
      </c>
      <c r="J846" s="402">
        <v>9288</v>
      </c>
      <c r="P846" s="402">
        <v>2640</v>
      </c>
      <c r="W846" s="208">
        <v>16618</v>
      </c>
    </row>
    <row r="847" spans="2:23">
      <c r="B847" s="402">
        <v>8681</v>
      </c>
      <c r="J847" s="402">
        <v>9338</v>
      </c>
      <c r="P847" s="402">
        <v>2608</v>
      </c>
      <c r="W847" s="208">
        <v>12312</v>
      </c>
    </row>
    <row r="848" spans="2:23">
      <c r="B848" s="402">
        <v>7743</v>
      </c>
      <c r="J848" s="402">
        <v>9294</v>
      </c>
      <c r="P848" s="402">
        <v>2580</v>
      </c>
      <c r="W848" s="208">
        <v>12168</v>
      </c>
    </row>
    <row r="849" spans="2:23">
      <c r="B849" s="402">
        <v>8698</v>
      </c>
      <c r="J849" s="402">
        <v>8568</v>
      </c>
      <c r="P849" s="402">
        <v>1994</v>
      </c>
      <c r="W849" s="208">
        <v>12690</v>
      </c>
    </row>
    <row r="850" spans="2:23">
      <c r="B850" s="402">
        <v>8746</v>
      </c>
      <c r="J850" s="402">
        <v>9220</v>
      </c>
      <c r="P850" s="402">
        <v>2570</v>
      </c>
      <c r="W850" s="208">
        <v>12535</v>
      </c>
    </row>
    <row r="851" spans="2:23">
      <c r="B851" s="402">
        <v>8606</v>
      </c>
      <c r="J851" s="402">
        <v>8896</v>
      </c>
      <c r="P851" s="402">
        <v>1915</v>
      </c>
      <c r="W851" s="208">
        <v>11418</v>
      </c>
    </row>
    <row r="852" spans="2:23">
      <c r="B852" s="402">
        <v>6630</v>
      </c>
      <c r="J852" s="402"/>
      <c r="P852" s="402">
        <v>2561</v>
      </c>
      <c r="W852" s="208">
        <v>11989</v>
      </c>
    </row>
    <row r="853" spans="2:23">
      <c r="B853" s="402">
        <v>6586</v>
      </c>
      <c r="J853" s="402">
        <v>8828</v>
      </c>
      <c r="P853" s="402">
        <v>1926</v>
      </c>
    </row>
    <row r="854" spans="2:23">
      <c r="B854" s="402">
        <v>6566</v>
      </c>
      <c r="J854" s="402">
        <v>8766</v>
      </c>
      <c r="P854" s="402">
        <v>2538</v>
      </c>
    </row>
    <row r="855" spans="2:23">
      <c r="B855" s="402">
        <v>9006</v>
      </c>
      <c r="J855" s="402">
        <v>9020</v>
      </c>
      <c r="P855" s="402">
        <v>1867</v>
      </c>
      <c r="W855" s="208">
        <v>10332</v>
      </c>
    </row>
    <row r="856" spans="2:23">
      <c r="B856" s="402">
        <v>8801</v>
      </c>
      <c r="J856" s="402">
        <v>12730</v>
      </c>
      <c r="P856" s="402">
        <v>2551</v>
      </c>
      <c r="W856" s="208">
        <v>8882</v>
      </c>
    </row>
    <row r="857" spans="2:23">
      <c r="B857" s="402">
        <v>8712</v>
      </c>
      <c r="J857" s="402"/>
      <c r="P857" s="402">
        <v>2642</v>
      </c>
      <c r="W857" s="208">
        <v>8730</v>
      </c>
    </row>
    <row r="858" spans="2:23">
      <c r="B858" s="402">
        <v>8795</v>
      </c>
      <c r="J858" s="402">
        <v>0</v>
      </c>
      <c r="P858" s="402">
        <v>2563</v>
      </c>
      <c r="W858" s="208">
        <v>9012</v>
      </c>
    </row>
    <row r="859" spans="2:23">
      <c r="B859" s="402">
        <v>8834</v>
      </c>
      <c r="J859" s="391">
        <v>13119</v>
      </c>
      <c r="P859" s="402">
        <v>1966</v>
      </c>
      <c r="W859" s="208">
        <v>8730</v>
      </c>
    </row>
    <row r="860" spans="2:23">
      <c r="B860" s="402">
        <v>8146</v>
      </c>
      <c r="J860" s="391">
        <v>11160</v>
      </c>
      <c r="P860" s="402">
        <v>2830</v>
      </c>
      <c r="W860" s="208">
        <v>8446</v>
      </c>
    </row>
    <row r="861" spans="2:23">
      <c r="B861" s="402">
        <v>8680</v>
      </c>
      <c r="J861" s="391">
        <v>17410</v>
      </c>
      <c r="P861" s="402">
        <v>2600</v>
      </c>
    </row>
    <row r="862" spans="2:23">
      <c r="B862" s="402">
        <v>8908</v>
      </c>
      <c r="J862" s="391">
        <v>15118</v>
      </c>
      <c r="P862" s="402">
        <v>2601</v>
      </c>
    </row>
    <row r="863" spans="2:23">
      <c r="B863" s="402">
        <v>6623</v>
      </c>
      <c r="J863" s="391">
        <v>14175</v>
      </c>
      <c r="P863" s="402">
        <v>2363</v>
      </c>
      <c r="W863" s="208">
        <v>8224</v>
      </c>
    </row>
    <row r="864" spans="2:23">
      <c r="B864" s="402">
        <v>9245</v>
      </c>
      <c r="J864" s="391">
        <v>23812</v>
      </c>
      <c r="P864" s="402">
        <v>2630</v>
      </c>
    </row>
    <row r="865" spans="2:16">
      <c r="B865" s="402">
        <v>8807</v>
      </c>
      <c r="J865" s="391">
        <v>12638</v>
      </c>
      <c r="P865" s="402">
        <v>2572</v>
      </c>
    </row>
    <row r="866" spans="2:16">
      <c r="B866" s="402">
        <v>6552</v>
      </c>
      <c r="J866" s="391">
        <v>14090</v>
      </c>
      <c r="P866" s="391">
        <v>5930</v>
      </c>
    </row>
    <row r="867" spans="2:16">
      <c r="B867" s="402">
        <v>8668</v>
      </c>
      <c r="J867" s="391">
        <v>9622</v>
      </c>
      <c r="P867" s="391">
        <v>5398</v>
      </c>
    </row>
    <row r="868" spans="2:16">
      <c r="B868" s="402">
        <v>8716</v>
      </c>
      <c r="J868" s="391">
        <v>11542</v>
      </c>
      <c r="P868" s="391">
        <v>5916</v>
      </c>
    </row>
    <row r="869" spans="2:16">
      <c r="B869" s="402">
        <v>8662</v>
      </c>
      <c r="J869" s="391">
        <v>13830</v>
      </c>
      <c r="P869" s="391">
        <v>5696</v>
      </c>
    </row>
    <row r="870" spans="2:16">
      <c r="B870" s="402">
        <v>8702</v>
      </c>
      <c r="J870" s="391">
        <v>9154</v>
      </c>
      <c r="P870" s="391">
        <v>6120</v>
      </c>
    </row>
    <row r="871" spans="2:16">
      <c r="B871" s="402">
        <v>8795</v>
      </c>
      <c r="J871" s="391">
        <v>14924</v>
      </c>
      <c r="P871" s="391">
        <v>5720</v>
      </c>
    </row>
    <row r="872" spans="2:16">
      <c r="B872" s="402">
        <v>8676</v>
      </c>
      <c r="J872" s="391">
        <v>11161</v>
      </c>
      <c r="P872" s="391">
        <v>5688</v>
      </c>
    </row>
    <row r="873" spans="2:16">
      <c r="B873" s="402">
        <v>8754</v>
      </c>
      <c r="J873" s="402">
        <v>9144</v>
      </c>
      <c r="P873" s="391">
        <v>6090</v>
      </c>
    </row>
    <row r="874" spans="2:16">
      <c r="B874" s="402">
        <v>7346</v>
      </c>
      <c r="J874" s="402">
        <v>8552</v>
      </c>
      <c r="P874" s="391">
        <v>5560</v>
      </c>
    </row>
    <row r="875" spans="2:16">
      <c r="B875" s="402">
        <v>8784</v>
      </c>
      <c r="J875" s="402">
        <v>8130</v>
      </c>
      <c r="P875" s="391">
        <v>5690</v>
      </c>
    </row>
    <row r="876" spans="2:16">
      <c r="B876" s="402">
        <v>8752</v>
      </c>
      <c r="J876" s="402">
        <v>7892</v>
      </c>
      <c r="P876" s="391">
        <v>6060</v>
      </c>
    </row>
    <row r="877" spans="2:16">
      <c r="B877" s="402">
        <v>8724</v>
      </c>
      <c r="J877" s="402">
        <v>7784</v>
      </c>
      <c r="P877" s="391">
        <v>6166</v>
      </c>
    </row>
    <row r="878" spans="2:16">
      <c r="B878" s="402">
        <v>6602</v>
      </c>
      <c r="J878" s="402">
        <v>8546</v>
      </c>
      <c r="P878" s="391">
        <v>6120</v>
      </c>
    </row>
    <row r="879" spans="2:16">
      <c r="B879" s="402">
        <v>8714</v>
      </c>
      <c r="J879" s="402">
        <v>8084</v>
      </c>
      <c r="P879" s="391">
        <v>5900</v>
      </c>
    </row>
    <row r="880" spans="2:16">
      <c r="B880" s="402">
        <v>6523</v>
      </c>
      <c r="J880" s="402">
        <v>7886</v>
      </c>
      <c r="P880" s="391">
        <v>6400</v>
      </c>
    </row>
    <row r="881" spans="2:16">
      <c r="B881" s="402">
        <v>8705</v>
      </c>
      <c r="J881" s="402">
        <v>7912</v>
      </c>
      <c r="P881" s="391">
        <v>7558</v>
      </c>
    </row>
    <row r="882" spans="2:16">
      <c r="B882" s="402">
        <v>6534</v>
      </c>
      <c r="J882" s="402">
        <v>7728</v>
      </c>
      <c r="P882" s="391">
        <v>7558</v>
      </c>
    </row>
    <row r="883" spans="2:16">
      <c r="B883" s="402">
        <v>8682</v>
      </c>
      <c r="P883" s="391">
        <v>7558</v>
      </c>
    </row>
    <row r="884" spans="2:16">
      <c r="B884" s="402">
        <v>6475</v>
      </c>
      <c r="P884" s="391">
        <v>7558</v>
      </c>
    </row>
    <row r="885" spans="2:16">
      <c r="B885" s="402">
        <v>8695</v>
      </c>
      <c r="P885" s="391">
        <v>5610</v>
      </c>
    </row>
    <row r="886" spans="2:16">
      <c r="B886" s="402">
        <v>8786</v>
      </c>
      <c r="P886" s="402">
        <v>4652</v>
      </c>
    </row>
    <row r="887" spans="2:16">
      <c r="B887" s="402">
        <v>8707</v>
      </c>
      <c r="P887" s="402">
        <v>4594</v>
      </c>
    </row>
    <row r="888" spans="2:16">
      <c r="B888" s="402">
        <v>6574</v>
      </c>
      <c r="P888" s="402">
        <v>4678</v>
      </c>
    </row>
    <row r="889" spans="2:16">
      <c r="B889" s="402">
        <v>9742</v>
      </c>
      <c r="P889" s="402">
        <v>4652</v>
      </c>
    </row>
    <row r="890" spans="2:16">
      <c r="B890" s="402">
        <v>8744</v>
      </c>
      <c r="P890" s="402">
        <v>4626</v>
      </c>
    </row>
    <row r="891" spans="2:16">
      <c r="B891" s="402">
        <v>7913</v>
      </c>
      <c r="P891" s="402">
        <v>4632</v>
      </c>
    </row>
    <row r="892" spans="2:16">
      <c r="B892" s="402">
        <v>8507</v>
      </c>
      <c r="P892" s="402">
        <v>4666</v>
      </c>
    </row>
    <row r="893" spans="2:16">
      <c r="B893" s="402">
        <v>8774</v>
      </c>
      <c r="P893" s="402">
        <v>4618</v>
      </c>
    </row>
    <row r="894" spans="2:16">
      <c r="B894" s="402">
        <v>8716</v>
      </c>
      <c r="P894" s="402">
        <v>4638</v>
      </c>
    </row>
    <row r="895" spans="2:16">
      <c r="B895" s="391">
        <v>11720</v>
      </c>
      <c r="P895" s="402">
        <v>4644</v>
      </c>
    </row>
    <row r="896" spans="2:16">
      <c r="B896" s="391">
        <v>10708</v>
      </c>
      <c r="P896" s="402">
        <v>4636</v>
      </c>
    </row>
    <row r="897" spans="2:16">
      <c r="B897" s="391">
        <v>17196</v>
      </c>
      <c r="P897" s="402">
        <v>4621</v>
      </c>
    </row>
    <row r="898" spans="2:16">
      <c r="B898" s="391">
        <v>10749</v>
      </c>
      <c r="P898" s="402">
        <v>4632</v>
      </c>
    </row>
    <row r="899" spans="2:16">
      <c r="B899" s="391">
        <v>10230</v>
      </c>
      <c r="P899" s="402"/>
    </row>
    <row r="900" spans="2:16">
      <c r="B900" s="391">
        <v>8390</v>
      </c>
      <c r="P900" s="402">
        <v>3176</v>
      </c>
    </row>
    <row r="901" spans="2:16">
      <c r="B901" s="391">
        <v>8245</v>
      </c>
      <c r="P901" s="402">
        <v>5066</v>
      </c>
    </row>
    <row r="902" spans="2:16">
      <c r="B902" s="391">
        <v>12240</v>
      </c>
      <c r="P902" s="402">
        <v>2710</v>
      </c>
    </row>
    <row r="903" spans="2:16">
      <c r="B903" s="391">
        <v>12880</v>
      </c>
      <c r="P903" s="402">
        <v>3852</v>
      </c>
    </row>
    <row r="904" spans="2:16">
      <c r="B904" s="391">
        <v>12320</v>
      </c>
      <c r="P904" s="402">
        <v>6270</v>
      </c>
    </row>
    <row r="905" spans="2:16">
      <c r="B905" s="391">
        <v>8482</v>
      </c>
      <c r="P905" s="402">
        <v>2370</v>
      </c>
    </row>
    <row r="906" spans="2:16">
      <c r="B906" s="391">
        <v>11792</v>
      </c>
      <c r="P906" s="402">
        <v>2896</v>
      </c>
    </row>
    <row r="907" spans="2:16">
      <c r="B907" s="391">
        <v>9840</v>
      </c>
      <c r="P907" s="402">
        <v>1714</v>
      </c>
    </row>
    <row r="908" spans="2:16">
      <c r="B908" s="391">
        <v>9350</v>
      </c>
      <c r="P908" s="402">
        <v>3320</v>
      </c>
    </row>
    <row r="909" spans="2:16">
      <c r="B909" s="391">
        <v>13750</v>
      </c>
      <c r="P909" s="402">
        <v>2370</v>
      </c>
    </row>
    <row r="910" spans="2:16">
      <c r="B910" s="391">
        <v>18238</v>
      </c>
      <c r="P910" s="402">
        <v>2370</v>
      </c>
    </row>
    <row r="911" spans="2:16">
      <c r="B911" s="391">
        <v>18238</v>
      </c>
      <c r="P911" s="402">
        <v>4120</v>
      </c>
    </row>
    <row r="912" spans="2:16">
      <c r="B912" s="391">
        <v>18238</v>
      </c>
      <c r="P912" s="402">
        <v>2542</v>
      </c>
    </row>
    <row r="913" spans="2:16">
      <c r="B913" s="391">
        <v>18238</v>
      </c>
      <c r="P913" s="402">
        <v>4130</v>
      </c>
    </row>
    <row r="914" spans="2:16">
      <c r="B914" s="391">
        <v>10500</v>
      </c>
      <c r="P914" s="402">
        <v>2760</v>
      </c>
    </row>
    <row r="915" spans="2:16">
      <c r="B915" s="402">
        <v>18110</v>
      </c>
      <c r="P915" s="402">
        <v>3700</v>
      </c>
    </row>
    <row r="916" spans="2:16">
      <c r="B916" s="402">
        <v>18052</v>
      </c>
      <c r="P916" s="402">
        <v>2370</v>
      </c>
    </row>
    <row r="917" spans="2:16">
      <c r="B917" s="402">
        <v>18136</v>
      </c>
      <c r="P917" s="402">
        <v>4642</v>
      </c>
    </row>
    <row r="918" spans="2:16">
      <c r="B918" s="402">
        <v>18110</v>
      </c>
      <c r="P918" s="402">
        <v>3000</v>
      </c>
    </row>
    <row r="919" spans="2:16">
      <c r="B919" s="402">
        <v>18084</v>
      </c>
      <c r="P919" s="402">
        <v>2370</v>
      </c>
    </row>
    <row r="920" spans="2:16">
      <c r="B920" s="402">
        <v>18090</v>
      </c>
      <c r="P920" s="402"/>
    </row>
    <row r="921" spans="2:16">
      <c r="B921" s="402">
        <v>18124</v>
      </c>
      <c r="P921" s="402"/>
    </row>
    <row r="922" spans="2:16">
      <c r="B922" s="402">
        <v>18076</v>
      </c>
      <c r="P922" s="402">
        <v>2370</v>
      </c>
    </row>
    <row r="923" spans="2:16">
      <c r="B923" s="402">
        <v>18096</v>
      </c>
      <c r="P923" s="402"/>
    </row>
    <row r="924" spans="2:16">
      <c r="B924" s="402">
        <v>18102</v>
      </c>
      <c r="P924" s="402"/>
    </row>
    <row r="925" spans="2:16">
      <c r="B925" s="402">
        <v>18094</v>
      </c>
      <c r="P925" s="402">
        <v>5588</v>
      </c>
    </row>
    <row r="926" spans="2:16">
      <c r="B926" s="402">
        <v>18079</v>
      </c>
      <c r="P926" s="402"/>
    </row>
    <row r="927" spans="2:16">
      <c r="B927" s="402">
        <v>18090</v>
      </c>
      <c r="P927" s="402">
        <v>1920</v>
      </c>
    </row>
    <row r="928" spans="2:16">
      <c r="B928" s="402">
        <v>0</v>
      </c>
      <c r="P928" s="402">
        <v>2836</v>
      </c>
    </row>
    <row r="929" spans="2:16">
      <c r="B929" s="402">
        <v>5880</v>
      </c>
      <c r="P929" s="402">
        <v>3442</v>
      </c>
    </row>
    <row r="930" spans="2:16">
      <c r="B930" s="402">
        <v>7770</v>
      </c>
      <c r="P930" s="402">
        <v>2030</v>
      </c>
    </row>
    <row r="931" spans="2:16">
      <c r="B931" s="402">
        <v>5880</v>
      </c>
      <c r="P931" s="402">
        <v>3552</v>
      </c>
    </row>
    <row r="932" spans="2:16">
      <c r="B932" s="402">
        <v>13020</v>
      </c>
      <c r="P932" s="402">
        <v>2370</v>
      </c>
    </row>
    <row r="933" spans="2:16">
      <c r="B933" s="402">
        <v>10530</v>
      </c>
      <c r="P933" s="402">
        <v>4980</v>
      </c>
    </row>
    <row r="934" spans="2:16">
      <c r="B934" s="402">
        <v>6000</v>
      </c>
      <c r="P934" s="402">
        <v>2800</v>
      </c>
    </row>
    <row r="935" spans="2:16">
      <c r="B935" s="402">
        <v>7500</v>
      </c>
      <c r="P935" s="402">
        <v>1774</v>
      </c>
    </row>
    <row r="936" spans="2:16">
      <c r="B936" s="402">
        <v>5150</v>
      </c>
      <c r="P936" s="402">
        <v>3316</v>
      </c>
    </row>
    <row r="937" spans="2:16">
      <c r="B937" s="402">
        <v>5930</v>
      </c>
      <c r="P937" s="402">
        <v>3224</v>
      </c>
    </row>
    <row r="938" spans="2:16">
      <c r="B938" s="402">
        <v>6000</v>
      </c>
      <c r="P938" s="402"/>
    </row>
    <row r="939" spans="2:16">
      <c r="B939" s="402">
        <v>6000</v>
      </c>
      <c r="P939" s="402">
        <v>3266</v>
      </c>
    </row>
    <row r="940" spans="2:16">
      <c r="B940" s="402">
        <v>6630</v>
      </c>
      <c r="P940" s="402"/>
    </row>
    <row r="941" spans="2:16">
      <c r="B941" s="402">
        <v>6822</v>
      </c>
      <c r="P941" s="402">
        <v>2684</v>
      </c>
    </row>
    <row r="942" spans="2:16">
      <c r="B942" s="402">
        <v>7120</v>
      </c>
      <c r="P942" s="402">
        <v>3398</v>
      </c>
    </row>
    <row r="943" spans="2:16">
      <c r="B943" s="402">
        <v>7680</v>
      </c>
      <c r="P943" s="402">
        <v>2920</v>
      </c>
    </row>
    <row r="944" spans="2:16">
      <c r="B944" s="402">
        <v>5910</v>
      </c>
      <c r="P944" s="402">
        <v>3960</v>
      </c>
    </row>
    <row r="945" spans="2:16">
      <c r="B945" s="402">
        <v>6000</v>
      </c>
      <c r="P945" s="402">
        <v>3176</v>
      </c>
    </row>
    <row r="946" spans="2:16">
      <c r="B946" s="402">
        <v>6368</v>
      </c>
      <c r="P946" s="402">
        <v>3428</v>
      </c>
    </row>
    <row r="947" spans="2:16">
      <c r="B947" s="402">
        <v>8850</v>
      </c>
      <c r="P947" s="402">
        <v>3140</v>
      </c>
    </row>
    <row r="948" spans="2:16">
      <c r="B948" s="402">
        <v>6000</v>
      </c>
      <c r="P948" s="402">
        <v>3850</v>
      </c>
    </row>
    <row r="949" spans="2:16">
      <c r="B949" s="402">
        <v>14122</v>
      </c>
      <c r="P949" s="402">
        <v>7900</v>
      </c>
    </row>
    <row r="950" spans="2:16">
      <c r="B950" s="402">
        <v>14122</v>
      </c>
      <c r="P950" s="402">
        <v>7900</v>
      </c>
    </row>
    <row r="951" spans="2:16">
      <c r="B951" s="402">
        <v>6000</v>
      </c>
      <c r="P951" s="402">
        <v>3400</v>
      </c>
    </row>
    <row r="952" spans="2:16">
      <c r="B952" s="402">
        <v>14122</v>
      </c>
      <c r="P952" s="402">
        <v>4706</v>
      </c>
    </row>
    <row r="953" spans="2:16">
      <c r="B953" s="402">
        <v>0</v>
      </c>
      <c r="P953" s="402">
        <v>3708</v>
      </c>
    </row>
    <row r="954" spans="2:16">
      <c r="B954" s="402">
        <v>5907</v>
      </c>
      <c r="P954" s="402">
        <v>2980</v>
      </c>
    </row>
    <row r="955" spans="2:16">
      <c r="B955" s="402">
        <v>14122</v>
      </c>
      <c r="P955" s="402">
        <v>3840</v>
      </c>
    </row>
    <row r="956" spans="2:16">
      <c r="B956" s="402">
        <v>9150</v>
      </c>
      <c r="P956" s="402">
        <v>3272</v>
      </c>
    </row>
    <row r="957" spans="2:16">
      <c r="B957" s="402">
        <v>5970</v>
      </c>
      <c r="P957" s="402"/>
    </row>
    <row r="958" spans="2:16">
      <c r="B958" s="402">
        <v>5482</v>
      </c>
      <c r="P958" s="402">
        <v>3608</v>
      </c>
    </row>
    <row r="959" spans="2:16">
      <c r="B959" s="402">
        <v>4910</v>
      </c>
      <c r="P959" s="402">
        <v>3540</v>
      </c>
    </row>
    <row r="960" spans="2:16">
      <c r="B960" s="402">
        <v>5920</v>
      </c>
      <c r="P960" s="402"/>
    </row>
    <row r="961" spans="2:16">
      <c r="B961" s="402">
        <v>6000</v>
      </c>
      <c r="P961" s="402">
        <v>2980</v>
      </c>
    </row>
    <row r="962" spans="2:16">
      <c r="B962" s="402">
        <v>6090</v>
      </c>
      <c r="P962" s="402">
        <v>6240</v>
      </c>
    </row>
    <row r="963" spans="2:16">
      <c r="B963" s="402">
        <v>4956</v>
      </c>
      <c r="P963" s="402"/>
    </row>
    <row r="964" spans="2:16">
      <c r="B964" s="402">
        <v>3873</v>
      </c>
      <c r="P964" s="402">
        <v>7900</v>
      </c>
    </row>
    <row r="965" spans="2:16">
      <c r="B965" s="402">
        <v>5482</v>
      </c>
      <c r="P965" s="402">
        <v>7900</v>
      </c>
    </row>
    <row r="966" spans="2:16">
      <c r="B966" s="402">
        <v>4140</v>
      </c>
      <c r="P966" s="402">
        <v>7900</v>
      </c>
    </row>
    <row r="967" spans="2:16">
      <c r="B967" s="402">
        <v>5430</v>
      </c>
      <c r="P967" s="402">
        <v>7900</v>
      </c>
    </row>
    <row r="968" spans="2:16">
      <c r="B968" s="402">
        <v>6570</v>
      </c>
      <c r="P968" s="402">
        <v>3040</v>
      </c>
    </row>
    <row r="969" spans="2:16">
      <c r="B969" s="402">
        <v>0</v>
      </c>
      <c r="P969" s="402">
        <v>2370</v>
      </c>
    </row>
    <row r="970" spans="2:16">
      <c r="B970" s="402">
        <v>5313</v>
      </c>
      <c r="P970" s="391">
        <v>4620</v>
      </c>
    </row>
    <row r="971" spans="2:16">
      <c r="B971" s="402">
        <v>6449</v>
      </c>
      <c r="P971" s="391">
        <v>4620</v>
      </c>
    </row>
    <row r="972" spans="2:16">
      <c r="B972" s="402">
        <v>5610</v>
      </c>
      <c r="P972" s="391">
        <v>4620</v>
      </c>
    </row>
    <row r="973" spans="2:16">
      <c r="B973" s="402">
        <v>5460</v>
      </c>
      <c r="P973" s="391">
        <v>4620</v>
      </c>
    </row>
    <row r="974" spans="2:16">
      <c r="B974" s="402">
        <v>7612</v>
      </c>
      <c r="P974" s="391">
        <v>4620</v>
      </c>
    </row>
    <row r="975" spans="2:16">
      <c r="B975" s="402">
        <v>10500</v>
      </c>
      <c r="P975" s="391">
        <v>4620</v>
      </c>
    </row>
    <row r="976" spans="2:16">
      <c r="B976" s="402">
        <v>6520</v>
      </c>
      <c r="P976" s="391">
        <v>4620</v>
      </c>
    </row>
    <row r="977" spans="2:16">
      <c r="B977" s="402">
        <v>6100</v>
      </c>
      <c r="P977" s="391">
        <v>4620</v>
      </c>
    </row>
    <row r="978" spans="2:16">
      <c r="B978" s="402">
        <v>0</v>
      </c>
      <c r="P978" s="391">
        <v>4620</v>
      </c>
    </row>
    <row r="979" spans="2:16">
      <c r="B979" s="402">
        <v>11250</v>
      </c>
      <c r="P979" s="391">
        <v>4620</v>
      </c>
    </row>
    <row r="980" spans="2:16">
      <c r="B980" s="402">
        <v>6900</v>
      </c>
      <c r="P980" s="391">
        <v>4620</v>
      </c>
    </row>
    <row r="981" spans="2:16">
      <c r="B981" s="402">
        <v>6090</v>
      </c>
      <c r="P981" s="391">
        <v>4620</v>
      </c>
    </row>
    <row r="982" spans="2:16">
      <c r="B982" s="402">
        <v>7600</v>
      </c>
      <c r="P982" s="391">
        <v>4620</v>
      </c>
    </row>
    <row r="983" spans="2:16">
      <c r="B983" s="402">
        <v>6360</v>
      </c>
      <c r="P983" s="391">
        <v>4620</v>
      </c>
    </row>
    <row r="984" spans="2:16">
      <c r="B984" s="402">
        <v>5220</v>
      </c>
      <c r="P984" s="391">
        <v>4620</v>
      </c>
    </row>
    <row r="985" spans="2:16">
      <c r="B985" s="402">
        <v>4294</v>
      </c>
      <c r="P985" s="391">
        <v>4620</v>
      </c>
    </row>
    <row r="986" spans="2:16">
      <c r="B986" s="402">
        <v>0</v>
      </c>
      <c r="P986" s="391">
        <v>4620</v>
      </c>
    </row>
    <row r="987" spans="2:16">
      <c r="B987" s="402">
        <v>16650</v>
      </c>
      <c r="P987" s="391">
        <v>4620</v>
      </c>
    </row>
    <row r="988" spans="2:16">
      <c r="B988" s="402">
        <v>16602</v>
      </c>
      <c r="P988" s="391">
        <v>4620</v>
      </c>
    </row>
    <row r="989" spans="2:16">
      <c r="B989" s="402">
        <v>14122</v>
      </c>
      <c r="P989" s="391">
        <v>4620</v>
      </c>
    </row>
    <row r="990" spans="2:16">
      <c r="B990" s="402">
        <v>5850</v>
      </c>
      <c r="P990" s="391">
        <v>8160</v>
      </c>
    </row>
    <row r="991" spans="2:16">
      <c r="B991" s="402">
        <v>7400</v>
      </c>
      <c r="P991" s="391">
        <v>4620</v>
      </c>
    </row>
    <row r="992" spans="2:16">
      <c r="B992" s="402">
        <v>5430</v>
      </c>
      <c r="P992" s="391">
        <v>4620</v>
      </c>
    </row>
    <row r="993" spans="2:16">
      <c r="B993" s="402">
        <v>0</v>
      </c>
      <c r="P993" s="391">
        <v>4620</v>
      </c>
    </row>
    <row r="994" spans="2:16">
      <c r="B994" s="402">
        <v>0</v>
      </c>
      <c r="P994" s="402">
        <v>4632</v>
      </c>
    </row>
    <row r="995" spans="2:16">
      <c r="B995" s="402">
        <v>0</v>
      </c>
      <c r="P995" s="402">
        <v>3940</v>
      </c>
    </row>
    <row r="996" spans="2:16">
      <c r="B996" s="402">
        <v>0</v>
      </c>
      <c r="P996" s="402">
        <v>4128</v>
      </c>
    </row>
    <row r="997" spans="2:16">
      <c r="B997" s="402">
        <v>5340</v>
      </c>
      <c r="P997" s="402">
        <v>4502</v>
      </c>
    </row>
    <row r="998" spans="2:16">
      <c r="B998" s="402">
        <v>6000</v>
      </c>
      <c r="P998" s="402">
        <v>3768</v>
      </c>
    </row>
    <row r="999" spans="2:16">
      <c r="B999" s="391">
        <v>10622.9</v>
      </c>
      <c r="P999" s="402">
        <v>4692</v>
      </c>
    </row>
    <row r="1000" spans="2:16">
      <c r="B1000" s="391">
        <v>10622.9</v>
      </c>
      <c r="P1000" s="402">
        <v>4590</v>
      </c>
    </row>
    <row r="1001" spans="2:16">
      <c r="B1001" s="391">
        <v>10622.9</v>
      </c>
      <c r="P1001" s="402">
        <v>5086</v>
      </c>
    </row>
    <row r="1002" spans="2:16">
      <c r="B1002" s="391">
        <v>10622.9</v>
      </c>
      <c r="P1002" s="402">
        <v>3864</v>
      </c>
    </row>
    <row r="1003" spans="2:16">
      <c r="B1003" s="391">
        <v>10622.9</v>
      </c>
      <c r="P1003" s="402">
        <v>3940</v>
      </c>
    </row>
    <row r="1004" spans="2:16">
      <c r="B1004" s="391">
        <v>10622.9</v>
      </c>
    </row>
    <row r="1005" spans="2:16">
      <c r="B1005" s="391">
        <v>10622.9</v>
      </c>
    </row>
    <row r="1006" spans="2:16">
      <c r="B1006" s="391">
        <v>10622.9</v>
      </c>
    </row>
    <row r="1007" spans="2:16">
      <c r="B1007" s="391">
        <v>10622.9</v>
      </c>
    </row>
    <row r="1008" spans="2:16">
      <c r="B1008" s="391">
        <v>10622.9</v>
      </c>
    </row>
    <row r="1009" spans="2:2">
      <c r="B1009" s="391">
        <v>10622.9</v>
      </c>
    </row>
    <row r="1010" spans="2:2">
      <c r="B1010" s="391">
        <v>10622.9</v>
      </c>
    </row>
    <row r="1011" spans="2:2">
      <c r="B1011" s="391">
        <v>10622.9</v>
      </c>
    </row>
    <row r="1012" spans="2:2">
      <c r="B1012" s="391">
        <v>10622.9</v>
      </c>
    </row>
    <row r="1013" spans="2:2">
      <c r="B1013" s="391">
        <v>10622.9</v>
      </c>
    </row>
    <row r="1014" spans="2:2">
      <c r="B1014" s="391">
        <v>10622.9</v>
      </c>
    </row>
    <row r="1015" spans="2:2">
      <c r="B1015" s="391">
        <v>10622.9</v>
      </c>
    </row>
    <row r="1016" spans="2:2">
      <c r="B1016" s="391">
        <v>10622.9</v>
      </c>
    </row>
    <row r="1017" spans="2:2">
      <c r="B1017" s="391">
        <v>10622.9</v>
      </c>
    </row>
    <row r="1018" spans="2:2">
      <c r="B1018" s="391">
        <v>10622.9</v>
      </c>
    </row>
    <row r="1019" spans="2:2">
      <c r="B1019" s="391">
        <v>14130</v>
      </c>
    </row>
    <row r="1020" spans="2:2">
      <c r="B1020" s="391">
        <v>10622.9</v>
      </c>
    </row>
    <row r="1021" spans="2:2">
      <c r="B1021" s="391">
        <v>10622.9</v>
      </c>
    </row>
    <row r="1022" spans="2:2">
      <c r="B1022" s="391">
        <v>10622.9</v>
      </c>
    </row>
    <row r="1023" spans="2:2">
      <c r="B1023" s="402">
        <v>11784</v>
      </c>
    </row>
    <row r="1024" spans="2:2">
      <c r="B1024" s="402">
        <v>8692</v>
      </c>
    </row>
    <row r="1025" spans="2:2">
      <c r="B1025" s="402">
        <v>7464</v>
      </c>
    </row>
    <row r="1026" spans="2:2">
      <c r="B1026" s="402">
        <v>10720</v>
      </c>
    </row>
    <row r="1027" spans="2:2">
      <c r="B1027" s="402">
        <v>8520</v>
      </c>
    </row>
    <row r="1028" spans="2:2">
      <c r="B1028" s="402">
        <v>11688</v>
      </c>
    </row>
    <row r="1029" spans="2:2">
      <c r="B1029" s="402">
        <v>7245</v>
      </c>
    </row>
    <row r="1030" spans="2:2">
      <c r="B1030" s="402">
        <v>12056</v>
      </c>
    </row>
    <row r="1031" spans="2:2">
      <c r="B1031" s="402">
        <v>6250</v>
      </c>
    </row>
    <row r="1032" spans="2:2">
      <c r="B1032" s="402">
        <v>11668</v>
      </c>
    </row>
  </sheetData>
  <autoFilter ref="A1:AO674" xr:uid="{8462A9D3-5323-41C1-8DE3-713DA825A216}">
    <filterColumn colId="4">
      <filters>
        <filter val="1"/>
        <filter val="2"/>
        <filter val="3"/>
        <filter val="4"/>
        <filter val="5"/>
        <filter val="6"/>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1" ma:contentTypeDescription="Create a new document." ma:contentTypeScope="" ma:versionID="1ae8a50db7085f5ae1dcf34ff77a61f1">
  <xsd:schema xmlns:xsd="http://www.w3.org/2001/XMLSchema" xmlns:xs="http://www.w3.org/2001/XMLSchema" xmlns:p="http://schemas.microsoft.com/office/2006/metadata/properties" xmlns:ns2="d3553cee-4ecc-4eb5-80d8-f24f98131822" xmlns:ns3="fc2f2499-f938-4cc0-a2cd-f3e7b3a200ae" targetNamespace="http://schemas.microsoft.com/office/2006/metadata/properties" ma:root="true" ma:fieldsID="17b6e3ff09c248479d51477e5c5657c0" ns2:_="" ns3:_="">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M D A A B Q S w M E F A A C A A g A o 6 l S V 5 2 I Z o + j A A A A 9 g A A A B I A H A B D b 2 5 m a W c v U G F j a 2 F n Z S 5 4 b W w g o h g A K K A U A A A A A A A A A A A A A A A A A A A A A A A A A A A A h Y + x D o I w F E V / h X S n L X U x 5 F E H V 0 l M i M a 1 K R U a 4 W F o s f y b g 5 / k L 4 h R 1 M 3 x n n u G e + / X G 6 z G t o k u p n e 2 w 4 w k l J P I o O 5 K i 1 V G B n + M l 2 Q l Y a v 0 S V U m m m R 0 6 e j K j N T e n 1 P G Q g g 0 L G j X V 0 x w n r B D v i l 0 b V p F P r L 9 L 8 c W n V e o D Z G w f 4 2 R g i a C U y E E 5 c B m C L n F r y C m v c / 2 B 8 J 6 a P z Q G 2 k w 3 h X A 5 g j s / U E + A F B L A w Q U A A I A C A C j q V J 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6 l S V y i K R 7 g O A A A A E Q A A A B M A H A B G b 3 J t d W x h c y 9 T Z W N 0 a W 9 u M S 5 t I K I Y A C i g F A A A A A A A A A A A A A A A A A A A A A A A A A A A A C t O T S 7 J z M 9 T C I b Q h t Y A U E s B A i 0 A F A A C A A g A o 6 l S V 5 2 I Z o + j A A A A 9 g A A A B I A A A A A A A A A A A A A A A A A A A A A A E N v b m Z p Z y 9 Q Y W N r Y W d l L n h t b F B L A Q I t A B Q A A g A I A K O p U l c P y u m r p A A A A O k A A A A T A A A A A A A A A A A A A A A A A O 8 A A A B b Q 2 9 u d G V u d F 9 U e X B l c 1 0 u e G 1 s U E s B A i 0 A F A A C A A g A o 6 l S 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N o A A A A B A A A A 0 I y d 3 w E V 0 R G M e g D A T 8 K X 6 w E A A A C e v V j N 9 a M p R Z N a P i i d G t z v A A A A A A I A A A A A A A N m A A D A A A A A E A A A A F 8 n + D R C c U z + i s E 8 X Z c 0 W t 4 A A A A A B I A A A K A A A A A Q A A A A i B q r z n Y x 0 / W L v w 3 T 0 v m F 5 l A A A A A u T 7 D S M o M g m d 3 y 8 p I w y t J J / s e A G A 9 G n D X 3 g f O / j M 2 a 4 + 0 8 7 5 H 6 j o u l H M q C y S a W A q 6 G j T G G K y c F r Z + E 7 J g r d b p G q f q U b 3 M B m F 0 t a N H m z + t 9 O B Q A A A D T N Q g k O r X q H G R A a 3 z u 4 B Z v W l q Y t g = = < / D a t a M a s h u p > 
</file>

<file path=customXml/itemProps1.xml><?xml version="1.0" encoding="utf-8"?>
<ds:datastoreItem xmlns:ds="http://schemas.openxmlformats.org/officeDocument/2006/customXml" ds:itemID="{C4DE8E62-7B17-408E-9DB8-80FB124DFD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53cee-4ecc-4eb5-80d8-f24f98131822"/>
    <ds:schemaRef ds:uri="fc2f2499-f938-4cc0-a2cd-f3e7b3a20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A28483-A323-41B7-9BFC-288B27E1ABAB}">
  <ds:schemaRefs>
    <ds:schemaRef ds:uri="http://schemas.microsoft.com/sharepoint/v3/contenttype/forms"/>
  </ds:schemaRefs>
</ds:datastoreItem>
</file>

<file path=customXml/itemProps3.xml><?xml version="1.0" encoding="utf-8"?>
<ds:datastoreItem xmlns:ds="http://schemas.openxmlformats.org/officeDocument/2006/customXml" ds:itemID="{732EC950-37CB-45BF-A3BE-CD6F379D58C0}">
  <ds:schemaRefs>
    <ds:schemaRef ds:uri="fc2f2499-f938-4cc0-a2cd-f3e7b3a200ae"/>
    <ds:schemaRef ds:uri="d3553cee-4ecc-4eb5-80d8-f24f98131822"/>
    <ds:schemaRef ds:uri="http://purl.org/dc/terms/"/>
    <ds:schemaRef ds:uri="http://purl.org/dc/dcmitype/"/>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769EE3A8-5E7D-49AB-8D2C-FEE22DC9CC55}">
  <ds:schemaRefs>
    <ds:schemaRef ds:uri="http://schemas.microsoft.com/DataMashup"/>
  </ds:schemaRefs>
</ds:datastoreItem>
</file>

<file path=docMetadata/LabelInfo.xml><?xml version="1.0" encoding="utf-8"?>
<clbl:labelList xmlns:clbl="http://schemas.microsoft.com/office/2020/mipLabelMetadata">
  <clbl:label id="{eb20950b-168c-497a-9845-2b099844f3ef}" enabled="0" method="" siteId="{eb20950b-168c-497a-9845-2b099844f3e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NEW...Tabs 132-139</vt:lpstr>
      <vt:lpstr>OLD...Tables</vt:lpstr>
      <vt:lpstr>Summary Medians</vt:lpstr>
      <vt:lpstr>Pivot Table SREB</vt:lpstr>
      <vt:lpstr>Sheet4</vt:lpstr>
      <vt:lpstr>Pivot Table Cats</vt:lpstr>
      <vt:lpstr>Pivot Table Totals</vt:lpstr>
      <vt:lpstr>07TuitionAndFees</vt:lpstr>
      <vt:lpstr>check</vt:lpstr>
      <vt:lpstr>Sheet2</vt:lpstr>
      <vt:lpstr>Sheet3</vt:lpstr>
      <vt:lpstr>FR2</vt:lpstr>
      <vt:lpstr>FR1</vt:lpstr>
      <vt:lpstr>Sheet1</vt:lpstr>
      <vt:lpstr>'NEW...Tabs 132-139'!Print_Area</vt:lpstr>
      <vt:lpstr>OLD...Tables!Print_Area</vt:lpstr>
      <vt:lpstr>'Summary Medians'!Print_Area</vt:lpstr>
      <vt:lpstr>'Summary Medians'!Print_Titles</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Robert Aycock</cp:lastModifiedBy>
  <cp:lastPrinted>2017-05-18T18:16:01Z</cp:lastPrinted>
  <dcterms:created xsi:type="dcterms:W3CDTF">1999-02-24T13:58:47Z</dcterms:created>
  <dcterms:modified xsi:type="dcterms:W3CDTF">2023-10-19T01:13:18Z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0x0101008C9207C4D8AB6E4A9864D320D8693611</vt:lpwstr>
  </property>
  <property fmtid="{D5CDD505-2E9C-101B-9397-08002B2CF9AE}" pid="3" name="WorkflowChangePath">
    <vt:lpwstr>9e700a94-5fd5-49fe-bebc-d6dab9ca334d,3;9e700a94-5fd5-49fe-bebc-d6dab9ca334d,3;cc1b24e3-25fd-4e25-8ff3-fb99a17e3b6f,13;cc1b24e3-25fd-4e25-8ff3-fb99a17e3b6f,15;68bc98a2-3935-4119-b6b1-d7ab45cb1b6a,5;68bc98a2-3935-4119-b6b1-d7ab45cb1b6a,5;68bc98a2-3935-4119-</vt:lpwstr>
  </property>
  <property fmtid="{D5CDD505-2E9C-101B-9397-08002B2CF9AE}" pid="4" name="Notes to SREB">
    <vt:lpwstr>The flag indicators in the Tuition and Fees worksheet doesn't match the information in the summary worksheet on some entries....discussed with Susan already.</vt:lpwstr>
  </property>
  <property fmtid="{D5CDD505-2E9C-101B-9397-08002B2CF9AE}" pid="5" name="Survey Type">
    <vt:lpwstr>07: Tuition and Fees</vt:lpwstr>
  </property>
  <property fmtid="{D5CDD505-2E9C-101B-9397-08002B2CF9AE}" pid="6" name="State">
    <vt:lpwstr>AL</vt:lpwstr>
  </property>
  <property fmtid="{D5CDD505-2E9C-101B-9397-08002B2CF9AE}" pid="7" name="TemplateUrl">
    <vt:lpwstr/>
  </property>
  <property fmtid="{D5CDD505-2E9C-101B-9397-08002B2CF9AE}" pid="8" name="xd_ProgID">
    <vt:lpwstr/>
  </property>
  <property fmtid="{D5CDD505-2E9C-101B-9397-08002B2CF9AE}" pid="9" name="Order">
    <vt:r8>11100</vt:r8>
  </property>
  <property fmtid="{D5CDD505-2E9C-101B-9397-08002B2CF9AE}" pid="10" name="Survey">
    <vt:r8>10</vt:r8>
  </property>
  <property fmtid="{D5CDD505-2E9C-101B-9397-08002B2CF9AE}" pid="11" name="Notes0">
    <vt:lpwstr/>
  </property>
  <property fmtid="{D5CDD505-2E9C-101B-9397-08002B2CF9AE}" pid="12" name="Status">
    <vt:lpwstr>Validated-2</vt:lpwstr>
  </property>
  <property fmtid="{D5CDD505-2E9C-101B-9397-08002B2CF9AE}" pid="13" name="Done">
    <vt:lpwstr>false</vt:lpwstr>
  </property>
  <property fmtid="{D5CDD505-2E9C-101B-9397-08002B2CF9AE}" pid="14" name="CoordinatorSet">
    <vt:bool>true</vt:bool>
  </property>
  <property fmtid="{D5CDD505-2E9C-101B-9397-08002B2CF9AE}" pid="15" name="Agency Code">
    <vt:lpwstr>ACHE</vt:lpwstr>
  </property>
</Properties>
</file>